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75" yWindow="240" windowWidth="12240" windowHeight="8925" activeTab="16"/>
  </bookViews>
  <sheets>
    <sheet name="Rekapitulace" sheetId="31" r:id="rId1"/>
    <sheet name="Odbor celkem" sheetId="20" r:id="rId2"/>
    <sheet name="01 " sheetId="52" r:id="rId3"/>
    <sheet name="03" sheetId="54" r:id="rId4"/>
    <sheet name="04" sheetId="5" r:id="rId5"/>
    <sheet name="05" sheetId="4" r:id="rId6"/>
    <sheet name="06" sheetId="11" r:id="rId7"/>
    <sheet name="07" sheetId="10" r:id="rId8"/>
    <sheet name="08" sheetId="9" r:id="rId9"/>
    <sheet name="OPOK" sheetId="25" state="hidden" r:id="rId10"/>
    <sheet name="SROP" sheetId="27" state="hidden" r:id="rId11"/>
    <sheet name="List1" sheetId="28" state="hidden" r:id="rId12"/>
    <sheet name="09" sheetId="8" r:id="rId13"/>
    <sheet name="10" sheetId="7" r:id="rId14"/>
    <sheet name="10 - PO" sheetId="17" r:id="rId15"/>
    <sheet name="10 - soukr.šk." sheetId="18" r:id="rId16"/>
    <sheet name="11" sheetId="239" r:id="rId17"/>
    <sheet name="12" sheetId="240" r:id="rId18"/>
    <sheet name="13" sheetId="241" r:id="rId19"/>
    <sheet name="14" sheetId="242" r:id="rId20"/>
    <sheet name="15" sheetId="243" r:id="rId21"/>
    <sheet name="16" sheetId="244" r:id="rId22"/>
    <sheet name="17-st. akce" sheetId="21" state="hidden" r:id="rId23"/>
    <sheet name="17" sheetId="245" r:id="rId24"/>
    <sheet name="18" sheetId="246" r:id="rId25"/>
    <sheet name="19" sheetId="247" r:id="rId26"/>
    <sheet name="19 - PO" sheetId="250" r:id="rId27"/>
    <sheet name="30" sheetId="251" r:id="rId28"/>
    <sheet name="37 " sheetId="107" state="hidden" r:id="rId29"/>
    <sheet name="38" sheetId="108" state="hidden" r:id="rId30"/>
    <sheet name="39 " sheetId="109" state="hidden" r:id="rId31"/>
    <sheet name="41 " sheetId="111" state="hidden" r:id="rId32"/>
    <sheet name="42 " sheetId="112" state="hidden" r:id="rId33"/>
    <sheet name="47 " sheetId="113" state="hidden" r:id="rId34"/>
    <sheet name="48 " sheetId="114" state="hidden" r:id="rId35"/>
    <sheet name="49 " sheetId="115" state="hidden" r:id="rId36"/>
    <sheet name="36" sheetId="215" state="hidden" r:id="rId37"/>
    <sheet name="37" sheetId="193" state="hidden" r:id="rId38"/>
    <sheet name="32" sheetId="252" r:id="rId39"/>
    <sheet name="50" sheetId="253" r:id="rId40"/>
    <sheet name="52" sheetId="254" r:id="rId41"/>
    <sheet name="56" sheetId="255" r:id="rId42"/>
    <sheet name="57" sheetId="256" r:id="rId43"/>
    <sheet name="58" sheetId="257" r:id="rId44"/>
    <sheet name="59" sheetId="258" r:id="rId45"/>
    <sheet name="60" sheetId="259" r:id="rId46"/>
    <sheet name="63" sheetId="260" r:id="rId47"/>
    <sheet name="64" sheetId="261" r:id="rId48"/>
    <sheet name="66" sheetId="262" r:id="rId49"/>
    <sheet name="67" sheetId="263" r:id="rId50"/>
    <sheet name="68" sheetId="264" r:id="rId51"/>
    <sheet name="69" sheetId="265" r:id="rId52"/>
    <sheet name="71" sheetId="266" r:id="rId53"/>
    <sheet name="72" sheetId="267" r:id="rId54"/>
    <sheet name="73" sheetId="268" r:id="rId55"/>
    <sheet name="74" sheetId="269" r:id="rId56"/>
    <sheet name="46" sheetId="49" state="hidden" r:id="rId57"/>
    <sheet name="75" sheetId="270" r:id="rId58"/>
    <sheet name="76" sheetId="271" r:id="rId59"/>
    <sheet name="77" sheetId="272" r:id="rId60"/>
    <sheet name="F - 99" sheetId="248" r:id="rId61"/>
    <sheet name="199" sheetId="29" state="hidden" r:id="rId62"/>
    <sheet name="99" sheetId="30" state="hidden" r:id="rId63"/>
    <sheet name="F -199" sheetId="249" r:id="rId64"/>
    <sheet name="List2" sheetId="161" r:id="rId65"/>
  </sheets>
  <definedNames>
    <definedName name="_xlnm.Print_Titles" localSheetId="3">'03'!$8:$9</definedName>
    <definedName name="_xlnm.Print_Area" localSheetId="2">'01 '!$A$1:$H$60</definedName>
    <definedName name="_xlnm.Print_Area" localSheetId="3">'03'!$A$1:$H$200</definedName>
    <definedName name="_xlnm.Print_Area" localSheetId="4">'04'!$A$1:$H$49</definedName>
    <definedName name="_xlnm.Print_Area" localSheetId="5">'05'!$A$1:$H$23</definedName>
    <definedName name="_xlnm.Print_Area" localSheetId="6">'06'!$A$1:$H$41</definedName>
    <definedName name="_xlnm.Print_Area" localSheetId="7">'07'!$A$1:$H$62</definedName>
    <definedName name="_xlnm.Print_Area" localSheetId="8">'08'!$A$1:$H$98</definedName>
    <definedName name="_xlnm.Print_Area" localSheetId="12">'09'!$A$1:$H$130</definedName>
    <definedName name="_xlnm.Print_Area" localSheetId="13">'10'!$A$1:$H$323</definedName>
    <definedName name="_xlnm.Print_Area" localSheetId="14">'10 - PO'!$A$1:$I$2380</definedName>
    <definedName name="_xlnm.Print_Area" localSheetId="15">'10 - soukr.šk.'!$A$1:$I$549</definedName>
    <definedName name="_xlnm.Print_Area" localSheetId="16">'11'!$A$1:$H$678</definedName>
    <definedName name="_xlnm.Print_Area" localSheetId="17">'12'!$A$1:$H$112</definedName>
    <definedName name="_xlnm.Print_Area" localSheetId="18">'13'!$A$1:$H$323</definedName>
    <definedName name="_xlnm.Print_Area" localSheetId="19">'14'!$A$1:$H$141</definedName>
    <definedName name="_xlnm.Print_Area" localSheetId="20">'15'!$A$1:$H$20</definedName>
    <definedName name="_xlnm.Print_Area" localSheetId="21">'16'!$A$1:$H$15</definedName>
    <definedName name="_xlnm.Print_Area" localSheetId="23">'17'!$A$1:$H$137</definedName>
    <definedName name="_xlnm.Print_Area" localSheetId="22">'17-st. akce'!$A$1:$I$1228</definedName>
    <definedName name="_xlnm.Print_Area" localSheetId="24">'18'!$A$1:$H$159</definedName>
    <definedName name="_xlnm.Print_Area" localSheetId="25">'19'!$A$1:$H$62</definedName>
    <definedName name="_xlnm.Print_Area" localSheetId="26">'19 - PO'!$A$1:$O$1086</definedName>
    <definedName name="_xlnm.Print_Area" localSheetId="61">'199'!$A$1:$H$67</definedName>
    <definedName name="_xlnm.Print_Area" localSheetId="27">'30'!$A$1:$H$28</definedName>
    <definedName name="_xlnm.Print_Area" localSheetId="38">'32'!$A$1:$H$28</definedName>
    <definedName name="_xlnm.Print_Area" localSheetId="36">'36'!$A$1:$H$22</definedName>
    <definedName name="_xlnm.Print_Area" localSheetId="37">'37'!$A$1:$H$21</definedName>
    <definedName name="_xlnm.Print_Area" localSheetId="28">'37 '!$A$1:$H$22</definedName>
    <definedName name="_xlnm.Print_Area" localSheetId="29">'38'!$A$1:$H$25</definedName>
    <definedName name="_xlnm.Print_Area" localSheetId="30">'39 '!$A$1:$H$25</definedName>
    <definedName name="_xlnm.Print_Area" localSheetId="31">'41 '!$A$1:$H$25</definedName>
    <definedName name="_xlnm.Print_Area" localSheetId="32">'42 '!$A$1:$H$25</definedName>
    <definedName name="_xlnm.Print_Area" localSheetId="33">'47 '!$A$1:$H$28</definedName>
    <definedName name="_xlnm.Print_Area" localSheetId="34">'48 '!$A$1:$H$25</definedName>
    <definedName name="_xlnm.Print_Area" localSheetId="35">'49 '!$A$1:$H$22</definedName>
    <definedName name="_xlnm.Print_Area" localSheetId="39">'50'!$A$1:$H$397</definedName>
    <definedName name="_xlnm.Print_Area" localSheetId="40">'52'!$A$1:$H$602</definedName>
    <definedName name="_xlnm.Print_Area" localSheetId="41">'56'!$A$1:$H$416</definedName>
    <definedName name="_xlnm.Print_Area" localSheetId="42">'57'!$A$1:$H$240</definedName>
    <definedName name="_xlnm.Print_Area" localSheetId="43">'58'!$A$1:$H$230</definedName>
    <definedName name="_xlnm.Print_Area" localSheetId="44">'59'!$A$1:$H$714</definedName>
    <definedName name="_xlnm.Print_Area" localSheetId="45">'60'!$A$1:$H$130</definedName>
    <definedName name="_xlnm.Print_Area" localSheetId="46">'63'!$A$1:$H$150</definedName>
    <definedName name="_xlnm.Print_Area" localSheetId="47">'64'!$A$1:$H$290</definedName>
    <definedName name="_xlnm.Print_Area" localSheetId="48">'66'!$A$1:$H$467</definedName>
    <definedName name="_xlnm.Print_Area" localSheetId="49">'67'!$A$1:$H$126</definedName>
    <definedName name="_xlnm.Print_Area" localSheetId="50">'68'!$A$1:$H$94</definedName>
    <definedName name="_xlnm.Print_Area" localSheetId="51">'69'!$A$1:$H$46</definedName>
    <definedName name="_xlnm.Print_Area" localSheetId="52">'71'!$A$1:$H$41</definedName>
    <definedName name="_xlnm.Print_Area" localSheetId="53">'72'!$A$1:$H$92</definedName>
    <definedName name="_xlnm.Print_Area" localSheetId="54">'73'!$A$1:$H$67</definedName>
    <definedName name="_xlnm.Print_Area" localSheetId="55">'74'!$A$1:$H$214</definedName>
    <definedName name="_xlnm.Print_Area" localSheetId="57">'75'!$A$1:$H$1257</definedName>
    <definedName name="_xlnm.Print_Area" localSheetId="58">'76'!$A$1:$H$26</definedName>
    <definedName name="_xlnm.Print_Area" localSheetId="59">'77'!$A$1:$H$33</definedName>
    <definedName name="_xlnm.Print_Area" localSheetId="62">'99'!$A$1:$H$54</definedName>
    <definedName name="_xlnm.Print_Area" localSheetId="60">'F - 99'!$A$1:$H$53</definedName>
    <definedName name="_xlnm.Print_Area" localSheetId="63">'F -199'!$A$1:$H$38</definedName>
    <definedName name="_xlnm.Print_Area" localSheetId="1">'Odbor celkem'!$A$1:$F$287</definedName>
    <definedName name="_xlnm.Print_Area" localSheetId="9">OPOK!$A$1:$I$45</definedName>
    <definedName name="_xlnm.Print_Area" localSheetId="0">Rekapitulace!$A$1:$F$37</definedName>
    <definedName name="_xlnm.Print_Area" localSheetId="10">SROP!$A$1:$H$47</definedName>
  </definedNames>
  <calcPr calcId="145621"/>
</workbook>
</file>

<file path=xl/calcChain.xml><?xml version="1.0" encoding="utf-8"?>
<calcChain xmlns="http://schemas.openxmlformats.org/spreadsheetml/2006/main">
  <c r="H69" i="18" l="1"/>
  <c r="G69" i="18"/>
  <c r="G75" i="18" s="1"/>
  <c r="G514" i="18"/>
  <c r="G517" i="18" s="1"/>
  <c r="F517" i="18"/>
  <c r="H514" i="18"/>
  <c r="H517" i="18" s="1"/>
  <c r="H545" i="18"/>
  <c r="G545" i="18"/>
  <c r="I547" i="18"/>
  <c r="I546" i="18"/>
  <c r="H537" i="18"/>
  <c r="G537" i="18"/>
  <c r="I539" i="18"/>
  <c r="I538" i="18"/>
  <c r="H529" i="18"/>
  <c r="G529" i="18"/>
  <c r="I530" i="18"/>
  <c r="H498" i="18"/>
  <c r="G498" i="18"/>
  <c r="I499" i="18"/>
  <c r="G489" i="18"/>
  <c r="G477" i="18"/>
  <c r="I481" i="18"/>
  <c r="I480" i="18"/>
  <c r="H466" i="18"/>
  <c r="G466" i="18"/>
  <c r="I467" i="18"/>
  <c r="H457" i="18"/>
  <c r="G457" i="18"/>
  <c r="I459" i="18"/>
  <c r="I458" i="18"/>
  <c r="H446" i="18"/>
  <c r="G446" i="18"/>
  <c r="I448" i="18"/>
  <c r="I447" i="18"/>
  <c r="H429" i="18"/>
  <c r="G429" i="18"/>
  <c r="I430" i="18"/>
  <c r="H420" i="18"/>
  <c r="G420" i="18"/>
  <c r="I421" i="18"/>
  <c r="H418" i="18"/>
  <c r="G418" i="18"/>
  <c r="H409" i="18"/>
  <c r="G409" i="18"/>
  <c r="H405" i="18"/>
  <c r="G405" i="18"/>
  <c r="I407" i="18"/>
  <c r="H381" i="18"/>
  <c r="G381" i="18"/>
  <c r="H379" i="18"/>
  <c r="G379" i="18"/>
  <c r="H374" i="18"/>
  <c r="G374" i="18"/>
  <c r="H366" i="18"/>
  <c r="G366" i="18"/>
  <c r="I368" i="18"/>
  <c r="I367" i="18"/>
  <c r="H357" i="18"/>
  <c r="G357" i="18"/>
  <c r="I358" i="18"/>
  <c r="I350" i="18"/>
  <c r="H349" i="18"/>
  <c r="G349" i="18"/>
  <c r="H346" i="18"/>
  <c r="H351" i="18" s="1"/>
  <c r="G346" i="18"/>
  <c r="I347" i="18"/>
  <c r="F341" i="18"/>
  <c r="I340" i="18"/>
  <c r="H339" i="18"/>
  <c r="G339" i="18"/>
  <c r="H337" i="18"/>
  <c r="G337" i="18"/>
  <c r="F332" i="18"/>
  <c r="I331" i="18"/>
  <c r="H330" i="18"/>
  <c r="G330" i="18"/>
  <c r="H328" i="18"/>
  <c r="G328" i="18"/>
  <c r="H316" i="18"/>
  <c r="G316" i="18"/>
  <c r="F320" i="18"/>
  <c r="I319" i="18"/>
  <c r="H318" i="18"/>
  <c r="G318" i="18"/>
  <c r="H309" i="18"/>
  <c r="G309" i="18"/>
  <c r="H305" i="18"/>
  <c r="G305" i="18"/>
  <c r="H298" i="18"/>
  <c r="G298" i="18"/>
  <c r="H295" i="18"/>
  <c r="G295" i="18"/>
  <c r="H288" i="18"/>
  <c r="G288" i="18"/>
  <c r="I289" i="18"/>
  <c r="G282" i="18"/>
  <c r="H282" i="18"/>
  <c r="I283" i="18"/>
  <c r="I284" i="18"/>
  <c r="H273" i="18"/>
  <c r="G273" i="18"/>
  <c r="G267" i="18"/>
  <c r="H257" i="18"/>
  <c r="G257" i="18"/>
  <c r="H255" i="18"/>
  <c r="G255" i="18"/>
  <c r="G248" i="18"/>
  <c r="I250" i="18"/>
  <c r="H240" i="18"/>
  <c r="G240" i="18"/>
  <c r="I241" i="18"/>
  <c r="H220" i="18"/>
  <c r="G220" i="18"/>
  <c r="I219" i="18"/>
  <c r="I218" i="18"/>
  <c r="I217" i="18"/>
  <c r="H190" i="18"/>
  <c r="G190" i="18"/>
  <c r="H186" i="18"/>
  <c r="G186" i="18"/>
  <c r="I187" i="18"/>
  <c r="H154" i="18"/>
  <c r="G154" i="18"/>
  <c r="I148" i="18"/>
  <c r="G146" i="18"/>
  <c r="H139" i="18"/>
  <c r="G139" i="18"/>
  <c r="H134" i="18"/>
  <c r="G134" i="18"/>
  <c r="I135" i="18"/>
  <c r="I136" i="18"/>
  <c r="H117" i="18"/>
  <c r="G117" i="18"/>
  <c r="I118" i="18"/>
  <c r="H107" i="18"/>
  <c r="G107" i="18"/>
  <c r="I108" i="18"/>
  <c r="H102" i="18"/>
  <c r="G102" i="18"/>
  <c r="I103" i="18"/>
  <c r="I104" i="18"/>
  <c r="I349" i="18" l="1"/>
  <c r="I514" i="18"/>
  <c r="I517" i="18"/>
  <c r="G351" i="18"/>
  <c r="I288" i="18"/>
  <c r="H341" i="18"/>
  <c r="G341" i="18"/>
  <c r="I337" i="18"/>
  <c r="H332" i="18"/>
  <c r="G332" i="18"/>
  <c r="I328" i="18"/>
  <c r="I316" i="18"/>
  <c r="G320" i="18"/>
  <c r="H320" i="18"/>
  <c r="I117" i="18"/>
  <c r="H90" i="18"/>
  <c r="G90" i="18"/>
  <c r="I91" i="18"/>
  <c r="H79" i="18"/>
  <c r="G79" i="18"/>
  <c r="I70" i="18"/>
  <c r="H82" i="18"/>
  <c r="G82" i="18"/>
  <c r="I80" i="18"/>
  <c r="I81" i="18"/>
  <c r="H57" i="18"/>
  <c r="G57" i="18"/>
  <c r="H54" i="18"/>
  <c r="G54" i="18"/>
  <c r="I55" i="18"/>
  <c r="H42" i="18"/>
  <c r="G42" i="18"/>
  <c r="I43" i="18"/>
  <c r="H30" i="18"/>
  <c r="G30" i="18"/>
  <c r="I31" i="18"/>
  <c r="H10" i="18"/>
  <c r="G10" i="18"/>
  <c r="I11" i="18"/>
  <c r="I341" i="18" l="1"/>
  <c r="I332" i="18"/>
  <c r="I320" i="18"/>
  <c r="I1211" i="17"/>
  <c r="I1212" i="17"/>
  <c r="I184" i="17"/>
  <c r="I2163" i="17"/>
  <c r="I1507" i="17"/>
  <c r="I306" i="17"/>
  <c r="F2151" i="17" l="1"/>
  <c r="G2365" i="17"/>
  <c r="G2372" i="17" s="1"/>
  <c r="F2365" i="17"/>
  <c r="F2372" i="17" s="1"/>
  <c r="G2356" i="17"/>
  <c r="H2356" i="17"/>
  <c r="F2356" i="17"/>
  <c r="H2349" i="17"/>
  <c r="G2349" i="17"/>
  <c r="H2342" i="17"/>
  <c r="G2342" i="17"/>
  <c r="I2345" i="17"/>
  <c r="I2343" i="17"/>
  <c r="H2324" i="17"/>
  <c r="G2324" i="17"/>
  <c r="I2326" i="17"/>
  <c r="H2320" i="17"/>
  <c r="G2320" i="17"/>
  <c r="F2320" i="17"/>
  <c r="H2311" i="17"/>
  <c r="G2311" i="17"/>
  <c r="I2313" i="17"/>
  <c r="G2309" i="17"/>
  <c r="H2309" i="17"/>
  <c r="F2309" i="17"/>
  <c r="H2299" i="17"/>
  <c r="G2299" i="17"/>
  <c r="I2301" i="17"/>
  <c r="H2287" i="17"/>
  <c r="G2287" i="17"/>
  <c r="I2289" i="17"/>
  <c r="H2275" i="17"/>
  <c r="G2275" i="17"/>
  <c r="H2271" i="17"/>
  <c r="G2271" i="17"/>
  <c r="I2273" i="17"/>
  <c r="H2256" i="17"/>
  <c r="G2256" i="17"/>
  <c r="I2258" i="17"/>
  <c r="H2243" i="17"/>
  <c r="G2243" i="17"/>
  <c r="I2245" i="17"/>
  <c r="H2230" i="17"/>
  <c r="G2230" i="17"/>
  <c r="I2232" i="17"/>
  <c r="H2219" i="17"/>
  <c r="G2219" i="17"/>
  <c r="I2220" i="17"/>
  <c r="I2217" i="17"/>
  <c r="H2215" i="17"/>
  <c r="G2215" i="17"/>
  <c r="G2212" i="17"/>
  <c r="H2212" i="17"/>
  <c r="F2212" i="17"/>
  <c r="F2221" i="17" s="1"/>
  <c r="I2213" i="17"/>
  <c r="I2214" i="17"/>
  <c r="H2202" i="17"/>
  <c r="G2202" i="17"/>
  <c r="I2204" i="17"/>
  <c r="I2193" i="17"/>
  <c r="H2192" i="17"/>
  <c r="G2192" i="17"/>
  <c r="H2186" i="17"/>
  <c r="G2186" i="17"/>
  <c r="I2189" i="17"/>
  <c r="I2188" i="17"/>
  <c r="H2173" i="17"/>
  <c r="I2175" i="17"/>
  <c r="G2173" i="17"/>
  <c r="H2161" i="17"/>
  <c r="G2161" i="17"/>
  <c r="H2146" i="17"/>
  <c r="G2146" i="17"/>
  <c r="I2148" i="17"/>
  <c r="H2132" i="17"/>
  <c r="G2132" i="17"/>
  <c r="I2134" i="17"/>
  <c r="H2117" i="17"/>
  <c r="G2117" i="17"/>
  <c r="I2119" i="17"/>
  <c r="I2107" i="17"/>
  <c r="H2106" i="17"/>
  <c r="G2106" i="17"/>
  <c r="H2102" i="17"/>
  <c r="G2102" i="17"/>
  <c r="I2104" i="17"/>
  <c r="H2089" i="17"/>
  <c r="G2089" i="17"/>
  <c r="I2091" i="17"/>
  <c r="G2328" i="17" l="1"/>
  <c r="H2328" i="17"/>
  <c r="I2192" i="17"/>
  <c r="H2221" i="17"/>
  <c r="G2221" i="17"/>
  <c r="I2219" i="17"/>
  <c r="I2106" i="17"/>
  <c r="H2076" i="17"/>
  <c r="G2076" i="17"/>
  <c r="I2078" i="17"/>
  <c r="G2074" i="17"/>
  <c r="H2074" i="17"/>
  <c r="F2074" i="17"/>
  <c r="H2067" i="17"/>
  <c r="G2067" i="17"/>
  <c r="I2068" i="17"/>
  <c r="H2063" i="17"/>
  <c r="G2063" i="17"/>
  <c r="I2065" i="17"/>
  <c r="H2051" i="17"/>
  <c r="G2051" i="17"/>
  <c r="I2052" i="17"/>
  <c r="H2047" i="17"/>
  <c r="G2047" i="17"/>
  <c r="I2049" i="17"/>
  <c r="H2034" i="17"/>
  <c r="G2034" i="17"/>
  <c r="I2036" i="17"/>
  <c r="G2032" i="17"/>
  <c r="H2032" i="17"/>
  <c r="F2032" i="17"/>
  <c r="H2021" i="17"/>
  <c r="G2021" i="17"/>
  <c r="I2023" i="17"/>
  <c r="H2010" i="17"/>
  <c r="G2010" i="17"/>
  <c r="H2006" i="17"/>
  <c r="G2006" i="17"/>
  <c r="I2008" i="17"/>
  <c r="G2004" i="17"/>
  <c r="H2004" i="17"/>
  <c r="F2004" i="17"/>
  <c r="H1995" i="17"/>
  <c r="G1995" i="17"/>
  <c r="I1997" i="17"/>
  <c r="H1978" i="17"/>
  <c r="G1978" i="17"/>
  <c r="I1980" i="17"/>
  <c r="H1966" i="17"/>
  <c r="G1966" i="17"/>
  <c r="I1968" i="17"/>
  <c r="G1964" i="17"/>
  <c r="H1964" i="17"/>
  <c r="F1964" i="17"/>
  <c r="H1954" i="17"/>
  <c r="G1954" i="17"/>
  <c r="I1956" i="17"/>
  <c r="G1952" i="17"/>
  <c r="H1952" i="17"/>
  <c r="F1952" i="17"/>
  <c r="H1943" i="17"/>
  <c r="G1943" i="17"/>
  <c r="I1944" i="17"/>
  <c r="H1938" i="17"/>
  <c r="G1938" i="17"/>
  <c r="I1941" i="17"/>
  <c r="I1940" i="17"/>
  <c r="G1936" i="17"/>
  <c r="H1936" i="17"/>
  <c r="F1936" i="17"/>
  <c r="H1926" i="17"/>
  <c r="G1926" i="17"/>
  <c r="I1928" i="17"/>
  <c r="G1924" i="17"/>
  <c r="H1924" i="17"/>
  <c r="F1924" i="17"/>
  <c r="H1917" i="17"/>
  <c r="G1917" i="17"/>
  <c r="H1915" i="17"/>
  <c r="G1915" i="17"/>
  <c r="H1913" i="17"/>
  <c r="G1913" i="17"/>
  <c r="H1907" i="17"/>
  <c r="G1907" i="17"/>
  <c r="G1903" i="17"/>
  <c r="H1903" i="17"/>
  <c r="F1903" i="17"/>
  <c r="F1919" i="17" s="1"/>
  <c r="H1901" i="17"/>
  <c r="G1901" i="17"/>
  <c r="H1899" i="17"/>
  <c r="G1899" i="17"/>
  <c r="H1891" i="17"/>
  <c r="G1891" i="17"/>
  <c r="H1889" i="17"/>
  <c r="G1889" i="17"/>
  <c r="H1887" i="17"/>
  <c r="G1887" i="17"/>
  <c r="H1881" i="17"/>
  <c r="G1881" i="17"/>
  <c r="I1882" i="17"/>
  <c r="I1885" i="17"/>
  <c r="H1869" i="17"/>
  <c r="G1869" i="17"/>
  <c r="H1867" i="17"/>
  <c r="G1867" i="17"/>
  <c r="I1861" i="17"/>
  <c r="I1862" i="17"/>
  <c r="I1863" i="17"/>
  <c r="I1864" i="17"/>
  <c r="I1865" i="17"/>
  <c r="I1866" i="17"/>
  <c r="H1860" i="17"/>
  <c r="G1860" i="17"/>
  <c r="I1858" i="17"/>
  <c r="I1859" i="17"/>
  <c r="G1857" i="17"/>
  <c r="H1857" i="17"/>
  <c r="F1857" i="17"/>
  <c r="F1871" i="17" s="1"/>
  <c r="H1855" i="17"/>
  <c r="G1855" i="17"/>
  <c r="H1853" i="17"/>
  <c r="G1853" i="17"/>
  <c r="H1851" i="17"/>
  <c r="G1851" i="17"/>
  <c r="H1828" i="17"/>
  <c r="G1828" i="17"/>
  <c r="I1829" i="17"/>
  <c r="H1826" i="17"/>
  <c r="G1826" i="17"/>
  <c r="H1822" i="17"/>
  <c r="G1822" i="17"/>
  <c r="I1824" i="17"/>
  <c r="G1819" i="17"/>
  <c r="H1819" i="17"/>
  <c r="F1819" i="17"/>
  <c r="H1809" i="17"/>
  <c r="G1809" i="17"/>
  <c r="H1807" i="17"/>
  <c r="G1807" i="17"/>
  <c r="H1803" i="17"/>
  <c r="G1803" i="17"/>
  <c r="I1805" i="17"/>
  <c r="G1800" i="17"/>
  <c r="H1800" i="17"/>
  <c r="F1800" i="17"/>
  <c r="F1813" i="17" s="1"/>
  <c r="H1792" i="17"/>
  <c r="G1792" i="17"/>
  <c r="I1787" i="17"/>
  <c r="I1788" i="17"/>
  <c r="I1789" i="17"/>
  <c r="I1790" i="17"/>
  <c r="I1791" i="17"/>
  <c r="H1786" i="17"/>
  <c r="G1786" i="17"/>
  <c r="I1784" i="17"/>
  <c r="I1785" i="17"/>
  <c r="G1783" i="17"/>
  <c r="H1783" i="17"/>
  <c r="F1783" i="17"/>
  <c r="F1794" i="17" s="1"/>
  <c r="H1781" i="17"/>
  <c r="G1781" i="17"/>
  <c r="H1779" i="17"/>
  <c r="G1779" i="17"/>
  <c r="H1767" i="17"/>
  <c r="G1767" i="17"/>
  <c r="I1768" i="17"/>
  <c r="I1769" i="17"/>
  <c r="I1770" i="17"/>
  <c r="I1765" i="17"/>
  <c r="I1766" i="17"/>
  <c r="G1764" i="17"/>
  <c r="H1764" i="17"/>
  <c r="F1764" i="17"/>
  <c r="F1773" i="17" s="1"/>
  <c r="H1762" i="17"/>
  <c r="G1762" i="17"/>
  <c r="H1760" i="17"/>
  <c r="G1760" i="17"/>
  <c r="I1752" i="17"/>
  <c r="H1751" i="17"/>
  <c r="G1751" i="17"/>
  <c r="H1749" i="17"/>
  <c r="G1749" i="17"/>
  <c r="H1747" i="17"/>
  <c r="G1747" i="17"/>
  <c r="H1745" i="17"/>
  <c r="G1745" i="17"/>
  <c r="H1739" i="17"/>
  <c r="G1739" i="17"/>
  <c r="I1740" i="17"/>
  <c r="I1741" i="17"/>
  <c r="I1742" i="17"/>
  <c r="I1743" i="17"/>
  <c r="I1744" i="17"/>
  <c r="G1736" i="17"/>
  <c r="H1736" i="17"/>
  <c r="F1736" i="17"/>
  <c r="F1753" i="17" s="1"/>
  <c r="I1737" i="17"/>
  <c r="I1738" i="17"/>
  <c r="H1734" i="17"/>
  <c r="G1734" i="17"/>
  <c r="H1732" i="17"/>
  <c r="G1732" i="17"/>
  <c r="H1724" i="17"/>
  <c r="G1724" i="17"/>
  <c r="H1722" i="17"/>
  <c r="G1722" i="17"/>
  <c r="I1717" i="17"/>
  <c r="I1718" i="17"/>
  <c r="I1719" i="17"/>
  <c r="I1720" i="17"/>
  <c r="I1721" i="17"/>
  <c r="H1712" i="17"/>
  <c r="G1712" i="17"/>
  <c r="I1716" i="17"/>
  <c r="I1713" i="17"/>
  <c r="G1709" i="17"/>
  <c r="H1709" i="17"/>
  <c r="F1709" i="17"/>
  <c r="F1726" i="17" s="1"/>
  <c r="H1707" i="17"/>
  <c r="G1707" i="17"/>
  <c r="H1705" i="17"/>
  <c r="G1705" i="17"/>
  <c r="H1698" i="17"/>
  <c r="G1698" i="17"/>
  <c r="H1696" i="17"/>
  <c r="G1696" i="17"/>
  <c r="H1690" i="17"/>
  <c r="I1691" i="17"/>
  <c r="I1692" i="17"/>
  <c r="I1693" i="17"/>
  <c r="I1694" i="17"/>
  <c r="I1695" i="17"/>
  <c r="G1690" i="17"/>
  <c r="I1687" i="17"/>
  <c r="I1688" i="17"/>
  <c r="I1689" i="17"/>
  <c r="G1686" i="17"/>
  <c r="H1686" i="17"/>
  <c r="F1686" i="17"/>
  <c r="F1700" i="17" s="1"/>
  <c r="H1684" i="17"/>
  <c r="G1684" i="17"/>
  <c r="H1682" i="17"/>
  <c r="G1682" i="17"/>
  <c r="H1675" i="17"/>
  <c r="G1675" i="17"/>
  <c r="H1668" i="17"/>
  <c r="G1668" i="17"/>
  <c r="I1669" i="17"/>
  <c r="I1670" i="17"/>
  <c r="I1671" i="17"/>
  <c r="I1672" i="17"/>
  <c r="I1673" i="17"/>
  <c r="I1674" i="17"/>
  <c r="I1665" i="17"/>
  <c r="I1666" i="17"/>
  <c r="I1667" i="17"/>
  <c r="G1664" i="17"/>
  <c r="H1664" i="17"/>
  <c r="F1664" i="17"/>
  <c r="F1677" i="17" s="1"/>
  <c r="H1662" i="17"/>
  <c r="G1662" i="17"/>
  <c r="H1660" i="17"/>
  <c r="G1660" i="17"/>
  <c r="I2067" i="17" l="1"/>
  <c r="I2051" i="17"/>
  <c r="H1946" i="17"/>
  <c r="G2012" i="17"/>
  <c r="G1946" i="17"/>
  <c r="G1919" i="17"/>
  <c r="H1919" i="17"/>
  <c r="H1871" i="17"/>
  <c r="G1871" i="17"/>
  <c r="I1857" i="17"/>
  <c r="I1860" i="17"/>
  <c r="G1830" i="17"/>
  <c r="H1830" i="17"/>
  <c r="I1828" i="17"/>
  <c r="G1813" i="17"/>
  <c r="H1813" i="17"/>
  <c r="I1783" i="17"/>
  <c r="H1794" i="17"/>
  <c r="G1794" i="17"/>
  <c r="I1786" i="17"/>
  <c r="I1736" i="17"/>
  <c r="G1773" i="17"/>
  <c r="H1773" i="17"/>
  <c r="G1753" i="17"/>
  <c r="I1764" i="17"/>
  <c r="I1767" i="17"/>
  <c r="I1751" i="17"/>
  <c r="H1753" i="17"/>
  <c r="I1739" i="17"/>
  <c r="H1726" i="17"/>
  <c r="G1726" i="17"/>
  <c r="I1712" i="17"/>
  <c r="I1686" i="17"/>
  <c r="G1700" i="17"/>
  <c r="H1700" i="17"/>
  <c r="H1677" i="17"/>
  <c r="I1668" i="17"/>
  <c r="G1677" i="17"/>
  <c r="I1664" i="17"/>
  <c r="H1653" i="17"/>
  <c r="G1653" i="17"/>
  <c r="H1651" i="17"/>
  <c r="G1651" i="17"/>
  <c r="I1642" i="17"/>
  <c r="I1643" i="17"/>
  <c r="I1644" i="17"/>
  <c r="I1647" i="17"/>
  <c r="I1648" i="17"/>
  <c r="I1649" i="17"/>
  <c r="I1650" i="17"/>
  <c r="H1641" i="17"/>
  <c r="G1641" i="17"/>
  <c r="I1639" i="17"/>
  <c r="I1640" i="17"/>
  <c r="G1638" i="17"/>
  <c r="H1638" i="17"/>
  <c r="F1638" i="17"/>
  <c r="F1655" i="17" s="1"/>
  <c r="H1636" i="17"/>
  <c r="G1636" i="17"/>
  <c r="H1634" i="17"/>
  <c r="G1634" i="17"/>
  <c r="H1632" i="17"/>
  <c r="G1632" i="17"/>
  <c r="H1604" i="17"/>
  <c r="G1604" i="17"/>
  <c r="H1602" i="17"/>
  <c r="G1602" i="17"/>
  <c r="H1600" i="17"/>
  <c r="G1600" i="17"/>
  <c r="H1593" i="17"/>
  <c r="G1593" i="17"/>
  <c r="I1595" i="17"/>
  <c r="I1596" i="17"/>
  <c r="I1597" i="17"/>
  <c r="I1598" i="17"/>
  <c r="I1599" i="17"/>
  <c r="I1594" i="17"/>
  <c r="I1591" i="17"/>
  <c r="I1592" i="17"/>
  <c r="G1590" i="17"/>
  <c r="H1590" i="17"/>
  <c r="F1590" i="17"/>
  <c r="F1606" i="17" s="1"/>
  <c r="H1588" i="17"/>
  <c r="G1588" i="17"/>
  <c r="H1583" i="17"/>
  <c r="G1583" i="17"/>
  <c r="H1581" i="17"/>
  <c r="G1581" i="17"/>
  <c r="H1573" i="17"/>
  <c r="G1573" i="17"/>
  <c r="H1565" i="17"/>
  <c r="G1565" i="17"/>
  <c r="I1571" i="17"/>
  <c r="I1572" i="17"/>
  <c r="I1569" i="17"/>
  <c r="I1566" i="17"/>
  <c r="H1561" i="17"/>
  <c r="G1561" i="17"/>
  <c r="I1638" i="17" l="1"/>
  <c r="G1655" i="17"/>
  <c r="H1655" i="17"/>
  <c r="I1641" i="17"/>
  <c r="I1590" i="17"/>
  <c r="H1606" i="17"/>
  <c r="G1606" i="17"/>
  <c r="I1593" i="17"/>
  <c r="H1559" i="17"/>
  <c r="H1575" i="17" s="1"/>
  <c r="G1559" i="17"/>
  <c r="G1575" i="17" s="1"/>
  <c r="H1550" i="17"/>
  <c r="G1550" i="17"/>
  <c r="H1548" i="17"/>
  <c r="G1548" i="17"/>
  <c r="H1544" i="17"/>
  <c r="G1544" i="17"/>
  <c r="I1545" i="17"/>
  <c r="I1546" i="17"/>
  <c r="I1547" i="17"/>
  <c r="I1542" i="17"/>
  <c r="I1543" i="17"/>
  <c r="G1541" i="17"/>
  <c r="H1541" i="17"/>
  <c r="F1541" i="17"/>
  <c r="F1552" i="17" s="1"/>
  <c r="H1539" i="17"/>
  <c r="G1539" i="17"/>
  <c r="H1537" i="17"/>
  <c r="G1537" i="17"/>
  <c r="H1529" i="17"/>
  <c r="G1529" i="17"/>
  <c r="H1527" i="17"/>
  <c r="G1527" i="17"/>
  <c r="H1518" i="17"/>
  <c r="G1518" i="17"/>
  <c r="I1523" i="17"/>
  <c r="F1492" i="17"/>
  <c r="F1508" i="17" s="1"/>
  <c r="H1504" i="17"/>
  <c r="G1504" i="17"/>
  <c r="H1502" i="17"/>
  <c r="G1502" i="17"/>
  <c r="H1496" i="17"/>
  <c r="G1496" i="17"/>
  <c r="I1497" i="17"/>
  <c r="I1498" i="17"/>
  <c r="I1499" i="17"/>
  <c r="I1500" i="17"/>
  <c r="I1501" i="17"/>
  <c r="H1492" i="17"/>
  <c r="G1492" i="17"/>
  <c r="I1493" i="17"/>
  <c r="I1494" i="17"/>
  <c r="I1495" i="17"/>
  <c r="H1490" i="17"/>
  <c r="G1490" i="17"/>
  <c r="H1488" i="17"/>
  <c r="G1488" i="17"/>
  <c r="H1486" i="17"/>
  <c r="G1486" i="17"/>
  <c r="H1484" i="17"/>
  <c r="G1484" i="17"/>
  <c r="H1472" i="17"/>
  <c r="G1472" i="17"/>
  <c r="H1470" i="17"/>
  <c r="G1470" i="17"/>
  <c r="H1463" i="17"/>
  <c r="G1463" i="17"/>
  <c r="I1464" i="17"/>
  <c r="I1465" i="17"/>
  <c r="I1468" i="17"/>
  <c r="I1469" i="17"/>
  <c r="H1458" i="17"/>
  <c r="G1458" i="17"/>
  <c r="F1458" i="17"/>
  <c r="F1474" i="17" s="1"/>
  <c r="I1461" i="17"/>
  <c r="I1460" i="17"/>
  <c r="I1459" i="17"/>
  <c r="H1456" i="17"/>
  <c r="G1456" i="17"/>
  <c r="H1454" i="17"/>
  <c r="G1454" i="17"/>
  <c r="H1552" i="17" l="1"/>
  <c r="I1541" i="17"/>
  <c r="G1552" i="17"/>
  <c r="I1544" i="17"/>
  <c r="H1508" i="17"/>
  <c r="G1508" i="17"/>
  <c r="I1496" i="17"/>
  <c r="I1492" i="17"/>
  <c r="G1474" i="17"/>
  <c r="H1474" i="17"/>
  <c r="I1463" i="17"/>
  <c r="I1454" i="17"/>
  <c r="H1446" i="17"/>
  <c r="G1446" i="17"/>
  <c r="H1444" i="17"/>
  <c r="G1444" i="17"/>
  <c r="H1440" i="17"/>
  <c r="G1440" i="17"/>
  <c r="G1437" i="17"/>
  <c r="H1437" i="17"/>
  <c r="F1437" i="17"/>
  <c r="F1448" i="17" s="1"/>
  <c r="H1435" i="17"/>
  <c r="G1435" i="17"/>
  <c r="H1433" i="17"/>
  <c r="G1433" i="17"/>
  <c r="H1431" i="17"/>
  <c r="G1431" i="17"/>
  <c r="H1424" i="17"/>
  <c r="G1424" i="17"/>
  <c r="H1422" i="17"/>
  <c r="G1422" i="17"/>
  <c r="H1416" i="17"/>
  <c r="G1416" i="17"/>
  <c r="I1420" i="17"/>
  <c r="I1421" i="17"/>
  <c r="I1418" i="17"/>
  <c r="H1402" i="17"/>
  <c r="G1402" i="17"/>
  <c r="I1403" i="17"/>
  <c r="I1404" i="17"/>
  <c r="I1405" i="17"/>
  <c r="I1406" i="17"/>
  <c r="G1399" i="17"/>
  <c r="H1399" i="17"/>
  <c r="F1399" i="17"/>
  <c r="F1407" i="17" s="1"/>
  <c r="I1400" i="17"/>
  <c r="I1401" i="17"/>
  <c r="H1397" i="17"/>
  <c r="G1397" i="17"/>
  <c r="H1395" i="17"/>
  <c r="G1395" i="17"/>
  <c r="I1387" i="17"/>
  <c r="I1388" i="17"/>
  <c r="H1382" i="17"/>
  <c r="G1382" i="17"/>
  <c r="I1385" i="17"/>
  <c r="H1371" i="17"/>
  <c r="G1371" i="17"/>
  <c r="H1369" i="17"/>
  <c r="G1369" i="17"/>
  <c r="H1448" i="17" l="1"/>
  <c r="G1448" i="17"/>
  <c r="H1407" i="17"/>
  <c r="G1407" i="17"/>
  <c r="I1399" i="17"/>
  <c r="I1402" i="17"/>
  <c r="H1367" i="17"/>
  <c r="G1367" i="17"/>
  <c r="H1365" i="17"/>
  <c r="G1365" i="17"/>
  <c r="H1359" i="17"/>
  <c r="G1359" i="17"/>
  <c r="I1363" i="17"/>
  <c r="I1364" i="17"/>
  <c r="I1361" i="17"/>
  <c r="G1355" i="17"/>
  <c r="H1355" i="17"/>
  <c r="F1355" i="17"/>
  <c r="F1373" i="17" s="1"/>
  <c r="I1358" i="17"/>
  <c r="H1344" i="17"/>
  <c r="G1344" i="17"/>
  <c r="I1347" i="17"/>
  <c r="H1373" i="17" l="1"/>
  <c r="G1373" i="17"/>
  <c r="H1334" i="17"/>
  <c r="G1334" i="17"/>
  <c r="H1332" i="17"/>
  <c r="G1332" i="17"/>
  <c r="H1325" i="17"/>
  <c r="G1325" i="17"/>
  <c r="I1330" i="17"/>
  <c r="I1331" i="17"/>
  <c r="I1328" i="17"/>
  <c r="I1326" i="17"/>
  <c r="H1314" i="17"/>
  <c r="G1314" i="17"/>
  <c r="I1315" i="17"/>
  <c r="H1306" i="17"/>
  <c r="G1306" i="17"/>
  <c r="I1312" i="17"/>
  <c r="I1313" i="17"/>
  <c r="I1310" i="17"/>
  <c r="I1309" i="17"/>
  <c r="I1294" i="17"/>
  <c r="I1295" i="17"/>
  <c r="H1290" i="17"/>
  <c r="G1290" i="17"/>
  <c r="I1292" i="17"/>
  <c r="H1280" i="17"/>
  <c r="G1280" i="17"/>
  <c r="H1275" i="17"/>
  <c r="G1275" i="17"/>
  <c r="I1278" i="17"/>
  <c r="H1266" i="17"/>
  <c r="G1266" i="17"/>
  <c r="H1264" i="17"/>
  <c r="G1264" i="17"/>
  <c r="H1262" i="17"/>
  <c r="G1262" i="17"/>
  <c r="H1256" i="17"/>
  <c r="I1257" i="17"/>
  <c r="I1258" i="17"/>
  <c r="I1259" i="17"/>
  <c r="I1260" i="17"/>
  <c r="I1261" i="17"/>
  <c r="G1256" i="17"/>
  <c r="I1254" i="17"/>
  <c r="G1253" i="17"/>
  <c r="H1253" i="17"/>
  <c r="F1253" i="17"/>
  <c r="F1268" i="17" s="1"/>
  <c r="H1251" i="17"/>
  <c r="G1251" i="17"/>
  <c r="H1249" i="17"/>
  <c r="G1249" i="17"/>
  <c r="H1247" i="17"/>
  <c r="G1247" i="17"/>
  <c r="H1233" i="17"/>
  <c r="G1233" i="17"/>
  <c r="I1234" i="17"/>
  <c r="I1235" i="17"/>
  <c r="I1236" i="17"/>
  <c r="I1237" i="17"/>
  <c r="I1238" i="17"/>
  <c r="I1231" i="17"/>
  <c r="I1232" i="17"/>
  <c r="G1230" i="17"/>
  <c r="H1230" i="17"/>
  <c r="F1230" i="17"/>
  <c r="F1241" i="17" s="1"/>
  <c r="H1228" i="17"/>
  <c r="G1228" i="17"/>
  <c r="H1226" i="17"/>
  <c r="G1226" i="17"/>
  <c r="H1224" i="17"/>
  <c r="G1224" i="17"/>
  <c r="I1225" i="17"/>
  <c r="H1217" i="17"/>
  <c r="G1217" i="17"/>
  <c r="H1215" i="17"/>
  <c r="G1215" i="17"/>
  <c r="H1213" i="17"/>
  <c r="G1213" i="17"/>
  <c r="H1206" i="17"/>
  <c r="G1206" i="17"/>
  <c r="I1209" i="17"/>
  <c r="I1207" i="17"/>
  <c r="H1193" i="17"/>
  <c r="G1193" i="17"/>
  <c r="H1187" i="17"/>
  <c r="G1187" i="17"/>
  <c r="I1192" i="17"/>
  <c r="I1191" i="17"/>
  <c r="I1189" i="17"/>
  <c r="H1183" i="17"/>
  <c r="G1183" i="17"/>
  <c r="I1186" i="17"/>
  <c r="I1314" i="17" l="1"/>
  <c r="H1268" i="17"/>
  <c r="G1268" i="17"/>
  <c r="I1233" i="17"/>
  <c r="G1241" i="17"/>
  <c r="I1230" i="17"/>
  <c r="H1241" i="17"/>
  <c r="I1224" i="17"/>
  <c r="H1175" i="17"/>
  <c r="G1175" i="17"/>
  <c r="H1173" i="17"/>
  <c r="G1173" i="17"/>
  <c r="H1171" i="17"/>
  <c r="G1171" i="17"/>
  <c r="H1169" i="17"/>
  <c r="G1169" i="17"/>
  <c r="H1164" i="17"/>
  <c r="G1164" i="17"/>
  <c r="I1165" i="17"/>
  <c r="I1166" i="17"/>
  <c r="I1167" i="17"/>
  <c r="I1168" i="17"/>
  <c r="I1164" i="17" l="1"/>
  <c r="I1162" i="17"/>
  <c r="I1163" i="17"/>
  <c r="G1161" i="17"/>
  <c r="H1161" i="17"/>
  <c r="F1161" i="17"/>
  <c r="F1177" i="17" s="1"/>
  <c r="H1158" i="17"/>
  <c r="G1158" i="17"/>
  <c r="H1156" i="17"/>
  <c r="G1156" i="17"/>
  <c r="H1149" i="17"/>
  <c r="G1149" i="17"/>
  <c r="H1147" i="17"/>
  <c r="G1147" i="17"/>
  <c r="H1145" i="17"/>
  <c r="G1145" i="17"/>
  <c r="H1134" i="17"/>
  <c r="G1134" i="17"/>
  <c r="I1143" i="17"/>
  <c r="I1144" i="17"/>
  <c r="I1141" i="17"/>
  <c r="H1129" i="17"/>
  <c r="G1129" i="17"/>
  <c r="I1133" i="17"/>
  <c r="H1098" i="17"/>
  <c r="G1098" i="17"/>
  <c r="I1099" i="17"/>
  <c r="H1096" i="17"/>
  <c r="G1096" i="17"/>
  <c r="I1097" i="17"/>
  <c r="H1094" i="17"/>
  <c r="G1094" i="17"/>
  <c r="H1092" i="17"/>
  <c r="G1092" i="17"/>
  <c r="H1088" i="17"/>
  <c r="G1088" i="17"/>
  <c r="I1089" i="17"/>
  <c r="I1090" i="17"/>
  <c r="I1091" i="17"/>
  <c r="G1085" i="17"/>
  <c r="H1085" i="17"/>
  <c r="F1085" i="17"/>
  <c r="F1100" i="17" s="1"/>
  <c r="I1086" i="17"/>
  <c r="I1087" i="17"/>
  <c r="H1083" i="17"/>
  <c r="G1083" i="17"/>
  <c r="H1081" i="17"/>
  <c r="G1081" i="17"/>
  <c r="G1177" i="17" l="1"/>
  <c r="I1161" i="17"/>
  <c r="H1177" i="17"/>
  <c r="G1151" i="17"/>
  <c r="H1151" i="17"/>
  <c r="G1100" i="17"/>
  <c r="I1098" i="17"/>
  <c r="H1100" i="17"/>
  <c r="I1096" i="17"/>
  <c r="I1088" i="17"/>
  <c r="I1085" i="17"/>
  <c r="H1073" i="17"/>
  <c r="G1073" i="17"/>
  <c r="H1067" i="17"/>
  <c r="G1067" i="17"/>
  <c r="I1072" i="17"/>
  <c r="I1071" i="17"/>
  <c r="I1068" i="17"/>
  <c r="I1069" i="17"/>
  <c r="I1070" i="17"/>
  <c r="G1064" i="17"/>
  <c r="H1064" i="17"/>
  <c r="F1064" i="17"/>
  <c r="F1075" i="17" s="1"/>
  <c r="I1066" i="17"/>
  <c r="I1065" i="17"/>
  <c r="H1057" i="17"/>
  <c r="G1057" i="17"/>
  <c r="H1055" i="17"/>
  <c r="G1055" i="17"/>
  <c r="H1048" i="17"/>
  <c r="G1048" i="17"/>
  <c r="H1046" i="17"/>
  <c r="G1046" i="17"/>
  <c r="H1044" i="17"/>
  <c r="G1044" i="17"/>
  <c r="H1042" i="17"/>
  <c r="G1042" i="17"/>
  <c r="I1038" i="17"/>
  <c r="I1039" i="17"/>
  <c r="I1040" i="17"/>
  <c r="I1041" i="17"/>
  <c r="G1037" i="17"/>
  <c r="H1037" i="17"/>
  <c r="H1034" i="17"/>
  <c r="G1034" i="17"/>
  <c r="F1034" i="17"/>
  <c r="F1050" i="17" s="1"/>
  <c r="H1028" i="17"/>
  <c r="G1028" i="17"/>
  <c r="H1021" i="17"/>
  <c r="G1021" i="17"/>
  <c r="I1020" i="17"/>
  <c r="H1019" i="17"/>
  <c r="G1019" i="17"/>
  <c r="H1017" i="17"/>
  <c r="G1017" i="17"/>
  <c r="I1018" i="17"/>
  <c r="H1012" i="17"/>
  <c r="G1012" i="17"/>
  <c r="I1016" i="17"/>
  <c r="I1015" i="17"/>
  <c r="I1013" i="17"/>
  <c r="I1014" i="17"/>
  <c r="I1010" i="17"/>
  <c r="I1011" i="17"/>
  <c r="G1009" i="17"/>
  <c r="H1009" i="17"/>
  <c r="F1009" i="17"/>
  <c r="F1023" i="17" s="1"/>
  <c r="H1007" i="17"/>
  <c r="G1007" i="17"/>
  <c r="H1003" i="17"/>
  <c r="G1003" i="17"/>
  <c r="I1005" i="17"/>
  <c r="I1006" i="17"/>
  <c r="G1075" i="17" l="1"/>
  <c r="I1064" i="17"/>
  <c r="H1075" i="17"/>
  <c r="I1019" i="17"/>
  <c r="I1067" i="17"/>
  <c r="I1009" i="17"/>
  <c r="H1050" i="17"/>
  <c r="G1050" i="17"/>
  <c r="H1023" i="17"/>
  <c r="G1023" i="17"/>
  <c r="I1017" i="17"/>
  <c r="I1012" i="17"/>
  <c r="H996" i="17"/>
  <c r="G996" i="17"/>
  <c r="H990" i="17"/>
  <c r="G990" i="17"/>
  <c r="I994" i="17"/>
  <c r="I992" i="17"/>
  <c r="I991" i="17"/>
  <c r="H986" i="17"/>
  <c r="G986" i="17"/>
  <c r="F986" i="17"/>
  <c r="I989" i="17"/>
  <c r="H976" i="17"/>
  <c r="G976" i="17"/>
  <c r="H968" i="17"/>
  <c r="G968" i="17"/>
  <c r="I974" i="17"/>
  <c r="I975" i="17"/>
  <c r="I972" i="17"/>
  <c r="I970" i="17"/>
  <c r="G964" i="17"/>
  <c r="H964" i="17"/>
  <c r="F964" i="17"/>
  <c r="F978" i="17" s="1"/>
  <c r="I967" i="17"/>
  <c r="H956" i="17"/>
  <c r="G956" i="17"/>
  <c r="H954" i="17"/>
  <c r="G954" i="17"/>
  <c r="H947" i="17"/>
  <c r="G947" i="17"/>
  <c r="I948" i="17"/>
  <c r="I949" i="17"/>
  <c r="I950" i="17"/>
  <c r="I951" i="17"/>
  <c r="I952" i="17"/>
  <c r="I953" i="17"/>
  <c r="G943" i="17"/>
  <c r="H943" i="17"/>
  <c r="F943" i="17"/>
  <c r="F958" i="17" s="1"/>
  <c r="I944" i="17"/>
  <c r="I945" i="17"/>
  <c r="I946" i="17"/>
  <c r="H941" i="17"/>
  <c r="G941" i="17"/>
  <c r="H939" i="17"/>
  <c r="G939" i="17"/>
  <c r="H920" i="17"/>
  <c r="G920" i="17"/>
  <c r="H932" i="17"/>
  <c r="G932" i="17"/>
  <c r="H930" i="17"/>
  <c r="G930" i="17"/>
  <c r="H924" i="17"/>
  <c r="G924" i="17"/>
  <c r="I929" i="17"/>
  <c r="I928" i="17"/>
  <c r="I927" i="17"/>
  <c r="I926" i="17"/>
  <c r="I925" i="17"/>
  <c r="F920" i="17"/>
  <c r="F934" i="17" s="1"/>
  <c r="I921" i="17"/>
  <c r="I922" i="17"/>
  <c r="I923" i="17"/>
  <c r="H918" i="17"/>
  <c r="G918" i="17"/>
  <c r="H916" i="17"/>
  <c r="G916" i="17"/>
  <c r="H978" i="17" l="1"/>
  <c r="G978" i="17"/>
  <c r="H958" i="17"/>
  <c r="G958" i="17"/>
  <c r="I943" i="17"/>
  <c r="I947" i="17"/>
  <c r="I924" i="17"/>
  <c r="I920" i="17"/>
  <c r="I904" i="17"/>
  <c r="H903" i="17"/>
  <c r="G903" i="17"/>
  <c r="H897" i="17"/>
  <c r="G897" i="17"/>
  <c r="I902" i="17"/>
  <c r="I901" i="17"/>
  <c r="I900" i="17"/>
  <c r="I899" i="17"/>
  <c r="I898" i="17"/>
  <c r="G893" i="17"/>
  <c r="H893" i="17"/>
  <c r="F893" i="17"/>
  <c r="F905" i="17" s="1"/>
  <c r="I896" i="17"/>
  <c r="I894" i="17"/>
  <c r="H891" i="17"/>
  <c r="G891" i="17"/>
  <c r="H889" i="17"/>
  <c r="G889" i="17"/>
  <c r="I903" i="17" l="1"/>
  <c r="I889" i="17"/>
  <c r="G905" i="17"/>
  <c r="H905" i="17"/>
  <c r="I293" i="20" l="1"/>
  <c r="H293" i="20"/>
  <c r="E293" i="20"/>
  <c r="K241" i="20"/>
  <c r="K240" i="20"/>
  <c r="G12" i="5" l="1"/>
  <c r="G181" i="54" l="1"/>
  <c r="L46" i="10" l="1"/>
  <c r="N47" i="10"/>
  <c r="M47" i="10"/>
  <c r="L47" i="10"/>
  <c r="I280" i="20" l="1"/>
  <c r="I274" i="20"/>
  <c r="I275" i="20"/>
  <c r="H274" i="20"/>
  <c r="H275" i="20"/>
  <c r="H273" i="20"/>
  <c r="I273" i="20"/>
  <c r="G274" i="20"/>
  <c r="G275" i="20"/>
  <c r="G273" i="20"/>
  <c r="E274" i="20"/>
  <c r="E275" i="20"/>
  <c r="D274" i="20"/>
  <c r="D275" i="20"/>
  <c r="D273" i="20"/>
  <c r="E273" i="20"/>
  <c r="E272" i="20" s="1"/>
  <c r="C274" i="20"/>
  <c r="C275" i="20"/>
  <c r="C273" i="20"/>
  <c r="E14" i="272"/>
  <c r="F14" i="272"/>
  <c r="G14" i="272"/>
  <c r="E23" i="272"/>
  <c r="F23" i="272"/>
  <c r="G23" i="272"/>
  <c r="F27" i="272"/>
  <c r="G27" i="272"/>
  <c r="G32" i="272" s="1"/>
  <c r="H32" i="272" s="1"/>
  <c r="H27" i="272"/>
  <c r="J27" i="272"/>
  <c r="K27" i="272"/>
  <c r="L27" i="272"/>
  <c r="E28" i="272"/>
  <c r="E27" i="272" s="1"/>
  <c r="E32" i="272" s="1"/>
  <c r="F28" i="272"/>
  <c r="G28" i="272"/>
  <c r="H28" i="272"/>
  <c r="E30" i="272"/>
  <c r="F30" i="272"/>
  <c r="G30" i="272"/>
  <c r="F32" i="272"/>
  <c r="I277" i="20"/>
  <c r="H277" i="20"/>
  <c r="G277" i="20"/>
  <c r="I270" i="20"/>
  <c r="I271" i="20"/>
  <c r="H270" i="20"/>
  <c r="H271" i="20"/>
  <c r="G270" i="20"/>
  <c r="G271" i="20"/>
  <c r="H269" i="20"/>
  <c r="I269" i="20"/>
  <c r="G269" i="20"/>
  <c r="E270" i="20"/>
  <c r="E271" i="20"/>
  <c r="D270" i="20"/>
  <c r="D271" i="20"/>
  <c r="C270" i="20"/>
  <c r="C271" i="20"/>
  <c r="D269" i="20"/>
  <c r="E269" i="20"/>
  <c r="C269" i="20"/>
  <c r="E16" i="271"/>
  <c r="F16" i="271"/>
  <c r="G16" i="271"/>
  <c r="G20" i="271"/>
  <c r="G25" i="271" s="1"/>
  <c r="J20" i="271"/>
  <c r="K20" i="271"/>
  <c r="L20" i="271"/>
  <c r="E21" i="271"/>
  <c r="E20" i="271" s="1"/>
  <c r="E25" i="271" s="1"/>
  <c r="F21" i="271"/>
  <c r="G21" i="271"/>
  <c r="E23" i="271"/>
  <c r="F23" i="271"/>
  <c r="F20" i="271" s="1"/>
  <c r="F25" i="271" s="1"/>
  <c r="G23" i="271"/>
  <c r="I265" i="20"/>
  <c r="I266" i="20"/>
  <c r="H265" i="20"/>
  <c r="H266" i="20"/>
  <c r="H264" i="20"/>
  <c r="I264" i="20"/>
  <c r="G265" i="20"/>
  <c r="G266" i="20"/>
  <c r="G264" i="20"/>
  <c r="E265" i="20"/>
  <c r="E266" i="20"/>
  <c r="D265" i="20"/>
  <c r="D266" i="20"/>
  <c r="D264" i="20"/>
  <c r="E264" i="20"/>
  <c r="C265" i="20"/>
  <c r="C266" i="20"/>
  <c r="C264" i="20"/>
  <c r="H13" i="270"/>
  <c r="H14" i="270"/>
  <c r="F15" i="270"/>
  <c r="G15" i="270"/>
  <c r="H15" i="270" s="1"/>
  <c r="H16" i="270"/>
  <c r="H17" i="270"/>
  <c r="H18" i="270"/>
  <c r="H19" i="270"/>
  <c r="H20" i="270"/>
  <c r="H22" i="270"/>
  <c r="H23" i="270"/>
  <c r="H24" i="270"/>
  <c r="H25" i="270"/>
  <c r="H26" i="270"/>
  <c r="F27" i="270"/>
  <c r="G27" i="270"/>
  <c r="H27" i="270"/>
  <c r="H28" i="270"/>
  <c r="H29" i="270"/>
  <c r="H30" i="270"/>
  <c r="H31" i="270"/>
  <c r="H32" i="270"/>
  <c r="H33" i="270"/>
  <c r="H34" i="270"/>
  <c r="H36" i="270"/>
  <c r="H37" i="270"/>
  <c r="H38" i="270"/>
  <c r="H39" i="270"/>
  <c r="H40" i="270"/>
  <c r="H41" i="270"/>
  <c r="H42" i="270"/>
  <c r="E43" i="270"/>
  <c r="F43" i="270"/>
  <c r="H49" i="270"/>
  <c r="H50" i="270"/>
  <c r="F51" i="270"/>
  <c r="G51" i="270"/>
  <c r="H51" i="270" s="1"/>
  <c r="H52" i="270"/>
  <c r="H53" i="270"/>
  <c r="H54" i="270"/>
  <c r="H55" i="270"/>
  <c r="H56" i="270"/>
  <c r="H58" i="270"/>
  <c r="H59" i="270"/>
  <c r="H60" i="270"/>
  <c r="H61" i="270"/>
  <c r="H62" i="270"/>
  <c r="F63" i="270"/>
  <c r="G63" i="270"/>
  <c r="H63" i="270"/>
  <c r="H64" i="270"/>
  <c r="H65" i="270"/>
  <c r="H66" i="270"/>
  <c r="H67" i="270"/>
  <c r="H68" i="270"/>
  <c r="H69" i="270"/>
  <c r="H70" i="270"/>
  <c r="H72" i="270"/>
  <c r="H73" i="270"/>
  <c r="H74" i="270"/>
  <c r="H75" i="270"/>
  <c r="H76" i="270"/>
  <c r="H77" i="270"/>
  <c r="H78" i="270"/>
  <c r="E79" i="270"/>
  <c r="F79" i="270"/>
  <c r="H85" i="270"/>
  <c r="H86" i="270"/>
  <c r="E87" i="270"/>
  <c r="F87" i="270"/>
  <c r="F102" i="270" s="1"/>
  <c r="G87" i="270"/>
  <c r="H87" i="270"/>
  <c r="H88" i="270"/>
  <c r="H89" i="270"/>
  <c r="H90" i="270"/>
  <c r="H91" i="270"/>
  <c r="H92" i="270"/>
  <c r="H94" i="270"/>
  <c r="H95" i="270"/>
  <c r="H96" i="270"/>
  <c r="H97" i="270"/>
  <c r="H98" i="270"/>
  <c r="F99" i="270"/>
  <c r="G99" i="270"/>
  <c r="H99" i="270" s="1"/>
  <c r="H100" i="270"/>
  <c r="H101" i="270"/>
  <c r="E102" i="270"/>
  <c r="H108" i="270"/>
  <c r="H109" i="270"/>
  <c r="F110" i="270"/>
  <c r="F138" i="270" s="1"/>
  <c r="G110" i="270"/>
  <c r="H110" i="270"/>
  <c r="H111" i="270"/>
  <c r="H112" i="270"/>
  <c r="H113" i="270"/>
  <c r="H114" i="270"/>
  <c r="H115" i="270"/>
  <c r="H117" i="270"/>
  <c r="H118" i="270"/>
  <c r="H119" i="270"/>
  <c r="H120" i="270"/>
  <c r="H121" i="270"/>
  <c r="F122" i="270"/>
  <c r="G122" i="270"/>
  <c r="H122" i="270" s="1"/>
  <c r="H123" i="270"/>
  <c r="H124" i="270"/>
  <c r="H125" i="270"/>
  <c r="H126" i="270"/>
  <c r="H127" i="270"/>
  <c r="H128" i="270"/>
  <c r="H129" i="270"/>
  <c r="H131" i="270"/>
  <c r="H132" i="270"/>
  <c r="H133" i="270"/>
  <c r="H134" i="270"/>
  <c r="H135" i="270"/>
  <c r="H136" i="270"/>
  <c r="H137" i="270"/>
  <c r="E138" i="270"/>
  <c r="H144" i="270"/>
  <c r="H145" i="270"/>
  <c r="F146" i="270"/>
  <c r="G146" i="270"/>
  <c r="H146" i="270" s="1"/>
  <c r="H147" i="270"/>
  <c r="H148" i="270"/>
  <c r="H149" i="270"/>
  <c r="H150" i="270"/>
  <c r="H151" i="270"/>
  <c r="H153" i="270"/>
  <c r="H154" i="270"/>
  <c r="H155" i="270"/>
  <c r="H156" i="270"/>
  <c r="H157" i="270"/>
  <c r="F158" i="270"/>
  <c r="G158" i="270"/>
  <c r="H158" i="270"/>
  <c r="H159" i="270"/>
  <c r="H160" i="270"/>
  <c r="H161" i="270"/>
  <c r="H162" i="270"/>
  <c r="H163" i="270"/>
  <c r="H164" i="270"/>
  <c r="H165" i="270"/>
  <c r="H167" i="270"/>
  <c r="H168" i="270"/>
  <c r="H169" i="270"/>
  <c r="H170" i="270"/>
  <c r="H171" i="270"/>
  <c r="H172" i="270"/>
  <c r="H173" i="270"/>
  <c r="E174" i="270"/>
  <c r="F174" i="270"/>
  <c r="H180" i="270"/>
  <c r="H181" i="270"/>
  <c r="F182" i="270"/>
  <c r="G182" i="270"/>
  <c r="H182" i="270" s="1"/>
  <c r="H183" i="270"/>
  <c r="H184" i="270"/>
  <c r="H185" i="270"/>
  <c r="H186" i="270"/>
  <c r="H187" i="270"/>
  <c r="H189" i="270"/>
  <c r="H190" i="270"/>
  <c r="H191" i="270"/>
  <c r="H192" i="270"/>
  <c r="H193" i="270"/>
  <c r="F194" i="270"/>
  <c r="G194" i="270"/>
  <c r="H194" i="270"/>
  <c r="H195" i="270"/>
  <c r="H196" i="270"/>
  <c r="H197" i="270"/>
  <c r="H198" i="270"/>
  <c r="H199" i="270"/>
  <c r="H200" i="270"/>
  <c r="H201" i="270"/>
  <c r="H203" i="270"/>
  <c r="H204" i="270"/>
  <c r="H205" i="270"/>
  <c r="H206" i="270"/>
  <c r="H207" i="270"/>
  <c r="H208" i="270"/>
  <c r="H209" i="270"/>
  <c r="E210" i="270"/>
  <c r="F210" i="270"/>
  <c r="H216" i="270"/>
  <c r="H217" i="270"/>
  <c r="F218" i="270"/>
  <c r="G218" i="270"/>
  <c r="H218" i="270" s="1"/>
  <c r="H219" i="270"/>
  <c r="H220" i="270"/>
  <c r="H221" i="270"/>
  <c r="H222" i="270"/>
  <c r="H223" i="270"/>
  <c r="H225" i="270"/>
  <c r="H226" i="270"/>
  <c r="H227" i="270"/>
  <c r="H228" i="270"/>
  <c r="H229" i="270"/>
  <c r="F230" i="270"/>
  <c r="G230" i="270"/>
  <c r="H230" i="270"/>
  <c r="H231" i="270"/>
  <c r="H232" i="270"/>
  <c r="H233" i="270"/>
  <c r="H234" i="270"/>
  <c r="H235" i="270"/>
  <c r="H236" i="270"/>
  <c r="H237" i="270"/>
  <c r="H239" i="270"/>
  <c r="H240" i="270"/>
  <c r="H241" i="270"/>
  <c r="H242" i="270"/>
  <c r="H243" i="270"/>
  <c r="H244" i="270"/>
  <c r="H245" i="270"/>
  <c r="E246" i="270"/>
  <c r="F246" i="270"/>
  <c r="H252" i="270"/>
  <c r="H253" i="270"/>
  <c r="F254" i="270"/>
  <c r="G254" i="270"/>
  <c r="H254" i="270" s="1"/>
  <c r="H255" i="270"/>
  <c r="H256" i="270"/>
  <c r="H257" i="270"/>
  <c r="H258" i="270"/>
  <c r="H259" i="270"/>
  <c r="H261" i="270"/>
  <c r="H262" i="270"/>
  <c r="H263" i="270"/>
  <c r="H264" i="270"/>
  <c r="H265" i="270"/>
  <c r="F266" i="270"/>
  <c r="G266" i="270"/>
  <c r="H266" i="270"/>
  <c r="H267" i="270"/>
  <c r="H268" i="270"/>
  <c r="H269" i="270"/>
  <c r="H270" i="270"/>
  <c r="H271" i="270"/>
  <c r="H272" i="270"/>
  <c r="H273" i="270"/>
  <c r="H275" i="270"/>
  <c r="H276" i="270"/>
  <c r="H277" i="270"/>
  <c r="H278" i="270"/>
  <c r="H279" i="270"/>
  <c r="H280" i="270"/>
  <c r="H281" i="270"/>
  <c r="E282" i="270"/>
  <c r="F282" i="270"/>
  <c r="H288" i="270"/>
  <c r="H289" i="270"/>
  <c r="F290" i="270"/>
  <c r="G290" i="270"/>
  <c r="H290" i="270" s="1"/>
  <c r="H291" i="270"/>
  <c r="H292" i="270"/>
  <c r="H293" i="270"/>
  <c r="H294" i="270"/>
  <c r="H295" i="270"/>
  <c r="H297" i="270"/>
  <c r="H298" i="270"/>
  <c r="H299" i="270"/>
  <c r="H300" i="270"/>
  <c r="H301" i="270"/>
  <c r="F302" i="270"/>
  <c r="G302" i="270"/>
  <c r="H302" i="270"/>
  <c r="H303" i="270"/>
  <c r="H304" i="270"/>
  <c r="H305" i="270"/>
  <c r="H306" i="270"/>
  <c r="H307" i="270"/>
  <c r="H308" i="270"/>
  <c r="H309" i="270"/>
  <c r="H311" i="270"/>
  <c r="H312" i="270"/>
  <c r="H313" i="270"/>
  <c r="H314" i="270"/>
  <c r="H315" i="270"/>
  <c r="H316" i="270"/>
  <c r="H317" i="270"/>
  <c r="E318" i="270"/>
  <c r="F318" i="270"/>
  <c r="H324" i="270"/>
  <c r="H325" i="270"/>
  <c r="F326" i="270"/>
  <c r="G326" i="270"/>
  <c r="H326" i="270" s="1"/>
  <c r="H327" i="270"/>
  <c r="H328" i="270"/>
  <c r="H329" i="270"/>
  <c r="H330" i="270"/>
  <c r="H331" i="270"/>
  <c r="H333" i="270"/>
  <c r="H334" i="270"/>
  <c r="H335" i="270"/>
  <c r="H336" i="270"/>
  <c r="H337" i="270"/>
  <c r="F338" i="270"/>
  <c r="G338" i="270"/>
  <c r="H338" i="270"/>
  <c r="H339" i="270"/>
  <c r="H340" i="270"/>
  <c r="H341" i="270"/>
  <c r="H342" i="270"/>
  <c r="H343" i="270"/>
  <c r="H344" i="270"/>
  <c r="H345" i="270"/>
  <c r="H347" i="270"/>
  <c r="H348" i="270"/>
  <c r="H349" i="270"/>
  <c r="H350" i="270"/>
  <c r="H351" i="270"/>
  <c r="H352" i="270"/>
  <c r="H353" i="270"/>
  <c r="E354" i="270"/>
  <c r="F354" i="270"/>
  <c r="H360" i="270"/>
  <c r="H361" i="270"/>
  <c r="F362" i="270"/>
  <c r="G362" i="270"/>
  <c r="H362" i="270" s="1"/>
  <c r="H363" i="270"/>
  <c r="H364" i="270"/>
  <c r="H365" i="270"/>
  <c r="H366" i="270"/>
  <c r="H367" i="270"/>
  <c r="H369" i="270"/>
  <c r="H370" i="270"/>
  <c r="H371" i="270"/>
  <c r="H372" i="270"/>
  <c r="H373" i="270"/>
  <c r="F374" i="270"/>
  <c r="G374" i="270"/>
  <c r="H374" i="270"/>
  <c r="H375" i="270"/>
  <c r="H376" i="270"/>
  <c r="H377" i="270"/>
  <c r="H378" i="270"/>
  <c r="H379" i="270"/>
  <c r="H380" i="270"/>
  <c r="H381" i="270"/>
  <c r="H383" i="270"/>
  <c r="H384" i="270"/>
  <c r="H385" i="270"/>
  <c r="H386" i="270"/>
  <c r="H387" i="270"/>
  <c r="H388" i="270"/>
  <c r="H389" i="270"/>
  <c r="E390" i="270"/>
  <c r="F390" i="270"/>
  <c r="H396" i="270"/>
  <c r="H397" i="270"/>
  <c r="F398" i="270"/>
  <c r="G398" i="270"/>
  <c r="H398" i="270" s="1"/>
  <c r="H399" i="270"/>
  <c r="H400" i="270"/>
  <c r="H401" i="270"/>
  <c r="H402" i="270"/>
  <c r="H403" i="270"/>
  <c r="H405" i="270"/>
  <c r="H406" i="270"/>
  <c r="H407" i="270"/>
  <c r="H408" i="270"/>
  <c r="H409" i="270"/>
  <c r="F410" i="270"/>
  <c r="G410" i="270"/>
  <c r="H410" i="270"/>
  <c r="H411" i="270"/>
  <c r="H412" i="270"/>
  <c r="H413" i="270"/>
  <c r="H414" i="270"/>
  <c r="H415" i="270"/>
  <c r="H416" i="270"/>
  <c r="H417" i="270"/>
  <c r="H419" i="270"/>
  <c r="H420" i="270"/>
  <c r="H421" i="270"/>
  <c r="H422" i="270"/>
  <c r="H423" i="270"/>
  <c r="H424" i="270"/>
  <c r="H425" i="270"/>
  <c r="E426" i="270"/>
  <c r="F426" i="270"/>
  <c r="H432" i="270"/>
  <c r="H433" i="270"/>
  <c r="F434" i="270"/>
  <c r="G434" i="270"/>
  <c r="H434" i="270" s="1"/>
  <c r="H435" i="270"/>
  <c r="H436" i="270"/>
  <c r="H437" i="270"/>
  <c r="H438" i="270"/>
  <c r="H439" i="270"/>
  <c r="H441" i="270"/>
  <c r="H442" i="270"/>
  <c r="H443" i="270"/>
  <c r="H444" i="270"/>
  <c r="H445" i="270"/>
  <c r="F446" i="270"/>
  <c r="G446" i="270"/>
  <c r="H446" i="270"/>
  <c r="H447" i="270"/>
  <c r="H448" i="270"/>
  <c r="H449" i="270"/>
  <c r="H450" i="270"/>
  <c r="H451" i="270"/>
  <c r="H452" i="270"/>
  <c r="H453" i="270"/>
  <c r="H455" i="270"/>
  <c r="H456" i="270"/>
  <c r="H457" i="270"/>
  <c r="H458" i="270"/>
  <c r="H459" i="270"/>
  <c r="H460" i="270"/>
  <c r="H461" i="270"/>
  <c r="E462" i="270"/>
  <c r="F462" i="270"/>
  <c r="H468" i="270"/>
  <c r="H469" i="270"/>
  <c r="F470" i="270"/>
  <c r="G470" i="270"/>
  <c r="H470" i="270" s="1"/>
  <c r="H471" i="270"/>
  <c r="H472" i="270"/>
  <c r="H473" i="270"/>
  <c r="H474" i="270"/>
  <c r="H475" i="270"/>
  <c r="H477" i="270"/>
  <c r="H478" i="270"/>
  <c r="H479" i="270"/>
  <c r="H480" i="270"/>
  <c r="H481" i="270"/>
  <c r="F482" i="270"/>
  <c r="G482" i="270"/>
  <c r="H482" i="270"/>
  <c r="H483" i="270"/>
  <c r="H484" i="270"/>
  <c r="H485" i="270"/>
  <c r="H486" i="270"/>
  <c r="H487" i="270"/>
  <c r="H488" i="270"/>
  <c r="H489" i="270"/>
  <c r="H491" i="270"/>
  <c r="H492" i="270"/>
  <c r="H493" i="270"/>
  <c r="H494" i="270"/>
  <c r="H495" i="270"/>
  <c r="H496" i="270"/>
  <c r="H497" i="270"/>
  <c r="E498" i="270"/>
  <c r="F498" i="270"/>
  <c r="H504" i="270"/>
  <c r="H505" i="270"/>
  <c r="F506" i="270"/>
  <c r="G506" i="270"/>
  <c r="H506" i="270" s="1"/>
  <c r="H507" i="270"/>
  <c r="H508" i="270"/>
  <c r="H509" i="270"/>
  <c r="H510" i="270"/>
  <c r="H511" i="270"/>
  <c r="H513" i="270"/>
  <c r="H514" i="270"/>
  <c r="H515" i="270"/>
  <c r="H516" i="270"/>
  <c r="H517" i="270"/>
  <c r="F518" i="270"/>
  <c r="G518" i="270"/>
  <c r="H518" i="270"/>
  <c r="H519" i="270"/>
  <c r="H520" i="270"/>
  <c r="H521" i="270"/>
  <c r="H522" i="270"/>
  <c r="H523" i="270"/>
  <c r="H524" i="270"/>
  <c r="H525" i="270"/>
  <c r="H527" i="270"/>
  <c r="H528" i="270"/>
  <c r="H529" i="270"/>
  <c r="H530" i="270"/>
  <c r="H531" i="270"/>
  <c r="H532" i="270"/>
  <c r="H533" i="270"/>
  <c r="E534" i="270"/>
  <c r="F534" i="270"/>
  <c r="H540" i="270"/>
  <c r="H541" i="270"/>
  <c r="H542" i="270"/>
  <c r="H543" i="270"/>
  <c r="H544" i="270"/>
  <c r="H545" i="270"/>
  <c r="H546" i="270"/>
  <c r="H547" i="270"/>
  <c r="H549" i="270"/>
  <c r="H550" i="270"/>
  <c r="H551" i="270"/>
  <c r="H552" i="270"/>
  <c r="H553" i="270"/>
  <c r="H554" i="270"/>
  <c r="H555" i="270"/>
  <c r="H556" i="270"/>
  <c r="H557" i="270"/>
  <c r="H558" i="270"/>
  <c r="H559" i="270"/>
  <c r="H560" i="270"/>
  <c r="H561" i="270"/>
  <c r="H563" i="270"/>
  <c r="H564" i="270"/>
  <c r="H565" i="270"/>
  <c r="H566" i="270"/>
  <c r="H567" i="270"/>
  <c r="H568" i="270"/>
  <c r="H569" i="270"/>
  <c r="E570" i="270"/>
  <c r="F570" i="270"/>
  <c r="H570" i="270" s="1"/>
  <c r="G570" i="270"/>
  <c r="H576" i="270"/>
  <c r="H577" i="270"/>
  <c r="F578" i="270"/>
  <c r="G578" i="270"/>
  <c r="H578" i="270" s="1"/>
  <c r="H579" i="270"/>
  <c r="H580" i="270"/>
  <c r="H581" i="270"/>
  <c r="H582" i="270"/>
  <c r="H583" i="270"/>
  <c r="H585" i="270"/>
  <c r="H586" i="270"/>
  <c r="H587" i="270"/>
  <c r="H588" i="270"/>
  <c r="H589" i="270"/>
  <c r="F590" i="270"/>
  <c r="G590" i="270"/>
  <c r="H590" i="270"/>
  <c r="H591" i="270"/>
  <c r="H592" i="270"/>
  <c r="H593" i="270"/>
  <c r="H594" i="270"/>
  <c r="H595" i="270"/>
  <c r="H596" i="270"/>
  <c r="H597" i="270"/>
  <c r="H599" i="270"/>
  <c r="H600" i="270"/>
  <c r="H601" i="270"/>
  <c r="H602" i="270"/>
  <c r="H603" i="270"/>
  <c r="H604" i="270"/>
  <c r="H605" i="270"/>
  <c r="E606" i="270"/>
  <c r="F606" i="270"/>
  <c r="H612" i="270"/>
  <c r="H613" i="270"/>
  <c r="F614" i="270"/>
  <c r="G614" i="270"/>
  <c r="H614" i="270" s="1"/>
  <c r="H615" i="270"/>
  <c r="H616" i="270"/>
  <c r="H617" i="270"/>
  <c r="H618" i="270"/>
  <c r="H619" i="270"/>
  <c r="H621" i="270"/>
  <c r="H622" i="270"/>
  <c r="H623" i="270"/>
  <c r="H624" i="270"/>
  <c r="H625" i="270"/>
  <c r="F626" i="270"/>
  <c r="G626" i="270"/>
  <c r="H626" i="270"/>
  <c r="H627" i="270"/>
  <c r="H628" i="270"/>
  <c r="H629" i="270"/>
  <c r="H630" i="270"/>
  <c r="H631" i="270"/>
  <c r="H632" i="270"/>
  <c r="H633" i="270"/>
  <c r="H635" i="270"/>
  <c r="H636" i="270"/>
  <c r="H637" i="270"/>
  <c r="H638" i="270"/>
  <c r="H639" i="270"/>
  <c r="H640" i="270"/>
  <c r="H641" i="270"/>
  <c r="E642" i="270"/>
  <c r="F642" i="270"/>
  <c r="H648" i="270"/>
  <c r="H649" i="270"/>
  <c r="F650" i="270"/>
  <c r="G650" i="270"/>
  <c r="H650" i="270" s="1"/>
  <c r="H651" i="270"/>
  <c r="H652" i="270"/>
  <c r="H653" i="270"/>
  <c r="H654" i="270"/>
  <c r="H655" i="270"/>
  <c r="H657" i="270"/>
  <c r="H658" i="270"/>
  <c r="H659" i="270"/>
  <c r="H660" i="270"/>
  <c r="H661" i="270"/>
  <c r="F662" i="270"/>
  <c r="G662" i="270"/>
  <c r="H662" i="270"/>
  <c r="H663" i="270"/>
  <c r="H664" i="270"/>
  <c r="H665" i="270"/>
  <c r="H666" i="270"/>
  <c r="H667" i="270"/>
  <c r="H668" i="270"/>
  <c r="H669" i="270"/>
  <c r="H671" i="270"/>
  <c r="H672" i="270"/>
  <c r="H673" i="270"/>
  <c r="H674" i="270"/>
  <c r="H675" i="270"/>
  <c r="H676" i="270"/>
  <c r="H677" i="270"/>
  <c r="E678" i="270"/>
  <c r="F678" i="270"/>
  <c r="H684" i="270"/>
  <c r="H685" i="270"/>
  <c r="F686" i="270"/>
  <c r="G686" i="270"/>
  <c r="H686" i="270" s="1"/>
  <c r="H687" i="270"/>
  <c r="H688" i="270"/>
  <c r="H689" i="270"/>
  <c r="H690" i="270"/>
  <c r="H691" i="270"/>
  <c r="H693" i="270"/>
  <c r="H694" i="270"/>
  <c r="H695" i="270"/>
  <c r="H696" i="270"/>
  <c r="H697" i="270"/>
  <c r="F698" i="270"/>
  <c r="G698" i="270"/>
  <c r="H698" i="270"/>
  <c r="H699" i="270"/>
  <c r="H700" i="270"/>
  <c r="H701" i="270"/>
  <c r="H702" i="270"/>
  <c r="H703" i="270"/>
  <c r="H704" i="270"/>
  <c r="H705" i="270"/>
  <c r="H707" i="270"/>
  <c r="H708" i="270"/>
  <c r="H709" i="270"/>
  <c r="H710" i="270"/>
  <c r="H711" i="270"/>
  <c r="H712" i="270"/>
  <c r="H713" i="270"/>
  <c r="E714" i="270"/>
  <c r="F714" i="270"/>
  <c r="H720" i="270"/>
  <c r="H721" i="270"/>
  <c r="F722" i="270"/>
  <c r="G722" i="270"/>
  <c r="H722" i="270" s="1"/>
  <c r="H723" i="270"/>
  <c r="H724" i="270"/>
  <c r="H725" i="270"/>
  <c r="H726" i="270"/>
  <c r="H727" i="270"/>
  <c r="H729" i="270"/>
  <c r="H730" i="270"/>
  <c r="H731" i="270"/>
  <c r="H732" i="270"/>
  <c r="H733" i="270"/>
  <c r="F734" i="270"/>
  <c r="G734" i="270"/>
  <c r="H734" i="270"/>
  <c r="H735" i="270"/>
  <c r="H736" i="270"/>
  <c r="H737" i="270"/>
  <c r="H738" i="270"/>
  <c r="H739" i="270"/>
  <c r="H740" i="270"/>
  <c r="H741" i="270"/>
  <c r="H743" i="270"/>
  <c r="H744" i="270"/>
  <c r="H745" i="270"/>
  <c r="H746" i="270"/>
  <c r="H747" i="270"/>
  <c r="H748" i="270"/>
  <c r="H749" i="270"/>
  <c r="E750" i="270"/>
  <c r="F750" i="270"/>
  <c r="H756" i="270"/>
  <c r="H757" i="270"/>
  <c r="F758" i="270"/>
  <c r="G758" i="270"/>
  <c r="H758" i="270" s="1"/>
  <c r="H759" i="270"/>
  <c r="H760" i="270"/>
  <c r="H761" i="270"/>
  <c r="H762" i="270"/>
  <c r="H763" i="270"/>
  <c r="H765" i="270"/>
  <c r="H766" i="270"/>
  <c r="H767" i="270"/>
  <c r="H768" i="270"/>
  <c r="H769" i="270"/>
  <c r="F770" i="270"/>
  <c r="G770" i="270"/>
  <c r="H770" i="270"/>
  <c r="H771" i="270"/>
  <c r="H772" i="270"/>
  <c r="H773" i="270"/>
  <c r="H774" i="270"/>
  <c r="H775" i="270"/>
  <c r="H776" i="270"/>
  <c r="H777" i="270"/>
  <c r="H779" i="270"/>
  <c r="H780" i="270"/>
  <c r="H781" i="270"/>
  <c r="H782" i="270"/>
  <c r="H783" i="270"/>
  <c r="H784" i="270"/>
  <c r="H785" i="270"/>
  <c r="E786" i="270"/>
  <c r="F786" i="270"/>
  <c r="H792" i="270"/>
  <c r="H793" i="270"/>
  <c r="F794" i="270"/>
  <c r="G794" i="270"/>
  <c r="H794" i="270" s="1"/>
  <c r="H795" i="270"/>
  <c r="H796" i="270"/>
  <c r="H797" i="270"/>
  <c r="H798" i="270"/>
  <c r="H799" i="270"/>
  <c r="H801" i="270"/>
  <c r="H802" i="270"/>
  <c r="H803" i="270"/>
  <c r="H804" i="270"/>
  <c r="H805" i="270"/>
  <c r="F806" i="270"/>
  <c r="G806" i="270"/>
  <c r="H806" i="270"/>
  <c r="H807" i="270"/>
  <c r="H808" i="270"/>
  <c r="H809" i="270"/>
  <c r="H810" i="270"/>
  <c r="H811" i="270"/>
  <c r="H812" i="270"/>
  <c r="H813" i="270"/>
  <c r="H815" i="270"/>
  <c r="H816" i="270"/>
  <c r="H817" i="270"/>
  <c r="H818" i="270"/>
  <c r="H819" i="270"/>
  <c r="H820" i="270"/>
  <c r="H821" i="270"/>
  <c r="E822" i="270"/>
  <c r="F822" i="270"/>
  <c r="H828" i="270"/>
  <c r="H829" i="270"/>
  <c r="F830" i="270"/>
  <c r="G830" i="270"/>
  <c r="H830" i="270" s="1"/>
  <c r="H831" i="270"/>
  <c r="H832" i="270"/>
  <c r="H833" i="270"/>
  <c r="H834" i="270"/>
  <c r="H835" i="270"/>
  <c r="H837" i="270"/>
  <c r="H838" i="270"/>
  <c r="H839" i="270"/>
  <c r="H840" i="270"/>
  <c r="H841" i="270"/>
  <c r="F842" i="270"/>
  <c r="G842" i="270"/>
  <c r="H842" i="270"/>
  <c r="H843" i="270"/>
  <c r="H844" i="270"/>
  <c r="H845" i="270"/>
  <c r="H846" i="270"/>
  <c r="H847" i="270"/>
  <c r="H848" i="270"/>
  <c r="H849" i="270"/>
  <c r="H851" i="270"/>
  <c r="H852" i="270"/>
  <c r="H853" i="270"/>
  <c r="H854" i="270"/>
  <c r="H855" i="270"/>
  <c r="H856" i="270"/>
  <c r="H857" i="270"/>
  <c r="E858" i="270"/>
  <c r="F858" i="270"/>
  <c r="H864" i="270"/>
  <c r="H865" i="270"/>
  <c r="F866" i="270"/>
  <c r="G866" i="270"/>
  <c r="H866" i="270" s="1"/>
  <c r="H867" i="270"/>
  <c r="H868" i="270"/>
  <c r="H869" i="270"/>
  <c r="H870" i="270"/>
  <c r="H871" i="270"/>
  <c r="H873" i="270"/>
  <c r="H874" i="270"/>
  <c r="H875" i="270"/>
  <c r="H876" i="270"/>
  <c r="H877" i="270"/>
  <c r="F878" i="270"/>
  <c r="G878" i="270"/>
  <c r="H878" i="270"/>
  <c r="H879" i="270"/>
  <c r="H880" i="270"/>
  <c r="H881" i="270"/>
  <c r="H882" i="270"/>
  <c r="H883" i="270"/>
  <c r="H884" i="270"/>
  <c r="H885" i="270"/>
  <c r="H887" i="270"/>
  <c r="H888" i="270"/>
  <c r="H889" i="270"/>
  <c r="H890" i="270"/>
  <c r="H891" i="270"/>
  <c r="H892" i="270"/>
  <c r="H893" i="270"/>
  <c r="E894" i="270"/>
  <c r="F894" i="270"/>
  <c r="H900" i="270"/>
  <c r="H901" i="270"/>
  <c r="H903" i="270"/>
  <c r="H904" i="270"/>
  <c r="H905" i="270"/>
  <c r="H906" i="270"/>
  <c r="H907" i="270"/>
  <c r="H909" i="270"/>
  <c r="H910" i="270"/>
  <c r="H911" i="270"/>
  <c r="H912" i="270"/>
  <c r="H913" i="270"/>
  <c r="H914" i="270"/>
  <c r="H915" i="270"/>
  <c r="H916" i="270"/>
  <c r="H917" i="270"/>
  <c r="H918" i="270"/>
  <c r="H919" i="270"/>
  <c r="H920" i="270"/>
  <c r="H921" i="270"/>
  <c r="H923" i="270"/>
  <c r="H924" i="270"/>
  <c r="H925" i="270"/>
  <c r="H926" i="270"/>
  <c r="H927" i="270"/>
  <c r="H928" i="270"/>
  <c r="H929" i="270"/>
  <c r="E930" i="270"/>
  <c r="F930" i="270"/>
  <c r="G930" i="270"/>
  <c r="H930" i="270" s="1"/>
  <c r="H935" i="270"/>
  <c r="H936" i="270"/>
  <c r="F937" i="270"/>
  <c r="H937" i="270" s="1"/>
  <c r="G937" i="270"/>
  <c r="H938" i="270"/>
  <c r="H939" i="270"/>
  <c r="H940" i="270"/>
  <c r="H941" i="270"/>
  <c r="H942" i="270"/>
  <c r="H944" i="270"/>
  <c r="H945" i="270"/>
  <c r="H946" i="270"/>
  <c r="H947" i="270"/>
  <c r="H948" i="270"/>
  <c r="F949" i="270"/>
  <c r="G949" i="270"/>
  <c r="H949" i="270" s="1"/>
  <c r="H950" i="270"/>
  <c r="H951" i="270"/>
  <c r="H952" i="270"/>
  <c r="H953" i="270"/>
  <c r="H954" i="270"/>
  <c r="H955" i="270"/>
  <c r="H956" i="270"/>
  <c r="H958" i="270"/>
  <c r="H959" i="270"/>
  <c r="H960" i="270"/>
  <c r="H961" i="270"/>
  <c r="H962" i="270"/>
  <c r="H964" i="270"/>
  <c r="E965" i="270"/>
  <c r="H971" i="270"/>
  <c r="H972" i="270"/>
  <c r="F973" i="270"/>
  <c r="G973" i="270"/>
  <c r="G1001" i="270" s="1"/>
  <c r="H974" i="270"/>
  <c r="H975" i="270"/>
  <c r="H976" i="270"/>
  <c r="H977" i="270"/>
  <c r="H978" i="270"/>
  <c r="H980" i="270"/>
  <c r="H981" i="270"/>
  <c r="H982" i="270"/>
  <c r="H983" i="270"/>
  <c r="H984" i="270"/>
  <c r="F985" i="270"/>
  <c r="H985" i="270" s="1"/>
  <c r="G985" i="270"/>
  <c r="H986" i="270"/>
  <c r="H987" i="270"/>
  <c r="H988" i="270"/>
  <c r="H989" i="270"/>
  <c r="H990" i="270"/>
  <c r="H991" i="270"/>
  <c r="H992" i="270"/>
  <c r="H994" i="270"/>
  <c r="H995" i="270"/>
  <c r="H996" i="270"/>
  <c r="H997" i="270"/>
  <c r="H998" i="270"/>
  <c r="H999" i="270"/>
  <c r="H1000" i="270"/>
  <c r="E1001" i="270"/>
  <c r="H1007" i="270"/>
  <c r="H1008" i="270"/>
  <c r="F1009" i="270"/>
  <c r="G1009" i="270"/>
  <c r="G1037" i="270" s="1"/>
  <c r="H1010" i="270"/>
  <c r="H1011" i="270"/>
  <c r="H1012" i="270"/>
  <c r="H1013" i="270"/>
  <c r="H1014" i="270"/>
  <c r="H1016" i="270"/>
  <c r="H1017" i="270"/>
  <c r="H1018" i="270"/>
  <c r="H1019" i="270"/>
  <c r="H1020" i="270"/>
  <c r="F1021" i="270"/>
  <c r="H1021" i="270" s="1"/>
  <c r="G1021" i="270"/>
  <c r="H1022" i="270"/>
  <c r="H1023" i="270"/>
  <c r="H1024" i="270"/>
  <c r="H1025" i="270"/>
  <c r="H1026" i="270"/>
  <c r="H1027" i="270"/>
  <c r="H1028" i="270"/>
  <c r="H1030" i="270"/>
  <c r="H1031" i="270"/>
  <c r="H1032" i="270"/>
  <c r="H1033" i="270"/>
  <c r="H1034" i="270"/>
  <c r="H1035" i="270"/>
  <c r="H1036" i="270"/>
  <c r="E1037" i="270"/>
  <c r="H1043" i="270"/>
  <c r="H1044" i="270"/>
  <c r="F1045" i="270"/>
  <c r="G1045" i="270"/>
  <c r="G1073" i="270" s="1"/>
  <c r="H1046" i="270"/>
  <c r="H1047" i="270"/>
  <c r="H1048" i="270"/>
  <c r="H1049" i="270"/>
  <c r="H1050" i="270"/>
  <c r="H1052" i="270"/>
  <c r="H1053" i="270"/>
  <c r="H1054" i="270"/>
  <c r="H1055" i="270"/>
  <c r="H1056" i="270"/>
  <c r="F1057" i="270"/>
  <c r="H1057" i="270" s="1"/>
  <c r="G1057" i="270"/>
  <c r="H1058" i="270"/>
  <c r="H1059" i="270"/>
  <c r="H1060" i="270"/>
  <c r="H1061" i="270"/>
  <c r="H1062" i="270"/>
  <c r="H1063" i="270"/>
  <c r="H1064" i="270"/>
  <c r="H1066" i="270"/>
  <c r="H1067" i="270"/>
  <c r="H1068" i="270"/>
  <c r="H1069" i="270"/>
  <c r="H1070" i="270"/>
  <c r="H1071" i="270"/>
  <c r="H1072" i="270"/>
  <c r="E1073" i="270"/>
  <c r="F1079" i="270"/>
  <c r="G1079" i="270"/>
  <c r="H1079" i="270" s="1"/>
  <c r="F1080" i="270"/>
  <c r="H1080" i="270" s="1"/>
  <c r="G1080" i="270"/>
  <c r="H1081" i="270"/>
  <c r="H1082" i="270"/>
  <c r="H1083" i="270"/>
  <c r="H1084" i="270"/>
  <c r="H1085" i="270"/>
  <c r="H1086" i="270"/>
  <c r="H1087" i="270"/>
  <c r="H1089" i="270"/>
  <c r="H1090" i="270"/>
  <c r="H1091" i="270"/>
  <c r="H1092" i="270"/>
  <c r="H1093" i="270"/>
  <c r="H1094" i="270"/>
  <c r="H1095" i="270"/>
  <c r="E1096" i="270"/>
  <c r="F1102" i="270"/>
  <c r="G1102" i="270"/>
  <c r="H1102" i="270" s="1"/>
  <c r="F1103" i="270"/>
  <c r="G1103" i="270"/>
  <c r="H1104" i="270"/>
  <c r="H1105" i="270"/>
  <c r="H1106" i="270"/>
  <c r="H1107" i="270"/>
  <c r="H1108" i="270"/>
  <c r="H1109" i="270"/>
  <c r="H1110" i="270"/>
  <c r="H1112" i="270"/>
  <c r="H1113" i="270"/>
  <c r="H1114" i="270"/>
  <c r="H1115" i="270"/>
  <c r="H1116" i="270"/>
  <c r="H1117" i="270"/>
  <c r="H1118" i="270"/>
  <c r="E1119" i="270"/>
  <c r="H1125" i="270"/>
  <c r="H1126" i="270"/>
  <c r="H1127" i="270"/>
  <c r="H1128" i="270"/>
  <c r="H1129" i="270"/>
  <c r="H1130" i="270"/>
  <c r="H1131" i="270"/>
  <c r="H1132" i="270"/>
  <c r="H1133" i="270"/>
  <c r="H1135" i="270"/>
  <c r="H1136" i="270"/>
  <c r="H1137" i="270"/>
  <c r="H1138" i="270"/>
  <c r="H1139" i="270"/>
  <c r="H1140" i="270"/>
  <c r="H1141" i="270"/>
  <c r="E1142" i="270"/>
  <c r="F1142" i="270"/>
  <c r="G1142" i="270"/>
  <c r="H1142" i="270"/>
  <c r="F1148" i="270"/>
  <c r="G1148" i="270"/>
  <c r="H1148" i="270" s="1"/>
  <c r="F1149" i="270"/>
  <c r="G1149" i="270"/>
  <c r="H1150" i="270"/>
  <c r="H1151" i="270"/>
  <c r="H1152" i="270"/>
  <c r="H1153" i="270"/>
  <c r="H1154" i="270"/>
  <c r="H1155" i="270"/>
  <c r="H1156" i="270"/>
  <c r="H1158" i="270"/>
  <c r="H1159" i="270"/>
  <c r="H1160" i="270"/>
  <c r="H1161" i="270"/>
  <c r="H1162" i="270"/>
  <c r="H1163" i="270"/>
  <c r="H1164" i="270"/>
  <c r="E1165" i="270"/>
  <c r="F1171" i="270"/>
  <c r="G1171" i="270"/>
  <c r="H1171" i="270" s="1"/>
  <c r="F1172" i="270"/>
  <c r="G1172" i="270"/>
  <c r="H1173" i="270"/>
  <c r="H1174" i="270"/>
  <c r="H1175" i="270"/>
  <c r="H1176" i="270"/>
  <c r="H1177" i="270"/>
  <c r="H1178" i="270"/>
  <c r="H1179" i="270"/>
  <c r="H1181" i="270"/>
  <c r="H1182" i="270"/>
  <c r="H1183" i="270"/>
  <c r="H1184" i="270"/>
  <c r="H1185" i="270"/>
  <c r="H1186" i="270"/>
  <c r="H1187" i="270"/>
  <c r="E1188" i="270"/>
  <c r="G1194" i="270"/>
  <c r="H1194" i="270"/>
  <c r="G1195" i="270"/>
  <c r="H1195" i="270"/>
  <c r="F1196" i="270"/>
  <c r="G1196" i="270"/>
  <c r="H1196" i="270" s="1"/>
  <c r="F1197" i="270"/>
  <c r="G1197" i="270"/>
  <c r="F1198" i="270"/>
  <c r="G1198" i="270"/>
  <c r="H1198" i="270" s="1"/>
  <c r="G1199" i="270"/>
  <c r="H1199" i="270" s="1"/>
  <c r="F1200" i="270"/>
  <c r="H1200" i="270" s="1"/>
  <c r="G1200" i="270"/>
  <c r="F1201" i="270"/>
  <c r="G1201" i="270"/>
  <c r="H1201" i="270" s="1"/>
  <c r="H1203" i="270"/>
  <c r="H1205" i="270"/>
  <c r="H1206" i="270"/>
  <c r="H1207" i="270"/>
  <c r="H1209" i="270"/>
  <c r="H1211" i="270"/>
  <c r="F1212" i="270"/>
  <c r="H1212" i="270" s="1"/>
  <c r="G1212" i="270"/>
  <c r="F1213" i="270"/>
  <c r="G1213" i="270"/>
  <c r="H1213" i="270" s="1"/>
  <c r="H1214" i="270"/>
  <c r="H1215" i="270"/>
  <c r="H1216" i="270"/>
  <c r="H1217" i="270"/>
  <c r="H1218" i="270"/>
  <c r="H1219" i="270"/>
  <c r="F1220" i="270"/>
  <c r="H1220" i="270" s="1"/>
  <c r="G1220" i="270"/>
  <c r="F1221" i="270"/>
  <c r="G1221" i="270"/>
  <c r="H1221" i="270" s="1"/>
  <c r="H1224" i="270"/>
  <c r="H1225" i="270"/>
  <c r="H1226" i="270"/>
  <c r="H1227" i="270"/>
  <c r="F1229" i="270"/>
  <c r="H1229" i="270" s="1"/>
  <c r="H1230" i="270"/>
  <c r="H1231" i="270"/>
  <c r="H1232" i="270"/>
  <c r="H1233" i="270"/>
  <c r="H1234" i="270"/>
  <c r="H1235" i="270"/>
  <c r="E1236" i="270"/>
  <c r="E1247" i="270"/>
  <c r="F1247" i="270"/>
  <c r="G1247" i="270"/>
  <c r="J1251" i="270"/>
  <c r="K1251" i="270"/>
  <c r="E1252" i="270"/>
  <c r="L1252" i="270"/>
  <c r="L1251" i="270" s="1"/>
  <c r="E1253" i="270"/>
  <c r="F1253" i="270"/>
  <c r="G1253" i="270"/>
  <c r="E1254" i="270"/>
  <c r="F1254" i="270"/>
  <c r="G1254" i="270"/>
  <c r="I260" i="20"/>
  <c r="I261" i="20"/>
  <c r="H260" i="20"/>
  <c r="H261" i="20"/>
  <c r="H259" i="20"/>
  <c r="I259" i="20"/>
  <c r="G260" i="20"/>
  <c r="G261" i="20"/>
  <c r="G259" i="20"/>
  <c r="E260" i="20"/>
  <c r="E261" i="20"/>
  <c r="D260" i="20"/>
  <c r="D261" i="20"/>
  <c r="E259" i="20"/>
  <c r="C260" i="20"/>
  <c r="C261" i="20"/>
  <c r="C259" i="20"/>
  <c r="H12" i="269"/>
  <c r="H13" i="269"/>
  <c r="E18" i="269"/>
  <c r="F18" i="269"/>
  <c r="G18" i="269"/>
  <c r="H25" i="269"/>
  <c r="H26" i="269"/>
  <c r="H27" i="269"/>
  <c r="H28" i="269"/>
  <c r="H29" i="269"/>
  <c r="H30" i="269"/>
  <c r="H31" i="269"/>
  <c r="H32" i="269"/>
  <c r="H33" i="269"/>
  <c r="H34" i="269"/>
  <c r="H35" i="269"/>
  <c r="H36" i="269"/>
  <c r="H37" i="269"/>
  <c r="H38" i="269"/>
  <c r="H39" i="269"/>
  <c r="H40" i="269"/>
  <c r="H41" i="269"/>
  <c r="H42" i="269"/>
  <c r="H43" i="269"/>
  <c r="H44" i="269"/>
  <c r="H45" i="269"/>
  <c r="H46" i="269"/>
  <c r="H47" i="269"/>
  <c r="H48" i="269"/>
  <c r="H49" i="269"/>
  <c r="H50" i="269"/>
  <c r="H51" i="269"/>
  <c r="H52" i="269"/>
  <c r="H53" i="269"/>
  <c r="H54" i="269"/>
  <c r="E55" i="269"/>
  <c r="F55" i="269"/>
  <c r="G55" i="269"/>
  <c r="H55" i="269"/>
  <c r="E62" i="269"/>
  <c r="F62" i="269"/>
  <c r="G62" i="269"/>
  <c r="H68" i="269"/>
  <c r="H69" i="269"/>
  <c r="H70" i="269"/>
  <c r="H71" i="269"/>
  <c r="H72" i="269"/>
  <c r="H73" i="269"/>
  <c r="H74" i="269"/>
  <c r="H75" i="269"/>
  <c r="H77" i="269"/>
  <c r="H78" i="269"/>
  <c r="H79" i="269"/>
  <c r="H80" i="269"/>
  <c r="H81" i="269"/>
  <c r="H88" i="269"/>
  <c r="H89" i="269"/>
  <c r="H90" i="269"/>
  <c r="H91" i="269"/>
  <c r="H92" i="269"/>
  <c r="H93" i="269"/>
  <c r="H96" i="269"/>
  <c r="H97" i="269"/>
  <c r="H98" i="269"/>
  <c r="H99" i="269"/>
  <c r="E101" i="269"/>
  <c r="F101" i="269"/>
  <c r="G101" i="269"/>
  <c r="H107" i="269"/>
  <c r="H108" i="269"/>
  <c r="H109" i="269"/>
  <c r="H110" i="269"/>
  <c r="H111" i="269"/>
  <c r="H112" i="269"/>
  <c r="H113" i="269"/>
  <c r="H114" i="269"/>
  <c r="H115" i="269"/>
  <c r="H117" i="269"/>
  <c r="H118" i="269"/>
  <c r="H119" i="269"/>
  <c r="H120" i="269"/>
  <c r="H121" i="269"/>
  <c r="H122" i="269"/>
  <c r="H123" i="269"/>
  <c r="H124" i="269"/>
  <c r="H125" i="269"/>
  <c r="H126" i="269"/>
  <c r="H127" i="269"/>
  <c r="H128" i="269"/>
  <c r="H129" i="269"/>
  <c r="H130" i="269"/>
  <c r="H131" i="269"/>
  <c r="H132" i="269"/>
  <c r="E134" i="269"/>
  <c r="F134" i="269"/>
  <c r="G134" i="269"/>
  <c r="H134" i="269" s="1"/>
  <c r="H140" i="269"/>
  <c r="H141" i="269"/>
  <c r="H143" i="269"/>
  <c r="H144" i="269"/>
  <c r="E146" i="269"/>
  <c r="F146" i="269"/>
  <c r="G146" i="269"/>
  <c r="H146" i="269" s="1"/>
  <c r="H152" i="269"/>
  <c r="H153" i="269"/>
  <c r="H154" i="269"/>
  <c r="E157" i="269"/>
  <c r="F157" i="269"/>
  <c r="G157" i="269"/>
  <c r="H157" i="269" s="1"/>
  <c r="H163" i="269"/>
  <c r="H164" i="269"/>
  <c r="H165" i="269"/>
  <c r="E168" i="269"/>
  <c r="F168" i="269"/>
  <c r="G168" i="269"/>
  <c r="H168" i="269"/>
  <c r="H174" i="269"/>
  <c r="H175" i="269"/>
  <c r="H176" i="269"/>
  <c r="E179" i="269"/>
  <c r="F179" i="269"/>
  <c r="G179" i="269"/>
  <c r="H179" i="269"/>
  <c r="H185" i="269"/>
  <c r="H186" i="269"/>
  <c r="H187" i="269"/>
  <c r="E190" i="269"/>
  <c r="F190" i="269"/>
  <c r="G190" i="269"/>
  <c r="H190" i="269" s="1"/>
  <c r="H196" i="269"/>
  <c r="H198" i="269"/>
  <c r="H199" i="269"/>
  <c r="H201" i="269"/>
  <c r="E202" i="269"/>
  <c r="F202" i="269"/>
  <c r="G202" i="269"/>
  <c r="H202" i="269" s="1"/>
  <c r="J208" i="269"/>
  <c r="K208" i="269"/>
  <c r="L208" i="269"/>
  <c r="E209" i="269"/>
  <c r="F209" i="269"/>
  <c r="D259" i="20" s="1"/>
  <c r="G209" i="269"/>
  <c r="G208" i="269" s="1"/>
  <c r="G213" i="269" s="1"/>
  <c r="E210" i="269"/>
  <c r="E208" i="269" s="1"/>
  <c r="E213" i="269" s="1"/>
  <c r="E211" i="269"/>
  <c r="F211" i="269"/>
  <c r="G211" i="269"/>
  <c r="I255" i="20"/>
  <c r="I256" i="20"/>
  <c r="H255" i="20"/>
  <c r="H256" i="20"/>
  <c r="H254" i="20"/>
  <c r="I254" i="20"/>
  <c r="G255" i="20"/>
  <c r="G256" i="20"/>
  <c r="G254" i="20"/>
  <c r="E255" i="20"/>
  <c r="E256" i="20"/>
  <c r="D255" i="20"/>
  <c r="D256" i="20"/>
  <c r="D254" i="20"/>
  <c r="E254" i="20"/>
  <c r="C255" i="20"/>
  <c r="C256" i="20"/>
  <c r="C254" i="20"/>
  <c r="H12" i="268"/>
  <c r="H13" i="268"/>
  <c r="H14" i="268"/>
  <c r="H16" i="268"/>
  <c r="H17" i="268"/>
  <c r="H19" i="268"/>
  <c r="H22" i="268"/>
  <c r="H23" i="268"/>
  <c r="H24" i="268"/>
  <c r="H25" i="268"/>
  <c r="H26" i="268"/>
  <c r="H27" i="268"/>
  <c r="H28" i="268"/>
  <c r="H29" i="268"/>
  <c r="H30" i="268"/>
  <c r="H31" i="268"/>
  <c r="H32" i="268"/>
  <c r="H33" i="268"/>
  <c r="H34" i="268"/>
  <c r="H35" i="268"/>
  <c r="H36" i="268"/>
  <c r="H37" i="268"/>
  <c r="H38" i="268"/>
  <c r="H40" i="268"/>
  <c r="H41" i="268"/>
  <c r="H42" i="268"/>
  <c r="H43" i="268"/>
  <c r="H45" i="268"/>
  <c r="E48" i="268"/>
  <c r="F48" i="268"/>
  <c r="G48" i="268"/>
  <c r="H48" i="268"/>
  <c r="F54" i="268"/>
  <c r="J54" i="268"/>
  <c r="K54" i="268"/>
  <c r="L54" i="268"/>
  <c r="E55" i="268"/>
  <c r="E54" i="268" s="1"/>
  <c r="E59" i="268" s="1"/>
  <c r="F55" i="268"/>
  <c r="G55" i="268"/>
  <c r="G54" i="268" s="1"/>
  <c r="E57" i="268"/>
  <c r="F57" i="268"/>
  <c r="G57" i="268"/>
  <c r="F59" i="268"/>
  <c r="D181" i="268"/>
  <c r="I250" i="20"/>
  <c r="I251" i="20"/>
  <c r="H250" i="20"/>
  <c r="H251" i="20"/>
  <c r="H249" i="20"/>
  <c r="I249" i="20"/>
  <c r="G250" i="20"/>
  <c r="G251" i="20"/>
  <c r="G249" i="20"/>
  <c r="E250" i="20"/>
  <c r="D250" i="20"/>
  <c r="D251" i="20"/>
  <c r="D249" i="20"/>
  <c r="E249" i="20"/>
  <c r="C250" i="20"/>
  <c r="C251" i="20"/>
  <c r="C249" i="20"/>
  <c r="H12" i="267"/>
  <c r="H14" i="267"/>
  <c r="H15" i="267"/>
  <c r="H16" i="267"/>
  <c r="H17" i="267"/>
  <c r="H19" i="267"/>
  <c r="H20" i="267"/>
  <c r="H22" i="267"/>
  <c r="H23" i="267"/>
  <c r="H25" i="267"/>
  <c r="H26" i="267"/>
  <c r="H27" i="267"/>
  <c r="H28" i="267"/>
  <c r="H30" i="267"/>
  <c r="H31" i="267"/>
  <c r="H33" i="267"/>
  <c r="H36" i="267"/>
  <c r="H37" i="267"/>
  <c r="H39" i="267"/>
  <c r="H40" i="267"/>
  <c r="H42" i="267"/>
  <c r="H43" i="267"/>
  <c r="H45" i="267"/>
  <c r="H46" i="267"/>
  <c r="H48" i="267"/>
  <c r="H49" i="267"/>
  <c r="H51" i="267"/>
  <c r="H52" i="267"/>
  <c r="H54" i="267"/>
  <c r="H55" i="267"/>
  <c r="H56" i="267"/>
  <c r="H57" i="267"/>
  <c r="H59" i="267"/>
  <c r="E62" i="267"/>
  <c r="F62" i="267"/>
  <c r="G62" i="267"/>
  <c r="H62" i="267" s="1"/>
  <c r="F66" i="267"/>
  <c r="F71" i="267" s="1"/>
  <c r="J66" i="267"/>
  <c r="K66" i="267"/>
  <c r="L66" i="267"/>
  <c r="E67" i="267"/>
  <c r="E66" i="267" s="1"/>
  <c r="E71" i="267" s="1"/>
  <c r="F67" i="267"/>
  <c r="G67" i="267"/>
  <c r="H67" i="267"/>
  <c r="E68" i="267"/>
  <c r="F68" i="267"/>
  <c r="G68" i="267"/>
  <c r="G69" i="267"/>
  <c r="G66" i="267" s="1"/>
  <c r="D193" i="267"/>
  <c r="I245" i="20"/>
  <c r="I246" i="20"/>
  <c r="H245" i="20"/>
  <c r="H246" i="20"/>
  <c r="H244" i="20"/>
  <c r="I244" i="20"/>
  <c r="G245" i="20"/>
  <c r="G246" i="20"/>
  <c r="G244" i="20"/>
  <c r="E245" i="20"/>
  <c r="E246" i="20"/>
  <c r="D245" i="20"/>
  <c r="D246" i="20"/>
  <c r="D244" i="20"/>
  <c r="E244" i="20"/>
  <c r="C245" i="20"/>
  <c r="C246" i="20"/>
  <c r="C244" i="20"/>
  <c r="H10" i="266"/>
  <c r="H11" i="266"/>
  <c r="H12" i="266"/>
  <c r="H13" i="266"/>
  <c r="H14" i="266"/>
  <c r="H15" i="266"/>
  <c r="H16" i="266"/>
  <c r="H17" i="266"/>
  <c r="H18" i="266"/>
  <c r="H19" i="266"/>
  <c r="H20" i="266"/>
  <c r="H21" i="266"/>
  <c r="H22" i="266"/>
  <c r="H23" i="266"/>
  <c r="H24" i="266"/>
  <c r="H25" i="266"/>
  <c r="H26" i="266"/>
  <c r="H27" i="266"/>
  <c r="E29" i="266"/>
  <c r="F29" i="266"/>
  <c r="G29" i="266"/>
  <c r="H29" i="266"/>
  <c r="F35" i="266"/>
  <c r="J35" i="266"/>
  <c r="K35" i="266"/>
  <c r="L35" i="266"/>
  <c r="E36" i="266"/>
  <c r="E35" i="266" s="1"/>
  <c r="E40" i="266" s="1"/>
  <c r="F36" i="266"/>
  <c r="G36" i="266"/>
  <c r="G35" i="266" s="1"/>
  <c r="G38" i="266"/>
  <c r="F40" i="266"/>
  <c r="I236" i="20"/>
  <c r="I237" i="20"/>
  <c r="H236" i="20"/>
  <c r="H237" i="20"/>
  <c r="H235" i="20"/>
  <c r="I235" i="20"/>
  <c r="G236" i="20"/>
  <c r="G237" i="20"/>
  <c r="G235" i="20"/>
  <c r="E236" i="20"/>
  <c r="E237" i="20"/>
  <c r="D236" i="20"/>
  <c r="D237" i="20"/>
  <c r="D235" i="20"/>
  <c r="E235" i="20"/>
  <c r="C236" i="20"/>
  <c r="C237" i="20"/>
  <c r="C235" i="20"/>
  <c r="H12" i="265"/>
  <c r="H13" i="265"/>
  <c r="H14" i="265"/>
  <c r="H15" i="265"/>
  <c r="H16" i="265"/>
  <c r="H17" i="265"/>
  <c r="H18" i="265"/>
  <c r="H19" i="265"/>
  <c r="H21" i="265"/>
  <c r="H22" i="265"/>
  <c r="H23" i="265"/>
  <c r="H24" i="265"/>
  <c r="H25" i="265"/>
  <c r="H26" i="265"/>
  <c r="H27" i="265"/>
  <c r="H28" i="265"/>
  <c r="H29" i="265"/>
  <c r="H30" i="265"/>
  <c r="H31" i="265"/>
  <c r="H32" i="265"/>
  <c r="H33" i="265"/>
  <c r="H34" i="265"/>
  <c r="H35" i="265"/>
  <c r="E37" i="265"/>
  <c r="F37" i="265"/>
  <c r="G37" i="265"/>
  <c r="H37" i="265"/>
  <c r="J40" i="265"/>
  <c r="K40" i="265"/>
  <c r="E41" i="265"/>
  <c r="F41" i="265"/>
  <c r="F40" i="265" s="1"/>
  <c r="F45" i="265" s="1"/>
  <c r="G41" i="265"/>
  <c r="G40" i="265" s="1"/>
  <c r="L41" i="265"/>
  <c r="L40" i="265" s="1"/>
  <c r="E42" i="265"/>
  <c r="E40" i="265" s="1"/>
  <c r="E45" i="265" s="1"/>
  <c r="F42" i="265"/>
  <c r="G42" i="265"/>
  <c r="E43" i="265"/>
  <c r="F43" i="265"/>
  <c r="G43" i="265"/>
  <c r="I231" i="20"/>
  <c r="I232" i="20"/>
  <c r="H231" i="20"/>
  <c r="H232" i="20"/>
  <c r="H230" i="20"/>
  <c r="I230" i="20"/>
  <c r="G231" i="20"/>
  <c r="G232" i="20"/>
  <c r="G230" i="20"/>
  <c r="E231" i="20"/>
  <c r="E232" i="20"/>
  <c r="D231" i="20"/>
  <c r="D232" i="20"/>
  <c r="S231" i="20" s="1"/>
  <c r="D230" i="20"/>
  <c r="E230" i="20"/>
  <c r="C231" i="20"/>
  <c r="C232" i="20"/>
  <c r="R231" i="20" s="1"/>
  <c r="C230" i="20"/>
  <c r="H10" i="264"/>
  <c r="H11" i="264"/>
  <c r="H12" i="264"/>
  <c r="H13" i="264"/>
  <c r="H14" i="264"/>
  <c r="H15" i="264"/>
  <c r="H16" i="264"/>
  <c r="H17" i="264"/>
  <c r="H18" i="264"/>
  <c r="H19" i="264"/>
  <c r="H20" i="264"/>
  <c r="H21" i="264"/>
  <c r="H22" i="264"/>
  <c r="H23" i="264"/>
  <c r="H24" i="264"/>
  <c r="H26" i="264"/>
  <c r="E30" i="264"/>
  <c r="F30" i="264"/>
  <c r="H30" i="264" s="1"/>
  <c r="G30" i="264"/>
  <c r="H36" i="264"/>
  <c r="H37" i="264"/>
  <c r="H38" i="264"/>
  <c r="H39" i="264"/>
  <c r="E40" i="264"/>
  <c r="F40" i="264"/>
  <c r="H40" i="264" s="1"/>
  <c r="G40" i="264"/>
  <c r="H46" i="264"/>
  <c r="H47" i="264"/>
  <c r="H48" i="264"/>
  <c r="H49" i="264"/>
  <c r="E50" i="264"/>
  <c r="F50" i="264"/>
  <c r="H50" i="264" s="1"/>
  <c r="G50" i="264"/>
  <c r="H56" i="264"/>
  <c r="H57" i="264"/>
  <c r="H58" i="264"/>
  <c r="H59" i="264"/>
  <c r="E60" i="264"/>
  <c r="F60" i="264"/>
  <c r="H60" i="264" s="1"/>
  <c r="G60" i="264"/>
  <c r="H66" i="264"/>
  <c r="H67" i="264"/>
  <c r="H68" i="264"/>
  <c r="H69" i="264"/>
  <c r="E70" i="264"/>
  <c r="F70" i="264"/>
  <c r="H70" i="264" s="1"/>
  <c r="G70" i="264"/>
  <c r="H76" i="264"/>
  <c r="H77" i="264"/>
  <c r="H78" i="264"/>
  <c r="H79" i="264"/>
  <c r="E80" i="264"/>
  <c r="F80" i="264"/>
  <c r="H80" i="264" s="1"/>
  <c r="G80" i="264"/>
  <c r="E88" i="264"/>
  <c r="E93" i="264" s="1"/>
  <c r="F88" i="264"/>
  <c r="F93" i="264" s="1"/>
  <c r="J88" i="264"/>
  <c r="K88" i="264"/>
  <c r="L88" i="264"/>
  <c r="E89" i="264"/>
  <c r="F89" i="264"/>
  <c r="G89" i="264"/>
  <c r="G88" i="264" s="1"/>
  <c r="E90" i="264"/>
  <c r="F90" i="264"/>
  <c r="G90" i="264"/>
  <c r="H90" i="264" s="1"/>
  <c r="E91" i="264"/>
  <c r="F91" i="264"/>
  <c r="G91" i="264"/>
  <c r="I225" i="20"/>
  <c r="I226" i="20"/>
  <c r="H225" i="20"/>
  <c r="H226" i="20"/>
  <c r="H224" i="20"/>
  <c r="I224" i="20"/>
  <c r="G225" i="20"/>
  <c r="G226" i="20"/>
  <c r="G224" i="20"/>
  <c r="E225" i="20"/>
  <c r="E226" i="20"/>
  <c r="D225" i="20"/>
  <c r="D226" i="20"/>
  <c r="D224" i="20"/>
  <c r="E224" i="20"/>
  <c r="C225" i="20"/>
  <c r="C226" i="20"/>
  <c r="C224" i="20"/>
  <c r="H10" i="263"/>
  <c r="H11" i="263"/>
  <c r="H12" i="263"/>
  <c r="H13" i="263"/>
  <c r="H14" i="263"/>
  <c r="H15" i="263"/>
  <c r="H16" i="263"/>
  <c r="H17" i="263"/>
  <c r="H18" i="263"/>
  <c r="H19" i="263"/>
  <c r="H20" i="263"/>
  <c r="H21" i="263"/>
  <c r="H22" i="263"/>
  <c r="H23" i="263"/>
  <c r="H24" i="263"/>
  <c r="H25" i="263"/>
  <c r="H26" i="263"/>
  <c r="E28" i="263"/>
  <c r="F28" i="263"/>
  <c r="G28" i="263"/>
  <c r="H28" i="263" s="1"/>
  <c r="H34" i="263"/>
  <c r="H35" i="263"/>
  <c r="H36" i="263"/>
  <c r="H37" i="263"/>
  <c r="E38" i="263"/>
  <c r="F38" i="263"/>
  <c r="G38" i="263"/>
  <c r="H38" i="263" s="1"/>
  <c r="H44" i="263"/>
  <c r="H45" i="263"/>
  <c r="H46" i="263"/>
  <c r="H47" i="263"/>
  <c r="E48" i="263"/>
  <c r="F48" i="263"/>
  <c r="G48" i="263"/>
  <c r="H48" i="263" s="1"/>
  <c r="H54" i="263"/>
  <c r="H55" i="263"/>
  <c r="H56" i="263"/>
  <c r="H57" i="263"/>
  <c r="E58" i="263"/>
  <c r="F58" i="263"/>
  <c r="G58" i="263"/>
  <c r="H58" i="263" s="1"/>
  <c r="H64" i="263"/>
  <c r="H65" i="263"/>
  <c r="H66" i="263"/>
  <c r="H67" i="263"/>
  <c r="E68" i="263"/>
  <c r="F68" i="263"/>
  <c r="G68" i="263"/>
  <c r="H68" i="263" s="1"/>
  <c r="H74" i="263"/>
  <c r="H75" i="263"/>
  <c r="H76" i="263"/>
  <c r="H77" i="263"/>
  <c r="E78" i="263"/>
  <c r="F78" i="263"/>
  <c r="G78" i="263"/>
  <c r="H78" i="263" s="1"/>
  <c r="H84" i="263"/>
  <c r="H85" i="263"/>
  <c r="H86" i="263"/>
  <c r="E87" i="263"/>
  <c r="F87" i="263"/>
  <c r="G87" i="263"/>
  <c r="H87" i="263"/>
  <c r="H93" i="263"/>
  <c r="H94" i="263"/>
  <c r="H95" i="263"/>
  <c r="E96" i="263"/>
  <c r="F96" i="263"/>
  <c r="G96" i="263"/>
  <c r="H96" i="263"/>
  <c r="H102" i="263"/>
  <c r="H103" i="263"/>
  <c r="H104" i="263"/>
  <c r="E105" i="263"/>
  <c r="F105" i="263"/>
  <c r="G105" i="263"/>
  <c r="H105" i="263" s="1"/>
  <c r="H111" i="263"/>
  <c r="H112" i="263"/>
  <c r="H113" i="263"/>
  <c r="E114" i="263"/>
  <c r="F114" i="263"/>
  <c r="G114" i="263"/>
  <c r="H114" i="263" s="1"/>
  <c r="F121" i="263"/>
  <c r="F126" i="263" s="1"/>
  <c r="G121" i="263"/>
  <c r="H121" i="263" s="1"/>
  <c r="K121" i="263"/>
  <c r="L121" i="263"/>
  <c r="M121" i="263"/>
  <c r="E122" i="263"/>
  <c r="E121" i="263" s="1"/>
  <c r="E126" i="263" s="1"/>
  <c r="F122" i="263"/>
  <c r="G122" i="263"/>
  <c r="H122" i="263"/>
  <c r="E123" i="263"/>
  <c r="F123" i="263"/>
  <c r="G123" i="263"/>
  <c r="H123" i="263"/>
  <c r="E124" i="263"/>
  <c r="F124" i="263"/>
  <c r="G124" i="263"/>
  <c r="I220" i="20"/>
  <c r="I221" i="20"/>
  <c r="H220" i="20"/>
  <c r="H221" i="20"/>
  <c r="H219" i="20"/>
  <c r="I219" i="20"/>
  <c r="G220" i="20"/>
  <c r="G221" i="20"/>
  <c r="G219" i="20"/>
  <c r="E220" i="20"/>
  <c r="E221" i="20"/>
  <c r="D220" i="20"/>
  <c r="D221" i="20"/>
  <c r="D219" i="20"/>
  <c r="E219" i="20"/>
  <c r="C220" i="20"/>
  <c r="C221" i="20"/>
  <c r="C219" i="20"/>
  <c r="H10" i="262"/>
  <c r="H11" i="262"/>
  <c r="H12" i="262"/>
  <c r="H13" i="262"/>
  <c r="H14" i="262"/>
  <c r="H15" i="262"/>
  <c r="H16" i="262"/>
  <c r="H17" i="262"/>
  <c r="H18" i="262"/>
  <c r="H19" i="262"/>
  <c r="H20" i="262"/>
  <c r="H21" i="262"/>
  <c r="H22" i="262"/>
  <c r="H23" i="262"/>
  <c r="H24" i="262"/>
  <c r="H25" i="262"/>
  <c r="H26" i="262"/>
  <c r="H27" i="262"/>
  <c r="H28" i="262"/>
  <c r="H30" i="262"/>
  <c r="J30" i="262"/>
  <c r="K30" i="262"/>
  <c r="E31" i="262"/>
  <c r="F31" i="262"/>
  <c r="G31" i="262"/>
  <c r="H31" i="262" s="1"/>
  <c r="H38" i="262"/>
  <c r="H39" i="262"/>
  <c r="H40" i="262"/>
  <c r="H41" i="262"/>
  <c r="E42" i="262"/>
  <c r="F42" i="262"/>
  <c r="G42" i="262"/>
  <c r="H42" i="262" s="1"/>
  <c r="H48" i="262"/>
  <c r="H49" i="262"/>
  <c r="H50" i="262"/>
  <c r="H51" i="262"/>
  <c r="E52" i="262"/>
  <c r="F52" i="262"/>
  <c r="G52" i="262"/>
  <c r="H52" i="262" s="1"/>
  <c r="H58" i="262"/>
  <c r="H59" i="262"/>
  <c r="H60" i="262"/>
  <c r="H61" i="262"/>
  <c r="E62" i="262"/>
  <c r="F62" i="262"/>
  <c r="G62" i="262"/>
  <c r="H62" i="262" s="1"/>
  <c r="H68" i="262"/>
  <c r="H69" i="262"/>
  <c r="H70" i="262"/>
  <c r="H71" i="262"/>
  <c r="E72" i="262"/>
  <c r="F72" i="262"/>
  <c r="G72" i="262"/>
  <c r="H72" i="262" s="1"/>
  <c r="H78" i="262"/>
  <c r="H79" i="262"/>
  <c r="H80" i="262"/>
  <c r="H81" i="262"/>
  <c r="E82" i="262"/>
  <c r="F82" i="262"/>
  <c r="G82" i="262"/>
  <c r="H82" i="262" s="1"/>
  <c r="H88" i="262"/>
  <c r="H89" i="262"/>
  <c r="H90" i="262"/>
  <c r="H91" i="262"/>
  <c r="E92" i="262"/>
  <c r="F92" i="262"/>
  <c r="G92" i="262"/>
  <c r="H92" i="262" s="1"/>
  <c r="H98" i="262"/>
  <c r="H99" i="262"/>
  <c r="H100" i="262"/>
  <c r="H101" i="262"/>
  <c r="E102" i="262"/>
  <c r="F102" i="262"/>
  <c r="G102" i="262"/>
  <c r="H102" i="262" s="1"/>
  <c r="H108" i="262"/>
  <c r="H109" i="262"/>
  <c r="H110" i="262"/>
  <c r="H111" i="262"/>
  <c r="E112" i="262"/>
  <c r="F112" i="262"/>
  <c r="G112" i="262"/>
  <c r="H112" i="262" s="1"/>
  <c r="H118" i="262"/>
  <c r="H119" i="262"/>
  <c r="H120" i="262"/>
  <c r="H121" i="262"/>
  <c r="E122" i="262"/>
  <c r="F122" i="262"/>
  <c r="G122" i="262"/>
  <c r="H122" i="262" s="1"/>
  <c r="H128" i="262"/>
  <c r="H129" i="262"/>
  <c r="H130" i="262"/>
  <c r="H131" i="262"/>
  <c r="E132" i="262"/>
  <c r="F132" i="262"/>
  <c r="G132" i="262"/>
  <c r="H132" i="262" s="1"/>
  <c r="H138" i="262"/>
  <c r="H139" i="262"/>
  <c r="H140" i="262"/>
  <c r="H141" i="262"/>
  <c r="E142" i="262"/>
  <c r="F142" i="262"/>
  <c r="G142" i="262"/>
  <c r="H142" i="262" s="1"/>
  <c r="H148" i="262"/>
  <c r="H149" i="262"/>
  <c r="H150" i="262"/>
  <c r="H151" i="262"/>
  <c r="E152" i="262"/>
  <c r="F152" i="262"/>
  <c r="G152" i="262"/>
  <c r="H152" i="262" s="1"/>
  <c r="H158" i="262"/>
  <c r="H159" i="262"/>
  <c r="H160" i="262"/>
  <c r="H161" i="262"/>
  <c r="E162" i="262"/>
  <c r="F162" i="262"/>
  <c r="G162" i="262"/>
  <c r="H162" i="262" s="1"/>
  <c r="H168" i="262"/>
  <c r="H169" i="262"/>
  <c r="H170" i="262"/>
  <c r="H171" i="262"/>
  <c r="E172" i="262"/>
  <c r="F172" i="262"/>
  <c r="G172" i="262"/>
  <c r="H172" i="262" s="1"/>
  <c r="H179" i="262"/>
  <c r="H180" i="262"/>
  <c r="H181" i="262"/>
  <c r="H182" i="262"/>
  <c r="E183" i="262"/>
  <c r="F183" i="262"/>
  <c r="G183" i="262"/>
  <c r="H183" i="262" s="1"/>
  <c r="H189" i="262"/>
  <c r="H190" i="262"/>
  <c r="H191" i="262"/>
  <c r="H192" i="262"/>
  <c r="E193" i="262"/>
  <c r="F193" i="262"/>
  <c r="G193" i="262"/>
  <c r="H193" i="262" s="1"/>
  <c r="H200" i="262"/>
  <c r="H201" i="262"/>
  <c r="H202" i="262"/>
  <c r="H203" i="262"/>
  <c r="E204" i="262"/>
  <c r="F204" i="262"/>
  <c r="G204" i="262"/>
  <c r="H204" i="262" s="1"/>
  <c r="H210" i="262"/>
  <c r="H211" i="262"/>
  <c r="H212" i="262"/>
  <c r="H213" i="262"/>
  <c r="E214" i="262"/>
  <c r="F214" i="262"/>
  <c r="G214" i="262"/>
  <c r="H214" i="262" s="1"/>
  <c r="H222" i="262"/>
  <c r="H223" i="262"/>
  <c r="H224" i="262"/>
  <c r="H225" i="262"/>
  <c r="E226" i="262"/>
  <c r="F226" i="262"/>
  <c r="G226" i="262"/>
  <c r="H226" i="262" s="1"/>
  <c r="H232" i="262"/>
  <c r="H233" i="262"/>
  <c r="H234" i="262"/>
  <c r="H235" i="262"/>
  <c r="E236" i="262"/>
  <c r="F236" i="262"/>
  <c r="G236" i="262"/>
  <c r="H236" i="262" s="1"/>
  <c r="H242" i="262"/>
  <c r="H243" i="262"/>
  <c r="H244" i="262"/>
  <c r="H245" i="262"/>
  <c r="E246" i="262"/>
  <c r="F246" i="262"/>
  <c r="G246" i="262"/>
  <c r="H246" i="262" s="1"/>
  <c r="H252" i="262"/>
  <c r="H253" i="262"/>
  <c r="H254" i="262"/>
  <c r="H255" i="262"/>
  <c r="E256" i="262"/>
  <c r="F256" i="262"/>
  <c r="G256" i="262"/>
  <c r="H256" i="262" s="1"/>
  <c r="H262" i="262"/>
  <c r="H263" i="262"/>
  <c r="H264" i="262"/>
  <c r="H265" i="262"/>
  <c r="E266" i="262"/>
  <c r="F266" i="262"/>
  <c r="G266" i="262"/>
  <c r="H266" i="262" s="1"/>
  <c r="H272" i="262"/>
  <c r="H273" i="262"/>
  <c r="H274" i="262"/>
  <c r="H275" i="262"/>
  <c r="E276" i="262"/>
  <c r="F276" i="262"/>
  <c r="G276" i="262"/>
  <c r="H276" i="262" s="1"/>
  <c r="H282" i="262"/>
  <c r="H283" i="262"/>
  <c r="H284" i="262"/>
  <c r="H285" i="262"/>
  <c r="E286" i="262"/>
  <c r="F286" i="262"/>
  <c r="G286" i="262"/>
  <c r="H286" i="262" s="1"/>
  <c r="H292" i="262"/>
  <c r="H293" i="262"/>
  <c r="H294" i="262"/>
  <c r="H295" i="262"/>
  <c r="E296" i="262"/>
  <c r="F296" i="262"/>
  <c r="G296" i="262"/>
  <c r="H296" i="262" s="1"/>
  <c r="H302" i="262"/>
  <c r="H303" i="262"/>
  <c r="H304" i="262"/>
  <c r="H305" i="262"/>
  <c r="E306" i="262"/>
  <c r="F306" i="262"/>
  <c r="G306" i="262"/>
  <c r="H306" i="262" s="1"/>
  <c r="H312" i="262"/>
  <c r="H313" i="262"/>
  <c r="H314" i="262"/>
  <c r="H315" i="262"/>
  <c r="E316" i="262"/>
  <c r="F316" i="262"/>
  <c r="G316" i="262"/>
  <c r="H316" i="262" s="1"/>
  <c r="H322" i="262"/>
  <c r="H323" i="262"/>
  <c r="H324" i="262"/>
  <c r="H325" i="262"/>
  <c r="E326" i="262"/>
  <c r="F326" i="262"/>
  <c r="G326" i="262"/>
  <c r="H326" i="262" s="1"/>
  <c r="H332" i="262"/>
  <c r="H333" i="262"/>
  <c r="H334" i="262"/>
  <c r="H335" i="262"/>
  <c r="E336" i="262"/>
  <c r="F336" i="262"/>
  <c r="G336" i="262"/>
  <c r="H336" i="262" s="1"/>
  <c r="H342" i="262"/>
  <c r="H343" i="262"/>
  <c r="H344" i="262"/>
  <c r="H345" i="262"/>
  <c r="E346" i="262"/>
  <c r="F346" i="262"/>
  <c r="G346" i="262"/>
  <c r="H346" i="262" s="1"/>
  <c r="H352" i="262"/>
  <c r="H353" i="262"/>
  <c r="H354" i="262"/>
  <c r="H355" i="262"/>
  <c r="E356" i="262"/>
  <c r="F356" i="262"/>
  <c r="G356" i="262"/>
  <c r="H356" i="262" s="1"/>
  <c r="H362" i="262"/>
  <c r="H363" i="262"/>
  <c r="H364" i="262"/>
  <c r="H365" i="262"/>
  <c r="E366" i="262"/>
  <c r="F366" i="262"/>
  <c r="G366" i="262"/>
  <c r="H366" i="262" s="1"/>
  <c r="H372" i="262"/>
  <c r="H373" i="262"/>
  <c r="H374" i="262"/>
  <c r="H375" i="262"/>
  <c r="E376" i="262"/>
  <c r="F376" i="262"/>
  <c r="G376" i="262"/>
  <c r="H376" i="262" s="1"/>
  <c r="H382" i="262"/>
  <c r="H383" i="262"/>
  <c r="H384" i="262"/>
  <c r="H385" i="262"/>
  <c r="E386" i="262"/>
  <c r="F386" i="262"/>
  <c r="G386" i="262"/>
  <c r="H386" i="262" s="1"/>
  <c r="H392" i="262"/>
  <c r="H393" i="262"/>
  <c r="H394" i="262"/>
  <c r="H395" i="262"/>
  <c r="E396" i="262"/>
  <c r="F396" i="262"/>
  <c r="G396" i="262"/>
  <c r="H396" i="262" s="1"/>
  <c r="H402" i="262"/>
  <c r="H403" i="262"/>
  <c r="H404" i="262"/>
  <c r="H405" i="262"/>
  <c r="E406" i="262"/>
  <c r="F406" i="262"/>
  <c r="G406" i="262"/>
  <c r="H406" i="262" s="1"/>
  <c r="H412" i="262"/>
  <c r="H413" i="262"/>
  <c r="H414" i="262"/>
  <c r="H415" i="262"/>
  <c r="E416" i="262"/>
  <c r="F416" i="262"/>
  <c r="G416" i="262"/>
  <c r="H416" i="262" s="1"/>
  <c r="H422" i="262"/>
  <c r="H423" i="262"/>
  <c r="H424" i="262"/>
  <c r="H425" i="262"/>
  <c r="E426" i="262"/>
  <c r="F426" i="262"/>
  <c r="G426" i="262"/>
  <c r="H426" i="262" s="1"/>
  <c r="H432" i="262"/>
  <c r="H433" i="262"/>
  <c r="H434" i="262"/>
  <c r="H435" i="262"/>
  <c r="E436" i="262"/>
  <c r="F436" i="262"/>
  <c r="G436" i="262"/>
  <c r="H436" i="262" s="1"/>
  <c r="H442" i="262"/>
  <c r="H443" i="262"/>
  <c r="H444" i="262"/>
  <c r="H445" i="262"/>
  <c r="E446" i="262"/>
  <c r="F446" i="262"/>
  <c r="G446" i="262"/>
  <c r="H446" i="262" s="1"/>
  <c r="H452" i="262"/>
  <c r="H453" i="262"/>
  <c r="H454" i="262"/>
  <c r="H455" i="262"/>
  <c r="E456" i="262"/>
  <c r="F456" i="262"/>
  <c r="G456" i="262"/>
  <c r="H456" i="262" s="1"/>
  <c r="E461" i="262"/>
  <c r="E466" i="262" s="1"/>
  <c r="F461" i="262"/>
  <c r="F466" i="262" s="1"/>
  <c r="J461" i="262"/>
  <c r="K461" i="262"/>
  <c r="L461" i="262"/>
  <c r="E462" i="262"/>
  <c r="F462" i="262"/>
  <c r="G462" i="262"/>
  <c r="G461" i="262" s="1"/>
  <c r="E463" i="262"/>
  <c r="F463" i="262"/>
  <c r="G463" i="262"/>
  <c r="H463" i="262" s="1"/>
  <c r="E464" i="262"/>
  <c r="F464" i="262"/>
  <c r="G464" i="262"/>
  <c r="I215" i="20"/>
  <c r="I216" i="20"/>
  <c r="H215" i="20"/>
  <c r="H216" i="20"/>
  <c r="H214" i="20"/>
  <c r="I214" i="20"/>
  <c r="G215" i="20"/>
  <c r="G216" i="20"/>
  <c r="G214" i="20"/>
  <c r="E215" i="20"/>
  <c r="E216" i="20"/>
  <c r="D215" i="20"/>
  <c r="D216" i="20"/>
  <c r="D214" i="20"/>
  <c r="E214" i="20"/>
  <c r="C215" i="20"/>
  <c r="C216" i="20"/>
  <c r="C214" i="20"/>
  <c r="H11" i="261"/>
  <c r="H12" i="261"/>
  <c r="H13" i="261"/>
  <c r="H14" i="261"/>
  <c r="H15" i="261"/>
  <c r="H16" i="261"/>
  <c r="H17" i="261"/>
  <c r="H18" i="261"/>
  <c r="H19" i="261"/>
  <c r="H20" i="261"/>
  <c r="H22" i="261"/>
  <c r="H23" i="261"/>
  <c r="H24" i="261"/>
  <c r="H25" i="261"/>
  <c r="H26" i="261"/>
  <c r="H27" i="261"/>
  <c r="H28" i="261"/>
  <c r="H29" i="261"/>
  <c r="H30" i="261"/>
  <c r="H31" i="261"/>
  <c r="H32" i="261"/>
  <c r="H33" i="261"/>
  <c r="H34" i="261"/>
  <c r="E36" i="261"/>
  <c r="F36" i="261"/>
  <c r="G36" i="261"/>
  <c r="H36" i="261" s="1"/>
  <c r="H42" i="261"/>
  <c r="H43" i="261"/>
  <c r="H44" i="261"/>
  <c r="H45" i="261"/>
  <c r="H46" i="261"/>
  <c r="H47" i="261"/>
  <c r="H48" i="261"/>
  <c r="H49" i="261"/>
  <c r="H50" i="261"/>
  <c r="H51" i="261"/>
  <c r="H52" i="261"/>
  <c r="H53" i="261"/>
  <c r="H55" i="261"/>
  <c r="H56" i="261"/>
  <c r="H57" i="261"/>
  <c r="H58" i="261"/>
  <c r="H59" i="261"/>
  <c r="H60" i="261"/>
  <c r="H61" i="261"/>
  <c r="H63" i="261"/>
  <c r="H64" i="261"/>
  <c r="E66" i="261"/>
  <c r="F66" i="261"/>
  <c r="G66" i="261"/>
  <c r="H78" i="261"/>
  <c r="H79" i="261"/>
  <c r="H80" i="261"/>
  <c r="H81" i="261"/>
  <c r="H82" i="261"/>
  <c r="H83" i="261"/>
  <c r="H84" i="261"/>
  <c r="H85" i="261"/>
  <c r="H86" i="261"/>
  <c r="H87" i="261"/>
  <c r="H88" i="261"/>
  <c r="H89" i="261"/>
  <c r="H92" i="261"/>
  <c r="H93" i="261"/>
  <c r="H94" i="261"/>
  <c r="H95" i="261"/>
  <c r="H96" i="261"/>
  <c r="H97" i="261"/>
  <c r="H98" i="261"/>
  <c r="H99" i="261"/>
  <c r="H101" i="261"/>
  <c r="H102" i="261"/>
  <c r="E104" i="261"/>
  <c r="F104" i="261"/>
  <c r="G104" i="261"/>
  <c r="H104" i="261" s="1"/>
  <c r="H111" i="261"/>
  <c r="H112" i="261"/>
  <c r="H113" i="261"/>
  <c r="H114" i="261"/>
  <c r="H115" i="261"/>
  <c r="H116" i="261"/>
  <c r="H117" i="261"/>
  <c r="H118" i="261"/>
  <c r="H119" i="261"/>
  <c r="H120" i="261"/>
  <c r="H121" i="261"/>
  <c r="H122" i="261"/>
  <c r="H123" i="261"/>
  <c r="H124" i="261"/>
  <c r="H125" i="261"/>
  <c r="H126" i="261"/>
  <c r="H127" i="261"/>
  <c r="H129" i="261"/>
  <c r="H130" i="261"/>
  <c r="H131" i="261"/>
  <c r="H132" i="261"/>
  <c r="H133" i="261"/>
  <c r="H134" i="261"/>
  <c r="H135" i="261"/>
  <c r="H136" i="261"/>
  <c r="E138" i="261"/>
  <c r="F138" i="261"/>
  <c r="G138" i="261"/>
  <c r="H138" i="261"/>
  <c r="H145" i="261"/>
  <c r="H146" i="261"/>
  <c r="H147" i="261"/>
  <c r="H148" i="261"/>
  <c r="H149" i="261"/>
  <c r="H150" i="261"/>
  <c r="H151" i="261"/>
  <c r="H152" i="261"/>
  <c r="H153" i="261"/>
  <c r="H154" i="261"/>
  <c r="H155" i="261"/>
  <c r="H156" i="261"/>
  <c r="H157" i="261"/>
  <c r="H158" i="261"/>
  <c r="H159" i="261"/>
  <c r="H160" i="261"/>
  <c r="H161" i="261"/>
  <c r="H163" i="261"/>
  <c r="H164" i="261"/>
  <c r="H165" i="261"/>
  <c r="H166" i="261"/>
  <c r="H167" i="261"/>
  <c r="E169" i="261"/>
  <c r="F169" i="261"/>
  <c r="H169" i="261" s="1"/>
  <c r="G169" i="261"/>
  <c r="H175" i="261"/>
  <c r="H176" i="261"/>
  <c r="H177" i="261"/>
  <c r="H178" i="261"/>
  <c r="H179" i="261"/>
  <c r="H180" i="261"/>
  <c r="H181" i="261"/>
  <c r="H182" i="261"/>
  <c r="H183" i="261"/>
  <c r="H184" i="261"/>
  <c r="H185" i="261"/>
  <c r="H186" i="261"/>
  <c r="H187" i="261"/>
  <c r="H188" i="261"/>
  <c r="H189" i="261"/>
  <c r="H190" i="261"/>
  <c r="H191" i="261"/>
  <c r="H192" i="261"/>
  <c r="H193" i="261"/>
  <c r="H194" i="261"/>
  <c r="H195" i="261"/>
  <c r="H196" i="261"/>
  <c r="H197" i="261"/>
  <c r="H198" i="261"/>
  <c r="H199" i="261"/>
  <c r="E201" i="261"/>
  <c r="F201" i="261"/>
  <c r="G201" i="261"/>
  <c r="H201" i="261" s="1"/>
  <c r="H207" i="261"/>
  <c r="H208" i="261"/>
  <c r="H209" i="261"/>
  <c r="H210" i="261"/>
  <c r="H211" i="261"/>
  <c r="H212" i="261"/>
  <c r="H213" i="261"/>
  <c r="H214" i="261"/>
  <c r="H215" i="261"/>
  <c r="H216" i="261"/>
  <c r="H217" i="261"/>
  <c r="H218" i="261"/>
  <c r="H219" i="261"/>
  <c r="H220" i="261"/>
  <c r="H221" i="261"/>
  <c r="H222" i="261"/>
  <c r="H223" i="261"/>
  <c r="H224" i="261"/>
  <c r="H225" i="261"/>
  <c r="H226" i="261"/>
  <c r="H227" i="261"/>
  <c r="H228" i="261"/>
  <c r="H229" i="261"/>
  <c r="H230" i="261"/>
  <c r="H231" i="261"/>
  <c r="H232" i="261"/>
  <c r="E234" i="261"/>
  <c r="F234" i="261"/>
  <c r="G234" i="261"/>
  <c r="H234" i="261" s="1"/>
  <c r="H243" i="261"/>
  <c r="H244" i="261"/>
  <c r="H245" i="261"/>
  <c r="H246" i="261"/>
  <c r="H247" i="261"/>
  <c r="H248" i="261"/>
  <c r="H249" i="261"/>
  <c r="H250" i="261"/>
  <c r="H251" i="261"/>
  <c r="H252" i="261"/>
  <c r="H253" i="261"/>
  <c r="H254" i="261"/>
  <c r="H255" i="261"/>
  <c r="H256" i="261"/>
  <c r="H257" i="261"/>
  <c r="H258" i="261"/>
  <c r="H259" i="261"/>
  <c r="H260" i="261"/>
  <c r="H261" i="261"/>
  <c r="H262" i="261"/>
  <c r="H264" i="261"/>
  <c r="H265" i="261"/>
  <c r="H266" i="261"/>
  <c r="E267" i="261"/>
  <c r="F267" i="261"/>
  <c r="G267" i="261"/>
  <c r="H267" i="261"/>
  <c r="E275" i="261"/>
  <c r="F275" i="261"/>
  <c r="G275" i="261"/>
  <c r="J284" i="261"/>
  <c r="K284" i="261"/>
  <c r="L284" i="261"/>
  <c r="E285" i="261"/>
  <c r="F285" i="261"/>
  <c r="F284" i="261" s="1"/>
  <c r="F289" i="261" s="1"/>
  <c r="G285" i="261"/>
  <c r="L285" i="261"/>
  <c r="E287" i="261"/>
  <c r="E284" i="261" s="1"/>
  <c r="E289" i="261" s="1"/>
  <c r="F287" i="261"/>
  <c r="G287" i="261"/>
  <c r="G284" i="261" s="1"/>
  <c r="D411" i="261"/>
  <c r="I210" i="20"/>
  <c r="I211" i="20"/>
  <c r="H210" i="20"/>
  <c r="H211" i="20"/>
  <c r="H209" i="20"/>
  <c r="I209" i="20"/>
  <c r="G210" i="20"/>
  <c r="G211" i="20"/>
  <c r="G209" i="20"/>
  <c r="E210" i="20"/>
  <c r="E211" i="20"/>
  <c r="D210" i="20"/>
  <c r="D211" i="20"/>
  <c r="D209" i="20"/>
  <c r="E209" i="20"/>
  <c r="C210" i="20"/>
  <c r="C211" i="20"/>
  <c r="C209" i="20"/>
  <c r="H10" i="260"/>
  <c r="H11" i="260"/>
  <c r="H12" i="260"/>
  <c r="H13" i="260"/>
  <c r="H14" i="260"/>
  <c r="H15" i="260"/>
  <c r="H16" i="260"/>
  <c r="H17" i="260"/>
  <c r="H18" i="260"/>
  <c r="H19" i="260"/>
  <c r="H20" i="260"/>
  <c r="H21" i="260"/>
  <c r="H22" i="260"/>
  <c r="H23" i="260"/>
  <c r="H24" i="260"/>
  <c r="H25" i="260"/>
  <c r="H26" i="260"/>
  <c r="H27" i="260"/>
  <c r="H28" i="260"/>
  <c r="H29" i="260"/>
  <c r="E33" i="260"/>
  <c r="F33" i="260"/>
  <c r="G33" i="260"/>
  <c r="H33" i="260"/>
  <c r="H39" i="260"/>
  <c r="H40" i="260"/>
  <c r="H41" i="260"/>
  <c r="H42" i="260"/>
  <c r="E43" i="260"/>
  <c r="F43" i="260"/>
  <c r="G43" i="260"/>
  <c r="H43" i="260"/>
  <c r="H49" i="260"/>
  <c r="H50" i="260"/>
  <c r="H51" i="260"/>
  <c r="H52" i="260"/>
  <c r="E53" i="260"/>
  <c r="F53" i="260"/>
  <c r="G53" i="260"/>
  <c r="H53" i="260"/>
  <c r="H59" i="260"/>
  <c r="H60" i="260"/>
  <c r="H61" i="260"/>
  <c r="H62" i="260"/>
  <c r="E63" i="260"/>
  <c r="F63" i="260"/>
  <c r="G63" i="260"/>
  <c r="H63" i="260"/>
  <c r="H69" i="260"/>
  <c r="H70" i="260"/>
  <c r="H71" i="260"/>
  <c r="H72" i="260"/>
  <c r="E73" i="260"/>
  <c r="F73" i="260"/>
  <c r="G73" i="260"/>
  <c r="H73" i="260"/>
  <c r="H79" i="260"/>
  <c r="H80" i="260"/>
  <c r="H81" i="260"/>
  <c r="H82" i="260"/>
  <c r="E83" i="260"/>
  <c r="F83" i="260"/>
  <c r="G83" i="260"/>
  <c r="H83" i="260"/>
  <c r="H89" i="260"/>
  <c r="H90" i="260"/>
  <c r="H91" i="260"/>
  <c r="H92" i="260"/>
  <c r="E93" i="260"/>
  <c r="F93" i="260"/>
  <c r="G93" i="260"/>
  <c r="H93" i="260"/>
  <c r="H99" i="260"/>
  <c r="H100" i="260"/>
  <c r="H101" i="260"/>
  <c r="H102" i="260"/>
  <c r="E103" i="260"/>
  <c r="F103" i="260"/>
  <c r="G103" i="260"/>
  <c r="H103" i="260"/>
  <c r="H109" i="260"/>
  <c r="H110" i="260"/>
  <c r="H111" i="260"/>
  <c r="H112" i="260"/>
  <c r="E113" i="260"/>
  <c r="F113" i="260"/>
  <c r="G113" i="260"/>
  <c r="H113" i="260"/>
  <c r="H119" i="260"/>
  <c r="H120" i="260"/>
  <c r="H121" i="260"/>
  <c r="H122" i="260"/>
  <c r="E123" i="260"/>
  <c r="F123" i="260"/>
  <c r="G123" i="260"/>
  <c r="H123" i="260"/>
  <c r="H129" i="260"/>
  <c r="H130" i="260"/>
  <c r="H131" i="260"/>
  <c r="H132" i="260"/>
  <c r="E133" i="260"/>
  <c r="F133" i="260"/>
  <c r="G133" i="260"/>
  <c r="H133" i="260"/>
  <c r="J141" i="260"/>
  <c r="K141" i="260"/>
  <c r="E142" i="260"/>
  <c r="E141" i="260" s="1"/>
  <c r="E146" i="260" s="1"/>
  <c r="F142" i="260"/>
  <c r="F141" i="260" s="1"/>
  <c r="F146" i="260" s="1"/>
  <c r="G142" i="260"/>
  <c r="H142" i="260"/>
  <c r="L142" i="260"/>
  <c r="L141" i="260" s="1"/>
  <c r="E143" i="260"/>
  <c r="F143" i="260"/>
  <c r="G143" i="260"/>
  <c r="G141" i="260" s="1"/>
  <c r="H143" i="260"/>
  <c r="E144" i="260"/>
  <c r="F144" i="260"/>
  <c r="G144" i="260"/>
  <c r="D268" i="260"/>
  <c r="I205" i="20"/>
  <c r="I206" i="20"/>
  <c r="H205" i="20"/>
  <c r="H206" i="20"/>
  <c r="H204" i="20"/>
  <c r="I204" i="20"/>
  <c r="G205" i="20"/>
  <c r="G206" i="20"/>
  <c r="G204" i="20"/>
  <c r="E205" i="20"/>
  <c r="E206" i="20"/>
  <c r="D205" i="20"/>
  <c r="D206" i="20"/>
  <c r="D204" i="20"/>
  <c r="E204" i="20"/>
  <c r="C205" i="20"/>
  <c r="C206" i="20"/>
  <c r="C204" i="20"/>
  <c r="H12" i="259"/>
  <c r="H13" i="259"/>
  <c r="H14" i="259"/>
  <c r="H15" i="259"/>
  <c r="H16" i="259"/>
  <c r="H17" i="259"/>
  <c r="H18" i="259"/>
  <c r="H19" i="259"/>
  <c r="H20" i="259"/>
  <c r="H21" i="259"/>
  <c r="H22" i="259"/>
  <c r="H23" i="259"/>
  <c r="H24" i="259"/>
  <c r="H25" i="259"/>
  <c r="H26" i="259"/>
  <c r="H27" i="259"/>
  <c r="H28" i="259"/>
  <c r="H29" i="259"/>
  <c r="H33" i="259"/>
  <c r="H35" i="259"/>
  <c r="H36" i="259"/>
  <c r="H37" i="259"/>
  <c r="H38" i="259"/>
  <c r="H39" i="259"/>
  <c r="H40" i="259"/>
  <c r="H41" i="259"/>
  <c r="H42" i="259"/>
  <c r="H43" i="259"/>
  <c r="H44" i="259"/>
  <c r="H45" i="259"/>
  <c r="H46" i="259"/>
  <c r="H47" i="259"/>
  <c r="H48" i="259"/>
  <c r="H49" i="259"/>
  <c r="H50" i="259"/>
  <c r="H51" i="259"/>
  <c r="H52" i="259"/>
  <c r="H53" i="259"/>
  <c r="H54" i="259"/>
  <c r="H55" i="259"/>
  <c r="H56" i="259"/>
  <c r="H57" i="259"/>
  <c r="H58" i="259"/>
  <c r="H59" i="259"/>
  <c r="H61" i="259"/>
  <c r="H62" i="259"/>
  <c r="H63" i="259"/>
  <c r="H64" i="259"/>
  <c r="H65" i="259"/>
  <c r="E67" i="259"/>
  <c r="F67" i="259"/>
  <c r="G67" i="259"/>
  <c r="H67" i="259" s="1"/>
  <c r="H74" i="259"/>
  <c r="H75" i="259"/>
  <c r="H76" i="259"/>
  <c r="H77" i="259"/>
  <c r="H78" i="259"/>
  <c r="H79" i="259"/>
  <c r="H80" i="259"/>
  <c r="H81" i="259"/>
  <c r="H82" i="259"/>
  <c r="H83" i="259"/>
  <c r="H84" i="259"/>
  <c r="H85" i="259"/>
  <c r="H86" i="259"/>
  <c r="H87" i="259"/>
  <c r="H88" i="259"/>
  <c r="H89" i="259"/>
  <c r="H90" i="259"/>
  <c r="H91" i="259"/>
  <c r="H92" i="259"/>
  <c r="H93" i="259"/>
  <c r="H94" i="259"/>
  <c r="H95" i="259"/>
  <c r="H96" i="259"/>
  <c r="H98" i="259"/>
  <c r="H99" i="259"/>
  <c r="H100" i="259"/>
  <c r="H101" i="259"/>
  <c r="H102" i="259"/>
  <c r="E103" i="259"/>
  <c r="F103" i="259"/>
  <c r="G103" i="259"/>
  <c r="H103" i="259" s="1"/>
  <c r="H109" i="259"/>
  <c r="H110" i="259"/>
  <c r="H111" i="259"/>
  <c r="E112" i="259"/>
  <c r="F112" i="259"/>
  <c r="G112" i="259"/>
  <c r="H112" i="259"/>
  <c r="E119" i="259"/>
  <c r="F119" i="259"/>
  <c r="G119" i="259"/>
  <c r="E122" i="259"/>
  <c r="E127" i="259" s="1"/>
  <c r="J122" i="259"/>
  <c r="K122" i="259"/>
  <c r="E123" i="259"/>
  <c r="F123" i="259"/>
  <c r="F122" i="259" s="1"/>
  <c r="F127" i="259" s="1"/>
  <c r="G123" i="259"/>
  <c r="G122" i="259" s="1"/>
  <c r="L123" i="259"/>
  <c r="L122" i="259" s="1"/>
  <c r="G125" i="259"/>
  <c r="D250" i="259"/>
  <c r="I200" i="20"/>
  <c r="I201" i="20"/>
  <c r="H200" i="20"/>
  <c r="H201" i="20"/>
  <c r="H199" i="20"/>
  <c r="I199" i="20"/>
  <c r="G200" i="20"/>
  <c r="G201" i="20"/>
  <c r="G199" i="20"/>
  <c r="E200" i="20"/>
  <c r="E201" i="20"/>
  <c r="D200" i="20"/>
  <c r="D201" i="20"/>
  <c r="D199" i="20"/>
  <c r="E199" i="20"/>
  <c r="C200" i="20"/>
  <c r="C201" i="20"/>
  <c r="C199" i="20"/>
  <c r="E15" i="258"/>
  <c r="F15" i="258"/>
  <c r="G15" i="258"/>
  <c r="H21" i="258"/>
  <c r="H22" i="258"/>
  <c r="H23" i="258"/>
  <c r="E24" i="258"/>
  <c r="F24" i="258"/>
  <c r="G24" i="258"/>
  <c r="H24" i="258"/>
  <c r="H30" i="258"/>
  <c r="H31" i="258"/>
  <c r="E32" i="258"/>
  <c r="F32" i="258"/>
  <c r="G32" i="258"/>
  <c r="H32" i="258" s="1"/>
  <c r="H38" i="258"/>
  <c r="E39" i="258"/>
  <c r="F39" i="258"/>
  <c r="G39" i="258"/>
  <c r="H39" i="258"/>
  <c r="H45" i="258"/>
  <c r="E46" i="258"/>
  <c r="F46" i="258"/>
  <c r="G46" i="258"/>
  <c r="H46" i="258"/>
  <c r="H52" i="258"/>
  <c r="H53" i="258"/>
  <c r="H54" i="258"/>
  <c r="H55" i="258"/>
  <c r="H57" i="258"/>
  <c r="H58" i="258"/>
  <c r="H59" i="258"/>
  <c r="H60" i="258"/>
  <c r="H61" i="258"/>
  <c r="H62" i="258"/>
  <c r="H63" i="258"/>
  <c r="H64" i="258"/>
  <c r="H66" i="258"/>
  <c r="H67" i="258"/>
  <c r="H68" i="258"/>
  <c r="H69" i="258"/>
  <c r="H70" i="258"/>
  <c r="H71" i="258"/>
  <c r="H72" i="258"/>
  <c r="H73" i="258"/>
  <c r="H74" i="258"/>
  <c r="H75" i="258"/>
  <c r="H76" i="258"/>
  <c r="H77" i="258"/>
  <c r="H78" i="258"/>
  <c r="H79" i="258"/>
  <c r="H80" i="258"/>
  <c r="H81" i="258"/>
  <c r="E82" i="258"/>
  <c r="F82" i="258"/>
  <c r="G82" i="258"/>
  <c r="H82" i="258"/>
  <c r="H88" i="258"/>
  <c r="H89" i="258"/>
  <c r="H90" i="258"/>
  <c r="H91" i="258"/>
  <c r="H93" i="258"/>
  <c r="H94" i="258"/>
  <c r="H97" i="258"/>
  <c r="H98" i="258"/>
  <c r="H99" i="258"/>
  <c r="E101" i="258"/>
  <c r="F101" i="258"/>
  <c r="G101" i="258"/>
  <c r="H101" i="258" s="1"/>
  <c r="H107" i="258"/>
  <c r="H108" i="258"/>
  <c r="H109" i="258"/>
  <c r="H110" i="258"/>
  <c r="H111" i="258"/>
  <c r="H112" i="258"/>
  <c r="H113" i="258"/>
  <c r="H114" i="258"/>
  <c r="H115" i="258"/>
  <c r="E116" i="258"/>
  <c r="F116" i="258"/>
  <c r="G116" i="258"/>
  <c r="H116" i="258" s="1"/>
  <c r="H122" i="258"/>
  <c r="H123" i="258"/>
  <c r="H124" i="258"/>
  <c r="H125" i="258"/>
  <c r="H126" i="258"/>
  <c r="H127" i="258"/>
  <c r="H128" i="258"/>
  <c r="H129" i="258"/>
  <c r="H130" i="258"/>
  <c r="H131" i="258"/>
  <c r="H132" i="258"/>
  <c r="E133" i="258"/>
  <c r="F133" i="258"/>
  <c r="G133" i="258"/>
  <c r="H133" i="258" s="1"/>
  <c r="H140" i="258"/>
  <c r="H141" i="258"/>
  <c r="H142" i="258"/>
  <c r="H143" i="258"/>
  <c r="H144" i="258"/>
  <c r="E145" i="258"/>
  <c r="F145" i="258"/>
  <c r="G145" i="258"/>
  <c r="H145" i="258" s="1"/>
  <c r="H151" i="258"/>
  <c r="E155" i="258"/>
  <c r="F155" i="258"/>
  <c r="G155" i="258"/>
  <c r="H155" i="258"/>
  <c r="H164" i="258"/>
  <c r="H165" i="258"/>
  <c r="H166" i="258"/>
  <c r="H167" i="258"/>
  <c r="H168" i="258"/>
  <c r="H169" i="258"/>
  <c r="H170" i="258"/>
  <c r="H171" i="258"/>
  <c r="H172" i="258"/>
  <c r="H173" i="258"/>
  <c r="H174" i="258"/>
  <c r="E175" i="258"/>
  <c r="F175" i="258"/>
  <c r="G175" i="258"/>
  <c r="H175" i="258" s="1"/>
  <c r="H181" i="258"/>
  <c r="H182" i="258"/>
  <c r="H184" i="258"/>
  <c r="H185" i="258"/>
  <c r="H186" i="258"/>
  <c r="H187" i="258"/>
  <c r="H188" i="258"/>
  <c r="E189" i="258"/>
  <c r="F189" i="258"/>
  <c r="G189" i="258"/>
  <c r="H189" i="258" s="1"/>
  <c r="H195" i="258"/>
  <c r="H196" i="258"/>
  <c r="H198" i="258"/>
  <c r="H199" i="258"/>
  <c r="H200" i="258"/>
  <c r="H201" i="258"/>
  <c r="H202" i="258"/>
  <c r="H203" i="258"/>
  <c r="H204" i="258"/>
  <c r="H205" i="258"/>
  <c r="H206" i="258"/>
  <c r="H208" i="258"/>
  <c r="H210" i="258"/>
  <c r="H211" i="258"/>
  <c r="H212" i="258"/>
  <c r="E213" i="258"/>
  <c r="F213" i="258"/>
  <c r="G213" i="258"/>
  <c r="H213" i="258"/>
  <c r="H220" i="258"/>
  <c r="H221" i="258"/>
  <c r="H222" i="258"/>
  <c r="H223" i="258"/>
  <c r="H224" i="258"/>
  <c r="H225" i="258"/>
  <c r="H226" i="258"/>
  <c r="H227" i="258"/>
  <c r="H230" i="258"/>
  <c r="H232" i="258"/>
  <c r="H233" i="258"/>
  <c r="H234" i="258"/>
  <c r="H235" i="258"/>
  <c r="H236" i="258"/>
  <c r="H237" i="258"/>
  <c r="H238" i="258"/>
  <c r="H239" i="258"/>
  <c r="H240" i="258"/>
  <c r="H241" i="258"/>
  <c r="E242" i="258"/>
  <c r="F242" i="258"/>
  <c r="G242" i="258"/>
  <c r="H242" i="258"/>
  <c r="H248" i="258"/>
  <c r="H249" i="258"/>
  <c r="H250" i="258"/>
  <c r="H251" i="258"/>
  <c r="H252" i="258"/>
  <c r="H253" i="258"/>
  <c r="H254" i="258"/>
  <c r="E257" i="258"/>
  <c r="F257" i="258"/>
  <c r="G257" i="258"/>
  <c r="H257" i="258" s="1"/>
  <c r="H263" i="258"/>
  <c r="H264" i="258"/>
  <c r="H265" i="258"/>
  <c r="H266" i="258"/>
  <c r="H267" i="258"/>
  <c r="E268" i="258"/>
  <c r="F268" i="258"/>
  <c r="G268" i="258"/>
  <c r="H274" i="258"/>
  <c r="H275" i="258"/>
  <c r="H278" i="258"/>
  <c r="H279" i="258"/>
  <c r="H280" i="258"/>
  <c r="H281" i="258"/>
  <c r="H282" i="258"/>
  <c r="H283" i="258"/>
  <c r="E284" i="258"/>
  <c r="F284" i="258"/>
  <c r="G284" i="258"/>
  <c r="H284" i="258" s="1"/>
  <c r="H291" i="258"/>
  <c r="H292" i="258"/>
  <c r="H293" i="258"/>
  <c r="H294" i="258"/>
  <c r="E295" i="258"/>
  <c r="F295" i="258"/>
  <c r="G295" i="258"/>
  <c r="H295" i="258" s="1"/>
  <c r="H301" i="258"/>
  <c r="H302" i="258"/>
  <c r="H303" i="258"/>
  <c r="H304" i="258"/>
  <c r="H305" i="258"/>
  <c r="E306" i="258"/>
  <c r="F306" i="258"/>
  <c r="G306" i="258"/>
  <c r="H306" i="258"/>
  <c r="H318" i="258"/>
  <c r="H319" i="258"/>
  <c r="H321" i="258"/>
  <c r="E322" i="258"/>
  <c r="F322" i="258"/>
  <c r="G322" i="258"/>
  <c r="H322" i="258" s="1"/>
  <c r="H328" i="258"/>
  <c r="H329" i="258"/>
  <c r="H330" i="258"/>
  <c r="H331" i="258"/>
  <c r="H332" i="258"/>
  <c r="E333" i="258"/>
  <c r="F333" i="258"/>
  <c r="G333" i="258"/>
  <c r="H333" i="258"/>
  <c r="H339" i="258"/>
  <c r="H340" i="258"/>
  <c r="H341" i="258"/>
  <c r="H342" i="258"/>
  <c r="H343" i="258"/>
  <c r="H344" i="258"/>
  <c r="H346" i="258"/>
  <c r="H347" i="258"/>
  <c r="H348" i="258"/>
  <c r="H349" i="258"/>
  <c r="H350" i="258"/>
  <c r="E351" i="258"/>
  <c r="F351" i="258"/>
  <c r="G351" i="258"/>
  <c r="H351" i="258" s="1"/>
  <c r="H357" i="258"/>
  <c r="H358" i="258"/>
  <c r="H359" i="258"/>
  <c r="H360" i="258"/>
  <c r="H361" i="258"/>
  <c r="H362" i="258"/>
  <c r="H363" i="258"/>
  <c r="H364" i="258"/>
  <c r="H365" i="258"/>
  <c r="H366" i="258"/>
  <c r="H367" i="258"/>
  <c r="E368" i="258"/>
  <c r="F368" i="258"/>
  <c r="G368" i="258"/>
  <c r="H368" i="258" s="1"/>
  <c r="H374" i="258"/>
  <c r="H375" i="258"/>
  <c r="H376" i="258"/>
  <c r="H377" i="258"/>
  <c r="E378" i="258"/>
  <c r="F378" i="258"/>
  <c r="G378" i="258"/>
  <c r="H378" i="258" s="1"/>
  <c r="H385" i="258"/>
  <c r="H386" i="258"/>
  <c r="H387" i="258"/>
  <c r="H388" i="258"/>
  <c r="H389" i="258"/>
  <c r="H390" i="258"/>
  <c r="H391" i="258"/>
  <c r="H392" i="258"/>
  <c r="H393" i="258"/>
  <c r="E394" i="258"/>
  <c r="F394" i="258"/>
  <c r="H394" i="258" s="1"/>
  <c r="G394" i="258"/>
  <c r="H402" i="258"/>
  <c r="H403" i="258"/>
  <c r="H404" i="258"/>
  <c r="H405" i="258"/>
  <c r="H406" i="258"/>
  <c r="H407" i="258"/>
  <c r="H408" i="258"/>
  <c r="H409" i="258"/>
  <c r="E410" i="258"/>
  <c r="F410" i="258"/>
  <c r="G410" i="258"/>
  <c r="H410" i="258" s="1"/>
  <c r="H418" i="258"/>
  <c r="H419" i="258"/>
  <c r="H420" i="258"/>
  <c r="H421" i="258"/>
  <c r="H422" i="258"/>
  <c r="H423" i="258"/>
  <c r="H424" i="258"/>
  <c r="H425" i="258"/>
  <c r="E426" i="258"/>
  <c r="F426" i="258"/>
  <c r="G426" i="258"/>
  <c r="H426" i="258" s="1"/>
  <c r="H432" i="258"/>
  <c r="H433" i="258"/>
  <c r="H435" i="258"/>
  <c r="H436" i="258"/>
  <c r="H437" i="258"/>
  <c r="H438" i="258"/>
  <c r="H439" i="258"/>
  <c r="H440" i="258"/>
  <c r="E442" i="258"/>
  <c r="F442" i="258"/>
  <c r="G442" i="258"/>
  <c r="H442" i="258" s="1"/>
  <c r="H448" i="258"/>
  <c r="H449" i="258"/>
  <c r="H450" i="258"/>
  <c r="H451" i="258"/>
  <c r="H452" i="258"/>
  <c r="H453" i="258"/>
  <c r="H454" i="258"/>
  <c r="H455" i="258"/>
  <c r="H456" i="258"/>
  <c r="H457" i="258"/>
  <c r="E458" i="258"/>
  <c r="F458" i="258"/>
  <c r="G458" i="258"/>
  <c r="H458" i="258"/>
  <c r="H464" i="258"/>
  <c r="H465" i="258"/>
  <c r="H467" i="258"/>
  <c r="H468" i="258"/>
  <c r="H469" i="258"/>
  <c r="H470" i="258"/>
  <c r="H471" i="258"/>
  <c r="H472" i="258"/>
  <c r="H473" i="258"/>
  <c r="E474" i="258"/>
  <c r="F474" i="258"/>
  <c r="G474" i="258"/>
  <c r="H474" i="258" s="1"/>
  <c r="H481" i="258"/>
  <c r="H482" i="258"/>
  <c r="H483" i="258"/>
  <c r="H484" i="258"/>
  <c r="H485" i="258"/>
  <c r="H486" i="258"/>
  <c r="H487" i="258"/>
  <c r="H488" i="258"/>
  <c r="E489" i="258"/>
  <c r="F489" i="258"/>
  <c r="G489" i="258"/>
  <c r="H489" i="258" s="1"/>
  <c r="H495" i="258"/>
  <c r="H496" i="258"/>
  <c r="H497" i="258"/>
  <c r="H498" i="258"/>
  <c r="H499" i="258"/>
  <c r="E501" i="258"/>
  <c r="F501" i="258"/>
  <c r="H501" i="258" s="1"/>
  <c r="G501" i="258"/>
  <c r="H508" i="258"/>
  <c r="H509" i="258"/>
  <c r="H510" i="258"/>
  <c r="H511" i="258"/>
  <c r="H512" i="258"/>
  <c r="H513" i="258"/>
  <c r="H514" i="258"/>
  <c r="E515" i="258"/>
  <c r="F515" i="258"/>
  <c r="G515" i="258"/>
  <c r="H515" i="258" s="1"/>
  <c r="H521" i="258"/>
  <c r="H522" i="258"/>
  <c r="H523" i="258"/>
  <c r="H524" i="258"/>
  <c r="H525" i="258"/>
  <c r="E527" i="258"/>
  <c r="F527" i="258"/>
  <c r="H527" i="258" s="1"/>
  <c r="G527" i="258"/>
  <c r="H533" i="258"/>
  <c r="H534" i="258"/>
  <c r="H535" i="258"/>
  <c r="H536" i="258"/>
  <c r="H537" i="258"/>
  <c r="H539" i="258"/>
  <c r="H540" i="258"/>
  <c r="H541" i="258"/>
  <c r="H542" i="258"/>
  <c r="E543" i="258"/>
  <c r="F543" i="258"/>
  <c r="G543" i="258"/>
  <c r="H543" i="258"/>
  <c r="H550" i="258"/>
  <c r="H552" i="258"/>
  <c r="H553" i="258"/>
  <c r="H554" i="258"/>
  <c r="E555" i="258"/>
  <c r="F555" i="258"/>
  <c r="G555" i="258"/>
  <c r="H555" i="258"/>
  <c r="H560" i="258"/>
  <c r="E561" i="258"/>
  <c r="F561" i="258"/>
  <c r="G561" i="258"/>
  <c r="H561" i="258"/>
  <c r="H566" i="258"/>
  <c r="E567" i="258"/>
  <c r="F567" i="258"/>
  <c r="G567" i="258"/>
  <c r="H567" i="258" s="1"/>
  <c r="H572" i="258"/>
  <c r="F573" i="258"/>
  <c r="G573" i="258"/>
  <c r="H573" i="258" s="1"/>
  <c r="H578" i="258"/>
  <c r="F579" i="258"/>
  <c r="G579" i="258"/>
  <c r="H579" i="258" s="1"/>
  <c r="H584" i="258"/>
  <c r="F585" i="258"/>
  <c r="G585" i="258"/>
  <c r="H585" i="258" s="1"/>
  <c r="H590" i="258"/>
  <c r="F591" i="258"/>
  <c r="G591" i="258"/>
  <c r="H591" i="258" s="1"/>
  <c r="H596" i="258"/>
  <c r="F597" i="258"/>
  <c r="G597" i="258"/>
  <c r="H597" i="258" s="1"/>
  <c r="H602" i="258"/>
  <c r="F603" i="258"/>
  <c r="G603" i="258"/>
  <c r="H603" i="258" s="1"/>
  <c r="H608" i="258"/>
  <c r="F609" i="258"/>
  <c r="G609" i="258"/>
  <c r="H609" i="258" s="1"/>
  <c r="H614" i="258"/>
  <c r="F615" i="258"/>
  <c r="G615" i="258"/>
  <c r="H615" i="258" s="1"/>
  <c r="H620" i="258"/>
  <c r="F621" i="258"/>
  <c r="G621" i="258"/>
  <c r="H621" i="258" s="1"/>
  <c r="H626" i="258"/>
  <c r="F627" i="258"/>
  <c r="G627" i="258"/>
  <c r="H627" i="258" s="1"/>
  <c r="H632" i="258"/>
  <c r="F633" i="258"/>
  <c r="G633" i="258"/>
  <c r="H633" i="258" s="1"/>
  <c r="H638" i="258"/>
  <c r="F639" i="258"/>
  <c r="G639" i="258"/>
  <c r="H639" i="258" s="1"/>
  <c r="H644" i="258"/>
  <c r="F645" i="258"/>
  <c r="G645" i="258"/>
  <c r="H645" i="258" s="1"/>
  <c r="H651" i="258"/>
  <c r="H652" i="258"/>
  <c r="H655" i="258"/>
  <c r="H656" i="258"/>
  <c r="H657" i="258"/>
  <c r="H658" i="258"/>
  <c r="H661" i="258"/>
  <c r="H662" i="258"/>
  <c r="E663" i="258"/>
  <c r="F663" i="258"/>
  <c r="G663" i="258"/>
  <c r="H663" i="258" s="1"/>
  <c r="H691" i="258"/>
  <c r="E692" i="258"/>
  <c r="F692" i="258"/>
  <c r="G692" i="258"/>
  <c r="H698" i="258"/>
  <c r="H699" i="258"/>
  <c r="H700" i="258"/>
  <c r="H701" i="258"/>
  <c r="I701" i="258"/>
  <c r="J701" i="258"/>
  <c r="K701" i="258"/>
  <c r="H702" i="258"/>
  <c r="J702" i="258"/>
  <c r="K702" i="258"/>
  <c r="E703" i="258"/>
  <c r="F703" i="258"/>
  <c r="G703" i="258"/>
  <c r="K703" i="258" s="1"/>
  <c r="H703" i="258"/>
  <c r="J703" i="258"/>
  <c r="J709" i="258"/>
  <c r="K709" i="258"/>
  <c r="L709" i="258"/>
  <c r="E710" i="258"/>
  <c r="F710" i="258"/>
  <c r="G710" i="258"/>
  <c r="H710" i="258"/>
  <c r="L710" i="258"/>
  <c r="E711" i="258"/>
  <c r="E709" i="258" s="1"/>
  <c r="E714" i="258" s="1"/>
  <c r="F711" i="258"/>
  <c r="F709" i="258" s="1"/>
  <c r="F714" i="258" s="1"/>
  <c r="G711" i="258"/>
  <c r="H711" i="258" s="1"/>
  <c r="E712" i="258"/>
  <c r="F712" i="258"/>
  <c r="G712" i="258"/>
  <c r="I196" i="20"/>
  <c r="I197" i="20"/>
  <c r="H196" i="20"/>
  <c r="H197" i="20"/>
  <c r="H195" i="20"/>
  <c r="I195" i="20"/>
  <c r="G196" i="20"/>
  <c r="G197" i="20"/>
  <c r="G195" i="20"/>
  <c r="E196" i="20"/>
  <c r="E197" i="20"/>
  <c r="D196" i="20"/>
  <c r="D197" i="20"/>
  <c r="D195" i="20"/>
  <c r="E195" i="20"/>
  <c r="C196" i="20"/>
  <c r="C197" i="20"/>
  <c r="C195" i="20"/>
  <c r="H10" i="257"/>
  <c r="H11" i="257"/>
  <c r="H12" i="257"/>
  <c r="H13" i="257"/>
  <c r="H14" i="257"/>
  <c r="H15" i="257"/>
  <c r="H16" i="257"/>
  <c r="H17" i="257"/>
  <c r="H18" i="257"/>
  <c r="H19" i="257"/>
  <c r="H20" i="257"/>
  <c r="H21" i="257"/>
  <c r="H22" i="257"/>
  <c r="H23" i="257"/>
  <c r="H24" i="257"/>
  <c r="H25" i="257"/>
  <c r="H26" i="257"/>
  <c r="H27" i="257"/>
  <c r="H28" i="257"/>
  <c r="H29" i="257"/>
  <c r="H30" i="257"/>
  <c r="H31" i="257"/>
  <c r="H32" i="257"/>
  <c r="H33" i="257"/>
  <c r="E34" i="257"/>
  <c r="F34" i="257"/>
  <c r="H34" i="257" s="1"/>
  <c r="G34" i="257"/>
  <c r="H41" i="257"/>
  <c r="H42" i="257"/>
  <c r="H43" i="257"/>
  <c r="H44" i="257"/>
  <c r="E45" i="257"/>
  <c r="F45" i="257"/>
  <c r="H45" i="257" s="1"/>
  <c r="G45" i="257"/>
  <c r="H51" i="257"/>
  <c r="H52" i="257"/>
  <c r="H53" i="257"/>
  <c r="H54" i="257"/>
  <c r="E55" i="257"/>
  <c r="F55" i="257"/>
  <c r="H55" i="257" s="1"/>
  <c r="G55" i="257"/>
  <c r="H61" i="257"/>
  <c r="H62" i="257"/>
  <c r="H63" i="257"/>
  <c r="H64" i="257"/>
  <c r="E65" i="257"/>
  <c r="F65" i="257"/>
  <c r="H65" i="257" s="1"/>
  <c r="G65" i="257"/>
  <c r="H71" i="257"/>
  <c r="H72" i="257"/>
  <c r="H73" i="257"/>
  <c r="H74" i="257"/>
  <c r="E75" i="257"/>
  <c r="F75" i="257"/>
  <c r="H75" i="257" s="1"/>
  <c r="G75" i="257"/>
  <c r="H81" i="257"/>
  <c r="H82" i="257"/>
  <c r="H83" i="257"/>
  <c r="H84" i="257"/>
  <c r="E85" i="257"/>
  <c r="F85" i="257"/>
  <c r="H85" i="257" s="1"/>
  <c r="G85" i="257"/>
  <c r="H92" i="257"/>
  <c r="H93" i="257"/>
  <c r="H94" i="257"/>
  <c r="H95" i="257"/>
  <c r="E96" i="257"/>
  <c r="F96" i="257"/>
  <c r="H96" i="257" s="1"/>
  <c r="G96" i="257"/>
  <c r="H102" i="257"/>
  <c r="H103" i="257"/>
  <c r="H104" i="257"/>
  <c r="H105" i="257"/>
  <c r="E106" i="257"/>
  <c r="F106" i="257"/>
  <c r="H106" i="257" s="1"/>
  <c r="G106" i="257"/>
  <c r="F116" i="257"/>
  <c r="G116" i="257"/>
  <c r="H122" i="257"/>
  <c r="H123" i="257"/>
  <c r="H124" i="257"/>
  <c r="H125" i="257"/>
  <c r="E126" i="257"/>
  <c r="F126" i="257"/>
  <c r="G126" i="257"/>
  <c r="H126" i="257"/>
  <c r="H132" i="257"/>
  <c r="H133" i="257"/>
  <c r="H134" i="257"/>
  <c r="H135" i="257"/>
  <c r="E136" i="257"/>
  <c r="F136" i="257"/>
  <c r="G136" i="257"/>
  <c r="H136" i="257"/>
  <c r="H142" i="257"/>
  <c r="H143" i="257"/>
  <c r="H144" i="257"/>
  <c r="H145" i="257"/>
  <c r="E146" i="257"/>
  <c r="F146" i="257"/>
  <c r="G146" i="257"/>
  <c r="H146" i="257"/>
  <c r="H152" i="257"/>
  <c r="H153" i="257"/>
  <c r="H154" i="257"/>
  <c r="H155" i="257"/>
  <c r="E156" i="257"/>
  <c r="F156" i="257"/>
  <c r="G156" i="257"/>
  <c r="H156" i="257"/>
  <c r="H162" i="257"/>
  <c r="H163" i="257"/>
  <c r="H164" i="257"/>
  <c r="H165" i="257"/>
  <c r="E166" i="257"/>
  <c r="F166" i="257"/>
  <c r="G166" i="257"/>
  <c r="H166" i="257"/>
  <c r="H172" i="257"/>
  <c r="H173" i="257"/>
  <c r="H174" i="257"/>
  <c r="H175" i="257"/>
  <c r="E176" i="257"/>
  <c r="F176" i="257"/>
  <c r="G176" i="257"/>
  <c r="H176" i="257"/>
  <c r="H182" i="257"/>
  <c r="H183" i="257"/>
  <c r="H184" i="257"/>
  <c r="H185" i="257"/>
  <c r="E186" i="257"/>
  <c r="F186" i="257"/>
  <c r="G186" i="257"/>
  <c r="H186" i="257"/>
  <c r="H192" i="257"/>
  <c r="H193" i="257"/>
  <c r="H194" i="257"/>
  <c r="H195" i="257"/>
  <c r="E196" i="257"/>
  <c r="F196" i="257"/>
  <c r="G196" i="257"/>
  <c r="H196" i="257"/>
  <c r="H202" i="257"/>
  <c r="H203" i="257"/>
  <c r="H204" i="257"/>
  <c r="H205" i="257"/>
  <c r="E206" i="257"/>
  <c r="F206" i="257"/>
  <c r="G206" i="257"/>
  <c r="H206" i="257"/>
  <c r="H212" i="257"/>
  <c r="H213" i="257"/>
  <c r="H214" i="257"/>
  <c r="H215" i="257"/>
  <c r="E216" i="257"/>
  <c r="F216" i="257"/>
  <c r="G216" i="257"/>
  <c r="H216" i="257"/>
  <c r="G222" i="257"/>
  <c r="G227" i="257" s="1"/>
  <c r="J222" i="257"/>
  <c r="K222" i="257"/>
  <c r="L222" i="257"/>
  <c r="E223" i="257"/>
  <c r="E222" i="257" s="1"/>
  <c r="E227" i="257" s="1"/>
  <c r="F223" i="257"/>
  <c r="G223" i="257"/>
  <c r="H223" i="257"/>
  <c r="E224" i="257"/>
  <c r="F224" i="257"/>
  <c r="F222" i="257" s="1"/>
  <c r="G224" i="257"/>
  <c r="D350" i="257"/>
  <c r="I191" i="20"/>
  <c r="I192" i="20"/>
  <c r="H191" i="20"/>
  <c r="H192" i="20"/>
  <c r="H190" i="20"/>
  <c r="I190" i="20"/>
  <c r="G191" i="20"/>
  <c r="G192" i="20"/>
  <c r="G190" i="20"/>
  <c r="E191" i="20"/>
  <c r="E192" i="20"/>
  <c r="D191" i="20"/>
  <c r="D192" i="20"/>
  <c r="D190" i="20"/>
  <c r="E190" i="20"/>
  <c r="C191" i="20"/>
  <c r="C192" i="20"/>
  <c r="C190" i="20"/>
  <c r="H10" i="256"/>
  <c r="H11" i="256"/>
  <c r="H12" i="256"/>
  <c r="H13" i="256"/>
  <c r="H14" i="256"/>
  <c r="H15" i="256"/>
  <c r="H16" i="256"/>
  <c r="H17" i="256"/>
  <c r="H18" i="256"/>
  <c r="H19" i="256"/>
  <c r="H20" i="256"/>
  <c r="H21" i="256"/>
  <c r="H22" i="256"/>
  <c r="H23" i="256"/>
  <c r="H24" i="256"/>
  <c r="H25" i="256"/>
  <c r="E26" i="256"/>
  <c r="F26" i="256"/>
  <c r="G26" i="256"/>
  <c r="H26" i="256"/>
  <c r="H32" i="256"/>
  <c r="H33" i="256"/>
  <c r="H34" i="256"/>
  <c r="H35" i="256"/>
  <c r="E36" i="256"/>
  <c r="F36" i="256"/>
  <c r="G36" i="256"/>
  <c r="H36" i="256"/>
  <c r="H42" i="256"/>
  <c r="H43" i="256"/>
  <c r="E44" i="256"/>
  <c r="F44" i="256"/>
  <c r="G44" i="256"/>
  <c r="H44" i="256" s="1"/>
  <c r="H57" i="256"/>
  <c r="H58" i="256"/>
  <c r="E59" i="256"/>
  <c r="F59" i="256"/>
  <c r="G59" i="256"/>
  <c r="H59" i="256"/>
  <c r="H65" i="256"/>
  <c r="H66" i="256"/>
  <c r="H67" i="256"/>
  <c r="H68" i="256"/>
  <c r="E69" i="256"/>
  <c r="F69" i="256"/>
  <c r="G69" i="256"/>
  <c r="H69" i="256"/>
  <c r="H75" i="256"/>
  <c r="H76" i="256"/>
  <c r="E77" i="256"/>
  <c r="F77" i="256"/>
  <c r="G77" i="256"/>
  <c r="H77" i="256" s="1"/>
  <c r="H83" i="256"/>
  <c r="H84" i="256"/>
  <c r="H85" i="256"/>
  <c r="H86" i="256"/>
  <c r="E87" i="256"/>
  <c r="F87" i="256"/>
  <c r="G87" i="256"/>
  <c r="H87" i="256" s="1"/>
  <c r="H93" i="256"/>
  <c r="H94" i="256"/>
  <c r="H95" i="256"/>
  <c r="H96" i="256"/>
  <c r="E97" i="256"/>
  <c r="F97" i="256"/>
  <c r="G97" i="256"/>
  <c r="H97" i="256" s="1"/>
  <c r="H103" i="256"/>
  <c r="H104" i="256"/>
  <c r="E105" i="256"/>
  <c r="F105" i="256"/>
  <c r="G105" i="256"/>
  <c r="H105" i="256"/>
  <c r="F113" i="256"/>
  <c r="G113" i="256"/>
  <c r="H118" i="256"/>
  <c r="H119" i="256"/>
  <c r="E120" i="256"/>
  <c r="F120" i="256"/>
  <c r="G120" i="256"/>
  <c r="H120" i="256"/>
  <c r="H126" i="256"/>
  <c r="H127" i="256"/>
  <c r="E128" i="256"/>
  <c r="F128" i="256"/>
  <c r="G128" i="256"/>
  <c r="H128" i="256" s="1"/>
  <c r="H134" i="256"/>
  <c r="H135" i="256"/>
  <c r="E136" i="256"/>
  <c r="F136" i="256"/>
  <c r="G136" i="256"/>
  <c r="H136" i="256"/>
  <c r="H142" i="256"/>
  <c r="H143" i="256"/>
  <c r="E144" i="256"/>
  <c r="F144" i="256"/>
  <c r="G144" i="256"/>
  <c r="H144" i="256" s="1"/>
  <c r="F152" i="256"/>
  <c r="G152" i="256"/>
  <c r="F160" i="256"/>
  <c r="G160" i="256"/>
  <c r="H166" i="256"/>
  <c r="H167" i="256"/>
  <c r="H168" i="256"/>
  <c r="H169" i="256"/>
  <c r="E170" i="256"/>
  <c r="F170" i="256"/>
  <c r="G170" i="256"/>
  <c r="H170" i="256" s="1"/>
  <c r="H176" i="256"/>
  <c r="H177" i="256"/>
  <c r="E178" i="256"/>
  <c r="F178" i="256"/>
  <c r="G178" i="256"/>
  <c r="H178" i="256"/>
  <c r="H184" i="256"/>
  <c r="H185" i="256"/>
  <c r="E186" i="256"/>
  <c r="F186" i="256"/>
  <c r="G186" i="256"/>
  <c r="H186" i="256" s="1"/>
  <c r="H192" i="256"/>
  <c r="H193" i="256"/>
  <c r="E194" i="256"/>
  <c r="F194" i="256"/>
  <c r="G194" i="256"/>
  <c r="H194" i="256"/>
  <c r="H200" i="256"/>
  <c r="H201" i="256"/>
  <c r="H202" i="256"/>
  <c r="H203" i="256"/>
  <c r="E204" i="256"/>
  <c r="F204" i="256"/>
  <c r="G204" i="256"/>
  <c r="H204" i="256"/>
  <c r="H210" i="256"/>
  <c r="H211" i="256"/>
  <c r="E212" i="256"/>
  <c r="F212" i="256"/>
  <c r="G212" i="256"/>
  <c r="H212" i="256" s="1"/>
  <c r="H218" i="256"/>
  <c r="H219" i="256"/>
  <c r="H220" i="256"/>
  <c r="H221" i="256"/>
  <c r="E222" i="256"/>
  <c r="F222" i="256"/>
  <c r="G222" i="256"/>
  <c r="H222" i="256" s="1"/>
  <c r="E232" i="256"/>
  <c r="E237" i="256" s="1"/>
  <c r="F232" i="256"/>
  <c r="F237" i="256" s="1"/>
  <c r="J232" i="256"/>
  <c r="K232" i="256"/>
  <c r="L232" i="256"/>
  <c r="E233" i="256"/>
  <c r="F233" i="256"/>
  <c r="G233" i="256"/>
  <c r="G232" i="256" s="1"/>
  <c r="E234" i="256"/>
  <c r="F234" i="256"/>
  <c r="G234" i="256"/>
  <c r="D361" i="256"/>
  <c r="G27" i="255"/>
  <c r="F27" i="255"/>
  <c r="E27" i="255"/>
  <c r="I185" i="20"/>
  <c r="I186" i="20"/>
  <c r="H185" i="20"/>
  <c r="H186" i="20"/>
  <c r="H184" i="20"/>
  <c r="I184" i="20"/>
  <c r="G185" i="20"/>
  <c r="G186" i="20"/>
  <c r="G184" i="20"/>
  <c r="E185" i="20"/>
  <c r="E186" i="20"/>
  <c r="D185" i="20"/>
  <c r="D186" i="20"/>
  <c r="D184" i="20"/>
  <c r="S223" i="20" s="1"/>
  <c r="E184" i="20"/>
  <c r="C185" i="20"/>
  <c r="C186" i="20"/>
  <c r="C184" i="20"/>
  <c r="R223" i="20" s="1"/>
  <c r="H10" i="255"/>
  <c r="H11" i="255"/>
  <c r="H12" i="255"/>
  <c r="H13" i="255"/>
  <c r="H14" i="255"/>
  <c r="H15" i="255"/>
  <c r="H16" i="255"/>
  <c r="H17" i="255"/>
  <c r="H18" i="255"/>
  <c r="H19" i="255"/>
  <c r="H20" i="255"/>
  <c r="H21" i="255"/>
  <c r="H22" i="255"/>
  <c r="H23" i="255"/>
  <c r="H24" i="255"/>
  <c r="H25" i="255"/>
  <c r="H26" i="255"/>
  <c r="H34" i="255"/>
  <c r="H35" i="255"/>
  <c r="H36" i="255"/>
  <c r="H37" i="255"/>
  <c r="E38" i="255"/>
  <c r="F38" i="255"/>
  <c r="G38" i="255"/>
  <c r="H38" i="255"/>
  <c r="H44" i="255"/>
  <c r="H45" i="255"/>
  <c r="H46" i="255"/>
  <c r="H47" i="255"/>
  <c r="E48" i="255"/>
  <c r="F48" i="255"/>
  <c r="G48" i="255"/>
  <c r="H48" i="255"/>
  <c r="H54" i="255"/>
  <c r="H55" i="255"/>
  <c r="E56" i="255"/>
  <c r="F56" i="255"/>
  <c r="G56" i="255"/>
  <c r="H56" i="255" s="1"/>
  <c r="H62" i="255"/>
  <c r="H63" i="255"/>
  <c r="H64" i="255"/>
  <c r="H65" i="255"/>
  <c r="E66" i="255"/>
  <c r="F66" i="255"/>
  <c r="G66" i="255"/>
  <c r="H66" i="255" s="1"/>
  <c r="H72" i="255"/>
  <c r="H73" i="255"/>
  <c r="E74" i="255"/>
  <c r="F74" i="255"/>
  <c r="G74" i="255"/>
  <c r="H74" i="255"/>
  <c r="H80" i="255"/>
  <c r="H81" i="255"/>
  <c r="H82" i="255"/>
  <c r="H83" i="255"/>
  <c r="E84" i="255"/>
  <c r="F84" i="255"/>
  <c r="G84" i="255"/>
  <c r="H84" i="255"/>
  <c r="H90" i="255"/>
  <c r="H91" i="255"/>
  <c r="E92" i="255"/>
  <c r="F92" i="255"/>
  <c r="G92" i="255"/>
  <c r="H92" i="255" s="1"/>
  <c r="H98" i="255"/>
  <c r="H99" i="255"/>
  <c r="E100" i="255"/>
  <c r="F100" i="255"/>
  <c r="G100" i="255"/>
  <c r="H100" i="255"/>
  <c r="H106" i="255"/>
  <c r="H107" i="255"/>
  <c r="E108" i="255"/>
  <c r="F108" i="255"/>
  <c r="G108" i="255"/>
  <c r="H108" i="255" s="1"/>
  <c r="H114" i="255"/>
  <c r="H115" i="255"/>
  <c r="E116" i="255"/>
  <c r="F116" i="255"/>
  <c r="G116" i="255"/>
  <c r="H116" i="255"/>
  <c r="H122" i="255"/>
  <c r="H123" i="255"/>
  <c r="E124" i="255"/>
  <c r="F124" i="255"/>
  <c r="G124" i="255"/>
  <c r="H124" i="255" s="1"/>
  <c r="H130" i="255"/>
  <c r="H131" i="255"/>
  <c r="H132" i="255"/>
  <c r="H133" i="255"/>
  <c r="E134" i="255"/>
  <c r="F134" i="255"/>
  <c r="G134" i="255"/>
  <c r="H134" i="255" s="1"/>
  <c r="H140" i="255"/>
  <c r="H141" i="255"/>
  <c r="H142" i="255"/>
  <c r="H143" i="255"/>
  <c r="E144" i="255"/>
  <c r="F144" i="255"/>
  <c r="G144" i="255"/>
  <c r="H144" i="255" s="1"/>
  <c r="H150" i="255"/>
  <c r="H151" i="255"/>
  <c r="H152" i="255"/>
  <c r="H153" i="255"/>
  <c r="E154" i="255"/>
  <c r="F154" i="255"/>
  <c r="G154" i="255"/>
  <c r="H154" i="255" s="1"/>
  <c r="H160" i="255"/>
  <c r="H161" i="255"/>
  <c r="E162" i="255"/>
  <c r="F162" i="255"/>
  <c r="G162" i="255"/>
  <c r="H162" i="255"/>
  <c r="H168" i="255"/>
  <c r="H169" i="255"/>
  <c r="E170" i="255"/>
  <c r="F170" i="255"/>
  <c r="G170" i="255"/>
  <c r="H170" i="255" s="1"/>
  <c r="H176" i="255"/>
  <c r="H177" i="255"/>
  <c r="E178" i="255"/>
  <c r="F178" i="255"/>
  <c r="G178" i="255"/>
  <c r="H178" i="255"/>
  <c r="H184" i="255"/>
  <c r="H185" i="255"/>
  <c r="E186" i="255"/>
  <c r="F186" i="255"/>
  <c r="G186" i="255"/>
  <c r="H186" i="255" s="1"/>
  <c r="H192" i="255"/>
  <c r="H193" i="255"/>
  <c r="H194" i="255"/>
  <c r="H195" i="255"/>
  <c r="E196" i="255"/>
  <c r="F196" i="255"/>
  <c r="G196" i="255"/>
  <c r="H196" i="255" s="1"/>
  <c r="H202" i="255"/>
  <c r="H203" i="255"/>
  <c r="E204" i="255"/>
  <c r="F204" i="255"/>
  <c r="G204" i="255"/>
  <c r="H204" i="255"/>
  <c r="H210" i="255"/>
  <c r="H211" i="255"/>
  <c r="E212" i="255"/>
  <c r="F212" i="255"/>
  <c r="G212" i="255"/>
  <c r="H212" i="255" s="1"/>
  <c r="H218" i="255"/>
  <c r="H219" i="255"/>
  <c r="E220" i="255"/>
  <c r="F220" i="255"/>
  <c r="G220" i="255"/>
  <c r="H220" i="255"/>
  <c r="H226" i="255"/>
  <c r="H227" i="255"/>
  <c r="H228" i="255"/>
  <c r="H229" i="255"/>
  <c r="E230" i="255"/>
  <c r="F230" i="255"/>
  <c r="G230" i="255"/>
  <c r="H230" i="255"/>
  <c r="H236" i="255"/>
  <c r="H237" i="255"/>
  <c r="H238" i="255"/>
  <c r="H239" i="255"/>
  <c r="E240" i="255"/>
  <c r="F240" i="255"/>
  <c r="G240" i="255"/>
  <c r="H240" i="255"/>
  <c r="H246" i="255"/>
  <c r="H247" i="255"/>
  <c r="H248" i="255"/>
  <c r="H249" i="255"/>
  <c r="E250" i="255"/>
  <c r="F250" i="255"/>
  <c r="G250" i="255"/>
  <c r="H250" i="255"/>
  <c r="H256" i="255"/>
  <c r="H257" i="255"/>
  <c r="E258" i="255"/>
  <c r="F258" i="255"/>
  <c r="G258" i="255"/>
  <c r="H258" i="255" s="1"/>
  <c r="H264" i="255"/>
  <c r="H265" i="255"/>
  <c r="E266" i="255"/>
  <c r="F266" i="255"/>
  <c r="G266" i="255"/>
  <c r="H266" i="255"/>
  <c r="H272" i="255"/>
  <c r="H273" i="255"/>
  <c r="H274" i="255"/>
  <c r="H275" i="255"/>
  <c r="E276" i="255"/>
  <c r="F276" i="255"/>
  <c r="G276" i="255"/>
  <c r="H276" i="255"/>
  <c r="H282" i="255"/>
  <c r="H283" i="255"/>
  <c r="E284" i="255"/>
  <c r="F284" i="255"/>
  <c r="G284" i="255"/>
  <c r="H284" i="255" s="1"/>
  <c r="H290" i="255"/>
  <c r="H291" i="255"/>
  <c r="E292" i="255"/>
  <c r="F292" i="255"/>
  <c r="G292" i="255"/>
  <c r="H292" i="255"/>
  <c r="H298" i="255"/>
  <c r="H299" i="255"/>
  <c r="H300" i="255"/>
  <c r="H301" i="255"/>
  <c r="E302" i="255"/>
  <c r="F302" i="255"/>
  <c r="G302" i="255"/>
  <c r="H302" i="255"/>
  <c r="H308" i="255"/>
  <c r="H309" i="255"/>
  <c r="H310" i="255"/>
  <c r="H311" i="255"/>
  <c r="E312" i="255"/>
  <c r="F312" i="255"/>
  <c r="G312" i="255"/>
  <c r="H312" i="255"/>
  <c r="H318" i="255"/>
  <c r="H319" i="255"/>
  <c r="E320" i="255"/>
  <c r="F320" i="255"/>
  <c r="G320" i="255"/>
  <c r="H320" i="255" s="1"/>
  <c r="H326" i="255"/>
  <c r="H327" i="255"/>
  <c r="H328" i="255"/>
  <c r="H329" i="255"/>
  <c r="E330" i="255"/>
  <c r="F330" i="255"/>
  <c r="G330" i="255"/>
  <c r="H330" i="255" s="1"/>
  <c r="H336" i="255"/>
  <c r="H337" i="255"/>
  <c r="H338" i="255"/>
  <c r="H339" i="255"/>
  <c r="E342" i="255"/>
  <c r="F342" i="255"/>
  <c r="G342" i="255"/>
  <c r="H342" i="255" s="1"/>
  <c r="H348" i="255"/>
  <c r="H349" i="255"/>
  <c r="H350" i="255"/>
  <c r="H351" i="255"/>
  <c r="E352" i="255"/>
  <c r="F352" i="255"/>
  <c r="G352" i="255"/>
  <c r="H352" i="255" s="1"/>
  <c r="H358" i="255"/>
  <c r="H359" i="255"/>
  <c r="E360" i="255"/>
  <c r="F360" i="255"/>
  <c r="G360" i="255"/>
  <c r="H360" i="255"/>
  <c r="H366" i="255"/>
  <c r="H367" i="255"/>
  <c r="H368" i="255"/>
  <c r="H369" i="255"/>
  <c r="E370" i="255"/>
  <c r="F370" i="255"/>
  <c r="G370" i="255"/>
  <c r="H370" i="255"/>
  <c r="H376" i="255"/>
  <c r="H377" i="255"/>
  <c r="H378" i="255"/>
  <c r="H379" i="255"/>
  <c r="E380" i="255"/>
  <c r="F380" i="255"/>
  <c r="G380" i="255"/>
  <c r="H380" i="255"/>
  <c r="H386" i="255"/>
  <c r="H387" i="255"/>
  <c r="E388" i="255"/>
  <c r="F388" i="255"/>
  <c r="G388" i="255"/>
  <c r="H388" i="255" s="1"/>
  <c r="H394" i="255"/>
  <c r="H395" i="255"/>
  <c r="E396" i="255"/>
  <c r="F396" i="255"/>
  <c r="G396" i="255"/>
  <c r="H396" i="255"/>
  <c r="H402" i="255"/>
  <c r="H403" i="255"/>
  <c r="H404" i="255"/>
  <c r="H405" i="255"/>
  <c r="E406" i="255"/>
  <c r="F406" i="255"/>
  <c r="G406" i="255"/>
  <c r="H406" i="255"/>
  <c r="E410" i="255"/>
  <c r="E415" i="255" s="1"/>
  <c r="J410" i="255"/>
  <c r="K410" i="255"/>
  <c r="L410" i="255"/>
  <c r="E411" i="255"/>
  <c r="F411" i="255"/>
  <c r="F410" i="255" s="1"/>
  <c r="F415" i="255" s="1"/>
  <c r="G411" i="255"/>
  <c r="G410" i="255" s="1"/>
  <c r="E412" i="255"/>
  <c r="F412" i="255"/>
  <c r="G412" i="255"/>
  <c r="D537" i="255"/>
  <c r="I176" i="20"/>
  <c r="I177" i="20"/>
  <c r="H176" i="20"/>
  <c r="H177" i="20"/>
  <c r="H175" i="20"/>
  <c r="I175" i="20"/>
  <c r="G176" i="20"/>
  <c r="G177" i="20"/>
  <c r="G175" i="20"/>
  <c r="E176" i="20"/>
  <c r="E177" i="20"/>
  <c r="D176" i="20"/>
  <c r="D177" i="20"/>
  <c r="D175" i="20"/>
  <c r="E175" i="20"/>
  <c r="C176" i="20"/>
  <c r="C177" i="20"/>
  <c r="C175" i="20"/>
  <c r="H13" i="254"/>
  <c r="H14" i="254"/>
  <c r="H15" i="254"/>
  <c r="E17" i="254"/>
  <c r="F17" i="254"/>
  <c r="G17" i="254"/>
  <c r="H23" i="254"/>
  <c r="H24" i="254"/>
  <c r="H25" i="254"/>
  <c r="H26" i="254"/>
  <c r="H27" i="254"/>
  <c r="H28" i="254"/>
  <c r="E29" i="254"/>
  <c r="F29" i="254"/>
  <c r="H29" i="254" s="1"/>
  <c r="G29" i="254"/>
  <c r="H35" i="254"/>
  <c r="H36" i="254"/>
  <c r="H37" i="254"/>
  <c r="H38" i="254"/>
  <c r="H39" i="254"/>
  <c r="H40" i="254"/>
  <c r="H41" i="254"/>
  <c r="H42" i="254"/>
  <c r="H43" i="254"/>
  <c r="E44" i="254"/>
  <c r="F44" i="254"/>
  <c r="G44" i="254"/>
  <c r="H44" i="254"/>
  <c r="H50" i="254"/>
  <c r="H51" i="254"/>
  <c r="H52" i="254"/>
  <c r="H53" i="254"/>
  <c r="H54" i="254"/>
  <c r="H55" i="254"/>
  <c r="E56" i="254"/>
  <c r="F56" i="254"/>
  <c r="G56" i="254"/>
  <c r="H56" i="254" s="1"/>
  <c r="H62" i="254"/>
  <c r="H63" i="254"/>
  <c r="H64" i="254"/>
  <c r="H65" i="254"/>
  <c r="E66" i="254"/>
  <c r="F66" i="254"/>
  <c r="G66" i="254"/>
  <c r="H66" i="254" s="1"/>
  <c r="H72" i="254"/>
  <c r="H73" i="254"/>
  <c r="H74" i="254"/>
  <c r="H75" i="254"/>
  <c r="H76" i="254"/>
  <c r="E77" i="254"/>
  <c r="F77" i="254"/>
  <c r="H77" i="254" s="1"/>
  <c r="G77" i="254"/>
  <c r="H84" i="254"/>
  <c r="H85" i="254"/>
  <c r="H86" i="254"/>
  <c r="H87" i="254"/>
  <c r="H88" i="254"/>
  <c r="E89" i="254"/>
  <c r="F89" i="254"/>
  <c r="G89" i="254"/>
  <c r="H89" i="254"/>
  <c r="H96" i="254"/>
  <c r="H97" i="254"/>
  <c r="H98" i="254"/>
  <c r="H99" i="254"/>
  <c r="H100" i="254"/>
  <c r="H101" i="254"/>
  <c r="H102" i="254"/>
  <c r="H103" i="254"/>
  <c r="H104" i="254"/>
  <c r="H105" i="254"/>
  <c r="H106" i="254"/>
  <c r="H107" i="254"/>
  <c r="E109" i="254"/>
  <c r="F109" i="254"/>
  <c r="G109" i="254"/>
  <c r="H109" i="254"/>
  <c r="H115" i="254"/>
  <c r="H116" i="254"/>
  <c r="H117" i="254"/>
  <c r="H118" i="254"/>
  <c r="H119" i="254"/>
  <c r="H120" i="254"/>
  <c r="E121" i="254"/>
  <c r="F121" i="254"/>
  <c r="G121" i="254"/>
  <c r="H121" i="254" s="1"/>
  <c r="H127" i="254"/>
  <c r="H128" i="254"/>
  <c r="H129" i="254"/>
  <c r="H130" i="254"/>
  <c r="H131" i="254"/>
  <c r="H132" i="254"/>
  <c r="E133" i="254"/>
  <c r="F133" i="254"/>
  <c r="G133" i="254"/>
  <c r="H133" i="254"/>
  <c r="H141" i="254"/>
  <c r="H142" i="254"/>
  <c r="H143" i="254"/>
  <c r="H144" i="254"/>
  <c r="H145" i="254"/>
  <c r="H146" i="254"/>
  <c r="H147" i="254"/>
  <c r="E149" i="254"/>
  <c r="F149" i="254"/>
  <c r="G149" i="254"/>
  <c r="H149" i="254" s="1"/>
  <c r="H155" i="254"/>
  <c r="H156" i="254"/>
  <c r="H157" i="254"/>
  <c r="H158" i="254"/>
  <c r="H159" i="254"/>
  <c r="H160" i="254"/>
  <c r="E161" i="254"/>
  <c r="F161" i="254"/>
  <c r="G161" i="254"/>
  <c r="H161" i="254"/>
  <c r="H167" i="254"/>
  <c r="H168" i="254"/>
  <c r="H169" i="254"/>
  <c r="H170" i="254"/>
  <c r="H171" i="254"/>
  <c r="H172" i="254"/>
  <c r="H173" i="254"/>
  <c r="H174" i="254"/>
  <c r="H175" i="254"/>
  <c r="E177" i="254"/>
  <c r="F177" i="254"/>
  <c r="G177" i="254"/>
  <c r="H177" i="254" s="1"/>
  <c r="H183" i="254"/>
  <c r="H184" i="254"/>
  <c r="H185" i="254"/>
  <c r="H186" i="254"/>
  <c r="H187" i="254"/>
  <c r="H188" i="254"/>
  <c r="H189" i="254"/>
  <c r="H190" i="254"/>
  <c r="E192" i="254"/>
  <c r="F192" i="254"/>
  <c r="G192" i="254"/>
  <c r="H192" i="254" s="1"/>
  <c r="H198" i="254"/>
  <c r="H199" i="254"/>
  <c r="H200" i="254"/>
  <c r="H201" i="254"/>
  <c r="H202" i="254"/>
  <c r="H203" i="254"/>
  <c r="E205" i="254"/>
  <c r="F205" i="254"/>
  <c r="G205" i="254"/>
  <c r="H205" i="254"/>
  <c r="H211" i="254"/>
  <c r="H212" i="254"/>
  <c r="H213" i="254"/>
  <c r="H214" i="254"/>
  <c r="H215" i="254"/>
  <c r="E217" i="254"/>
  <c r="F217" i="254"/>
  <c r="G217" i="254"/>
  <c r="H217" i="254"/>
  <c r="H223" i="254"/>
  <c r="H224" i="254"/>
  <c r="H225" i="254"/>
  <c r="H226" i="254"/>
  <c r="H227" i="254"/>
  <c r="H228" i="254"/>
  <c r="E230" i="254"/>
  <c r="F230" i="254"/>
  <c r="G230" i="254"/>
  <c r="H230" i="254" s="1"/>
  <c r="H236" i="254"/>
  <c r="H238" i="254"/>
  <c r="H239" i="254"/>
  <c r="H240" i="254"/>
  <c r="H241" i="254"/>
  <c r="H242" i="254"/>
  <c r="E244" i="254"/>
  <c r="F244" i="254"/>
  <c r="G244" i="254"/>
  <c r="H244" i="254"/>
  <c r="H250" i="254"/>
  <c r="H251" i="254"/>
  <c r="H252" i="254"/>
  <c r="H253" i="254"/>
  <c r="H254" i="254"/>
  <c r="H255" i="254"/>
  <c r="H256" i="254"/>
  <c r="E257" i="254"/>
  <c r="F257" i="254"/>
  <c r="G257" i="254"/>
  <c r="H257" i="254"/>
  <c r="H263" i="254"/>
  <c r="H264" i="254"/>
  <c r="H265" i="254"/>
  <c r="H266" i="254"/>
  <c r="H267" i="254"/>
  <c r="H268" i="254"/>
  <c r="H269" i="254"/>
  <c r="H270" i="254"/>
  <c r="H271" i="254"/>
  <c r="H272" i="254"/>
  <c r="E274" i="254"/>
  <c r="F274" i="254"/>
  <c r="G274" i="254"/>
  <c r="H274" i="254" s="1"/>
  <c r="H280" i="254"/>
  <c r="H281" i="254"/>
  <c r="H282" i="254"/>
  <c r="H283" i="254"/>
  <c r="H284" i="254"/>
  <c r="H285" i="254"/>
  <c r="H286" i="254"/>
  <c r="E288" i="254"/>
  <c r="F288" i="254"/>
  <c r="G288" i="254"/>
  <c r="H288" i="254"/>
  <c r="H295" i="254"/>
  <c r="H296" i="254"/>
  <c r="H297" i="254"/>
  <c r="H298" i="254"/>
  <c r="H299" i="254"/>
  <c r="E301" i="254"/>
  <c r="F301" i="254"/>
  <c r="G301" i="254"/>
  <c r="H301" i="254" s="1"/>
  <c r="H307" i="254"/>
  <c r="H308" i="254"/>
  <c r="H309" i="254"/>
  <c r="E311" i="254"/>
  <c r="F311" i="254"/>
  <c r="G311" i="254"/>
  <c r="H311" i="254"/>
  <c r="H329" i="254"/>
  <c r="H330" i="254"/>
  <c r="E331" i="254"/>
  <c r="F331" i="254"/>
  <c r="G331" i="254"/>
  <c r="H331" i="254" s="1"/>
  <c r="H337" i="254"/>
  <c r="H338" i="254"/>
  <c r="H339" i="254"/>
  <c r="H340" i="254"/>
  <c r="H341" i="254"/>
  <c r="H342" i="254"/>
  <c r="H343" i="254"/>
  <c r="H344" i="254"/>
  <c r="H345" i="254"/>
  <c r="E346" i="254"/>
  <c r="F346" i="254"/>
  <c r="G346" i="254"/>
  <c r="H346" i="254"/>
  <c r="H352" i="254"/>
  <c r="H353" i="254"/>
  <c r="H354" i="254"/>
  <c r="E356" i="254"/>
  <c r="F356" i="254"/>
  <c r="H356" i="254" s="1"/>
  <c r="G356" i="254"/>
  <c r="H362" i="254"/>
  <c r="H363" i="254"/>
  <c r="H364" i="254"/>
  <c r="H365" i="254"/>
  <c r="H366" i="254"/>
  <c r="E367" i="254"/>
  <c r="F367" i="254"/>
  <c r="G367" i="254"/>
  <c r="H367" i="254"/>
  <c r="H373" i="254"/>
  <c r="H374" i="254"/>
  <c r="H375" i="254"/>
  <c r="H376" i="254"/>
  <c r="E378" i="254"/>
  <c r="F378" i="254"/>
  <c r="G378" i="254"/>
  <c r="H378" i="254"/>
  <c r="H384" i="254"/>
  <c r="H385" i="254"/>
  <c r="H386" i="254"/>
  <c r="E388" i="254"/>
  <c r="F388" i="254"/>
  <c r="H388" i="254" s="1"/>
  <c r="G388" i="254"/>
  <c r="H394" i="254"/>
  <c r="H395" i="254"/>
  <c r="H396" i="254"/>
  <c r="H397" i="254"/>
  <c r="H398" i="254"/>
  <c r="H399" i="254"/>
  <c r="E400" i="254"/>
  <c r="F400" i="254"/>
  <c r="G400" i="254"/>
  <c r="H400" i="254"/>
  <c r="H406" i="254"/>
  <c r="H407" i="254"/>
  <c r="H408" i="254"/>
  <c r="H409" i="254"/>
  <c r="E410" i="254"/>
  <c r="F410" i="254"/>
  <c r="G410" i="254"/>
  <c r="H410" i="254"/>
  <c r="H416" i="254"/>
  <c r="H417" i="254"/>
  <c r="H418" i="254"/>
  <c r="H419" i="254"/>
  <c r="E420" i="254"/>
  <c r="F420" i="254"/>
  <c r="G420" i="254"/>
  <c r="H420" i="254"/>
  <c r="H426" i="254"/>
  <c r="H427" i="254"/>
  <c r="H428" i="254"/>
  <c r="H429" i="254"/>
  <c r="E430" i="254"/>
  <c r="F430" i="254"/>
  <c r="G430" i="254"/>
  <c r="H430" i="254"/>
  <c r="H436" i="254"/>
  <c r="H437" i="254"/>
  <c r="H438" i="254"/>
  <c r="H439" i="254"/>
  <c r="E440" i="254"/>
  <c r="F440" i="254"/>
  <c r="G440" i="254"/>
  <c r="H440" i="254"/>
  <c r="H446" i="254"/>
  <c r="H447" i="254"/>
  <c r="H448" i="254"/>
  <c r="E450" i="254"/>
  <c r="F450" i="254"/>
  <c r="G450" i="254"/>
  <c r="H450" i="254"/>
  <c r="H456" i="254"/>
  <c r="H457" i="254"/>
  <c r="H458" i="254"/>
  <c r="H459" i="254"/>
  <c r="H460" i="254"/>
  <c r="H461" i="254"/>
  <c r="H462" i="254"/>
  <c r="E464" i="254"/>
  <c r="F464" i="254"/>
  <c r="G464" i="254"/>
  <c r="H464" i="254" s="1"/>
  <c r="H470" i="254"/>
  <c r="H471" i="254"/>
  <c r="H472" i="254"/>
  <c r="H473" i="254"/>
  <c r="H475" i="254"/>
  <c r="H476" i="254"/>
  <c r="H477" i="254"/>
  <c r="H478" i="254"/>
  <c r="H479" i="254"/>
  <c r="E480" i="254"/>
  <c r="F480" i="254"/>
  <c r="G480" i="254"/>
  <c r="H480" i="254"/>
  <c r="H486" i="254"/>
  <c r="H487" i="254"/>
  <c r="H488" i="254"/>
  <c r="H489" i="254"/>
  <c r="H490" i="254"/>
  <c r="H491" i="254"/>
  <c r="E492" i="254"/>
  <c r="F492" i="254"/>
  <c r="G492" i="254"/>
  <c r="H492" i="254" s="1"/>
  <c r="H498" i="254"/>
  <c r="H499" i="254"/>
  <c r="H501" i="254"/>
  <c r="H502" i="254"/>
  <c r="H503" i="254"/>
  <c r="H504" i="254"/>
  <c r="H505" i="254"/>
  <c r="H506" i="254"/>
  <c r="E507" i="254"/>
  <c r="F507" i="254"/>
  <c r="G507" i="254"/>
  <c r="H507" i="254" s="1"/>
  <c r="H513" i="254"/>
  <c r="H514" i="254"/>
  <c r="H517" i="254"/>
  <c r="H518" i="254"/>
  <c r="H519" i="254"/>
  <c r="H520" i="254"/>
  <c r="H521" i="254"/>
  <c r="E523" i="254"/>
  <c r="F523" i="254"/>
  <c r="G523" i="254"/>
  <c r="H523" i="254"/>
  <c r="H529" i="254"/>
  <c r="H530" i="254"/>
  <c r="H531" i="254"/>
  <c r="E533" i="254"/>
  <c r="F533" i="254"/>
  <c r="G533" i="254"/>
  <c r="H533" i="254"/>
  <c r="H539" i="254"/>
  <c r="H540" i="254"/>
  <c r="H541" i="254"/>
  <c r="H542" i="254"/>
  <c r="H543" i="254"/>
  <c r="E544" i="254"/>
  <c r="F544" i="254"/>
  <c r="G544" i="254"/>
  <c r="H544" i="254"/>
  <c r="H550" i="254"/>
  <c r="H551" i="254"/>
  <c r="H552" i="254"/>
  <c r="E554" i="254"/>
  <c r="F554" i="254"/>
  <c r="G554" i="254"/>
  <c r="H554" i="254"/>
  <c r="H560" i="254"/>
  <c r="H561" i="254"/>
  <c r="H562" i="254"/>
  <c r="E564" i="254"/>
  <c r="F564" i="254"/>
  <c r="G564" i="254"/>
  <c r="H564" i="254" s="1"/>
  <c r="H570" i="254"/>
  <c r="H571" i="254"/>
  <c r="H572" i="254"/>
  <c r="H573" i="254"/>
  <c r="H574" i="254"/>
  <c r="H575" i="254"/>
  <c r="H576" i="254"/>
  <c r="H577" i="254"/>
  <c r="E578" i="254"/>
  <c r="F578" i="254"/>
  <c r="G578" i="254"/>
  <c r="E592" i="254"/>
  <c r="F592" i="254"/>
  <c r="G592" i="254"/>
  <c r="G596" i="254"/>
  <c r="J596" i="254"/>
  <c r="K596" i="254"/>
  <c r="L596" i="254"/>
  <c r="E597" i="254"/>
  <c r="E596" i="254" s="1"/>
  <c r="E601" i="254" s="1"/>
  <c r="F597" i="254"/>
  <c r="F596" i="254" s="1"/>
  <c r="F601" i="254" s="1"/>
  <c r="G597" i="254"/>
  <c r="E598" i="254"/>
  <c r="F598" i="254"/>
  <c r="G598" i="254"/>
  <c r="H598" i="254"/>
  <c r="E599" i="254"/>
  <c r="F599" i="254"/>
  <c r="G599" i="254"/>
  <c r="D725" i="254"/>
  <c r="I171" i="20"/>
  <c r="I172" i="20"/>
  <c r="H171" i="20"/>
  <c r="H172" i="20"/>
  <c r="H170" i="20"/>
  <c r="I170" i="20"/>
  <c r="G171" i="20"/>
  <c r="G172" i="20"/>
  <c r="G170" i="20"/>
  <c r="E171" i="20"/>
  <c r="E172" i="20"/>
  <c r="D171" i="20"/>
  <c r="D172" i="20"/>
  <c r="D170" i="20"/>
  <c r="E170" i="20"/>
  <c r="C171" i="20"/>
  <c r="C172" i="20"/>
  <c r="C170" i="20"/>
  <c r="H12" i="253"/>
  <c r="H13" i="253"/>
  <c r="H14" i="253"/>
  <c r="E15" i="253"/>
  <c r="F15" i="253"/>
  <c r="G15" i="253"/>
  <c r="H21" i="253"/>
  <c r="H22" i="253"/>
  <c r="H23" i="253"/>
  <c r="H24" i="253"/>
  <c r="E25" i="253"/>
  <c r="F25" i="253"/>
  <c r="G25" i="253"/>
  <c r="H25" i="253"/>
  <c r="H31" i="253"/>
  <c r="H32" i="253"/>
  <c r="H33" i="253"/>
  <c r="H35" i="253"/>
  <c r="E36" i="253"/>
  <c r="F36" i="253"/>
  <c r="G36" i="253"/>
  <c r="H36" i="253"/>
  <c r="H42" i="253"/>
  <c r="H43" i="253"/>
  <c r="H44" i="253"/>
  <c r="E46" i="253"/>
  <c r="F46" i="253"/>
  <c r="G46" i="253"/>
  <c r="H46" i="253"/>
  <c r="H52" i="253"/>
  <c r="H53" i="253"/>
  <c r="H54" i="253"/>
  <c r="H56" i="253"/>
  <c r="E57" i="253"/>
  <c r="F57" i="253"/>
  <c r="G57" i="253"/>
  <c r="H57" i="253"/>
  <c r="H65" i="253"/>
  <c r="H66" i="253"/>
  <c r="H67" i="253"/>
  <c r="H68" i="253"/>
  <c r="E69" i="253"/>
  <c r="F69" i="253"/>
  <c r="G69" i="253"/>
  <c r="H69" i="253"/>
  <c r="H76" i="253"/>
  <c r="H78" i="253"/>
  <c r="E79" i="253"/>
  <c r="F79" i="253"/>
  <c r="G79" i="253"/>
  <c r="H79" i="253" s="1"/>
  <c r="H86" i="253"/>
  <c r="H87" i="253"/>
  <c r="H88" i="253"/>
  <c r="H89" i="253"/>
  <c r="H90" i="253"/>
  <c r="E91" i="253"/>
  <c r="F91" i="253"/>
  <c r="H91" i="253" s="1"/>
  <c r="G91" i="253"/>
  <c r="H98" i="253"/>
  <c r="H99" i="253"/>
  <c r="H100" i="253"/>
  <c r="E101" i="253"/>
  <c r="F101" i="253"/>
  <c r="G101" i="253"/>
  <c r="H101" i="253" s="1"/>
  <c r="H107" i="253"/>
  <c r="H108" i="253"/>
  <c r="H109" i="253"/>
  <c r="E110" i="253"/>
  <c r="F110" i="253"/>
  <c r="G110" i="253"/>
  <c r="H110" i="253"/>
  <c r="H116" i="253"/>
  <c r="H117" i="253"/>
  <c r="H118" i="253"/>
  <c r="H119" i="253"/>
  <c r="H120" i="253"/>
  <c r="E121" i="253"/>
  <c r="F121" i="253"/>
  <c r="G121" i="253"/>
  <c r="H121" i="253" s="1"/>
  <c r="H127" i="253"/>
  <c r="H128" i="253"/>
  <c r="H129" i="253"/>
  <c r="H130" i="253"/>
  <c r="H131" i="253"/>
  <c r="E132" i="253"/>
  <c r="F132" i="253"/>
  <c r="H132" i="253" s="1"/>
  <c r="G132" i="253"/>
  <c r="H138" i="253"/>
  <c r="H139" i="253"/>
  <c r="H140" i="253"/>
  <c r="H142" i="253"/>
  <c r="E143" i="253"/>
  <c r="F143" i="253"/>
  <c r="H143" i="253" s="1"/>
  <c r="G143" i="253"/>
  <c r="H149" i="253"/>
  <c r="H150" i="253"/>
  <c r="H152" i="253"/>
  <c r="E153" i="253"/>
  <c r="F153" i="253"/>
  <c r="G153" i="253"/>
  <c r="H153" i="253" s="1"/>
  <c r="H159" i="253"/>
  <c r="H160" i="253"/>
  <c r="H161" i="253"/>
  <c r="H163" i="253"/>
  <c r="H164" i="253"/>
  <c r="E165" i="253"/>
  <c r="F165" i="253"/>
  <c r="H165" i="253" s="1"/>
  <c r="G165" i="253"/>
  <c r="H171" i="253"/>
  <c r="H172" i="253"/>
  <c r="H173" i="253"/>
  <c r="H175" i="253"/>
  <c r="E176" i="253"/>
  <c r="F176" i="253"/>
  <c r="H176" i="253" s="1"/>
  <c r="G176" i="253"/>
  <c r="H182" i="253"/>
  <c r="H183" i="253"/>
  <c r="H184" i="253"/>
  <c r="H186" i="253"/>
  <c r="E187" i="253"/>
  <c r="F187" i="253"/>
  <c r="H187" i="253" s="1"/>
  <c r="G187" i="253"/>
  <c r="H193" i="253"/>
  <c r="H194" i="253"/>
  <c r="H195" i="253"/>
  <c r="H197" i="253"/>
  <c r="E198" i="253"/>
  <c r="F198" i="253"/>
  <c r="H198" i="253" s="1"/>
  <c r="G198" i="253"/>
  <c r="H204" i="253"/>
  <c r="H205" i="253"/>
  <c r="H206" i="253"/>
  <c r="H207" i="253"/>
  <c r="H208" i="253"/>
  <c r="E209" i="253"/>
  <c r="F209" i="253"/>
  <c r="G209" i="253"/>
  <c r="H209" i="253"/>
  <c r="H215" i="253"/>
  <c r="H216" i="253"/>
  <c r="H217" i="253"/>
  <c r="H218" i="253"/>
  <c r="H219" i="253"/>
  <c r="E220" i="253"/>
  <c r="F220" i="253"/>
  <c r="G220" i="253"/>
  <c r="H220" i="253"/>
  <c r="H226" i="253"/>
  <c r="H227" i="253"/>
  <c r="H228" i="253"/>
  <c r="H229" i="253"/>
  <c r="H230" i="253"/>
  <c r="H231" i="253"/>
  <c r="E232" i="253"/>
  <c r="F232" i="253"/>
  <c r="G232" i="253"/>
  <c r="H232" i="253" s="1"/>
  <c r="H238" i="253"/>
  <c r="H239" i="253"/>
  <c r="H240" i="253"/>
  <c r="H242" i="253"/>
  <c r="E243" i="253"/>
  <c r="F243" i="253"/>
  <c r="G243" i="253"/>
  <c r="H243" i="253" s="1"/>
  <c r="H249" i="253"/>
  <c r="H250" i="253"/>
  <c r="H251" i="253"/>
  <c r="H253" i="253"/>
  <c r="E254" i="253"/>
  <c r="F254" i="253"/>
  <c r="G254" i="253"/>
  <c r="H254" i="253" s="1"/>
  <c r="H260" i="253"/>
  <c r="H261" i="253"/>
  <c r="H262" i="253"/>
  <c r="H263" i="253"/>
  <c r="H264" i="253"/>
  <c r="E265" i="253"/>
  <c r="F265" i="253"/>
  <c r="G265" i="253"/>
  <c r="H265" i="253"/>
  <c r="H271" i="253"/>
  <c r="H272" i="253"/>
  <c r="H273" i="253"/>
  <c r="H274" i="253"/>
  <c r="H275" i="253"/>
  <c r="E276" i="253"/>
  <c r="F276" i="253"/>
  <c r="G276" i="253"/>
  <c r="H276" i="253"/>
  <c r="H282" i="253"/>
  <c r="H283" i="253"/>
  <c r="H284" i="253"/>
  <c r="H285" i="253"/>
  <c r="H286" i="253"/>
  <c r="E287" i="253"/>
  <c r="F287" i="253"/>
  <c r="G287" i="253"/>
  <c r="H287" i="253" s="1"/>
  <c r="H293" i="253"/>
  <c r="H294" i="253"/>
  <c r="H295" i="253"/>
  <c r="H296" i="253"/>
  <c r="H297" i="253"/>
  <c r="E298" i="253"/>
  <c r="F298" i="253"/>
  <c r="G298" i="253"/>
  <c r="H298" i="253" s="1"/>
  <c r="H304" i="253"/>
  <c r="H305" i="253"/>
  <c r="H306" i="253"/>
  <c r="H307" i="253"/>
  <c r="H308" i="253"/>
  <c r="E309" i="253"/>
  <c r="F309" i="253"/>
  <c r="G309" i="253"/>
  <c r="H309" i="253"/>
  <c r="H315" i="253"/>
  <c r="H316" i="253"/>
  <c r="H317" i="253"/>
  <c r="H318" i="253"/>
  <c r="H319" i="253"/>
  <c r="E320" i="253"/>
  <c r="F320" i="253"/>
  <c r="G320" i="253"/>
  <c r="H320" i="253"/>
  <c r="H326" i="253"/>
  <c r="H327" i="253"/>
  <c r="H328" i="253"/>
  <c r="H329" i="253"/>
  <c r="H330" i="253"/>
  <c r="E331" i="253"/>
  <c r="F331" i="253"/>
  <c r="G331" i="253"/>
  <c r="H331" i="253" s="1"/>
  <c r="H337" i="253"/>
  <c r="H338" i="253"/>
  <c r="H339" i="253"/>
  <c r="H340" i="253"/>
  <c r="H341" i="253"/>
  <c r="E342" i="253"/>
  <c r="F342" i="253"/>
  <c r="H342" i="253" s="1"/>
  <c r="G342" i="253"/>
  <c r="H348" i="253"/>
  <c r="H349" i="253"/>
  <c r="H350" i="253"/>
  <c r="H351" i="253"/>
  <c r="H352" i="253"/>
  <c r="E353" i="253"/>
  <c r="F353" i="253"/>
  <c r="G353" i="253"/>
  <c r="H353" i="253"/>
  <c r="H359" i="253"/>
  <c r="H360" i="253"/>
  <c r="H361" i="253"/>
  <c r="H362" i="253"/>
  <c r="H363" i="253"/>
  <c r="E364" i="253"/>
  <c r="F364" i="253"/>
  <c r="G364" i="253"/>
  <c r="H364" i="253"/>
  <c r="E379" i="253"/>
  <c r="F379" i="253"/>
  <c r="G379" i="253"/>
  <c r="K388" i="253"/>
  <c r="L388" i="253"/>
  <c r="E389" i="253"/>
  <c r="F389" i="253"/>
  <c r="F388" i="253" s="1"/>
  <c r="F393" i="253" s="1"/>
  <c r="G389" i="253"/>
  <c r="G388" i="253" s="1"/>
  <c r="M389" i="253"/>
  <c r="M388" i="253" s="1"/>
  <c r="E390" i="253"/>
  <c r="E388" i="253" s="1"/>
  <c r="E393" i="253" s="1"/>
  <c r="F390" i="253"/>
  <c r="G390" i="253"/>
  <c r="H390" i="253"/>
  <c r="E391" i="253"/>
  <c r="F391" i="253"/>
  <c r="G391" i="253"/>
  <c r="I154" i="20"/>
  <c r="I155" i="20"/>
  <c r="H154" i="20"/>
  <c r="H155" i="20"/>
  <c r="H153" i="20"/>
  <c r="I153" i="20"/>
  <c r="G154" i="20"/>
  <c r="G155" i="20"/>
  <c r="G153" i="20"/>
  <c r="E154" i="20"/>
  <c r="E155" i="20"/>
  <c r="D154" i="20"/>
  <c r="D155" i="20"/>
  <c r="D153" i="20"/>
  <c r="E153" i="20"/>
  <c r="C154" i="20"/>
  <c r="C155" i="20"/>
  <c r="C153" i="20"/>
  <c r="H11" i="252"/>
  <c r="E14" i="252"/>
  <c r="F14" i="252"/>
  <c r="G14" i="252"/>
  <c r="H14" i="252" s="1"/>
  <c r="J17" i="252"/>
  <c r="K17" i="252"/>
  <c r="L17" i="252"/>
  <c r="E18" i="252"/>
  <c r="E17" i="252" s="1"/>
  <c r="E22" i="252" s="1"/>
  <c r="F18" i="252"/>
  <c r="F17" i="252" s="1"/>
  <c r="F22" i="252" s="1"/>
  <c r="G18" i="252"/>
  <c r="H18" i="252"/>
  <c r="L18" i="252"/>
  <c r="E20" i="252"/>
  <c r="F20" i="252"/>
  <c r="G20" i="252"/>
  <c r="G17" i="252" s="1"/>
  <c r="I150" i="20"/>
  <c r="I151" i="20"/>
  <c r="H150" i="20"/>
  <c r="L241" i="20" s="1"/>
  <c r="H151" i="20"/>
  <c r="H149" i="20"/>
  <c r="I149" i="20"/>
  <c r="G150" i="20"/>
  <c r="G151" i="20"/>
  <c r="G149" i="20"/>
  <c r="E150" i="20"/>
  <c r="E151" i="20"/>
  <c r="T176" i="20" s="1"/>
  <c r="D150" i="20"/>
  <c r="D151" i="20"/>
  <c r="D149" i="20"/>
  <c r="E149" i="20"/>
  <c r="T264" i="20" s="1"/>
  <c r="C150" i="20"/>
  <c r="C151" i="20"/>
  <c r="C149" i="20"/>
  <c r="H16" i="251"/>
  <c r="H18" i="251"/>
  <c r="H20" i="251"/>
  <c r="E21" i="251"/>
  <c r="F21" i="251"/>
  <c r="H21" i="251" s="1"/>
  <c r="G21" i="251"/>
  <c r="E23" i="251"/>
  <c r="E28" i="251" s="1"/>
  <c r="F23" i="251"/>
  <c r="F28" i="251" s="1"/>
  <c r="J23" i="251"/>
  <c r="K23" i="251"/>
  <c r="L23" i="251"/>
  <c r="E24" i="251"/>
  <c r="F24" i="251"/>
  <c r="G24" i="251"/>
  <c r="G23" i="251" s="1"/>
  <c r="E26" i="251"/>
  <c r="F26" i="251"/>
  <c r="G26" i="251"/>
  <c r="F208" i="269" l="1"/>
  <c r="F213" i="269" s="1"/>
  <c r="H213" i="269" s="1"/>
  <c r="H101" i="269"/>
  <c r="R264" i="20"/>
  <c r="M240" i="20"/>
  <c r="T174" i="20"/>
  <c r="T224" i="20"/>
  <c r="S230" i="20"/>
  <c r="L240" i="20"/>
  <c r="M241" i="20"/>
  <c r="S174" i="20"/>
  <c r="R225" i="20"/>
  <c r="S225" i="20"/>
  <c r="T229" i="20"/>
  <c r="T240" i="20" s="1"/>
  <c r="S264" i="20"/>
  <c r="R230" i="20"/>
  <c r="K242" i="20"/>
  <c r="L242" i="20"/>
  <c r="T223" i="20"/>
  <c r="T225" i="20"/>
  <c r="R224" i="20"/>
  <c r="S224" i="20"/>
  <c r="R229" i="20"/>
  <c r="S229" i="20"/>
  <c r="S240" i="20" s="1"/>
  <c r="T230" i="20"/>
  <c r="M242" i="20"/>
  <c r="H596" i="254"/>
  <c r="H578" i="254"/>
  <c r="E251" i="20"/>
  <c r="T231" i="20" s="1"/>
  <c r="T242" i="20" s="1"/>
  <c r="G272" i="20"/>
  <c r="H272" i="20"/>
  <c r="G267" i="20"/>
  <c r="F273" i="20"/>
  <c r="C272" i="20"/>
  <c r="I272" i="20"/>
  <c r="D272" i="20"/>
  <c r="F272" i="20" s="1"/>
  <c r="D267" i="20"/>
  <c r="E267" i="20"/>
  <c r="H267" i="20"/>
  <c r="C267" i="20"/>
  <c r="I267" i="20"/>
  <c r="I262" i="20"/>
  <c r="F170" i="20"/>
  <c r="G262" i="20"/>
  <c r="H262" i="20"/>
  <c r="F153" i="20"/>
  <c r="F225" i="20"/>
  <c r="F175" i="20"/>
  <c r="G1236" i="270"/>
  <c r="F1252" i="270"/>
  <c r="F1251" i="270" s="1"/>
  <c r="F1256" i="270" s="1"/>
  <c r="F1236" i="270"/>
  <c r="H1197" i="270"/>
  <c r="H1172" i="270"/>
  <c r="F1188" i="270"/>
  <c r="H1149" i="270"/>
  <c r="F1165" i="270"/>
  <c r="H1103" i="270"/>
  <c r="F1119" i="270"/>
  <c r="H1001" i="270"/>
  <c r="E1251" i="270"/>
  <c r="E1256" i="270" s="1"/>
  <c r="F1096" i="270"/>
  <c r="F1073" i="270"/>
  <c r="H1073" i="270" s="1"/>
  <c r="F1037" i="270"/>
  <c r="H1037" i="270" s="1"/>
  <c r="F1001" i="270"/>
  <c r="F965" i="270"/>
  <c r="G138" i="270"/>
  <c r="G102" i="270"/>
  <c r="H102" i="270" s="1"/>
  <c r="G1252" i="270"/>
  <c r="G1251" i="270" s="1"/>
  <c r="G1256" i="270" s="1"/>
  <c r="H1045" i="270"/>
  <c r="H1009" i="270"/>
  <c r="H973" i="270"/>
  <c r="G894" i="270"/>
  <c r="H894" i="270" s="1"/>
  <c r="G858" i="270"/>
  <c r="H858" i="270" s="1"/>
  <c r="G822" i="270"/>
  <c r="H822" i="270" s="1"/>
  <c r="G786" i="270"/>
  <c r="H786" i="270" s="1"/>
  <c r="G750" i="270"/>
  <c r="H750" i="270" s="1"/>
  <c r="G714" i="270"/>
  <c r="H714" i="270" s="1"/>
  <c r="G678" i="270"/>
  <c r="H678" i="270" s="1"/>
  <c r="G642" i="270"/>
  <c r="H642" i="270" s="1"/>
  <c r="G606" i="270"/>
  <c r="H606" i="270" s="1"/>
  <c r="G534" i="270"/>
  <c r="H534" i="270" s="1"/>
  <c r="G498" i="270"/>
  <c r="H498" i="270" s="1"/>
  <c r="G462" i="270"/>
  <c r="H462" i="270" s="1"/>
  <c r="G426" i="270"/>
  <c r="H426" i="270" s="1"/>
  <c r="G390" i="270"/>
  <c r="H390" i="270" s="1"/>
  <c r="G354" i="270"/>
  <c r="H354" i="270" s="1"/>
  <c r="G318" i="270"/>
  <c r="H318" i="270" s="1"/>
  <c r="G282" i="270"/>
  <c r="H282" i="270" s="1"/>
  <c r="G246" i="270"/>
  <c r="H246" i="270" s="1"/>
  <c r="G210" i="270"/>
  <c r="H210" i="270" s="1"/>
  <c r="G174" i="270"/>
  <c r="H174" i="270" s="1"/>
  <c r="G79" i="270"/>
  <c r="H79" i="270" s="1"/>
  <c r="G43" i="270"/>
  <c r="H43" i="270" s="1"/>
  <c r="G1188" i="270"/>
  <c r="H1188" i="270" s="1"/>
  <c r="G1165" i="270"/>
  <c r="H1165" i="270" s="1"/>
  <c r="G1119" i="270"/>
  <c r="G1096" i="270"/>
  <c r="H1096" i="270" s="1"/>
  <c r="G965" i="270"/>
  <c r="H965" i="270" s="1"/>
  <c r="G59" i="268"/>
  <c r="H59" i="268" s="1"/>
  <c r="H54" i="268"/>
  <c r="H55" i="268"/>
  <c r="H66" i="267"/>
  <c r="G71" i="267"/>
  <c r="H71" i="267" s="1"/>
  <c r="G40" i="266"/>
  <c r="H40" i="266" s="1"/>
  <c r="H35" i="266"/>
  <c r="H36" i="266"/>
  <c r="H40" i="265"/>
  <c r="G45" i="265"/>
  <c r="H45" i="265" s="1"/>
  <c r="H41" i="265"/>
  <c r="G93" i="264"/>
  <c r="H93" i="264" s="1"/>
  <c r="H88" i="264"/>
  <c r="H89" i="264"/>
  <c r="G126" i="263"/>
  <c r="H126" i="263" s="1"/>
  <c r="H461" i="262"/>
  <c r="G466" i="262"/>
  <c r="H466" i="262" s="1"/>
  <c r="H462" i="262"/>
  <c r="H284" i="261"/>
  <c r="G289" i="261"/>
  <c r="H289" i="261" s="1"/>
  <c r="H285" i="261"/>
  <c r="H141" i="260"/>
  <c r="G146" i="260"/>
  <c r="H146" i="260" s="1"/>
  <c r="G127" i="259"/>
  <c r="H127" i="259" s="1"/>
  <c r="H122" i="259"/>
  <c r="H123" i="259"/>
  <c r="G709" i="258"/>
  <c r="F227" i="257"/>
  <c r="H227" i="257" s="1"/>
  <c r="H222" i="257"/>
  <c r="H232" i="256"/>
  <c r="G237" i="256"/>
  <c r="H237" i="256" s="1"/>
  <c r="H233" i="256"/>
  <c r="H27" i="255"/>
  <c r="H410" i="255"/>
  <c r="G415" i="255"/>
  <c r="H415" i="255" s="1"/>
  <c r="H411" i="255"/>
  <c r="G601" i="254"/>
  <c r="H601" i="254" s="1"/>
  <c r="G393" i="253"/>
  <c r="H393" i="253" s="1"/>
  <c r="H388" i="253"/>
  <c r="H389" i="253"/>
  <c r="H17" i="252"/>
  <c r="G22" i="252"/>
  <c r="H22" i="252" s="1"/>
  <c r="H23" i="251"/>
  <c r="G28" i="251"/>
  <c r="H28" i="251" s="1"/>
  <c r="H24" i="251"/>
  <c r="U242" i="20" l="1"/>
  <c r="H1256" i="270"/>
  <c r="H1236" i="270"/>
  <c r="H1119" i="270"/>
  <c r="H709" i="258"/>
  <c r="G714" i="258"/>
  <c r="H714" i="258" s="1"/>
  <c r="G13" i="250" l="1"/>
  <c r="H13" i="250"/>
  <c r="I14" i="250"/>
  <c r="I15" i="250"/>
  <c r="I16" i="250"/>
  <c r="F17" i="250"/>
  <c r="R17" i="250" s="1"/>
  <c r="G17" i="250"/>
  <c r="S17" i="250" s="1"/>
  <c r="I24" i="250"/>
  <c r="I25" i="250"/>
  <c r="G26" i="250"/>
  <c r="S26" i="250" s="1"/>
  <c r="H26" i="250"/>
  <c r="T26" i="250" s="1"/>
  <c r="R26" i="250"/>
  <c r="G33" i="250"/>
  <c r="G39" i="250" s="1"/>
  <c r="H33" i="250"/>
  <c r="H39" i="250" s="1"/>
  <c r="T39" i="250" s="1"/>
  <c r="I34" i="250"/>
  <c r="I35" i="250"/>
  <c r="I36" i="250"/>
  <c r="I37" i="250"/>
  <c r="I38" i="250"/>
  <c r="R39" i="250"/>
  <c r="G46" i="250"/>
  <c r="G50" i="250" s="1"/>
  <c r="S50" i="250" s="1"/>
  <c r="H46" i="250"/>
  <c r="H50" i="250" s="1"/>
  <c r="T50" i="250" s="1"/>
  <c r="I47" i="250"/>
  <c r="I48" i="250"/>
  <c r="I49" i="250"/>
  <c r="R50" i="250"/>
  <c r="G57" i="250"/>
  <c r="H57" i="250"/>
  <c r="H63" i="250" s="1"/>
  <c r="T63" i="250" s="1"/>
  <c r="I58" i="250"/>
  <c r="I59" i="250"/>
  <c r="I60" i="250"/>
  <c r="I61" i="250"/>
  <c r="I62" i="250"/>
  <c r="R63" i="250"/>
  <c r="G70" i="250"/>
  <c r="G74" i="250" s="1"/>
  <c r="H70" i="250"/>
  <c r="I71" i="250"/>
  <c r="I72" i="250"/>
  <c r="I73" i="250"/>
  <c r="R74" i="250"/>
  <c r="G82" i="250"/>
  <c r="G86" i="250" s="1"/>
  <c r="H82" i="250"/>
  <c r="H86" i="250" s="1"/>
  <c r="T86" i="250" s="1"/>
  <c r="I83" i="250"/>
  <c r="I84" i="250"/>
  <c r="I85" i="250"/>
  <c r="R86" i="250"/>
  <c r="I93" i="250"/>
  <c r="I94" i="250"/>
  <c r="F95" i="250"/>
  <c r="R95" i="250" s="1"/>
  <c r="G95" i="250"/>
  <c r="S95" i="250" s="1"/>
  <c r="H95" i="250"/>
  <c r="I102" i="250"/>
  <c r="I103" i="250"/>
  <c r="G104" i="250"/>
  <c r="S104" i="250" s="1"/>
  <c r="H104" i="250"/>
  <c r="R104" i="250"/>
  <c r="G111" i="250"/>
  <c r="G114" i="250" s="1"/>
  <c r="S114" i="250" s="1"/>
  <c r="H111" i="250"/>
  <c r="I112" i="250"/>
  <c r="I113" i="250"/>
  <c r="R114" i="250"/>
  <c r="G120" i="250"/>
  <c r="H120" i="250"/>
  <c r="H123" i="250" s="1"/>
  <c r="L123" i="250" s="1"/>
  <c r="I121" i="250"/>
  <c r="I122" i="250"/>
  <c r="J123" i="250"/>
  <c r="R123" i="250"/>
  <c r="I130" i="250"/>
  <c r="I131" i="250"/>
  <c r="G132" i="250"/>
  <c r="H132" i="250"/>
  <c r="T132" i="250" s="1"/>
  <c r="R132" i="250"/>
  <c r="G139" i="250"/>
  <c r="G142" i="250" s="1"/>
  <c r="S142" i="250" s="1"/>
  <c r="H139" i="250"/>
  <c r="H142" i="250" s="1"/>
  <c r="I140" i="250"/>
  <c r="I141" i="250"/>
  <c r="R142" i="250"/>
  <c r="G150" i="250"/>
  <c r="G154" i="250" s="1"/>
  <c r="S154" i="250" s="1"/>
  <c r="H150" i="250"/>
  <c r="I151" i="250"/>
  <c r="I152" i="250"/>
  <c r="I153" i="250"/>
  <c r="R154" i="250"/>
  <c r="G159" i="250"/>
  <c r="H159" i="250"/>
  <c r="I160" i="250"/>
  <c r="I161" i="250"/>
  <c r="G162" i="250"/>
  <c r="S162" i="250" s="1"/>
  <c r="R162" i="250"/>
  <c r="I167" i="250"/>
  <c r="I168" i="250"/>
  <c r="G169" i="250"/>
  <c r="S169" i="250" s="1"/>
  <c r="H169" i="250"/>
  <c r="T169" i="250" s="1"/>
  <c r="K169" i="250"/>
  <c r="L169" i="250"/>
  <c r="M169" i="250"/>
  <c r="R169" i="250"/>
  <c r="G174" i="250"/>
  <c r="H174" i="250"/>
  <c r="I175" i="250"/>
  <c r="I176" i="250"/>
  <c r="G177" i="250"/>
  <c r="S177" i="250" s="1"/>
  <c r="R177" i="250"/>
  <c r="G182" i="250"/>
  <c r="G186" i="250" s="1"/>
  <c r="S186" i="250" s="1"/>
  <c r="H182" i="250"/>
  <c r="H186" i="250" s="1"/>
  <c r="I183" i="250"/>
  <c r="I184" i="250"/>
  <c r="I185" i="250"/>
  <c r="R186" i="250"/>
  <c r="G191" i="250"/>
  <c r="H191" i="250"/>
  <c r="H195" i="250" s="1"/>
  <c r="T195" i="250" s="1"/>
  <c r="I192" i="250"/>
  <c r="I193" i="250"/>
  <c r="I194" i="250"/>
  <c r="R195" i="250"/>
  <c r="G200" i="250"/>
  <c r="G203" i="250" s="1"/>
  <c r="S203" i="250" s="1"/>
  <c r="H200" i="250"/>
  <c r="I201" i="250"/>
  <c r="I202" i="250"/>
  <c r="R203" i="250"/>
  <c r="G208" i="250"/>
  <c r="G211" i="250" s="1"/>
  <c r="S211" i="250" s="1"/>
  <c r="H208" i="250"/>
  <c r="I209" i="250"/>
  <c r="I210" i="250"/>
  <c r="R211" i="250"/>
  <c r="G216" i="250"/>
  <c r="G219" i="250" s="1"/>
  <c r="S219" i="250" s="1"/>
  <c r="H216" i="250"/>
  <c r="H219" i="250" s="1"/>
  <c r="I217" i="250"/>
  <c r="I218" i="250"/>
  <c r="R219" i="250"/>
  <c r="G224" i="250"/>
  <c r="G229" i="250" s="1"/>
  <c r="S229" i="250" s="1"/>
  <c r="H224" i="250"/>
  <c r="I225" i="250"/>
  <c r="I226" i="250"/>
  <c r="I227" i="250"/>
  <c r="I228" i="250"/>
  <c r="R229" i="250"/>
  <c r="G234" i="250"/>
  <c r="H234" i="250"/>
  <c r="I235" i="250"/>
  <c r="I236" i="250"/>
  <c r="I237" i="250"/>
  <c r="H238" i="250"/>
  <c r="T238" i="250" s="1"/>
  <c r="R238" i="250"/>
  <c r="G244" i="250"/>
  <c r="H244" i="250"/>
  <c r="H248" i="250" s="1"/>
  <c r="T248" i="250" s="1"/>
  <c r="I245" i="250"/>
  <c r="I246" i="250"/>
  <c r="I247" i="250"/>
  <c r="R248" i="250"/>
  <c r="G254" i="250"/>
  <c r="H254" i="250"/>
  <c r="I255" i="250"/>
  <c r="I256" i="250"/>
  <c r="I257" i="250"/>
  <c r="H258" i="250"/>
  <c r="T258" i="250" s="1"/>
  <c r="R258" i="250"/>
  <c r="G263" i="250"/>
  <c r="H263" i="250"/>
  <c r="H266" i="250" s="1"/>
  <c r="T266" i="250" s="1"/>
  <c r="I264" i="250"/>
  <c r="I265" i="250"/>
  <c r="F266" i="250"/>
  <c r="R266" i="250" s="1"/>
  <c r="G267" i="250"/>
  <c r="H267" i="250"/>
  <c r="H269" i="250" s="1"/>
  <c r="W269" i="250" s="1"/>
  <c r="I268" i="250"/>
  <c r="F269" i="250"/>
  <c r="U269" i="250" s="1"/>
  <c r="G274" i="250"/>
  <c r="G277" i="250" s="1"/>
  <c r="S277" i="250" s="1"/>
  <c r="H274" i="250"/>
  <c r="I275" i="250"/>
  <c r="I276" i="250"/>
  <c r="F277" i="250"/>
  <c r="R277" i="250" s="1"/>
  <c r="H277" i="250"/>
  <c r="T277" i="250" s="1"/>
  <c r="G282" i="250"/>
  <c r="H282" i="250"/>
  <c r="I283" i="250"/>
  <c r="I284" i="250"/>
  <c r="G285" i="250"/>
  <c r="S285" i="250" s="1"/>
  <c r="R285" i="250"/>
  <c r="G290" i="250"/>
  <c r="H290" i="250"/>
  <c r="H293" i="250" s="1"/>
  <c r="T293" i="250" s="1"/>
  <c r="I291" i="250"/>
  <c r="I292" i="250"/>
  <c r="R293" i="250"/>
  <c r="G298" i="250"/>
  <c r="H298" i="250"/>
  <c r="I299" i="250"/>
  <c r="I300" i="250"/>
  <c r="G301" i="250"/>
  <c r="S301" i="250" s="1"/>
  <c r="R301" i="250"/>
  <c r="G307" i="250"/>
  <c r="H307" i="250"/>
  <c r="H310" i="250" s="1"/>
  <c r="I308" i="250"/>
  <c r="I309" i="250"/>
  <c r="K310" i="250"/>
  <c r="L310" i="250"/>
  <c r="M310" i="250"/>
  <c r="R310" i="250"/>
  <c r="G315" i="250"/>
  <c r="H315" i="250"/>
  <c r="H319" i="250" s="1"/>
  <c r="I316" i="250"/>
  <c r="I317" i="250"/>
  <c r="I318" i="250"/>
  <c r="R319" i="250"/>
  <c r="G324" i="250"/>
  <c r="G328" i="250" s="1"/>
  <c r="S328" i="250" s="1"/>
  <c r="H324" i="250"/>
  <c r="I325" i="250"/>
  <c r="I326" i="250"/>
  <c r="R328" i="250"/>
  <c r="G334" i="250"/>
  <c r="G338" i="250" s="1"/>
  <c r="S338" i="250" s="1"/>
  <c r="H334" i="250"/>
  <c r="I335" i="250"/>
  <c r="I336" i="250"/>
  <c r="I337" i="250"/>
  <c r="F338" i="250"/>
  <c r="R338" i="250" s="1"/>
  <c r="G343" i="250"/>
  <c r="H343" i="250"/>
  <c r="H346" i="250" s="1"/>
  <c r="I344" i="250"/>
  <c r="I345" i="250"/>
  <c r="R346" i="250"/>
  <c r="G352" i="250"/>
  <c r="G357" i="250" s="1"/>
  <c r="S357" i="250" s="1"/>
  <c r="H352" i="250"/>
  <c r="I353" i="250"/>
  <c r="I354" i="250"/>
  <c r="I355" i="250"/>
  <c r="I356" i="250"/>
  <c r="F357" i="250"/>
  <c r="R357" i="250" s="1"/>
  <c r="G362" i="250"/>
  <c r="G366" i="250" s="1"/>
  <c r="S366" i="250" s="1"/>
  <c r="H362" i="250"/>
  <c r="H366" i="250" s="1"/>
  <c r="I363" i="250"/>
  <c r="I364" i="250"/>
  <c r="I365" i="250"/>
  <c r="R366" i="250"/>
  <c r="G371" i="250"/>
  <c r="G375" i="250" s="1"/>
  <c r="S375" i="250" s="1"/>
  <c r="H371" i="250"/>
  <c r="I372" i="250"/>
  <c r="I373" i="250"/>
  <c r="I374" i="250"/>
  <c r="R375" i="250"/>
  <c r="I376" i="250"/>
  <c r="I377" i="250"/>
  <c r="G378" i="250"/>
  <c r="V378" i="250" s="1"/>
  <c r="H378" i="250"/>
  <c r="W378" i="250" s="1"/>
  <c r="U378" i="250"/>
  <c r="G384" i="250"/>
  <c r="H384" i="250"/>
  <c r="I385" i="250"/>
  <c r="I386" i="250"/>
  <c r="G387" i="250"/>
  <c r="S387" i="250" s="1"/>
  <c r="R387" i="250"/>
  <c r="G393" i="250"/>
  <c r="G396" i="250" s="1"/>
  <c r="S396" i="250" s="1"/>
  <c r="H393" i="250"/>
  <c r="I394" i="250"/>
  <c r="I395" i="250"/>
  <c r="R396" i="250"/>
  <c r="G401" i="250"/>
  <c r="G406" i="250" s="1"/>
  <c r="S406" i="250" s="1"/>
  <c r="H401" i="250"/>
  <c r="I402" i="250"/>
  <c r="I403" i="250"/>
  <c r="I405" i="250"/>
  <c r="R406" i="250"/>
  <c r="G411" i="250"/>
  <c r="G415" i="250" s="1"/>
  <c r="S415" i="250" s="1"/>
  <c r="H411" i="250"/>
  <c r="I412" i="250"/>
  <c r="I413" i="250"/>
  <c r="I414" i="250"/>
  <c r="R415" i="250"/>
  <c r="G420" i="250"/>
  <c r="G423" i="250" s="1"/>
  <c r="S423" i="250" s="1"/>
  <c r="H420" i="250"/>
  <c r="I421" i="250"/>
  <c r="I422" i="250"/>
  <c r="F423" i="250"/>
  <c r="R423" i="250" s="1"/>
  <c r="G428" i="250"/>
  <c r="H428" i="250"/>
  <c r="I429" i="250"/>
  <c r="I430" i="250"/>
  <c r="G431" i="250"/>
  <c r="S431" i="250" s="1"/>
  <c r="R431" i="250"/>
  <c r="G436" i="250"/>
  <c r="H436" i="250"/>
  <c r="H439" i="250" s="1"/>
  <c r="T439" i="250" s="1"/>
  <c r="I437" i="250"/>
  <c r="I438" i="250"/>
  <c r="F439" i="250"/>
  <c r="R439" i="250" s="1"/>
  <c r="G445" i="250"/>
  <c r="G449" i="250" s="1"/>
  <c r="S449" i="250" s="1"/>
  <c r="H445" i="250"/>
  <c r="H449" i="250" s="1"/>
  <c r="T449" i="250" s="1"/>
  <c r="I446" i="250"/>
  <c r="I447" i="250"/>
  <c r="I448" i="250"/>
  <c r="R449" i="250"/>
  <c r="G454" i="250"/>
  <c r="H454" i="250"/>
  <c r="I455" i="250"/>
  <c r="I456" i="250"/>
  <c r="G457" i="250"/>
  <c r="S457" i="250" s="1"/>
  <c r="R457" i="250"/>
  <c r="G462" i="250"/>
  <c r="H462" i="250"/>
  <c r="H466" i="250" s="1"/>
  <c r="T466" i="250" s="1"/>
  <c r="I463" i="250"/>
  <c r="I464" i="250"/>
  <c r="I465" i="250"/>
  <c r="R466" i="250"/>
  <c r="G471" i="250"/>
  <c r="G474" i="250" s="1"/>
  <c r="S474" i="250" s="1"/>
  <c r="H471" i="250"/>
  <c r="I472" i="250"/>
  <c r="I473" i="250"/>
  <c r="R474" i="250"/>
  <c r="I475" i="250"/>
  <c r="I476" i="250"/>
  <c r="G477" i="250"/>
  <c r="V477" i="250" s="1"/>
  <c r="H477" i="250"/>
  <c r="W477" i="250" s="1"/>
  <c r="U477" i="250"/>
  <c r="G482" i="250"/>
  <c r="G486" i="250" s="1"/>
  <c r="S486" i="250" s="1"/>
  <c r="H482" i="250"/>
  <c r="I483" i="250"/>
  <c r="I484" i="250"/>
  <c r="I485" i="250"/>
  <c r="R486" i="250"/>
  <c r="G491" i="250"/>
  <c r="H491" i="250"/>
  <c r="I492" i="250"/>
  <c r="I493" i="250"/>
  <c r="G494" i="250"/>
  <c r="S494" i="250" s="1"/>
  <c r="R494" i="250"/>
  <c r="G499" i="250"/>
  <c r="H499" i="250"/>
  <c r="H502" i="250" s="1"/>
  <c r="I500" i="250"/>
  <c r="I501" i="250"/>
  <c r="R502" i="250"/>
  <c r="I503" i="250"/>
  <c r="I504" i="250"/>
  <c r="G505" i="250"/>
  <c r="V505" i="250" s="1"/>
  <c r="H505" i="250"/>
  <c r="U505" i="250"/>
  <c r="G510" i="250"/>
  <c r="G514" i="250" s="1"/>
  <c r="S514" i="250" s="1"/>
  <c r="H510" i="250"/>
  <c r="I511" i="250"/>
  <c r="I512" i="250"/>
  <c r="I513" i="250"/>
  <c r="R514" i="250"/>
  <c r="G519" i="250"/>
  <c r="G523" i="250" s="1"/>
  <c r="S523" i="250" s="1"/>
  <c r="H519" i="250"/>
  <c r="H523" i="250" s="1"/>
  <c r="I520" i="250"/>
  <c r="I521" i="250"/>
  <c r="I522" i="250"/>
  <c r="R523" i="250"/>
  <c r="G529" i="250"/>
  <c r="G532" i="250" s="1"/>
  <c r="S532" i="250" s="1"/>
  <c r="H529" i="250"/>
  <c r="I530" i="250"/>
  <c r="I531" i="250"/>
  <c r="R532" i="250"/>
  <c r="I533" i="250"/>
  <c r="I534" i="250"/>
  <c r="G535" i="250"/>
  <c r="H535" i="250"/>
  <c r="W535" i="250" s="1"/>
  <c r="U535" i="250"/>
  <c r="G540" i="250"/>
  <c r="G544" i="250" s="1"/>
  <c r="S544" i="250" s="1"/>
  <c r="H540" i="250"/>
  <c r="H544" i="250" s="1"/>
  <c r="I541" i="250"/>
  <c r="I542" i="250"/>
  <c r="I543" i="250"/>
  <c r="F544" i="250"/>
  <c r="R544" i="250" s="1"/>
  <c r="G549" i="250"/>
  <c r="G553" i="250" s="1"/>
  <c r="S553" i="250" s="1"/>
  <c r="H549" i="250"/>
  <c r="I550" i="250"/>
  <c r="I551" i="250"/>
  <c r="I552" i="250"/>
  <c r="F553" i="250"/>
  <c r="R553" i="250" s="1"/>
  <c r="I554" i="250"/>
  <c r="I555" i="250"/>
  <c r="G556" i="250"/>
  <c r="H556" i="250"/>
  <c r="W556" i="250" s="1"/>
  <c r="U556" i="250"/>
  <c r="G561" i="250"/>
  <c r="H561" i="250"/>
  <c r="H565" i="250" s="1"/>
  <c r="T565" i="250" s="1"/>
  <c r="I562" i="250"/>
  <c r="I563" i="250"/>
  <c r="I564" i="250"/>
  <c r="R565" i="250"/>
  <c r="G570" i="250"/>
  <c r="G574" i="250" s="1"/>
  <c r="S574" i="250" s="1"/>
  <c r="H570" i="250"/>
  <c r="I571" i="250"/>
  <c r="I572" i="250"/>
  <c r="I573" i="250"/>
  <c r="F574" i="250"/>
  <c r="R574" i="250" s="1"/>
  <c r="G580" i="250"/>
  <c r="G584" i="250" s="1"/>
  <c r="S584" i="250" s="1"/>
  <c r="H580" i="250"/>
  <c r="I581" i="250"/>
  <c r="I582" i="250"/>
  <c r="I583" i="250"/>
  <c r="R584" i="250"/>
  <c r="G592" i="250"/>
  <c r="G595" i="250" s="1"/>
  <c r="S595" i="250" s="1"/>
  <c r="H592" i="250"/>
  <c r="I593" i="250"/>
  <c r="I594" i="250"/>
  <c r="F595" i="250"/>
  <c r="R595" i="250" s="1"/>
  <c r="G600" i="250"/>
  <c r="G604" i="250" s="1"/>
  <c r="S604" i="250" s="1"/>
  <c r="H600" i="250"/>
  <c r="I601" i="250"/>
  <c r="I602" i="250"/>
  <c r="I603" i="250"/>
  <c r="R604" i="250"/>
  <c r="G609" i="250"/>
  <c r="H609" i="250"/>
  <c r="I610" i="250"/>
  <c r="I611" i="250"/>
  <c r="G612" i="250"/>
  <c r="S612" i="250" s="1"/>
  <c r="R612" i="250"/>
  <c r="G617" i="250"/>
  <c r="G620" i="250" s="1"/>
  <c r="S620" i="250" s="1"/>
  <c r="H617" i="250"/>
  <c r="H620" i="250" s="1"/>
  <c r="R620" i="250"/>
  <c r="G625" i="250"/>
  <c r="G630" i="250" s="1"/>
  <c r="S630" i="250" s="1"/>
  <c r="H625" i="250"/>
  <c r="I626" i="250"/>
  <c r="I627" i="250"/>
  <c r="I628" i="250"/>
  <c r="I629" i="250"/>
  <c r="R630" i="250"/>
  <c r="I631" i="250"/>
  <c r="I632" i="250"/>
  <c r="G633" i="250"/>
  <c r="V633" i="250" s="1"/>
  <c r="H633" i="250"/>
  <c r="W633" i="250" s="1"/>
  <c r="U633" i="250"/>
  <c r="G638" i="250"/>
  <c r="G641" i="250" s="1"/>
  <c r="S641" i="250" s="1"/>
  <c r="H638" i="250"/>
  <c r="I639" i="250"/>
  <c r="I640" i="250"/>
  <c r="R641" i="250"/>
  <c r="G647" i="250"/>
  <c r="G650" i="250" s="1"/>
  <c r="S650" i="250" s="1"/>
  <c r="H647" i="250"/>
  <c r="I648" i="250"/>
  <c r="R650" i="250"/>
  <c r="G655" i="250"/>
  <c r="G658" i="250" s="1"/>
  <c r="S658" i="250" s="1"/>
  <c r="H655" i="250"/>
  <c r="H658" i="250" s="1"/>
  <c r="T658" i="250" s="1"/>
  <c r="I656" i="250"/>
  <c r="I657" i="250"/>
  <c r="R658" i="250"/>
  <c r="I659" i="250"/>
  <c r="I660" i="250"/>
  <c r="G661" i="250"/>
  <c r="V661" i="250" s="1"/>
  <c r="H661" i="250"/>
  <c r="U661" i="250"/>
  <c r="G668" i="250"/>
  <c r="G671" i="250" s="1"/>
  <c r="S671" i="250" s="1"/>
  <c r="H668" i="250"/>
  <c r="I669" i="250"/>
  <c r="I670" i="250"/>
  <c r="R671" i="250"/>
  <c r="G676" i="250"/>
  <c r="G680" i="250" s="1"/>
  <c r="S680" i="250" s="1"/>
  <c r="H676" i="250"/>
  <c r="I677" i="250"/>
  <c r="I678" i="250"/>
  <c r="I679" i="250"/>
  <c r="R680" i="250"/>
  <c r="I681" i="250"/>
  <c r="I682" i="250"/>
  <c r="G683" i="250"/>
  <c r="V683" i="250" s="1"/>
  <c r="H683" i="250"/>
  <c r="U683" i="250"/>
  <c r="G688" i="250"/>
  <c r="G693" i="250" s="1"/>
  <c r="H688" i="250"/>
  <c r="I689" i="250"/>
  <c r="I690" i="250"/>
  <c r="I691" i="250"/>
  <c r="I692" i="250"/>
  <c r="J693" i="250"/>
  <c r="R693" i="250"/>
  <c r="G698" i="250"/>
  <c r="G702" i="250" s="1"/>
  <c r="K702" i="250" s="1"/>
  <c r="H698" i="250"/>
  <c r="I699" i="250"/>
  <c r="I700" i="250"/>
  <c r="I701" i="250"/>
  <c r="J702" i="250"/>
  <c r="R702" i="250"/>
  <c r="G708" i="250"/>
  <c r="G712" i="250" s="1"/>
  <c r="S712" i="250" s="1"/>
  <c r="H708" i="250"/>
  <c r="H712" i="250" s="1"/>
  <c r="I709" i="250"/>
  <c r="I710" i="250"/>
  <c r="I711" i="250"/>
  <c r="R712" i="250"/>
  <c r="G718" i="250"/>
  <c r="G721" i="250" s="1"/>
  <c r="S721" i="250" s="1"/>
  <c r="H718" i="250"/>
  <c r="I719" i="250"/>
  <c r="I720" i="250"/>
  <c r="R721" i="250"/>
  <c r="G726" i="250"/>
  <c r="G729" i="250" s="1"/>
  <c r="S729" i="250" s="1"/>
  <c r="H726" i="250"/>
  <c r="H729" i="250" s="1"/>
  <c r="I727" i="250"/>
  <c r="I728" i="250"/>
  <c r="R729" i="250"/>
  <c r="G741" i="250"/>
  <c r="G744" i="250" s="1"/>
  <c r="S744" i="250" s="1"/>
  <c r="H741" i="250"/>
  <c r="I742" i="250"/>
  <c r="I743" i="250"/>
  <c r="R744" i="250"/>
  <c r="I745" i="250"/>
  <c r="I746" i="250"/>
  <c r="G747" i="250"/>
  <c r="V747" i="250" s="1"/>
  <c r="H747" i="250"/>
  <c r="W747" i="250" s="1"/>
  <c r="U747" i="250"/>
  <c r="G752" i="250"/>
  <c r="H752" i="250"/>
  <c r="I753" i="250"/>
  <c r="I754" i="250"/>
  <c r="G755" i="250"/>
  <c r="K755" i="250" s="1"/>
  <c r="J755" i="250"/>
  <c r="R755" i="250"/>
  <c r="G760" i="250"/>
  <c r="H760" i="250"/>
  <c r="I761" i="250"/>
  <c r="I762" i="250"/>
  <c r="I763" i="250"/>
  <c r="H764" i="250"/>
  <c r="T764" i="250" s="1"/>
  <c r="R764" i="250"/>
  <c r="I765" i="250"/>
  <c r="I766" i="250"/>
  <c r="G767" i="250"/>
  <c r="V767" i="250" s="1"/>
  <c r="H767" i="250"/>
  <c r="W767" i="250" s="1"/>
  <c r="U767" i="250"/>
  <c r="G772" i="250"/>
  <c r="G775" i="250" s="1"/>
  <c r="S775" i="250" s="1"/>
  <c r="H772" i="250"/>
  <c r="H775" i="250" s="1"/>
  <c r="I773" i="250"/>
  <c r="I774" i="250"/>
  <c r="F775" i="250"/>
  <c r="R775" i="250" s="1"/>
  <c r="G780" i="250"/>
  <c r="G784" i="250" s="1"/>
  <c r="S784" i="250" s="1"/>
  <c r="H780" i="250"/>
  <c r="H784" i="250" s="1"/>
  <c r="I781" i="250"/>
  <c r="I782" i="250"/>
  <c r="I783" i="250"/>
  <c r="R784" i="250"/>
  <c r="I785" i="250"/>
  <c r="I786" i="250"/>
  <c r="G787" i="250"/>
  <c r="V787" i="250" s="1"/>
  <c r="H787" i="250"/>
  <c r="W787" i="250" s="1"/>
  <c r="U787" i="250"/>
  <c r="G792" i="250"/>
  <c r="G796" i="250" s="1"/>
  <c r="S796" i="250" s="1"/>
  <c r="H792" i="250"/>
  <c r="I793" i="250"/>
  <c r="I794" i="250"/>
  <c r="I795" i="250"/>
  <c r="R796" i="250"/>
  <c r="G801" i="250"/>
  <c r="G806" i="250" s="1"/>
  <c r="S806" i="250" s="1"/>
  <c r="H801" i="250"/>
  <c r="H806" i="250" s="1"/>
  <c r="I802" i="250"/>
  <c r="I803" i="250"/>
  <c r="I805" i="250"/>
  <c r="R806" i="250"/>
  <c r="I807" i="250"/>
  <c r="I808" i="250"/>
  <c r="G809" i="250"/>
  <c r="V809" i="250" s="1"/>
  <c r="H809" i="250"/>
  <c r="U809" i="250"/>
  <c r="G815" i="250"/>
  <c r="G818" i="250" s="1"/>
  <c r="S818" i="250" s="1"/>
  <c r="H815" i="250"/>
  <c r="H818" i="250" s="1"/>
  <c r="T818" i="250" s="1"/>
  <c r="I816" i="250"/>
  <c r="I817" i="250"/>
  <c r="F818" i="250"/>
  <c r="R818" i="250" s="1"/>
  <c r="I823" i="250"/>
  <c r="I824" i="250"/>
  <c r="F825" i="250"/>
  <c r="R825" i="250" s="1"/>
  <c r="G825" i="250"/>
  <c r="S825" i="250" s="1"/>
  <c r="H825" i="250"/>
  <c r="T825" i="250" s="1"/>
  <c r="I830" i="250"/>
  <c r="I831" i="250"/>
  <c r="F832" i="250"/>
  <c r="R832" i="250" s="1"/>
  <c r="I832" i="250"/>
  <c r="S832" i="250"/>
  <c r="T832" i="250"/>
  <c r="I837" i="250"/>
  <c r="I838" i="250"/>
  <c r="I839" i="250"/>
  <c r="R839" i="250"/>
  <c r="S839" i="250"/>
  <c r="T839" i="250"/>
  <c r="G844" i="250"/>
  <c r="H844" i="250"/>
  <c r="I845" i="250"/>
  <c r="I846" i="250"/>
  <c r="I847" i="250"/>
  <c r="R847" i="250"/>
  <c r="S847" i="250"/>
  <c r="T847" i="250"/>
  <c r="G852" i="250"/>
  <c r="H852" i="250"/>
  <c r="I853" i="250"/>
  <c r="I854" i="250"/>
  <c r="F855" i="250"/>
  <c r="R855" i="250" s="1"/>
  <c r="I855" i="250"/>
  <c r="S855" i="250"/>
  <c r="T855" i="250"/>
  <c r="I860" i="250"/>
  <c r="I861" i="250"/>
  <c r="I862" i="250"/>
  <c r="R862" i="250"/>
  <c r="S862" i="250"/>
  <c r="T862" i="250"/>
  <c r="G868" i="250"/>
  <c r="H868" i="250"/>
  <c r="I869" i="250"/>
  <c r="I870" i="250"/>
  <c r="F871" i="250"/>
  <c r="R871" i="250" s="1"/>
  <c r="I871" i="250"/>
  <c r="S871" i="250"/>
  <c r="T871" i="250"/>
  <c r="I877" i="250"/>
  <c r="F879" i="250"/>
  <c r="R879" i="250" s="1"/>
  <c r="I879" i="250"/>
  <c r="S879" i="250"/>
  <c r="T879" i="250"/>
  <c r="G887" i="250"/>
  <c r="H887" i="250"/>
  <c r="I888" i="250"/>
  <c r="I889" i="250"/>
  <c r="I890" i="250"/>
  <c r="R890" i="250"/>
  <c r="S890" i="250"/>
  <c r="T890" i="250"/>
  <c r="G895" i="250"/>
  <c r="H895" i="250"/>
  <c r="I896" i="250"/>
  <c r="I897" i="250"/>
  <c r="F898" i="250"/>
  <c r="R898" i="250" s="1"/>
  <c r="I898" i="250"/>
  <c r="S898" i="250"/>
  <c r="T898" i="250"/>
  <c r="G903" i="250"/>
  <c r="H903" i="250"/>
  <c r="I904" i="250"/>
  <c r="I905" i="250"/>
  <c r="F906" i="250"/>
  <c r="R906" i="250" s="1"/>
  <c r="I906" i="250"/>
  <c r="S906" i="250"/>
  <c r="T906" i="250"/>
  <c r="G911" i="250"/>
  <c r="H911" i="250"/>
  <c r="I912" i="250"/>
  <c r="I913" i="250"/>
  <c r="F914" i="250"/>
  <c r="R914" i="250" s="1"/>
  <c r="I914" i="250"/>
  <c r="S914" i="250"/>
  <c r="T914" i="250"/>
  <c r="G919" i="250"/>
  <c r="G923" i="250" s="1"/>
  <c r="S923" i="250" s="1"/>
  <c r="H919" i="250"/>
  <c r="I920" i="250"/>
  <c r="I921" i="250"/>
  <c r="I922" i="250"/>
  <c r="F923" i="250"/>
  <c r="R923" i="250" s="1"/>
  <c r="G928" i="250"/>
  <c r="H928" i="250"/>
  <c r="I929" i="250"/>
  <c r="I930" i="250"/>
  <c r="F931" i="250"/>
  <c r="R931" i="250" s="1"/>
  <c r="I931" i="250"/>
  <c r="S931" i="250"/>
  <c r="T931" i="250"/>
  <c r="G936" i="250"/>
  <c r="H936" i="250"/>
  <c r="I937" i="250"/>
  <c r="I938" i="250"/>
  <c r="F939" i="250"/>
  <c r="R939" i="250" s="1"/>
  <c r="I939" i="250"/>
  <c r="S939" i="250"/>
  <c r="T939" i="250"/>
  <c r="G944" i="250"/>
  <c r="G948" i="250" s="1"/>
  <c r="H944" i="250"/>
  <c r="H948" i="250" s="1"/>
  <c r="T948" i="250" s="1"/>
  <c r="I945" i="250"/>
  <c r="I946" i="250"/>
  <c r="I947" i="250"/>
  <c r="R948" i="250"/>
  <c r="G953" i="250"/>
  <c r="H953" i="250"/>
  <c r="I954" i="250"/>
  <c r="I955" i="250"/>
  <c r="F956" i="250"/>
  <c r="R956" i="250" s="1"/>
  <c r="I956" i="250"/>
  <c r="S956" i="250"/>
  <c r="T956" i="250"/>
  <c r="G961" i="250"/>
  <c r="H961" i="250"/>
  <c r="I962" i="250"/>
  <c r="I963" i="250"/>
  <c r="F964" i="250"/>
  <c r="R964" i="250" s="1"/>
  <c r="I964" i="250"/>
  <c r="S964" i="250"/>
  <c r="T964" i="250"/>
  <c r="G969" i="250"/>
  <c r="H969" i="250"/>
  <c r="H972" i="250" s="1"/>
  <c r="T972" i="250" s="1"/>
  <c r="I970" i="250"/>
  <c r="I971" i="250"/>
  <c r="G972" i="250"/>
  <c r="R972" i="250"/>
  <c r="G977" i="250"/>
  <c r="G980" i="250" s="1"/>
  <c r="S980" i="250" s="1"/>
  <c r="H977" i="250"/>
  <c r="H980" i="250" s="1"/>
  <c r="T980" i="250" s="1"/>
  <c r="I978" i="250"/>
  <c r="I979" i="250"/>
  <c r="F980" i="250"/>
  <c r="R980" i="250" s="1"/>
  <c r="G985" i="250"/>
  <c r="G988" i="250" s="1"/>
  <c r="S988" i="250" s="1"/>
  <c r="H985" i="250"/>
  <c r="H988" i="250" s="1"/>
  <c r="I986" i="250"/>
  <c r="I987" i="250"/>
  <c r="R988" i="250"/>
  <c r="I989" i="250"/>
  <c r="I990" i="250"/>
  <c r="G991" i="250"/>
  <c r="V991" i="250" s="1"/>
  <c r="H991" i="250"/>
  <c r="U991" i="250"/>
  <c r="G996" i="250"/>
  <c r="G999" i="250" s="1"/>
  <c r="H996" i="250"/>
  <c r="H999" i="250" s="1"/>
  <c r="T999" i="250" s="1"/>
  <c r="I997" i="250"/>
  <c r="I998" i="250"/>
  <c r="F999" i="250"/>
  <c r="R999" i="250" s="1"/>
  <c r="G1004" i="250"/>
  <c r="G1007" i="250" s="1"/>
  <c r="S1007" i="250" s="1"/>
  <c r="H1004" i="250"/>
  <c r="H1007" i="250" s="1"/>
  <c r="I1005" i="250"/>
  <c r="I1006" i="250"/>
  <c r="F1007" i="250"/>
  <c r="R1007" i="250" s="1"/>
  <c r="G1012" i="250"/>
  <c r="G1015" i="250" s="1"/>
  <c r="S1015" i="250" s="1"/>
  <c r="H1012" i="250"/>
  <c r="H1015" i="250" s="1"/>
  <c r="I1013" i="250"/>
  <c r="I1014" i="250"/>
  <c r="F1015" i="250"/>
  <c r="R1015" i="250" s="1"/>
  <c r="G1020" i="250"/>
  <c r="G1023" i="250" s="1"/>
  <c r="S1023" i="250" s="1"/>
  <c r="H1020" i="250"/>
  <c r="H1023" i="250" s="1"/>
  <c r="I1021" i="250"/>
  <c r="I1022" i="250"/>
  <c r="F1023" i="250"/>
  <c r="R1023" i="250" s="1"/>
  <c r="G1035" i="250"/>
  <c r="G1039" i="250" s="1"/>
  <c r="S1039" i="250" s="1"/>
  <c r="H1035" i="250"/>
  <c r="H1039" i="250" s="1"/>
  <c r="I1036" i="250"/>
  <c r="I1037" i="250"/>
  <c r="F1039" i="250"/>
  <c r="R1039" i="250" s="1"/>
  <c r="G1044" i="250"/>
  <c r="H1044" i="250"/>
  <c r="H1047" i="250" s="1"/>
  <c r="I1045" i="250"/>
  <c r="I1046" i="250"/>
  <c r="F1047" i="250"/>
  <c r="R1047" i="250" s="1"/>
  <c r="I1054" i="250"/>
  <c r="F1055" i="250"/>
  <c r="R1055" i="250" s="1"/>
  <c r="I1055" i="250"/>
  <c r="S1055" i="250"/>
  <c r="T1055" i="250"/>
  <c r="G1061" i="250"/>
  <c r="G1065" i="250" s="1"/>
  <c r="S1065" i="250" s="1"/>
  <c r="H1061" i="250"/>
  <c r="I1062" i="250"/>
  <c r="I1063" i="250"/>
  <c r="I1064" i="250"/>
  <c r="F1065" i="250"/>
  <c r="R1065" i="250" s="1"/>
  <c r="G1071" i="250"/>
  <c r="G1074" i="250" s="1"/>
  <c r="H1071" i="250"/>
  <c r="H1074" i="250" s="1"/>
  <c r="T1074" i="250" s="1"/>
  <c r="I1072" i="250"/>
  <c r="I1073" i="250"/>
  <c r="F1074" i="250"/>
  <c r="R1074" i="250" s="1"/>
  <c r="G1079" i="250"/>
  <c r="G1082" i="250" s="1"/>
  <c r="H1079" i="250"/>
  <c r="H1082" i="250" s="1"/>
  <c r="T1082" i="250" s="1"/>
  <c r="I1080" i="250"/>
  <c r="I1081" i="250"/>
  <c r="F1082" i="250"/>
  <c r="J1082" i="250" s="1"/>
  <c r="I505" i="250" l="1"/>
  <c r="I482" i="250"/>
  <c r="I393" i="250"/>
  <c r="I352" i="250"/>
  <c r="I132" i="250"/>
  <c r="I274" i="250"/>
  <c r="I544" i="250"/>
  <c r="I95" i="250"/>
  <c r="I936" i="250"/>
  <c r="I852" i="250"/>
  <c r="I683" i="250"/>
  <c r="I991" i="250"/>
  <c r="I911" i="250"/>
  <c r="I895" i="250"/>
  <c r="I887" i="250"/>
  <c r="I169" i="250"/>
  <c r="I775" i="250"/>
  <c r="W683" i="250"/>
  <c r="I1007" i="250"/>
  <c r="I617" i="250"/>
  <c r="I928" i="250"/>
  <c r="I801" i="250"/>
  <c r="I772" i="250"/>
  <c r="I726" i="250"/>
  <c r="I688" i="250"/>
  <c r="I620" i="250"/>
  <c r="I471" i="250"/>
  <c r="I324" i="250"/>
  <c r="I139" i="250"/>
  <c r="W505" i="250"/>
  <c r="R1082" i="250"/>
  <c r="R1083" i="250" s="1"/>
  <c r="I561" i="250"/>
  <c r="H396" i="250"/>
  <c r="I396" i="250" s="1"/>
  <c r="I33" i="250"/>
  <c r="I806" i="250"/>
  <c r="I57" i="250"/>
  <c r="L1082" i="250"/>
  <c r="I1061" i="250"/>
  <c r="I780" i="250"/>
  <c r="I760" i="250"/>
  <c r="I718" i="250"/>
  <c r="I661" i="250"/>
  <c r="I540" i="250"/>
  <c r="I510" i="250"/>
  <c r="I401" i="250"/>
  <c r="I371" i="250"/>
  <c r="I216" i="250"/>
  <c r="I39" i="250"/>
  <c r="I1039" i="250"/>
  <c r="I1035" i="250"/>
  <c r="I919" i="250"/>
  <c r="I815" i="250"/>
  <c r="I792" i="250"/>
  <c r="I747" i="250"/>
  <c r="I741" i="250"/>
  <c r="I638" i="250"/>
  <c r="I600" i="250"/>
  <c r="I592" i="250"/>
  <c r="I580" i="250"/>
  <c r="I570" i="250"/>
  <c r="I519" i="250"/>
  <c r="H486" i="250"/>
  <c r="I486" i="250" s="1"/>
  <c r="I200" i="250"/>
  <c r="I82" i="250"/>
  <c r="I26" i="250"/>
  <c r="I1044" i="250"/>
  <c r="I784" i="250"/>
  <c r="I556" i="250"/>
  <c r="I844" i="250"/>
  <c r="H595" i="250"/>
  <c r="I595" i="250" s="1"/>
  <c r="H574" i="250"/>
  <c r="T574" i="250" s="1"/>
  <c r="G565" i="250"/>
  <c r="I565" i="250" s="1"/>
  <c r="V556" i="250"/>
  <c r="H474" i="250"/>
  <c r="T474" i="250" s="1"/>
  <c r="H328" i="250"/>
  <c r="T328" i="250" s="1"/>
  <c r="I70" i="250"/>
  <c r="I46" i="250"/>
  <c r="S74" i="250"/>
  <c r="I1023" i="250"/>
  <c r="T1023" i="250"/>
  <c r="T729" i="250"/>
  <c r="I729" i="250"/>
  <c r="H641" i="250"/>
  <c r="T641" i="250" s="1"/>
  <c r="H375" i="250"/>
  <c r="I375" i="250" s="1"/>
  <c r="H203" i="250"/>
  <c r="I203" i="250" s="1"/>
  <c r="T1039" i="250"/>
  <c r="S755" i="250"/>
  <c r="W661" i="250"/>
  <c r="H514" i="250"/>
  <c r="I514" i="250" s="1"/>
  <c r="S39" i="250"/>
  <c r="T1047" i="250"/>
  <c r="G1047" i="250"/>
  <c r="S1047" i="250" s="1"/>
  <c r="I972" i="250"/>
  <c r="H796" i="250"/>
  <c r="T796" i="250" s="1"/>
  <c r="G764" i="250"/>
  <c r="S764" i="250" s="1"/>
  <c r="S702" i="250"/>
  <c r="I633" i="250"/>
  <c r="T620" i="250"/>
  <c r="I477" i="250"/>
  <c r="U1083" i="250"/>
  <c r="I182" i="250"/>
  <c r="I104" i="250"/>
  <c r="T95" i="250"/>
  <c r="H74" i="250"/>
  <c r="T74" i="250" s="1"/>
  <c r="I86" i="250"/>
  <c r="W991" i="250"/>
  <c r="I574" i="250"/>
  <c r="I1079" i="250"/>
  <c r="I1071" i="250"/>
  <c r="S972" i="250"/>
  <c r="I809" i="250"/>
  <c r="I668" i="250"/>
  <c r="I658" i="250"/>
  <c r="I655" i="250"/>
  <c r="T544" i="250"/>
  <c r="I535" i="250"/>
  <c r="I420" i="250"/>
  <c r="I411" i="250"/>
  <c r="H406" i="250"/>
  <c r="I406" i="250" s="1"/>
  <c r="I378" i="250"/>
  <c r="I362" i="250"/>
  <c r="I150" i="250"/>
  <c r="S1082" i="250"/>
  <c r="I1082" i="250"/>
  <c r="K1082" i="250"/>
  <c r="S1074" i="250"/>
  <c r="I1074" i="250"/>
  <c r="S999" i="250"/>
  <c r="I999" i="250"/>
  <c r="T1015" i="250"/>
  <c r="I1015" i="250"/>
  <c r="I988" i="250"/>
  <c r="T988" i="250"/>
  <c r="S948" i="250"/>
  <c r="I948" i="250"/>
  <c r="T712" i="250"/>
  <c r="I712" i="250"/>
  <c r="I384" i="250"/>
  <c r="H387" i="250"/>
  <c r="G310" i="250"/>
  <c r="S310" i="250" s="1"/>
  <c r="I307" i="250"/>
  <c r="I254" i="250"/>
  <c r="G258" i="250"/>
  <c r="I191" i="250"/>
  <c r="G195" i="250"/>
  <c r="T186" i="250"/>
  <c r="I186" i="250"/>
  <c r="I174" i="250"/>
  <c r="H177" i="250"/>
  <c r="T1007" i="250"/>
  <c r="T806" i="250"/>
  <c r="S693" i="250"/>
  <c r="K693" i="250"/>
  <c r="I647" i="250"/>
  <c r="H650" i="250"/>
  <c r="I523" i="250"/>
  <c r="T523" i="250"/>
  <c r="I366" i="250"/>
  <c r="T366" i="250"/>
  <c r="I244" i="250"/>
  <c r="G248" i="250"/>
  <c r="I219" i="250"/>
  <c r="T219" i="250"/>
  <c r="I208" i="250"/>
  <c r="H211" i="250"/>
  <c r="S132" i="250"/>
  <c r="S86" i="250"/>
  <c r="H923" i="250"/>
  <c r="I903" i="250"/>
  <c r="I868" i="250"/>
  <c r="I825" i="250"/>
  <c r="I818" i="250"/>
  <c r="W809" i="250"/>
  <c r="I787" i="250"/>
  <c r="T784" i="250"/>
  <c r="I752" i="250"/>
  <c r="H755" i="250"/>
  <c r="H721" i="250"/>
  <c r="V535" i="250"/>
  <c r="I529" i="250"/>
  <c r="H532" i="250"/>
  <c r="T502" i="250"/>
  <c r="G502" i="250"/>
  <c r="S502" i="250" s="1"/>
  <c r="I499" i="250"/>
  <c r="H423" i="250"/>
  <c r="T319" i="250"/>
  <c r="G293" i="250"/>
  <c r="S293" i="250" s="1"/>
  <c r="I290" i="250"/>
  <c r="G269" i="250"/>
  <c r="V269" i="250" s="1"/>
  <c r="I267" i="250"/>
  <c r="I234" i="250"/>
  <c r="G238" i="250"/>
  <c r="H229" i="250"/>
  <c r="I224" i="250"/>
  <c r="H154" i="250"/>
  <c r="I142" i="250"/>
  <c r="T142" i="250"/>
  <c r="G123" i="250"/>
  <c r="I123" i="250" s="1"/>
  <c r="I120" i="250"/>
  <c r="T104" i="250"/>
  <c r="G63" i="250"/>
  <c r="I491" i="250"/>
  <c r="H494" i="250"/>
  <c r="H1065" i="250"/>
  <c r="I980" i="250"/>
  <c r="T775" i="250"/>
  <c r="I698" i="250"/>
  <c r="H702" i="250"/>
  <c r="H357" i="250"/>
  <c r="I767" i="250"/>
  <c r="I708" i="250"/>
  <c r="H693" i="250"/>
  <c r="I676" i="250"/>
  <c r="H680" i="250"/>
  <c r="I609" i="250"/>
  <c r="H612" i="250"/>
  <c r="I462" i="250"/>
  <c r="G466" i="250"/>
  <c r="I436" i="250"/>
  <c r="G439" i="250"/>
  <c r="T346" i="250"/>
  <c r="G346" i="250"/>
  <c r="S346" i="250" s="1"/>
  <c r="I343" i="250"/>
  <c r="I315" i="250"/>
  <c r="G319" i="250"/>
  <c r="S319" i="250" s="1"/>
  <c r="I263" i="250"/>
  <c r="G266" i="250"/>
  <c r="I50" i="250"/>
  <c r="H744" i="250"/>
  <c r="H671" i="250"/>
  <c r="H604" i="250"/>
  <c r="H584" i="250"/>
  <c r="H415" i="250"/>
  <c r="I334" i="250"/>
  <c r="H338" i="250"/>
  <c r="H17" i="250"/>
  <c r="I13" i="250"/>
  <c r="I625" i="250"/>
  <c r="H630" i="250"/>
  <c r="H553" i="250"/>
  <c r="I549" i="250"/>
  <c r="I454" i="250"/>
  <c r="H457" i="250"/>
  <c r="I449" i="250"/>
  <c r="I428" i="250"/>
  <c r="H431" i="250"/>
  <c r="T310" i="250"/>
  <c r="I298" i="250"/>
  <c r="H301" i="250"/>
  <c r="I282" i="250"/>
  <c r="H285" i="250"/>
  <c r="I277" i="250"/>
  <c r="I159" i="250"/>
  <c r="H162" i="250"/>
  <c r="T123" i="250"/>
  <c r="I111" i="250"/>
  <c r="H114" i="250"/>
  <c r="I641" i="250" l="1"/>
  <c r="I796" i="250"/>
  <c r="I474" i="250"/>
  <c r="T486" i="250"/>
  <c r="I269" i="250"/>
  <c r="T203" i="250"/>
  <c r="T514" i="250"/>
  <c r="T595" i="250"/>
  <c r="T396" i="250"/>
  <c r="S565" i="250"/>
  <c r="I293" i="250"/>
  <c r="I310" i="250"/>
  <c r="I328" i="250"/>
  <c r="I346" i="250"/>
  <c r="V1083" i="250"/>
  <c r="W1083" i="250"/>
  <c r="T406" i="250"/>
  <c r="T375" i="250"/>
  <c r="I764" i="250"/>
  <c r="I1047" i="250"/>
  <c r="I74" i="250"/>
  <c r="T301" i="250"/>
  <c r="I301" i="250"/>
  <c r="T431" i="250"/>
  <c r="I431" i="250"/>
  <c r="T338" i="250"/>
  <c r="I338" i="250"/>
  <c r="I604" i="250"/>
  <c r="T604" i="250"/>
  <c r="S266" i="250"/>
  <c r="I266" i="250"/>
  <c r="S439" i="250"/>
  <c r="I439" i="250"/>
  <c r="T680" i="250"/>
  <c r="I680" i="250"/>
  <c r="T702" i="250"/>
  <c r="L702" i="250"/>
  <c r="I702" i="250"/>
  <c r="I1065" i="250"/>
  <c r="T1065" i="250"/>
  <c r="S238" i="250"/>
  <c r="I238" i="250"/>
  <c r="T211" i="250"/>
  <c r="I211" i="250"/>
  <c r="S248" i="250"/>
  <c r="I248" i="250"/>
  <c r="I650" i="250"/>
  <c r="T650" i="250"/>
  <c r="T114" i="250"/>
  <c r="I114" i="250"/>
  <c r="T162" i="250"/>
  <c r="I162" i="250"/>
  <c r="T285" i="250"/>
  <c r="I285" i="250"/>
  <c r="T671" i="250"/>
  <c r="I671" i="250"/>
  <c r="T494" i="250"/>
  <c r="I494" i="250"/>
  <c r="I154" i="250"/>
  <c r="T154" i="250"/>
  <c r="T923" i="250"/>
  <c r="I923" i="250"/>
  <c r="T553" i="250"/>
  <c r="I553" i="250"/>
  <c r="T17" i="250"/>
  <c r="I17" i="250"/>
  <c r="I415" i="250"/>
  <c r="T415" i="250"/>
  <c r="T744" i="250"/>
  <c r="I744" i="250"/>
  <c r="S466" i="250"/>
  <c r="I466" i="250"/>
  <c r="T612" i="250"/>
  <c r="I612" i="250"/>
  <c r="T693" i="250"/>
  <c r="I693" i="250"/>
  <c r="L693" i="250"/>
  <c r="I357" i="250"/>
  <c r="T357" i="250"/>
  <c r="K123" i="250"/>
  <c r="S123" i="250"/>
  <c r="I319" i="250"/>
  <c r="I423" i="250"/>
  <c r="T423" i="250"/>
  <c r="I502" i="250"/>
  <c r="I721" i="250"/>
  <c r="T721" i="250"/>
  <c r="T177" i="250"/>
  <c r="I177" i="250"/>
  <c r="S195" i="250"/>
  <c r="I195" i="250"/>
  <c r="S258" i="250"/>
  <c r="I258" i="250"/>
  <c r="T387" i="250"/>
  <c r="I387" i="250"/>
  <c r="T457" i="250"/>
  <c r="I457" i="250"/>
  <c r="T630" i="250"/>
  <c r="I630" i="250"/>
  <c r="I584" i="250"/>
  <c r="T584" i="250"/>
  <c r="I63" i="250"/>
  <c r="S63" i="250"/>
  <c r="T229" i="250"/>
  <c r="I229" i="250"/>
  <c r="T532" i="250"/>
  <c r="I532" i="250"/>
  <c r="L755" i="250"/>
  <c r="I755" i="250"/>
  <c r="T755" i="250"/>
  <c r="T1083" i="250" l="1"/>
  <c r="U1085" i="250" s="1"/>
  <c r="S1083" i="250"/>
  <c r="T1085" i="250" s="1"/>
  <c r="I281" i="20" l="1"/>
  <c r="H281" i="20"/>
  <c r="H280" i="20"/>
  <c r="G281" i="20"/>
  <c r="G280" i="20"/>
  <c r="E281" i="20"/>
  <c r="D281" i="20"/>
  <c r="D280" i="20"/>
  <c r="E280" i="20"/>
  <c r="C281" i="20"/>
  <c r="R280" i="20" s="1"/>
  <c r="C280" i="20"/>
  <c r="R279" i="20" s="1"/>
  <c r="H9" i="249"/>
  <c r="H10" i="249"/>
  <c r="H13" i="249"/>
  <c r="H14" i="249"/>
  <c r="H15" i="249"/>
  <c r="E16" i="249"/>
  <c r="E23" i="249" s="1"/>
  <c r="E27" i="249" s="1"/>
  <c r="E26" i="249" s="1"/>
  <c r="E31" i="249" s="1"/>
  <c r="F16" i="249"/>
  <c r="G16" i="249"/>
  <c r="H16" i="249"/>
  <c r="H17" i="249"/>
  <c r="H18" i="249"/>
  <c r="H19" i="249"/>
  <c r="H20" i="249"/>
  <c r="H21" i="249"/>
  <c r="H22" i="249"/>
  <c r="F23" i="249"/>
  <c r="G23" i="249"/>
  <c r="G27" i="249" s="1"/>
  <c r="J26" i="249"/>
  <c r="J31" i="249" s="1"/>
  <c r="K26" i="249"/>
  <c r="K31" i="249" s="1"/>
  <c r="L26" i="249"/>
  <c r="L31" i="249" s="1"/>
  <c r="F27" i="249"/>
  <c r="F26" i="249" s="1"/>
  <c r="F31" i="249" s="1"/>
  <c r="I278" i="20"/>
  <c r="H278" i="20"/>
  <c r="G278" i="20"/>
  <c r="E278" i="20"/>
  <c r="D278" i="20"/>
  <c r="D277" i="20"/>
  <c r="E277" i="20"/>
  <c r="C278" i="20"/>
  <c r="C277" i="20"/>
  <c r="E14" i="248"/>
  <c r="E39" i="248" s="1"/>
  <c r="F14" i="248"/>
  <c r="G14" i="248"/>
  <c r="G39" i="248" s="1"/>
  <c r="H14" i="248"/>
  <c r="E34" i="248"/>
  <c r="E40" i="248" s="1"/>
  <c r="F34" i="248"/>
  <c r="G34" i="248"/>
  <c r="G40" i="248" s="1"/>
  <c r="H40" i="248" s="1"/>
  <c r="H34" i="248"/>
  <c r="J37" i="248"/>
  <c r="K37" i="248"/>
  <c r="L37" i="248"/>
  <c r="F39" i="248"/>
  <c r="F37" i="248" s="1"/>
  <c r="F43" i="248" s="1"/>
  <c r="F40" i="248"/>
  <c r="J43" i="248"/>
  <c r="K43" i="248"/>
  <c r="L43" i="248"/>
  <c r="G22" i="247"/>
  <c r="F22" i="247"/>
  <c r="F31" i="247" s="1"/>
  <c r="F54" i="247" s="1"/>
  <c r="D143" i="20" s="1"/>
  <c r="I144" i="20"/>
  <c r="I145" i="20"/>
  <c r="I146" i="20"/>
  <c r="H144" i="20"/>
  <c r="H145" i="20"/>
  <c r="H146" i="20"/>
  <c r="H143" i="20"/>
  <c r="I143" i="20"/>
  <c r="G144" i="20"/>
  <c r="G145" i="20"/>
  <c r="G146" i="20"/>
  <c r="G143" i="20"/>
  <c r="I139" i="20"/>
  <c r="I140" i="20"/>
  <c r="I141" i="20"/>
  <c r="H139" i="20"/>
  <c r="H140" i="20"/>
  <c r="H141" i="20"/>
  <c r="H138" i="20"/>
  <c r="I138" i="20"/>
  <c r="G139" i="20"/>
  <c r="G140" i="20"/>
  <c r="G141" i="20"/>
  <c r="G138" i="20"/>
  <c r="E144" i="20"/>
  <c r="E145" i="20"/>
  <c r="E146" i="20"/>
  <c r="D144" i="20"/>
  <c r="D145" i="20"/>
  <c r="D146" i="20"/>
  <c r="C144" i="20"/>
  <c r="C145" i="20"/>
  <c r="C146" i="20"/>
  <c r="C143" i="20"/>
  <c r="E139" i="20"/>
  <c r="E140" i="20"/>
  <c r="E141" i="20"/>
  <c r="D139" i="20"/>
  <c r="D140" i="20"/>
  <c r="D141" i="20"/>
  <c r="E138" i="20"/>
  <c r="C139" i="20"/>
  <c r="C140" i="20"/>
  <c r="C141" i="20"/>
  <c r="C138" i="20"/>
  <c r="H10" i="247"/>
  <c r="H11" i="247"/>
  <c r="H13" i="247"/>
  <c r="F14" i="247"/>
  <c r="F47" i="247" s="1"/>
  <c r="F46" i="247" s="1"/>
  <c r="G14" i="247"/>
  <c r="G47" i="247" s="1"/>
  <c r="H23" i="247"/>
  <c r="H24" i="247"/>
  <c r="H25" i="247"/>
  <c r="H26" i="247"/>
  <c r="H27" i="247"/>
  <c r="H28" i="247"/>
  <c r="H29" i="247"/>
  <c r="H30" i="247"/>
  <c r="E31" i="247"/>
  <c r="E54" i="247" s="1"/>
  <c r="E53" i="247" s="1"/>
  <c r="F39" i="247"/>
  <c r="H39" i="247" s="1"/>
  <c r="G39" i="247"/>
  <c r="H40" i="247"/>
  <c r="H41" i="247"/>
  <c r="E42" i="247"/>
  <c r="G42" i="247"/>
  <c r="K46" i="247"/>
  <c r="L46" i="247"/>
  <c r="E47" i="247"/>
  <c r="E46" i="247" s="1"/>
  <c r="E62" i="247" s="1"/>
  <c r="J47" i="247"/>
  <c r="J46" i="247" s="1"/>
  <c r="J62" i="247" s="1"/>
  <c r="K47" i="247"/>
  <c r="L47" i="247"/>
  <c r="E48" i="247"/>
  <c r="J53" i="247"/>
  <c r="J54" i="247"/>
  <c r="K54" i="247"/>
  <c r="K53" i="247" s="1"/>
  <c r="K62" i="247" s="1"/>
  <c r="L54" i="247"/>
  <c r="E55" i="247"/>
  <c r="G55" i="247"/>
  <c r="J55" i="247"/>
  <c r="K55" i="247"/>
  <c r="L55" i="247"/>
  <c r="L53" i="247" s="1"/>
  <c r="L62" i="247" s="1"/>
  <c r="I132" i="20"/>
  <c r="I133" i="20"/>
  <c r="I134" i="20"/>
  <c r="H132" i="20"/>
  <c r="H133" i="20"/>
  <c r="H134" i="20"/>
  <c r="G132" i="20"/>
  <c r="G133" i="20"/>
  <c r="G134" i="20"/>
  <c r="H131" i="20"/>
  <c r="I131" i="20"/>
  <c r="G131" i="20"/>
  <c r="E133" i="20"/>
  <c r="E134" i="20"/>
  <c r="D133" i="20"/>
  <c r="D134" i="20"/>
  <c r="C133" i="20"/>
  <c r="C134" i="20"/>
  <c r="H10" i="246"/>
  <c r="H11" i="246"/>
  <c r="H12" i="246"/>
  <c r="H13" i="246"/>
  <c r="F14" i="246"/>
  <c r="G14" i="246"/>
  <c r="H15" i="246"/>
  <c r="H16" i="246"/>
  <c r="H17" i="246"/>
  <c r="H18" i="246"/>
  <c r="F20" i="246"/>
  <c r="G20" i="246"/>
  <c r="H21" i="246"/>
  <c r="H22" i="246"/>
  <c r="E23" i="246"/>
  <c r="F23" i="246"/>
  <c r="G23" i="246"/>
  <c r="H23" i="246" s="1"/>
  <c r="H24" i="246"/>
  <c r="H25" i="246"/>
  <c r="H26" i="246"/>
  <c r="H27" i="246"/>
  <c r="E28" i="246"/>
  <c r="F28" i="246"/>
  <c r="G28" i="246"/>
  <c r="H28" i="246" s="1"/>
  <c r="H29" i="246"/>
  <c r="H30" i="246"/>
  <c r="E31" i="246"/>
  <c r="F31" i="246"/>
  <c r="G31" i="246"/>
  <c r="H31" i="246" s="1"/>
  <c r="H32" i="246"/>
  <c r="H33" i="246"/>
  <c r="H34" i="246"/>
  <c r="F36" i="246"/>
  <c r="G36" i="246"/>
  <c r="H36" i="246"/>
  <c r="H37" i="246"/>
  <c r="H38" i="246"/>
  <c r="H39" i="246"/>
  <c r="H40" i="246"/>
  <c r="H41" i="246"/>
  <c r="F42" i="246"/>
  <c r="G42" i="246"/>
  <c r="H42" i="246"/>
  <c r="H43" i="246"/>
  <c r="H44" i="246"/>
  <c r="H45" i="246"/>
  <c r="H46" i="246"/>
  <c r="H47" i="246"/>
  <c r="H48" i="246"/>
  <c r="H49" i="246"/>
  <c r="E50" i="246"/>
  <c r="F50" i="246"/>
  <c r="G50" i="246"/>
  <c r="H51" i="246"/>
  <c r="H52" i="246"/>
  <c r="H55" i="246"/>
  <c r="H56" i="246"/>
  <c r="E57" i="246"/>
  <c r="F57" i="246"/>
  <c r="H57" i="246" s="1"/>
  <c r="G57" i="246"/>
  <c r="H58" i="246"/>
  <c r="H59" i="246"/>
  <c r="H60" i="246"/>
  <c r="H61" i="246"/>
  <c r="H64" i="246"/>
  <c r="H66" i="246"/>
  <c r="F67" i="246"/>
  <c r="G67" i="246"/>
  <c r="H67" i="246"/>
  <c r="H68" i="246"/>
  <c r="H69" i="246"/>
  <c r="H74" i="246"/>
  <c r="H75" i="246"/>
  <c r="E76" i="246"/>
  <c r="F76" i="246"/>
  <c r="G76" i="246"/>
  <c r="H76" i="246"/>
  <c r="H77" i="246"/>
  <c r="H78" i="246"/>
  <c r="H79" i="246"/>
  <c r="H80" i="246"/>
  <c r="H81" i="246"/>
  <c r="H82" i="246"/>
  <c r="H83" i="246"/>
  <c r="E84" i="246"/>
  <c r="F84" i="246"/>
  <c r="G84" i="246"/>
  <c r="H85" i="246"/>
  <c r="H86" i="246"/>
  <c r="H87" i="246"/>
  <c r="E88" i="246"/>
  <c r="F88" i="246"/>
  <c r="G88" i="246"/>
  <c r="H88" i="246" s="1"/>
  <c r="H89" i="246"/>
  <c r="H90" i="246"/>
  <c r="H91" i="246"/>
  <c r="H92" i="246"/>
  <c r="F94" i="246"/>
  <c r="G94" i="246"/>
  <c r="H94" i="246" s="1"/>
  <c r="H95" i="246"/>
  <c r="H96" i="246"/>
  <c r="E97" i="246"/>
  <c r="F97" i="246"/>
  <c r="H97" i="246" s="1"/>
  <c r="G97" i="246"/>
  <c r="H98" i="246"/>
  <c r="H99" i="246"/>
  <c r="H100" i="246"/>
  <c r="H101" i="246"/>
  <c r="H102" i="246"/>
  <c r="H103" i="246"/>
  <c r="E104" i="246"/>
  <c r="F104" i="246"/>
  <c r="G104" i="246"/>
  <c r="H104" i="246" s="1"/>
  <c r="H105" i="246"/>
  <c r="H106" i="246"/>
  <c r="H107" i="246"/>
  <c r="H108" i="246"/>
  <c r="H109" i="246"/>
  <c r="H110" i="246"/>
  <c r="H111" i="246"/>
  <c r="H112" i="246"/>
  <c r="H113" i="246"/>
  <c r="H114" i="246"/>
  <c r="H115" i="246"/>
  <c r="H116" i="246"/>
  <c r="H117" i="246"/>
  <c r="H118" i="246"/>
  <c r="H119" i="246"/>
  <c r="H131" i="246"/>
  <c r="H132" i="246"/>
  <c r="H133" i="246"/>
  <c r="H134" i="246"/>
  <c r="F135" i="246"/>
  <c r="H135" i="246" s="1"/>
  <c r="G135" i="246"/>
  <c r="J141" i="246"/>
  <c r="J149" i="246" s="1"/>
  <c r="K141" i="246"/>
  <c r="L141" i="246"/>
  <c r="L149" i="246" s="1"/>
  <c r="E144" i="246"/>
  <c r="C132" i="20" s="1"/>
  <c r="F144" i="246"/>
  <c r="D132" i="20" s="1"/>
  <c r="G144" i="246"/>
  <c r="K149" i="246"/>
  <c r="H144" i="246" l="1"/>
  <c r="H84" i="246"/>
  <c r="H50" i="246"/>
  <c r="H20" i="246"/>
  <c r="E120" i="246"/>
  <c r="E143" i="246" s="1"/>
  <c r="F120" i="246"/>
  <c r="F143" i="246" s="1"/>
  <c r="E132" i="20"/>
  <c r="D138" i="20"/>
  <c r="H14" i="247"/>
  <c r="H22" i="247"/>
  <c r="F132" i="20"/>
  <c r="C137" i="20"/>
  <c r="E137" i="20"/>
  <c r="D142" i="20"/>
  <c r="C142" i="20"/>
  <c r="C135" i="20" s="1"/>
  <c r="G137" i="20"/>
  <c r="G142" i="20"/>
  <c r="I142" i="20"/>
  <c r="H137" i="20"/>
  <c r="I137" i="20"/>
  <c r="H142" i="20"/>
  <c r="G26" i="249"/>
  <c r="H27" i="249"/>
  <c r="H23" i="249"/>
  <c r="E37" i="248"/>
  <c r="E43" i="248" s="1"/>
  <c r="G37" i="248"/>
  <c r="H39" i="248"/>
  <c r="G31" i="247"/>
  <c r="G54" i="247" s="1"/>
  <c r="E143" i="20" s="1"/>
  <c r="E142" i="20" s="1"/>
  <c r="F144" i="20"/>
  <c r="G46" i="247"/>
  <c r="H47" i="247"/>
  <c r="F42" i="247"/>
  <c r="G120" i="246"/>
  <c r="H14" i="246"/>
  <c r="F141" i="246" l="1"/>
  <c r="F149" i="246" s="1"/>
  <c r="D131" i="20"/>
  <c r="E141" i="246"/>
  <c r="E149" i="246" s="1"/>
  <c r="C131" i="20"/>
  <c r="F138" i="20"/>
  <c r="D137" i="20"/>
  <c r="F137" i="20" s="1"/>
  <c r="F142" i="20"/>
  <c r="I135" i="20"/>
  <c r="G135" i="20"/>
  <c r="H135" i="20"/>
  <c r="G31" i="249"/>
  <c r="H31" i="249" s="1"/>
  <c r="H26" i="249"/>
  <c r="G43" i="248"/>
  <c r="H43" i="248" s="1"/>
  <c r="H37" i="248"/>
  <c r="H54" i="247"/>
  <c r="F143" i="20"/>
  <c r="G53" i="247"/>
  <c r="G62" i="247" s="1"/>
  <c r="H31" i="247"/>
  <c r="E135" i="20"/>
  <c r="H46" i="247"/>
  <c r="F55" i="247"/>
  <c r="H42" i="247"/>
  <c r="G143" i="246"/>
  <c r="E131" i="20" s="1"/>
  <c r="H120" i="246"/>
  <c r="D135" i="20" l="1"/>
  <c r="F53" i="247"/>
  <c r="H55" i="247"/>
  <c r="G141" i="246"/>
  <c r="H143" i="246"/>
  <c r="F135" i="20" l="1"/>
  <c r="F62" i="247"/>
  <c r="H62" i="247" s="1"/>
  <c r="H53" i="247"/>
  <c r="G149" i="246"/>
  <c r="H149" i="246" s="1"/>
  <c r="H141" i="246"/>
  <c r="I127" i="20" l="1"/>
  <c r="I128" i="20"/>
  <c r="I129" i="20"/>
  <c r="H127" i="20"/>
  <c r="H128" i="20"/>
  <c r="H129" i="20"/>
  <c r="H126" i="20"/>
  <c r="I126" i="20"/>
  <c r="G127" i="20"/>
  <c r="G128" i="20"/>
  <c r="G129" i="20"/>
  <c r="G126" i="20"/>
  <c r="E127" i="20"/>
  <c r="E128" i="20"/>
  <c r="E129" i="20"/>
  <c r="D127" i="20"/>
  <c r="D128" i="20"/>
  <c r="D129" i="20"/>
  <c r="D126" i="20"/>
  <c r="E126" i="20"/>
  <c r="C127" i="20"/>
  <c r="C128" i="20"/>
  <c r="C129" i="20"/>
  <c r="C126" i="20"/>
  <c r="H11" i="245"/>
  <c r="H12" i="245"/>
  <c r="H13" i="245"/>
  <c r="H14" i="245"/>
  <c r="H15" i="245"/>
  <c r="H16" i="245"/>
  <c r="H17" i="245"/>
  <c r="H18" i="245"/>
  <c r="H19" i="245"/>
  <c r="H20" i="245"/>
  <c r="H21" i="245"/>
  <c r="H22" i="245"/>
  <c r="H23" i="245"/>
  <c r="H24" i="245"/>
  <c r="H25" i="245"/>
  <c r="H26" i="245"/>
  <c r="H27" i="245"/>
  <c r="H28" i="245"/>
  <c r="H29" i="245"/>
  <c r="H30" i="245"/>
  <c r="H31" i="245"/>
  <c r="H32" i="245"/>
  <c r="H33" i="245"/>
  <c r="H34" i="245"/>
  <c r="H35" i="245"/>
  <c r="H36" i="245"/>
  <c r="H37" i="245"/>
  <c r="H38" i="245"/>
  <c r="H39" i="245"/>
  <c r="H40" i="245"/>
  <c r="H42" i="245"/>
  <c r="H43" i="245"/>
  <c r="H46" i="245"/>
  <c r="H47" i="245"/>
  <c r="H48" i="245"/>
  <c r="H49" i="245"/>
  <c r="H50" i="245"/>
  <c r="H51" i="245"/>
  <c r="E53" i="245"/>
  <c r="F53" i="245"/>
  <c r="F134" i="245" s="1"/>
  <c r="G53" i="245"/>
  <c r="H53" i="245" s="1"/>
  <c r="E80" i="245"/>
  <c r="F80" i="245"/>
  <c r="F124" i="245" s="1"/>
  <c r="F129" i="245" s="1"/>
  <c r="G80" i="245"/>
  <c r="H80" i="245" s="1"/>
  <c r="H81" i="245"/>
  <c r="H82" i="245"/>
  <c r="H83" i="245"/>
  <c r="H84" i="245"/>
  <c r="H85" i="245"/>
  <c r="H86" i="245"/>
  <c r="H87" i="245"/>
  <c r="H88" i="245"/>
  <c r="H89" i="245"/>
  <c r="H90" i="245"/>
  <c r="H91" i="245"/>
  <c r="H92" i="245"/>
  <c r="H93" i="245"/>
  <c r="H94" i="245"/>
  <c r="H95" i="245"/>
  <c r="H96" i="245"/>
  <c r="H97" i="245"/>
  <c r="H98" i="245"/>
  <c r="H99" i="245"/>
  <c r="H100" i="245"/>
  <c r="H101" i="245"/>
  <c r="H102" i="245"/>
  <c r="E103" i="245"/>
  <c r="F103" i="245"/>
  <c r="G103" i="245"/>
  <c r="H103" i="245"/>
  <c r="H104" i="245"/>
  <c r="H105" i="245"/>
  <c r="H106" i="245"/>
  <c r="H107" i="245"/>
  <c r="H108" i="245"/>
  <c r="H109" i="245"/>
  <c r="H110" i="245"/>
  <c r="H111" i="245"/>
  <c r="H112" i="245"/>
  <c r="H113" i="245"/>
  <c r="H114" i="245"/>
  <c r="H115" i="245"/>
  <c r="H116" i="245"/>
  <c r="H117" i="245"/>
  <c r="H118" i="245"/>
  <c r="H119" i="245"/>
  <c r="H120" i="245"/>
  <c r="H121" i="245"/>
  <c r="H122" i="245"/>
  <c r="H123" i="245"/>
  <c r="E124" i="245"/>
  <c r="E134" i="245" s="1"/>
  <c r="J126" i="245"/>
  <c r="E128" i="245"/>
  <c r="F128" i="245"/>
  <c r="F126" i="245" s="1"/>
  <c r="J128" i="245"/>
  <c r="K128" i="245"/>
  <c r="K126" i="245" s="1"/>
  <c r="L128" i="245"/>
  <c r="L126" i="245" s="1"/>
  <c r="J129" i="245"/>
  <c r="K129" i="245"/>
  <c r="L129" i="245"/>
  <c r="E131" i="245"/>
  <c r="F131" i="245"/>
  <c r="G131" i="245"/>
  <c r="H131" i="245"/>
  <c r="H124" i="20"/>
  <c r="I124" i="20"/>
  <c r="G124" i="20"/>
  <c r="D124" i="20"/>
  <c r="E124" i="20"/>
  <c r="C124" i="20"/>
  <c r="E11" i="244"/>
  <c r="F11" i="244"/>
  <c r="G11" i="244"/>
  <c r="G15" i="244" s="1"/>
  <c r="E15" i="244"/>
  <c r="F15" i="244"/>
  <c r="H123" i="20"/>
  <c r="I123" i="20"/>
  <c r="G123" i="20"/>
  <c r="D123" i="20"/>
  <c r="E123" i="20"/>
  <c r="C123" i="20"/>
  <c r="E11" i="243"/>
  <c r="G11" i="243"/>
  <c r="G15" i="243" s="1"/>
  <c r="E15" i="243"/>
  <c r="F15" i="243"/>
  <c r="I120" i="20"/>
  <c r="I121" i="20"/>
  <c r="I122" i="20"/>
  <c r="H120" i="20"/>
  <c r="H121" i="20"/>
  <c r="H122" i="20"/>
  <c r="H119" i="20"/>
  <c r="I119" i="20"/>
  <c r="G120" i="20"/>
  <c r="G121" i="20"/>
  <c r="G122" i="20"/>
  <c r="G119" i="20"/>
  <c r="I115" i="20"/>
  <c r="M142" i="20" s="1"/>
  <c r="I116" i="20"/>
  <c r="M143" i="20" s="1"/>
  <c r="I117" i="20"/>
  <c r="M144" i="20" s="1"/>
  <c r="H115" i="20"/>
  <c r="L142" i="20" s="1"/>
  <c r="H116" i="20"/>
  <c r="L143" i="20" s="1"/>
  <c r="H117" i="20"/>
  <c r="L144" i="20" s="1"/>
  <c r="H114" i="20"/>
  <c r="L141" i="20" s="1"/>
  <c r="I114" i="20"/>
  <c r="M141" i="20" s="1"/>
  <c r="G115" i="20"/>
  <c r="K142" i="20" s="1"/>
  <c r="G116" i="20"/>
  <c r="K143" i="20" s="1"/>
  <c r="G117" i="20"/>
  <c r="K144" i="20" s="1"/>
  <c r="G114" i="20"/>
  <c r="K141" i="20" s="1"/>
  <c r="C121" i="20"/>
  <c r="C122" i="20"/>
  <c r="E117" i="20"/>
  <c r="D117" i="20"/>
  <c r="C117" i="20"/>
  <c r="E10" i="242"/>
  <c r="F10" i="242"/>
  <c r="G10" i="242"/>
  <c r="H11" i="242"/>
  <c r="H12" i="242"/>
  <c r="F13" i="242"/>
  <c r="G13" i="242"/>
  <c r="H13" i="242" s="1"/>
  <c r="H14" i="242"/>
  <c r="F15" i="242"/>
  <c r="G15" i="242"/>
  <c r="H15" i="242" s="1"/>
  <c r="H16" i="242"/>
  <c r="H17" i="242"/>
  <c r="H18" i="242"/>
  <c r="H19" i="242"/>
  <c r="H20" i="242"/>
  <c r="H21" i="242"/>
  <c r="H22" i="242"/>
  <c r="H23" i="242"/>
  <c r="H24" i="242"/>
  <c r="H25" i="242"/>
  <c r="H26" i="242"/>
  <c r="H27" i="242"/>
  <c r="H29" i="242"/>
  <c r="H30" i="242"/>
  <c r="H31" i="242"/>
  <c r="H35" i="242"/>
  <c r="H36" i="242"/>
  <c r="H37" i="242"/>
  <c r="E38" i="242"/>
  <c r="F38" i="242"/>
  <c r="G38" i="242"/>
  <c r="H38" i="242" s="1"/>
  <c r="H39" i="242"/>
  <c r="H40" i="242"/>
  <c r="H41" i="242"/>
  <c r="H42" i="242"/>
  <c r="H43" i="242"/>
  <c r="H45" i="242"/>
  <c r="F46" i="242"/>
  <c r="G46" i="242"/>
  <c r="H47" i="242"/>
  <c r="H48" i="242"/>
  <c r="E49" i="242"/>
  <c r="F49" i="242"/>
  <c r="G49" i="242"/>
  <c r="H49" i="242" s="1"/>
  <c r="H50" i="242"/>
  <c r="H51" i="242"/>
  <c r="G53" i="242"/>
  <c r="H60" i="242"/>
  <c r="H61" i="242"/>
  <c r="F62" i="242"/>
  <c r="F130" i="242" s="1"/>
  <c r="G62" i="242"/>
  <c r="H62" i="242" s="1"/>
  <c r="E69" i="242"/>
  <c r="F69" i="242"/>
  <c r="G69" i="242"/>
  <c r="H70" i="242"/>
  <c r="H71" i="242"/>
  <c r="H72" i="242"/>
  <c r="H73" i="242"/>
  <c r="E74" i="242"/>
  <c r="E80" i="242" s="1"/>
  <c r="F74" i="242"/>
  <c r="G74" i="242"/>
  <c r="G80" i="242" s="1"/>
  <c r="E75" i="242"/>
  <c r="F75" i="242"/>
  <c r="F78" i="242" s="1"/>
  <c r="G75" i="242"/>
  <c r="G78" i="242" s="1"/>
  <c r="E78" i="242"/>
  <c r="E88" i="242"/>
  <c r="E95" i="242" s="1"/>
  <c r="F88" i="242"/>
  <c r="F95" i="242" s="1"/>
  <c r="G88" i="242"/>
  <c r="H88" i="242"/>
  <c r="H89" i="242"/>
  <c r="H90" i="242"/>
  <c r="H91" i="242"/>
  <c r="H92" i="242"/>
  <c r="H93" i="242"/>
  <c r="G95" i="242"/>
  <c r="G96" i="242" s="1"/>
  <c r="E102" i="242"/>
  <c r="F102" i="242"/>
  <c r="G102" i="242"/>
  <c r="H102" i="242"/>
  <c r="H103" i="242"/>
  <c r="H104" i="242"/>
  <c r="H105" i="242"/>
  <c r="H106" i="242"/>
  <c r="H107" i="242"/>
  <c r="H108" i="242"/>
  <c r="H109" i="242"/>
  <c r="H110" i="242"/>
  <c r="E112" i="242"/>
  <c r="F112" i="242"/>
  <c r="G112" i="242"/>
  <c r="F113" i="242"/>
  <c r="G113" i="242"/>
  <c r="H113" i="242"/>
  <c r="H114" i="242"/>
  <c r="H115" i="242"/>
  <c r="E117" i="242"/>
  <c r="F117" i="242"/>
  <c r="G117" i="242"/>
  <c r="F119" i="242"/>
  <c r="J128" i="242"/>
  <c r="K128" i="242"/>
  <c r="K141" i="242" s="1"/>
  <c r="L128" i="242"/>
  <c r="E130" i="242"/>
  <c r="C115" i="20" s="1"/>
  <c r="G130" i="242"/>
  <c r="E115" i="20" s="1"/>
  <c r="E131" i="242"/>
  <c r="C116" i="20" s="1"/>
  <c r="F131" i="242"/>
  <c r="D116" i="20" s="1"/>
  <c r="G131" i="242"/>
  <c r="J134" i="242"/>
  <c r="K134" i="242"/>
  <c r="L134" i="242"/>
  <c r="E136" i="242"/>
  <c r="C120" i="20" s="1"/>
  <c r="N136" i="242"/>
  <c r="O136" i="242"/>
  <c r="F137" i="242"/>
  <c r="D121" i="20" s="1"/>
  <c r="G137" i="242"/>
  <c r="E121" i="20" s="1"/>
  <c r="H137" i="242"/>
  <c r="F138" i="242"/>
  <c r="D122" i="20" s="1"/>
  <c r="G138" i="242"/>
  <c r="H138" i="242" s="1"/>
  <c r="J141" i="242"/>
  <c r="K144" i="242"/>
  <c r="I106" i="20"/>
  <c r="I107" i="20"/>
  <c r="I108" i="20"/>
  <c r="H106" i="20"/>
  <c r="H107" i="20"/>
  <c r="H108" i="20"/>
  <c r="H105" i="20"/>
  <c r="I105" i="20"/>
  <c r="G106" i="20"/>
  <c r="G107" i="20"/>
  <c r="G108" i="20"/>
  <c r="G105" i="20"/>
  <c r="I101" i="20"/>
  <c r="I102" i="20"/>
  <c r="I103" i="20"/>
  <c r="H101" i="20"/>
  <c r="H102" i="20"/>
  <c r="H103" i="20"/>
  <c r="H100" i="20"/>
  <c r="I100" i="20"/>
  <c r="G101" i="20"/>
  <c r="G102" i="20"/>
  <c r="G103" i="20"/>
  <c r="G100" i="20"/>
  <c r="C107" i="20"/>
  <c r="C108" i="20"/>
  <c r="E102" i="20"/>
  <c r="E103" i="20"/>
  <c r="D102" i="20"/>
  <c r="D103" i="20"/>
  <c r="C102" i="20"/>
  <c r="C103" i="20"/>
  <c r="F10" i="241"/>
  <c r="H10" i="241" s="1"/>
  <c r="H11" i="241"/>
  <c r="F12" i="241"/>
  <c r="G12" i="241"/>
  <c r="H13" i="241"/>
  <c r="H14" i="241"/>
  <c r="H15" i="241"/>
  <c r="F16" i="241"/>
  <c r="G16" i="241"/>
  <c r="H17" i="241"/>
  <c r="H18" i="241"/>
  <c r="F19" i="241"/>
  <c r="G19" i="241"/>
  <c r="H19" i="241" s="1"/>
  <c r="H20" i="241"/>
  <c r="H21" i="241"/>
  <c r="H22" i="241"/>
  <c r="H23" i="241"/>
  <c r="H24" i="241"/>
  <c r="F25" i="241"/>
  <c r="G25" i="241"/>
  <c r="H26" i="241"/>
  <c r="H27" i="241"/>
  <c r="H28" i="241"/>
  <c r="E30" i="241"/>
  <c r="F30" i="241"/>
  <c r="G30" i="241"/>
  <c r="H32" i="241"/>
  <c r="H33" i="241"/>
  <c r="E34" i="241"/>
  <c r="F34" i="241"/>
  <c r="G34" i="241"/>
  <c r="H35" i="241"/>
  <c r="H36" i="241"/>
  <c r="H37" i="241"/>
  <c r="H38" i="241"/>
  <c r="H39" i="241"/>
  <c r="H40" i="241"/>
  <c r="E41" i="241"/>
  <c r="F41" i="241"/>
  <c r="G41" i="241"/>
  <c r="H42" i="241"/>
  <c r="H43" i="241"/>
  <c r="H44" i="241"/>
  <c r="H45" i="241"/>
  <c r="H46" i="241"/>
  <c r="H47" i="241"/>
  <c r="E48" i="241"/>
  <c r="F48" i="241"/>
  <c r="G48" i="241"/>
  <c r="H50" i="241"/>
  <c r="H51" i="241"/>
  <c r="H52" i="241"/>
  <c r="F53" i="241"/>
  <c r="G53" i="241"/>
  <c r="H54" i="241"/>
  <c r="H55" i="241"/>
  <c r="H56" i="241"/>
  <c r="H57" i="241"/>
  <c r="H58" i="241"/>
  <c r="H59" i="241"/>
  <c r="H60" i="241"/>
  <c r="H61" i="241"/>
  <c r="H62" i="241"/>
  <c r="F63" i="241"/>
  <c r="G63" i="241"/>
  <c r="H63" i="241" s="1"/>
  <c r="H64" i="241"/>
  <c r="H65" i="241"/>
  <c r="H66" i="241"/>
  <c r="H67" i="241"/>
  <c r="H68" i="241"/>
  <c r="H69" i="241"/>
  <c r="H74" i="241"/>
  <c r="H75" i="241"/>
  <c r="E76" i="241"/>
  <c r="F76" i="241"/>
  <c r="G76" i="241"/>
  <c r="H77" i="241"/>
  <c r="H78" i="241"/>
  <c r="E80" i="241"/>
  <c r="F80" i="241"/>
  <c r="G80" i="241"/>
  <c r="H80" i="241" s="1"/>
  <c r="H81" i="241"/>
  <c r="H82" i="241"/>
  <c r="F83" i="241"/>
  <c r="G83" i="241"/>
  <c r="H83" i="241" s="1"/>
  <c r="H84" i="241"/>
  <c r="H85" i="241"/>
  <c r="H86" i="241"/>
  <c r="E87" i="241"/>
  <c r="F87" i="241"/>
  <c r="G87" i="241"/>
  <c r="H87" i="241" s="1"/>
  <c r="H88" i="241"/>
  <c r="H89" i="241"/>
  <c r="H90" i="241"/>
  <c r="H91" i="241"/>
  <c r="F92" i="241"/>
  <c r="G92" i="241"/>
  <c r="H92" i="241" s="1"/>
  <c r="H93" i="241"/>
  <c r="H94" i="241"/>
  <c r="F95" i="241"/>
  <c r="G95" i="241"/>
  <c r="H96" i="241"/>
  <c r="H97" i="241"/>
  <c r="H98" i="241"/>
  <c r="H99" i="241"/>
  <c r="F100" i="241"/>
  <c r="G100" i="241"/>
  <c r="H100" i="241" s="1"/>
  <c r="H101" i="241"/>
  <c r="H102" i="241"/>
  <c r="H103" i="241"/>
  <c r="F104" i="241"/>
  <c r="G104" i="241"/>
  <c r="H105" i="241"/>
  <c r="H106" i="241"/>
  <c r="H107" i="241"/>
  <c r="H108" i="241"/>
  <c r="F109" i="241"/>
  <c r="G109" i="241"/>
  <c r="H110" i="241"/>
  <c r="H111" i="241"/>
  <c r="H112" i="241"/>
  <c r="H113" i="241"/>
  <c r="H114" i="241"/>
  <c r="F115" i="241"/>
  <c r="G115" i="241"/>
  <c r="H116" i="241"/>
  <c r="H117" i="241"/>
  <c r="F118" i="241"/>
  <c r="G118" i="241"/>
  <c r="H119" i="241"/>
  <c r="H120" i="241"/>
  <c r="H121" i="241"/>
  <c r="H122" i="241"/>
  <c r="H123" i="241"/>
  <c r="F124" i="241"/>
  <c r="G124" i="241"/>
  <c r="H125" i="241"/>
  <c r="H126" i="241"/>
  <c r="E127" i="241"/>
  <c r="F127" i="241"/>
  <c r="G127" i="241"/>
  <c r="H129" i="241"/>
  <c r="H130" i="241"/>
  <c r="F131" i="241"/>
  <c r="G131" i="241"/>
  <c r="H132" i="241"/>
  <c r="H133" i="241"/>
  <c r="F134" i="241"/>
  <c r="G134" i="241"/>
  <c r="H135" i="241"/>
  <c r="H136" i="241"/>
  <c r="H143" i="241"/>
  <c r="H144" i="241"/>
  <c r="H145" i="241"/>
  <c r="H147" i="241"/>
  <c r="H148" i="241"/>
  <c r="H150" i="241"/>
  <c r="H151" i="241"/>
  <c r="H152" i="241"/>
  <c r="F153" i="241"/>
  <c r="G153" i="241"/>
  <c r="H153" i="241" s="1"/>
  <c r="E162" i="241"/>
  <c r="E172" i="241" s="1"/>
  <c r="F162" i="241"/>
  <c r="G162" i="241"/>
  <c r="H163" i="241"/>
  <c r="H164" i="241"/>
  <c r="H165" i="241"/>
  <c r="H166" i="241"/>
  <c r="H167" i="241"/>
  <c r="H168" i="241"/>
  <c r="F169" i="241"/>
  <c r="G169" i="241"/>
  <c r="H170" i="241"/>
  <c r="H171" i="241"/>
  <c r="H173" i="241"/>
  <c r="H174" i="241"/>
  <c r="E175" i="241"/>
  <c r="F175" i="241"/>
  <c r="G175" i="241"/>
  <c r="E185" i="241"/>
  <c r="E195" i="241" s="1"/>
  <c r="F185" i="241"/>
  <c r="G185" i="241"/>
  <c r="H186" i="241"/>
  <c r="H187" i="241"/>
  <c r="H188" i="241"/>
  <c r="H189" i="241"/>
  <c r="H190" i="241"/>
  <c r="H191" i="241"/>
  <c r="F192" i="241"/>
  <c r="G192" i="241"/>
  <c r="H193" i="241"/>
  <c r="H194" i="241"/>
  <c r="H196" i="241"/>
  <c r="H197" i="241"/>
  <c r="E198" i="241"/>
  <c r="F198" i="241"/>
  <c r="G198" i="241"/>
  <c r="E206" i="241"/>
  <c r="E216" i="241" s="1"/>
  <c r="E218" i="241" s="1"/>
  <c r="F206" i="241"/>
  <c r="G206" i="241"/>
  <c r="H207" i="241"/>
  <c r="H208" i="241"/>
  <c r="H209" i="241"/>
  <c r="H210" i="241"/>
  <c r="H211" i="241"/>
  <c r="H212" i="241"/>
  <c r="F213" i="241"/>
  <c r="F216" i="241" s="1"/>
  <c r="F218" i="241" s="1"/>
  <c r="G213" i="241"/>
  <c r="H214" i="241"/>
  <c r="H215" i="241"/>
  <c r="E228" i="241"/>
  <c r="E232" i="241" s="1"/>
  <c r="F228" i="241"/>
  <c r="F232" i="241" s="1"/>
  <c r="G228" i="241"/>
  <c r="H229" i="241"/>
  <c r="H230" i="241"/>
  <c r="H231" i="241"/>
  <c r="G232" i="241"/>
  <c r="H233" i="241"/>
  <c r="H234" i="241"/>
  <c r="E235" i="241"/>
  <c r="F235" i="241"/>
  <c r="G235" i="241"/>
  <c r="E244" i="241"/>
  <c r="E252" i="241" s="1"/>
  <c r="E257" i="241" s="1"/>
  <c r="F244" i="241"/>
  <c r="F252" i="241" s="1"/>
  <c r="F257" i="241" s="1"/>
  <c r="G244" i="241"/>
  <c r="H244" i="241" s="1"/>
  <c r="H245" i="241"/>
  <c r="H246" i="241"/>
  <c r="H247" i="241"/>
  <c r="H248" i="241"/>
  <c r="H249" i="241"/>
  <c r="H250" i="241"/>
  <c r="H253" i="241"/>
  <c r="H254" i="241"/>
  <c r="E255" i="241"/>
  <c r="F255" i="241"/>
  <c r="G255" i="241"/>
  <c r="E270" i="241"/>
  <c r="E277" i="241" s="1"/>
  <c r="E282" i="241" s="1"/>
  <c r="F270" i="241"/>
  <c r="F277" i="241" s="1"/>
  <c r="G270" i="241"/>
  <c r="H270" i="241" s="1"/>
  <c r="H271" i="241"/>
  <c r="H272" i="241"/>
  <c r="H273" i="241"/>
  <c r="H275" i="241"/>
  <c r="H276" i="241"/>
  <c r="H278" i="241"/>
  <c r="H279" i="241"/>
  <c r="E280" i="241"/>
  <c r="F280" i="241"/>
  <c r="G280" i="241"/>
  <c r="E288" i="241"/>
  <c r="E293" i="241" s="1"/>
  <c r="E295" i="241" s="1"/>
  <c r="F288" i="241"/>
  <c r="G288" i="241"/>
  <c r="H289" i="241"/>
  <c r="H290" i="241"/>
  <c r="H291" i="241"/>
  <c r="H292" i="241"/>
  <c r="F293" i="241"/>
  <c r="F295" i="241" s="1"/>
  <c r="E305" i="241"/>
  <c r="F305" i="241"/>
  <c r="G305" i="241"/>
  <c r="H305" i="241"/>
  <c r="J308" i="241"/>
  <c r="K308" i="241"/>
  <c r="L308" i="241"/>
  <c r="E310" i="241"/>
  <c r="C101" i="20" s="1"/>
  <c r="F310" i="241"/>
  <c r="D101" i="20" s="1"/>
  <c r="G310" i="241"/>
  <c r="J314" i="241"/>
  <c r="K314" i="241"/>
  <c r="L314" i="241"/>
  <c r="F317" i="241"/>
  <c r="D107" i="20" s="1"/>
  <c r="G317" i="241"/>
  <c r="E107" i="20" s="1"/>
  <c r="N317" i="241"/>
  <c r="O317" i="241"/>
  <c r="F318" i="241"/>
  <c r="D108" i="20" s="1"/>
  <c r="G318" i="241"/>
  <c r="J322" i="241"/>
  <c r="I95" i="20"/>
  <c r="I96" i="20"/>
  <c r="I97" i="20"/>
  <c r="H95" i="20"/>
  <c r="H96" i="20"/>
  <c r="H97" i="20"/>
  <c r="H94" i="20"/>
  <c r="I94" i="20"/>
  <c r="G95" i="20"/>
  <c r="G96" i="20"/>
  <c r="G97" i="20"/>
  <c r="G94" i="20"/>
  <c r="I90" i="20"/>
  <c r="I91" i="20"/>
  <c r="I92" i="20"/>
  <c r="H90" i="20"/>
  <c r="H91" i="20"/>
  <c r="H92" i="20"/>
  <c r="H89" i="20"/>
  <c r="I89" i="20"/>
  <c r="G90" i="20"/>
  <c r="G91" i="20"/>
  <c r="G92" i="20"/>
  <c r="G89" i="20"/>
  <c r="C96" i="20"/>
  <c r="C97" i="20"/>
  <c r="E91" i="20"/>
  <c r="E92" i="20"/>
  <c r="D91" i="20"/>
  <c r="D92" i="20"/>
  <c r="C91" i="20"/>
  <c r="C92" i="20"/>
  <c r="H10" i="240"/>
  <c r="F11" i="240"/>
  <c r="G11" i="240"/>
  <c r="H12" i="240"/>
  <c r="H13" i="240"/>
  <c r="H15" i="240"/>
  <c r="H16" i="240"/>
  <c r="H19" i="240"/>
  <c r="E20" i="240"/>
  <c r="E100" i="240" s="1"/>
  <c r="C89" i="20" s="1"/>
  <c r="F20" i="240"/>
  <c r="F100" i="240" s="1"/>
  <c r="D89" i="20" s="1"/>
  <c r="E26" i="240"/>
  <c r="F26" i="240"/>
  <c r="G26" i="240"/>
  <c r="H27" i="240"/>
  <c r="H28" i="240"/>
  <c r="E29" i="240"/>
  <c r="F29" i="240"/>
  <c r="G29" i="240"/>
  <c r="H30" i="240"/>
  <c r="H31" i="240"/>
  <c r="E43" i="240"/>
  <c r="F43" i="240"/>
  <c r="G43" i="240"/>
  <c r="H44" i="240"/>
  <c r="H46" i="240"/>
  <c r="F47" i="240"/>
  <c r="G47" i="240"/>
  <c r="H48" i="240"/>
  <c r="H50" i="240"/>
  <c r="H52" i="240"/>
  <c r="E54" i="240"/>
  <c r="E66" i="240" s="1"/>
  <c r="E68" i="240" s="1"/>
  <c r="F54" i="240"/>
  <c r="G54" i="240"/>
  <c r="H54" i="240" s="1"/>
  <c r="H55" i="240"/>
  <c r="H56" i="240"/>
  <c r="H57" i="240"/>
  <c r="H58" i="240"/>
  <c r="F66" i="240"/>
  <c r="F68" i="240"/>
  <c r="E77" i="240"/>
  <c r="E81" i="240" s="1"/>
  <c r="F77" i="240"/>
  <c r="F81" i="240" s="1"/>
  <c r="G77" i="240"/>
  <c r="H78" i="240"/>
  <c r="H79" i="240"/>
  <c r="H80" i="240"/>
  <c r="G81" i="240"/>
  <c r="E82" i="240"/>
  <c r="E88" i="240" s="1"/>
  <c r="F82" i="240"/>
  <c r="F88" i="240" s="1"/>
  <c r="G82" i="240"/>
  <c r="H83" i="240"/>
  <c r="H84" i="240"/>
  <c r="H85" i="240"/>
  <c r="H86" i="240"/>
  <c r="H87" i="240"/>
  <c r="J99" i="240"/>
  <c r="K99" i="240"/>
  <c r="L99" i="240"/>
  <c r="J105" i="240"/>
  <c r="K105" i="240"/>
  <c r="L105" i="240"/>
  <c r="F108" i="240"/>
  <c r="G108" i="240"/>
  <c r="E96" i="20" s="1"/>
  <c r="N108" i="240"/>
  <c r="O108" i="240"/>
  <c r="F109" i="240"/>
  <c r="D97" i="20" s="1"/>
  <c r="G109" i="240"/>
  <c r="E97" i="20" s="1"/>
  <c r="J115" i="240"/>
  <c r="I84" i="20"/>
  <c r="I85" i="20"/>
  <c r="I86" i="20"/>
  <c r="H84" i="20"/>
  <c r="H85" i="20"/>
  <c r="H86" i="20"/>
  <c r="G84" i="20"/>
  <c r="G85" i="20"/>
  <c r="G86" i="20"/>
  <c r="G83" i="20"/>
  <c r="I78" i="20"/>
  <c r="I79" i="20"/>
  <c r="I80" i="20"/>
  <c r="I81" i="20"/>
  <c r="H78" i="20"/>
  <c r="H79" i="20"/>
  <c r="H80" i="20"/>
  <c r="H81" i="20"/>
  <c r="G78" i="20"/>
  <c r="G79" i="20"/>
  <c r="G80" i="20"/>
  <c r="G81" i="20"/>
  <c r="G77" i="20"/>
  <c r="E86" i="20"/>
  <c r="D86" i="20"/>
  <c r="C85" i="20"/>
  <c r="C86" i="20"/>
  <c r="E80" i="20"/>
  <c r="D80" i="20"/>
  <c r="D81" i="20"/>
  <c r="C78" i="20"/>
  <c r="C79" i="20"/>
  <c r="C80" i="20"/>
  <c r="C81" i="20"/>
  <c r="H12" i="239"/>
  <c r="H13" i="239"/>
  <c r="H15" i="239"/>
  <c r="F16" i="239"/>
  <c r="G16" i="239"/>
  <c r="H17" i="239"/>
  <c r="H18" i="239"/>
  <c r="F19" i="239"/>
  <c r="G19" i="239"/>
  <c r="H20" i="239"/>
  <c r="H21" i="239"/>
  <c r="E22" i="239"/>
  <c r="F22" i="239"/>
  <c r="G22" i="239"/>
  <c r="H23" i="239"/>
  <c r="H25" i="239"/>
  <c r="H26" i="239"/>
  <c r="H27" i="239"/>
  <c r="F28" i="239"/>
  <c r="G28" i="239"/>
  <c r="H30" i="239"/>
  <c r="H31" i="239"/>
  <c r="H33" i="239"/>
  <c r="F35" i="239"/>
  <c r="G35" i="239"/>
  <c r="H36" i="239"/>
  <c r="H37" i="239"/>
  <c r="H39" i="239"/>
  <c r="F41" i="239"/>
  <c r="G41" i="239"/>
  <c r="H42" i="239"/>
  <c r="H44" i="239"/>
  <c r="E46" i="239"/>
  <c r="F46" i="239"/>
  <c r="G46" i="239"/>
  <c r="H53" i="239"/>
  <c r="F55" i="239"/>
  <c r="G55" i="239"/>
  <c r="H56" i="239"/>
  <c r="H57" i="239"/>
  <c r="F58" i="239"/>
  <c r="G58" i="239"/>
  <c r="H59" i="239"/>
  <c r="H60" i="239"/>
  <c r="H61" i="239"/>
  <c r="F62" i="239"/>
  <c r="G62" i="239"/>
  <c r="H63" i="239"/>
  <c r="H64" i="239"/>
  <c r="F65" i="239"/>
  <c r="G65" i="239"/>
  <c r="H66" i="239"/>
  <c r="H67" i="239"/>
  <c r="H68" i="239"/>
  <c r="H70" i="239"/>
  <c r="E74" i="239"/>
  <c r="F74" i="239"/>
  <c r="G74" i="239"/>
  <c r="H75" i="239"/>
  <c r="H77" i="239"/>
  <c r="H78" i="239"/>
  <c r="F79" i="239"/>
  <c r="G79" i="239"/>
  <c r="F82" i="239"/>
  <c r="G82" i="239"/>
  <c r="H83" i="239"/>
  <c r="H84" i="239"/>
  <c r="H85" i="239"/>
  <c r="H86" i="239"/>
  <c r="H87" i="239"/>
  <c r="H88" i="239"/>
  <c r="F89" i="239"/>
  <c r="G89" i="239"/>
  <c r="H90" i="239"/>
  <c r="H91" i="239"/>
  <c r="F92" i="239"/>
  <c r="G92" i="239"/>
  <c r="H94" i="239"/>
  <c r="H95" i="239"/>
  <c r="H96" i="239"/>
  <c r="F97" i="239"/>
  <c r="G97" i="239"/>
  <c r="H98" i="239"/>
  <c r="H99" i="239"/>
  <c r="H100" i="239"/>
  <c r="F101" i="239"/>
  <c r="G101" i="239"/>
  <c r="H102" i="239"/>
  <c r="H103" i="239"/>
  <c r="F104" i="239"/>
  <c r="G104" i="239"/>
  <c r="H105" i="239"/>
  <c r="H106" i="239"/>
  <c r="H107" i="239"/>
  <c r="H108" i="239"/>
  <c r="H109" i="239"/>
  <c r="H110" i="239"/>
  <c r="H111" i="239"/>
  <c r="H112" i="239"/>
  <c r="H123" i="239"/>
  <c r="H124" i="239"/>
  <c r="H126" i="239"/>
  <c r="E144" i="239"/>
  <c r="E149" i="239" s="1"/>
  <c r="E151" i="239" s="1"/>
  <c r="F144" i="239"/>
  <c r="F149" i="239" s="1"/>
  <c r="F151" i="239" s="1"/>
  <c r="G144" i="239"/>
  <c r="G149" i="239" s="1"/>
  <c r="H145" i="239"/>
  <c r="H146" i="239"/>
  <c r="H147" i="239"/>
  <c r="H148" i="239"/>
  <c r="E157" i="239"/>
  <c r="E166" i="239" s="1"/>
  <c r="E168" i="239" s="1"/>
  <c r="F157" i="239"/>
  <c r="G157" i="239"/>
  <c r="H158" i="239"/>
  <c r="H159" i="239"/>
  <c r="H160" i="239"/>
  <c r="F161" i="239"/>
  <c r="G161" i="239"/>
  <c r="H162" i="239"/>
  <c r="H163" i="239"/>
  <c r="H164" i="239"/>
  <c r="H165" i="239"/>
  <c r="E175" i="239"/>
  <c r="F175" i="239"/>
  <c r="G175" i="239"/>
  <c r="H176" i="239"/>
  <c r="H177" i="239"/>
  <c r="H178" i="239"/>
  <c r="H179" i="239"/>
  <c r="H180" i="239"/>
  <c r="E181" i="239"/>
  <c r="E183" i="239" s="1"/>
  <c r="F181" i="239"/>
  <c r="F183" i="239" s="1"/>
  <c r="E190" i="239"/>
  <c r="E195" i="239" s="1"/>
  <c r="E197" i="239" s="1"/>
  <c r="F190" i="239"/>
  <c r="F195" i="239" s="1"/>
  <c r="F197" i="239" s="1"/>
  <c r="G190" i="239"/>
  <c r="G195" i="239" s="1"/>
  <c r="G197" i="239" s="1"/>
  <c r="H191" i="239"/>
  <c r="H192" i="239"/>
  <c r="H193" i="239"/>
  <c r="H194" i="239"/>
  <c r="E205" i="239"/>
  <c r="F205" i="239"/>
  <c r="F211" i="239" s="1"/>
  <c r="G205" i="239"/>
  <c r="H206" i="239"/>
  <c r="H207" i="239"/>
  <c r="H208" i="239"/>
  <c r="H209" i="239"/>
  <c r="H210" i="239"/>
  <c r="E211" i="239"/>
  <c r="E215" i="239" s="1"/>
  <c r="H212" i="239"/>
  <c r="H214" i="239" s="1"/>
  <c r="H213" i="239"/>
  <c r="E214" i="239"/>
  <c r="F214" i="239"/>
  <c r="G214" i="239"/>
  <c r="E222" i="239"/>
  <c r="E227" i="239" s="1"/>
  <c r="E229" i="239" s="1"/>
  <c r="F222" i="239"/>
  <c r="F227" i="239" s="1"/>
  <c r="F229" i="239" s="1"/>
  <c r="G222" i="239"/>
  <c r="G227" i="239" s="1"/>
  <c r="G229" i="239" s="1"/>
  <c r="H223" i="239"/>
  <c r="H224" i="239"/>
  <c r="H225" i="239"/>
  <c r="H226" i="239"/>
  <c r="E237" i="239"/>
  <c r="E242" i="239" s="1"/>
  <c r="E244" i="239" s="1"/>
  <c r="F237" i="239"/>
  <c r="F242" i="239" s="1"/>
  <c r="F244" i="239" s="1"/>
  <c r="G237" i="239"/>
  <c r="G242" i="239" s="1"/>
  <c r="G244" i="239" s="1"/>
  <c r="H238" i="239"/>
  <c r="H239" i="239"/>
  <c r="H240" i="239"/>
  <c r="H241" i="239"/>
  <c r="E252" i="239"/>
  <c r="F252" i="239"/>
  <c r="G252" i="239"/>
  <c r="H253" i="239"/>
  <c r="H254" i="239"/>
  <c r="H255" i="239"/>
  <c r="H256" i="239"/>
  <c r="H257" i="239"/>
  <c r="E258" i="239"/>
  <c r="F258" i="239"/>
  <c r="E260" i="239"/>
  <c r="F260" i="239"/>
  <c r="E266" i="239"/>
  <c r="E273" i="239" s="1"/>
  <c r="E275" i="239" s="1"/>
  <c r="F266" i="239"/>
  <c r="F273" i="239" s="1"/>
  <c r="F275" i="239" s="1"/>
  <c r="G266" i="239"/>
  <c r="G273" i="239" s="1"/>
  <c r="H267" i="239"/>
  <c r="H268" i="239"/>
  <c r="H269" i="239"/>
  <c r="H270" i="239"/>
  <c r="H271" i="239"/>
  <c r="H272" i="239"/>
  <c r="E282" i="239"/>
  <c r="E291" i="239" s="1"/>
  <c r="E293" i="239" s="1"/>
  <c r="F282" i="239"/>
  <c r="G282" i="239"/>
  <c r="H283" i="239"/>
  <c r="H284" i="239"/>
  <c r="H285" i="239"/>
  <c r="F286" i="239"/>
  <c r="G286" i="239"/>
  <c r="H287" i="239"/>
  <c r="H288" i="239"/>
  <c r="F289" i="239"/>
  <c r="G289" i="239"/>
  <c r="H290" i="239"/>
  <c r="E300" i="239"/>
  <c r="E305" i="239" s="1"/>
  <c r="E307" i="239" s="1"/>
  <c r="F300" i="239"/>
  <c r="F305" i="239" s="1"/>
  <c r="F307" i="239" s="1"/>
  <c r="G300" i="239"/>
  <c r="G305" i="239" s="1"/>
  <c r="G307" i="239" s="1"/>
  <c r="H301" i="239"/>
  <c r="H302" i="239"/>
  <c r="H303" i="239"/>
  <c r="H304" i="239"/>
  <c r="E314" i="239"/>
  <c r="E322" i="239" s="1"/>
  <c r="E324" i="239" s="1"/>
  <c r="F314" i="239"/>
  <c r="G314" i="239"/>
  <c r="H315" i="239"/>
  <c r="H316" i="239"/>
  <c r="F317" i="239"/>
  <c r="G317" i="239"/>
  <c r="H318" i="239"/>
  <c r="H319" i="239"/>
  <c r="H320" i="239"/>
  <c r="H321" i="239"/>
  <c r="F322" i="239"/>
  <c r="F324" i="239" s="1"/>
  <c r="G322" i="239"/>
  <c r="E331" i="239"/>
  <c r="E339" i="239" s="1"/>
  <c r="E341" i="239" s="1"/>
  <c r="F331" i="239"/>
  <c r="F339" i="239" s="1"/>
  <c r="F341" i="239" s="1"/>
  <c r="G331" i="239"/>
  <c r="H332" i="239"/>
  <c r="H333" i="239"/>
  <c r="H334" i="239"/>
  <c r="H335" i="239"/>
  <c r="H337" i="239"/>
  <c r="H338" i="239"/>
  <c r="E347" i="239"/>
  <c r="E356" i="239" s="1"/>
  <c r="E358" i="239" s="1"/>
  <c r="F347" i="239"/>
  <c r="G347" i="239"/>
  <c r="H348" i="239"/>
  <c r="H349" i="239"/>
  <c r="H350" i="239"/>
  <c r="F351" i="239"/>
  <c r="G351" i="239"/>
  <c r="H352" i="239"/>
  <c r="H353" i="239"/>
  <c r="H354" i="239"/>
  <c r="H355" i="239"/>
  <c r="E365" i="239"/>
  <c r="F365" i="239"/>
  <c r="G365" i="239"/>
  <c r="H366" i="239"/>
  <c r="H367" i="239"/>
  <c r="H368" i="239"/>
  <c r="H369" i="239"/>
  <c r="H370" i="239"/>
  <c r="E371" i="239"/>
  <c r="F371" i="239"/>
  <c r="H372" i="239"/>
  <c r="H374" i="239" s="1"/>
  <c r="H373" i="239"/>
  <c r="E374" i="239"/>
  <c r="F374" i="239"/>
  <c r="G374" i="239"/>
  <c r="E394" i="239"/>
  <c r="E399" i="239" s="1"/>
  <c r="E404" i="239" s="1"/>
  <c r="F394" i="239"/>
  <c r="G394" i="239"/>
  <c r="H395" i="239"/>
  <c r="H396" i="239"/>
  <c r="H397" i="239"/>
  <c r="H398" i="239"/>
  <c r="F399" i="239"/>
  <c r="H400" i="239"/>
  <c r="H402" i="239" s="1"/>
  <c r="H401" i="239"/>
  <c r="E402" i="239"/>
  <c r="F402" i="239"/>
  <c r="G402" i="239"/>
  <c r="E411" i="239"/>
  <c r="E414" i="239" s="1"/>
  <c r="F411" i="239"/>
  <c r="G411" i="239"/>
  <c r="G416" i="239" s="1"/>
  <c r="F416" i="239"/>
  <c r="E424" i="239"/>
  <c r="E430" i="239" s="1"/>
  <c r="E432" i="239" s="1"/>
  <c r="F424" i="239"/>
  <c r="F430" i="239" s="1"/>
  <c r="F432" i="239" s="1"/>
  <c r="G424" i="239"/>
  <c r="H425" i="239"/>
  <c r="H426" i="239"/>
  <c r="H427" i="239"/>
  <c r="H428" i="239"/>
  <c r="H429" i="239"/>
  <c r="E440" i="239"/>
  <c r="E448" i="239" s="1"/>
  <c r="E450" i="239" s="1"/>
  <c r="F440" i="239"/>
  <c r="G440" i="239"/>
  <c r="H441" i="239"/>
  <c r="H442" i="239"/>
  <c r="F443" i="239"/>
  <c r="F448" i="239" s="1"/>
  <c r="F450" i="239" s="1"/>
  <c r="G443" i="239"/>
  <c r="H444" i="239"/>
  <c r="H445" i="239"/>
  <c r="H446" i="239"/>
  <c r="H447" i="239"/>
  <c r="E458" i="239"/>
  <c r="E461" i="239" s="1"/>
  <c r="E463" i="239" s="1"/>
  <c r="F458" i="239"/>
  <c r="F461" i="239" s="1"/>
  <c r="F463" i="239" s="1"/>
  <c r="G458" i="239"/>
  <c r="G461" i="239" s="1"/>
  <c r="G463" i="239" s="1"/>
  <c r="E471" i="239"/>
  <c r="F471" i="239"/>
  <c r="F477" i="239" s="1"/>
  <c r="G471" i="239"/>
  <c r="H472" i="239"/>
  <c r="H473" i="239"/>
  <c r="H474" i="239"/>
  <c r="H475" i="239"/>
  <c r="H476" i="239"/>
  <c r="E477" i="239"/>
  <c r="E481" i="239" s="1"/>
  <c r="H478" i="239"/>
  <c r="H480" i="239" s="1"/>
  <c r="H479" i="239"/>
  <c r="E480" i="239"/>
  <c r="F480" i="239"/>
  <c r="G480" i="239"/>
  <c r="E488" i="239"/>
  <c r="F488" i="239"/>
  <c r="G488" i="239"/>
  <c r="H489" i="239"/>
  <c r="H490" i="239"/>
  <c r="H491" i="239"/>
  <c r="H492" i="239"/>
  <c r="H493" i="239"/>
  <c r="E494" i="239"/>
  <c r="E496" i="239" s="1"/>
  <c r="F494" i="239"/>
  <c r="F496" i="239" s="1"/>
  <c r="E504" i="239"/>
  <c r="F504" i="239"/>
  <c r="F510" i="239" s="1"/>
  <c r="F512" i="239" s="1"/>
  <c r="G504" i="239"/>
  <c r="H505" i="239"/>
  <c r="H506" i="239"/>
  <c r="H507" i="239"/>
  <c r="H508" i="239"/>
  <c r="H509" i="239"/>
  <c r="E510" i="239"/>
  <c r="E512" i="239" s="1"/>
  <c r="E519" i="239"/>
  <c r="E522" i="239" s="1"/>
  <c r="E524" i="239" s="1"/>
  <c r="F519" i="239"/>
  <c r="G519" i="239"/>
  <c r="G522" i="239" s="1"/>
  <c r="G524" i="239" s="1"/>
  <c r="F522" i="239"/>
  <c r="F524" i="239" s="1"/>
  <c r="E531" i="239"/>
  <c r="E537" i="239" s="1"/>
  <c r="E542" i="239" s="1"/>
  <c r="F531" i="239"/>
  <c r="F537" i="239" s="1"/>
  <c r="G531" i="239"/>
  <c r="H532" i="239"/>
  <c r="H533" i="239"/>
  <c r="H534" i="239"/>
  <c r="H535" i="239"/>
  <c r="H536" i="239"/>
  <c r="H538" i="239"/>
  <c r="H540" i="239" s="1"/>
  <c r="H539" i="239"/>
  <c r="E540" i="239"/>
  <c r="F540" i="239"/>
  <c r="G540" i="239"/>
  <c r="E549" i="239"/>
  <c r="E555" i="239" s="1"/>
  <c r="E557" i="239" s="1"/>
  <c r="F549" i="239"/>
  <c r="F555" i="239" s="1"/>
  <c r="F557" i="239" s="1"/>
  <c r="G549" i="239"/>
  <c r="G555" i="239" s="1"/>
  <c r="H550" i="239"/>
  <c r="H551" i="239"/>
  <c r="H553" i="239"/>
  <c r="H554" i="239"/>
  <c r="E564" i="239"/>
  <c r="E570" i="239" s="1"/>
  <c r="E574" i="239" s="1"/>
  <c r="F564" i="239"/>
  <c r="F570" i="239" s="1"/>
  <c r="G564" i="239"/>
  <c r="H565" i="239"/>
  <c r="H566" i="239"/>
  <c r="H567" i="239"/>
  <c r="H568" i="239"/>
  <c r="H569" i="239"/>
  <c r="H571" i="239"/>
  <c r="H573" i="239" s="1"/>
  <c r="H572" i="239"/>
  <c r="E573" i="239"/>
  <c r="F573" i="239"/>
  <c r="G573" i="239"/>
  <c r="F574" i="239"/>
  <c r="E580" i="239"/>
  <c r="E589" i="239" s="1"/>
  <c r="E591" i="239" s="1"/>
  <c r="F580" i="239"/>
  <c r="G580" i="239"/>
  <c r="H581" i="239"/>
  <c r="H582" i="239"/>
  <c r="H583" i="239"/>
  <c r="F584" i="239"/>
  <c r="G584" i="239"/>
  <c r="H585" i="239"/>
  <c r="H586" i="239"/>
  <c r="H587" i="239"/>
  <c r="H588" i="239"/>
  <c r="E597" i="239"/>
  <c r="E602" i="239" s="1"/>
  <c r="E604" i="239" s="1"/>
  <c r="F597" i="239"/>
  <c r="F602" i="239" s="1"/>
  <c r="F604" i="239" s="1"/>
  <c r="G597" i="239"/>
  <c r="G602" i="239" s="1"/>
  <c r="G604" i="239" s="1"/>
  <c r="H598" i="239"/>
  <c r="H599" i="239"/>
  <c r="H600" i="239"/>
  <c r="H601" i="239"/>
  <c r="E610" i="239"/>
  <c r="F610" i="239"/>
  <c r="G610" i="239"/>
  <c r="H611" i="239"/>
  <c r="H612" i="239"/>
  <c r="H613" i="239"/>
  <c r="H614" i="239"/>
  <c r="H615" i="239"/>
  <c r="E616" i="239"/>
  <c r="E621" i="239" s="1"/>
  <c r="F616" i="239"/>
  <c r="H617" i="239"/>
  <c r="H619" i="239" s="1"/>
  <c r="H618" i="239"/>
  <c r="E619" i="239"/>
  <c r="F619" i="239"/>
  <c r="G619" i="239"/>
  <c r="E627" i="239"/>
  <c r="E632" i="239" s="1"/>
  <c r="E634" i="239" s="1"/>
  <c r="F627" i="239"/>
  <c r="G627" i="239"/>
  <c r="H628" i="239"/>
  <c r="H629" i="239"/>
  <c r="H630" i="239"/>
  <c r="H631" i="239"/>
  <c r="F632" i="239"/>
  <c r="F634" i="239" s="1"/>
  <c r="H642" i="239"/>
  <c r="H643" i="239"/>
  <c r="E644" i="239"/>
  <c r="E653" i="239" s="1"/>
  <c r="F644" i="239"/>
  <c r="G644" i="239"/>
  <c r="H645" i="239"/>
  <c r="H646" i="239"/>
  <c r="H647" i="239"/>
  <c r="F648" i="239"/>
  <c r="G648" i="239"/>
  <c r="H649" i="239"/>
  <c r="H650" i="239"/>
  <c r="H651" i="239"/>
  <c r="H652" i="239"/>
  <c r="H654" i="239"/>
  <c r="H656" i="239" s="1"/>
  <c r="H655" i="239"/>
  <c r="E656" i="239"/>
  <c r="F656" i="239"/>
  <c r="G656" i="239"/>
  <c r="J665" i="239"/>
  <c r="K666" i="239"/>
  <c r="K665" i="239" s="1"/>
  <c r="L666" i="239"/>
  <c r="L665" i="239" s="1"/>
  <c r="F667" i="239"/>
  <c r="G667" i="239"/>
  <c r="E78" i="20" s="1"/>
  <c r="F668" i="239"/>
  <c r="D79" i="20" s="1"/>
  <c r="G668" i="239"/>
  <c r="E79" i="20" s="1"/>
  <c r="N668" i="239"/>
  <c r="O668" i="239"/>
  <c r="G670" i="239"/>
  <c r="E81" i="20" s="1"/>
  <c r="J672" i="239"/>
  <c r="K673" i="239"/>
  <c r="K672" i="239" s="1"/>
  <c r="L673" i="239"/>
  <c r="I83" i="20" s="1"/>
  <c r="S673" i="239"/>
  <c r="J683" i="239"/>
  <c r="R131" i="20" l="1"/>
  <c r="L144" i="242"/>
  <c r="F136" i="242"/>
  <c r="D120" i="20" s="1"/>
  <c r="G135" i="242"/>
  <c r="E119" i="20" s="1"/>
  <c r="E119" i="242"/>
  <c r="E53" i="242"/>
  <c r="H10" i="242"/>
  <c r="E122" i="20"/>
  <c r="T133" i="20" s="1"/>
  <c r="J144" i="242"/>
  <c r="H131" i="242"/>
  <c r="L141" i="242"/>
  <c r="G136" i="242"/>
  <c r="H112" i="242"/>
  <c r="F80" i="242"/>
  <c r="H80" i="242" s="1"/>
  <c r="H69" i="242"/>
  <c r="H130" i="242"/>
  <c r="H46" i="242"/>
  <c r="F53" i="242"/>
  <c r="S133" i="20"/>
  <c r="D115" i="20"/>
  <c r="E116" i="20"/>
  <c r="R137" i="20"/>
  <c r="H255" i="241"/>
  <c r="H213" i="241"/>
  <c r="H192" i="241"/>
  <c r="E177" i="241"/>
  <c r="H25" i="241"/>
  <c r="G195" i="241"/>
  <c r="G316" i="241"/>
  <c r="H288" i="241"/>
  <c r="G277" i="241"/>
  <c r="G282" i="241" s="1"/>
  <c r="G252" i="241"/>
  <c r="H235" i="241"/>
  <c r="H198" i="241"/>
  <c r="H41" i="241"/>
  <c r="H30" i="241"/>
  <c r="H12" i="241"/>
  <c r="K325" i="241"/>
  <c r="H317" i="241"/>
  <c r="H310" i="241"/>
  <c r="H232" i="241"/>
  <c r="H228" i="241"/>
  <c r="E237" i="241"/>
  <c r="H206" i="241"/>
  <c r="H127" i="241"/>
  <c r="H118" i="241"/>
  <c r="H115" i="241"/>
  <c r="H76" i="241"/>
  <c r="H53" i="241"/>
  <c r="H34" i="241"/>
  <c r="H16" i="241"/>
  <c r="L325" i="241"/>
  <c r="L322" i="241"/>
  <c r="G293" i="241"/>
  <c r="H280" i="241"/>
  <c r="F237" i="241"/>
  <c r="G216" i="241"/>
  <c r="G218" i="241" s="1"/>
  <c r="H218" i="241" s="1"/>
  <c r="H185" i="241"/>
  <c r="H175" i="241"/>
  <c r="H169" i="241"/>
  <c r="H162" i="241"/>
  <c r="H134" i="241"/>
  <c r="H131" i="241"/>
  <c r="H124" i="241"/>
  <c r="H109" i="241"/>
  <c r="H104" i="241"/>
  <c r="H95" i="241"/>
  <c r="H48" i="241"/>
  <c r="K322" i="241"/>
  <c r="H252" i="241"/>
  <c r="E316" i="241"/>
  <c r="C106" i="20" s="1"/>
  <c r="F195" i="241"/>
  <c r="F200" i="241" s="1"/>
  <c r="F316" i="241"/>
  <c r="D106" i="20" s="1"/>
  <c r="F172" i="241"/>
  <c r="E137" i="241"/>
  <c r="E309" i="241" s="1"/>
  <c r="F137" i="241"/>
  <c r="K153" i="241" s="1"/>
  <c r="E101" i="20"/>
  <c r="E108" i="20"/>
  <c r="F108" i="20" s="1"/>
  <c r="E106" i="20"/>
  <c r="H77" i="240"/>
  <c r="E106" i="240"/>
  <c r="C94" i="20" s="1"/>
  <c r="H82" i="240"/>
  <c r="G34" i="240"/>
  <c r="E34" i="240"/>
  <c r="E101" i="240" s="1"/>
  <c r="C90" i="20" s="1"/>
  <c r="L115" i="240"/>
  <c r="H109" i="240"/>
  <c r="K112" i="240"/>
  <c r="H43" i="240"/>
  <c r="H26" i="240"/>
  <c r="H11" i="240"/>
  <c r="H47" i="240"/>
  <c r="H29" i="240"/>
  <c r="K115" i="240"/>
  <c r="L112" i="240"/>
  <c r="J112" i="240"/>
  <c r="F107" i="240"/>
  <c r="D95" i="20" s="1"/>
  <c r="F90" i="240"/>
  <c r="K88" i="240" s="1"/>
  <c r="D96" i="20"/>
  <c r="E116" i="239"/>
  <c r="E666" i="239" s="1"/>
  <c r="C77" i="20" s="1"/>
  <c r="F356" i="239"/>
  <c r="F358" i="239" s="1"/>
  <c r="H347" i="239"/>
  <c r="H101" i="239"/>
  <c r="H92" i="239"/>
  <c r="H648" i="239"/>
  <c r="H41" i="239"/>
  <c r="F166" i="239"/>
  <c r="F168" i="239" s="1"/>
  <c r="H627" i="239"/>
  <c r="H504" i="239"/>
  <c r="H424" i="239"/>
  <c r="E416" i="239"/>
  <c r="H555" i="239"/>
  <c r="H58" i="239"/>
  <c r="H55" i="239"/>
  <c r="G632" i="239"/>
  <c r="H610" i="239"/>
  <c r="H584" i="239"/>
  <c r="F589" i="239"/>
  <c r="F591" i="239" s="1"/>
  <c r="G557" i="239"/>
  <c r="H549" i="239"/>
  <c r="H531" i="239"/>
  <c r="G430" i="239"/>
  <c r="H430" i="239" s="1"/>
  <c r="L403" i="239"/>
  <c r="H394" i="239"/>
  <c r="H289" i="239"/>
  <c r="H157" i="239"/>
  <c r="H273" i="239"/>
  <c r="G275" i="239"/>
  <c r="H275" i="239" s="1"/>
  <c r="E665" i="239"/>
  <c r="J657" i="239"/>
  <c r="E674" i="239" s="1"/>
  <c r="C84" i="20" s="1"/>
  <c r="H149" i="239"/>
  <c r="H667" i="239"/>
  <c r="H604" i="239"/>
  <c r="H564" i="239"/>
  <c r="G537" i="239"/>
  <c r="H537" i="239" s="1"/>
  <c r="F481" i="239"/>
  <c r="H322" i="239"/>
  <c r="H314" i="239"/>
  <c r="F215" i="239"/>
  <c r="H161" i="239"/>
  <c r="G151" i="239"/>
  <c r="H151" i="239" s="1"/>
  <c r="H144" i="239"/>
  <c r="H28" i="239"/>
  <c r="H22" i="239"/>
  <c r="H557" i="239"/>
  <c r="H307" i="239"/>
  <c r="J653" i="239"/>
  <c r="E658" i="239"/>
  <c r="K678" i="239"/>
  <c r="J678" i="239"/>
  <c r="F653" i="239"/>
  <c r="F658" i="239" s="1"/>
  <c r="F621" i="239"/>
  <c r="H597" i="239"/>
  <c r="G589" i="239"/>
  <c r="H580" i="239"/>
  <c r="G570" i="239"/>
  <c r="G574" i="239" s="1"/>
  <c r="H574" i="239" s="1"/>
  <c r="F542" i="239"/>
  <c r="H440" i="239"/>
  <c r="F404" i="239"/>
  <c r="G399" i="239"/>
  <c r="H351" i="239"/>
  <c r="H300" i="239"/>
  <c r="F291" i="239"/>
  <c r="F293" i="239" s="1"/>
  <c r="H282" i="239"/>
  <c r="H266" i="239"/>
  <c r="H205" i="239"/>
  <c r="H190" i="239"/>
  <c r="H104" i="239"/>
  <c r="H89" i="239"/>
  <c r="H82" i="239"/>
  <c r="H62" i="239"/>
  <c r="H19" i="239"/>
  <c r="H16" i="239"/>
  <c r="H77" i="20"/>
  <c r="H83" i="20"/>
  <c r="L672" i="239"/>
  <c r="L678" i="239" s="1"/>
  <c r="H602" i="239"/>
  <c r="L657" i="239"/>
  <c r="J403" i="239"/>
  <c r="J658" i="239" s="1"/>
  <c r="H305" i="239"/>
  <c r="D78" i="20"/>
  <c r="I77" i="20"/>
  <c r="R132" i="20"/>
  <c r="S137" i="20"/>
  <c r="T132" i="20"/>
  <c r="K146" i="20"/>
  <c r="G113" i="20"/>
  <c r="G118" i="20"/>
  <c r="S132" i="20"/>
  <c r="G134" i="245"/>
  <c r="H134" i="245" s="1"/>
  <c r="E129" i="245"/>
  <c r="E126" i="245" s="1"/>
  <c r="G124" i="245"/>
  <c r="G128" i="245"/>
  <c r="F96" i="242"/>
  <c r="H96" i="242" s="1"/>
  <c r="F135" i="242"/>
  <c r="H135" i="242" s="1"/>
  <c r="H95" i="242"/>
  <c r="F129" i="242"/>
  <c r="K62" i="242"/>
  <c r="G134" i="242"/>
  <c r="E96" i="242"/>
  <c r="E135" i="242"/>
  <c r="H53" i="242"/>
  <c r="J62" i="242"/>
  <c r="E129" i="242"/>
  <c r="G129" i="242"/>
  <c r="E114" i="20" s="1"/>
  <c r="H117" i="242"/>
  <c r="H74" i="242"/>
  <c r="L62" i="242"/>
  <c r="G119" i="242"/>
  <c r="H119" i="242" s="1"/>
  <c r="F282" i="241"/>
  <c r="H282" i="241" s="1"/>
  <c r="H277" i="241"/>
  <c r="F315" i="241"/>
  <c r="F177" i="241"/>
  <c r="F309" i="241"/>
  <c r="H216" i="241"/>
  <c r="E315" i="241"/>
  <c r="E200" i="241"/>
  <c r="G172" i="241"/>
  <c r="G257" i="241"/>
  <c r="H257" i="241" s="1"/>
  <c r="G237" i="241"/>
  <c r="H237" i="241" s="1"/>
  <c r="G200" i="241"/>
  <c r="H200" i="241" s="1"/>
  <c r="G137" i="241"/>
  <c r="E107" i="240"/>
  <c r="C95" i="20" s="1"/>
  <c r="E90" i="240"/>
  <c r="J88" i="240" s="1"/>
  <c r="F106" i="240"/>
  <c r="G101" i="240"/>
  <c r="E90" i="20" s="1"/>
  <c r="E105" i="240"/>
  <c r="H81" i="240"/>
  <c r="G88" i="240"/>
  <c r="G66" i="240"/>
  <c r="G20" i="240"/>
  <c r="F34" i="240"/>
  <c r="F101" i="240" s="1"/>
  <c r="H229" i="239"/>
  <c r="H668" i="239"/>
  <c r="G448" i="239"/>
  <c r="H365" i="239"/>
  <c r="G371" i="239"/>
  <c r="H252" i="239"/>
  <c r="G258" i="239"/>
  <c r="H175" i="239"/>
  <c r="G181" i="239"/>
  <c r="G116" i="239"/>
  <c r="F116" i="239"/>
  <c r="F666" i="239" s="1"/>
  <c r="F675" i="239"/>
  <c r="G616" i="239"/>
  <c r="K657" i="239"/>
  <c r="H570" i="239"/>
  <c r="H471" i="239"/>
  <c r="F376" i="239"/>
  <c r="G356" i="239"/>
  <c r="G324" i="239"/>
  <c r="H324" i="239" s="1"/>
  <c r="H317" i="239"/>
  <c r="G291" i="239"/>
  <c r="H286" i="239"/>
  <c r="H237" i="239"/>
  <c r="H195" i="239"/>
  <c r="G166" i="239"/>
  <c r="H97" i="239"/>
  <c r="H65" i="239"/>
  <c r="H35" i="239"/>
  <c r="H244" i="239"/>
  <c r="H227" i="239"/>
  <c r="G675" i="239"/>
  <c r="H644" i="239"/>
  <c r="G653" i="239"/>
  <c r="H488" i="239"/>
  <c r="G494" i="239"/>
  <c r="H443" i="239"/>
  <c r="K403" i="239"/>
  <c r="E376" i="239"/>
  <c r="J399" i="239"/>
  <c r="H331" i="239"/>
  <c r="G339" i="239"/>
  <c r="H242" i="239"/>
  <c r="H222" i="239"/>
  <c r="H197" i="239"/>
  <c r="H74" i="239"/>
  <c r="H46" i="239"/>
  <c r="G510" i="239"/>
  <c r="G477" i="239"/>
  <c r="G211" i="239"/>
  <c r="S131" i="20" l="1"/>
  <c r="T130" i="20"/>
  <c r="E134" i="242"/>
  <c r="C119" i="20"/>
  <c r="T136" i="20"/>
  <c r="H136" i="242"/>
  <c r="E120" i="20"/>
  <c r="E128" i="242"/>
  <c r="C114" i="20"/>
  <c r="R130" i="20" s="1"/>
  <c r="F128" i="242"/>
  <c r="F141" i="242" s="1"/>
  <c r="D114" i="20"/>
  <c r="F134" i="242"/>
  <c r="H134" i="242" s="1"/>
  <c r="D119" i="20"/>
  <c r="S136" i="20" s="1"/>
  <c r="E314" i="241"/>
  <c r="C105" i="20"/>
  <c r="F308" i="241"/>
  <c r="D100" i="20"/>
  <c r="F314" i="241"/>
  <c r="D105" i="20"/>
  <c r="E308" i="241"/>
  <c r="C100" i="20"/>
  <c r="H316" i="241"/>
  <c r="H195" i="241"/>
  <c r="H293" i="241"/>
  <c r="G295" i="241"/>
  <c r="H295" i="241" s="1"/>
  <c r="E99" i="240"/>
  <c r="E112" i="240" s="1"/>
  <c r="F99" i="240"/>
  <c r="D90" i="20"/>
  <c r="F105" i="240"/>
  <c r="D94" i="20"/>
  <c r="L658" i="239"/>
  <c r="G674" i="239" s="1"/>
  <c r="E84" i="20" s="1"/>
  <c r="G432" i="239"/>
  <c r="H432" i="239" s="1"/>
  <c r="G542" i="239"/>
  <c r="K653" i="239"/>
  <c r="J654" i="239"/>
  <c r="J659" i="239" s="1"/>
  <c r="H632" i="239"/>
  <c r="G634" i="239"/>
  <c r="H634" i="239" s="1"/>
  <c r="K399" i="239"/>
  <c r="H542" i="239"/>
  <c r="H675" i="239"/>
  <c r="E85" i="20"/>
  <c r="K664" i="239"/>
  <c r="D85" i="20"/>
  <c r="K654" i="239"/>
  <c r="F665" i="239"/>
  <c r="D77" i="20"/>
  <c r="H399" i="239"/>
  <c r="G404" i="239"/>
  <c r="H404" i="239" s="1"/>
  <c r="G591" i="239"/>
  <c r="H591" i="239" s="1"/>
  <c r="H589" i="239"/>
  <c r="S139" i="20"/>
  <c r="H124" i="245"/>
  <c r="G129" i="245"/>
  <c r="H129" i="245" s="1"/>
  <c r="H128" i="245"/>
  <c r="G128" i="242"/>
  <c r="H129" i="242"/>
  <c r="E141" i="242"/>
  <c r="L153" i="241"/>
  <c r="H137" i="241"/>
  <c r="G309" i="241"/>
  <c r="E100" i="20" s="1"/>
  <c r="G177" i="241"/>
  <c r="H177" i="241" s="1"/>
  <c r="G315" i="241"/>
  <c r="E105" i="20" s="1"/>
  <c r="H172" i="241"/>
  <c r="G100" i="240"/>
  <c r="E89" i="20" s="1"/>
  <c r="H20" i="240"/>
  <c r="H66" i="240"/>
  <c r="G106" i="240"/>
  <c r="E94" i="20" s="1"/>
  <c r="G68" i="240"/>
  <c r="H68" i="240" s="1"/>
  <c r="H34" i="240"/>
  <c r="G90" i="240"/>
  <c r="H88" i="240"/>
  <c r="G107" i="240"/>
  <c r="H101" i="240"/>
  <c r="H616" i="239"/>
  <c r="G621" i="239"/>
  <c r="H621" i="239" s="1"/>
  <c r="H477" i="239"/>
  <c r="G481" i="239"/>
  <c r="H481" i="239" s="1"/>
  <c r="H356" i="239"/>
  <c r="G358" i="239"/>
  <c r="H358" i="239" s="1"/>
  <c r="F673" i="239"/>
  <c r="D83" i="20" s="1"/>
  <c r="G260" i="239"/>
  <c r="H260" i="239" s="1"/>
  <c r="H258" i="239"/>
  <c r="H448" i="239"/>
  <c r="G450" i="239"/>
  <c r="H450" i="239" s="1"/>
  <c r="L664" i="239"/>
  <c r="G512" i="239"/>
  <c r="H512" i="239" s="1"/>
  <c r="H510" i="239"/>
  <c r="G658" i="239"/>
  <c r="H658" i="239" s="1"/>
  <c r="L653" i="239"/>
  <c r="H653" i="239"/>
  <c r="H166" i="239"/>
  <c r="G168" i="239"/>
  <c r="H168" i="239" s="1"/>
  <c r="G293" i="239"/>
  <c r="H293" i="239" s="1"/>
  <c r="H291" i="239"/>
  <c r="K683" i="239"/>
  <c r="G666" i="239"/>
  <c r="E77" i="20" s="1"/>
  <c r="H116" i="239"/>
  <c r="G215" i="239"/>
  <c r="H215" i="239" s="1"/>
  <c r="H211" i="239"/>
  <c r="G341" i="239"/>
  <c r="H341" i="239" s="1"/>
  <c r="H339" i="239"/>
  <c r="G496" i="239"/>
  <c r="H496" i="239" s="1"/>
  <c r="H494" i="239"/>
  <c r="L683" i="239"/>
  <c r="K658" i="239"/>
  <c r="F674" i="239" s="1"/>
  <c r="G183" i="239"/>
  <c r="H183" i="239" s="1"/>
  <c r="H181" i="239"/>
  <c r="H371" i="239"/>
  <c r="G376" i="239"/>
  <c r="H376" i="239" s="1"/>
  <c r="L399" i="239"/>
  <c r="S130" i="20" l="1"/>
  <c r="S135" i="20" s="1"/>
  <c r="R136" i="20"/>
  <c r="R139" i="20" s="1"/>
  <c r="T131" i="20"/>
  <c r="T135" i="20" s="1"/>
  <c r="T137" i="20"/>
  <c r="T139" i="20" s="1"/>
  <c r="F322" i="241"/>
  <c r="E322" i="241"/>
  <c r="H107" i="240"/>
  <c r="E95" i="20"/>
  <c r="F112" i="240"/>
  <c r="E673" i="239"/>
  <c r="E672" i="239" s="1"/>
  <c r="E678" i="239" s="1"/>
  <c r="H674" i="239"/>
  <c r="D84" i="20"/>
  <c r="G126" i="245"/>
  <c r="H126" i="245" s="1"/>
  <c r="G141" i="242"/>
  <c r="H141" i="242" s="1"/>
  <c r="H128" i="242"/>
  <c r="G314" i="241"/>
  <c r="H314" i="241" s="1"/>
  <c r="H315" i="241"/>
  <c r="G308" i="241"/>
  <c r="H309" i="241"/>
  <c r="G99" i="240"/>
  <c r="H100" i="240"/>
  <c r="G105" i="240"/>
  <c r="H105" i="240" s="1"/>
  <c r="H106" i="240"/>
  <c r="L88" i="240"/>
  <c r="H90" i="240"/>
  <c r="L654" i="239"/>
  <c r="G665" i="239"/>
  <c r="H666" i="239"/>
  <c r="K659" i="239"/>
  <c r="F672" i="239"/>
  <c r="F678" i="239" s="1"/>
  <c r="C83" i="20" l="1"/>
  <c r="H308" i="241"/>
  <c r="G322" i="241"/>
  <c r="H322" i="241" s="1"/>
  <c r="H99" i="240"/>
  <c r="G112" i="240"/>
  <c r="H112" i="240" s="1"/>
  <c r="G673" i="239"/>
  <c r="E83" i="20" s="1"/>
  <c r="L659" i="239"/>
  <c r="H665" i="239"/>
  <c r="G672" i="239" l="1"/>
  <c r="H673" i="239"/>
  <c r="H672" i="239" l="1"/>
  <c r="G678" i="239"/>
  <c r="H678" i="239" s="1"/>
  <c r="I72" i="20" l="1"/>
  <c r="I73" i="20"/>
  <c r="I74" i="20"/>
  <c r="H72" i="20"/>
  <c r="H73" i="20"/>
  <c r="H74" i="20"/>
  <c r="H71" i="20"/>
  <c r="I71" i="20"/>
  <c r="G72" i="20"/>
  <c r="G73" i="20"/>
  <c r="G74" i="20"/>
  <c r="G71" i="20"/>
  <c r="I67" i="20"/>
  <c r="I69" i="20"/>
  <c r="H67" i="20"/>
  <c r="H69" i="20"/>
  <c r="H66" i="20"/>
  <c r="I66" i="20"/>
  <c r="G67" i="20"/>
  <c r="G68" i="20"/>
  <c r="G69" i="20"/>
  <c r="G66" i="20"/>
  <c r="I62" i="20"/>
  <c r="I64" i="20"/>
  <c r="H62" i="20"/>
  <c r="H64" i="20"/>
  <c r="G62" i="20"/>
  <c r="G63" i="20"/>
  <c r="G64" i="20"/>
  <c r="I56" i="20"/>
  <c r="I57" i="20"/>
  <c r="I58" i="20"/>
  <c r="I59" i="20"/>
  <c r="M108" i="20" s="1"/>
  <c r="H56" i="20"/>
  <c r="H57" i="20"/>
  <c r="H58" i="20"/>
  <c r="H59" i="20"/>
  <c r="G56" i="20"/>
  <c r="G57" i="20"/>
  <c r="G58" i="20"/>
  <c r="G59" i="20"/>
  <c r="I47" i="20"/>
  <c r="I48" i="20"/>
  <c r="I49" i="20"/>
  <c r="H47" i="20"/>
  <c r="H48" i="20"/>
  <c r="H49" i="20"/>
  <c r="I46" i="20"/>
  <c r="G47" i="20"/>
  <c r="G48" i="20"/>
  <c r="G49" i="20"/>
  <c r="G46" i="20"/>
  <c r="I42" i="20"/>
  <c r="I43" i="20"/>
  <c r="I44" i="20"/>
  <c r="H42" i="20"/>
  <c r="H43" i="20"/>
  <c r="H44" i="20"/>
  <c r="H41" i="20"/>
  <c r="I41" i="20"/>
  <c r="G42" i="20"/>
  <c r="G43" i="20"/>
  <c r="G44" i="20"/>
  <c r="G41" i="20"/>
  <c r="M105" i="20" l="1"/>
  <c r="K106" i="20"/>
  <c r="K105" i="20"/>
  <c r="L107" i="20"/>
  <c r="K107" i="20"/>
  <c r="L105" i="20"/>
  <c r="G59" i="10"/>
  <c r="F59" i="10"/>
  <c r="I36" i="20"/>
  <c r="I37" i="20"/>
  <c r="I38" i="20"/>
  <c r="I39" i="20"/>
  <c r="H36" i="20"/>
  <c r="H37" i="20"/>
  <c r="H38" i="20"/>
  <c r="H39" i="20"/>
  <c r="G36" i="20"/>
  <c r="G37" i="20"/>
  <c r="G38" i="20"/>
  <c r="G39" i="20"/>
  <c r="H35" i="20"/>
  <c r="I35" i="20"/>
  <c r="G35" i="20"/>
  <c r="I31" i="20"/>
  <c r="I32" i="20"/>
  <c r="I33" i="20"/>
  <c r="H31" i="20"/>
  <c r="H32" i="20"/>
  <c r="H33" i="20"/>
  <c r="H30" i="20"/>
  <c r="I30" i="20"/>
  <c r="G31" i="20"/>
  <c r="G32" i="20"/>
  <c r="G33" i="20"/>
  <c r="G30" i="20"/>
  <c r="I26" i="20"/>
  <c r="I27" i="20"/>
  <c r="I28" i="20"/>
  <c r="H26" i="20"/>
  <c r="H27" i="20"/>
  <c r="H28" i="20"/>
  <c r="G26" i="20"/>
  <c r="G27" i="20"/>
  <c r="G28" i="20"/>
  <c r="H25" i="20"/>
  <c r="I25" i="20"/>
  <c r="G25" i="20"/>
  <c r="I21" i="20"/>
  <c r="I22" i="20"/>
  <c r="I23" i="20"/>
  <c r="H21" i="20"/>
  <c r="H22" i="20"/>
  <c r="H23" i="20"/>
  <c r="G21" i="20"/>
  <c r="G22" i="20"/>
  <c r="G23" i="20"/>
  <c r="H20" i="20"/>
  <c r="I20" i="20"/>
  <c r="G20" i="20"/>
  <c r="I15" i="20"/>
  <c r="I16" i="20"/>
  <c r="I17" i="20"/>
  <c r="I18" i="20"/>
  <c r="I297" i="20" s="1"/>
  <c r="H15" i="20"/>
  <c r="H16" i="20"/>
  <c r="H17" i="20"/>
  <c r="H18" i="20"/>
  <c r="G15" i="20"/>
  <c r="G16" i="20"/>
  <c r="G17" i="20"/>
  <c r="G18" i="20"/>
  <c r="G8" i="20"/>
  <c r="K52" i="52"/>
  <c r="K51" i="52" s="1"/>
  <c r="L194" i="54"/>
  <c r="I14" i="20" s="1"/>
  <c r="G196" i="54"/>
  <c r="S298" i="7"/>
  <c r="I55" i="20" s="1"/>
  <c r="R298" i="7"/>
  <c r="H55" i="20" s="1"/>
  <c r="Q298" i="7"/>
  <c r="G55" i="20" s="1"/>
  <c r="H301" i="20" l="1"/>
  <c r="G301" i="20"/>
  <c r="I301" i="20"/>
  <c r="S307" i="7"/>
  <c r="I63" i="20" s="1"/>
  <c r="R307" i="7"/>
  <c r="H63" i="20" s="1"/>
  <c r="S305" i="7"/>
  <c r="I61" i="20" s="1"/>
  <c r="R305" i="7"/>
  <c r="H61" i="20" s="1"/>
  <c r="L104" i="20" s="1"/>
  <c r="K203" i="7"/>
  <c r="Q305" i="7" s="1"/>
  <c r="G61" i="20" s="1"/>
  <c r="K104" i="20" s="1"/>
  <c r="L231" i="7"/>
  <c r="L250" i="7" s="1"/>
  <c r="R313" i="7" s="1"/>
  <c r="H68" i="20" s="1"/>
  <c r="M250" i="7"/>
  <c r="S313" i="7" s="1"/>
  <c r="I68" i="20" s="1"/>
  <c r="L52" i="52"/>
  <c r="I300" i="20" l="1"/>
  <c r="M104" i="20"/>
  <c r="M106" i="20"/>
  <c r="K73" i="20"/>
  <c r="L106" i="20"/>
  <c r="M292" i="20"/>
  <c r="M293" i="20" s="1"/>
  <c r="L292" i="20"/>
  <c r="L293" i="20" s="1"/>
  <c r="F313" i="7"/>
  <c r="Q316" i="7" l="1"/>
  <c r="Q310" i="7"/>
  <c r="Q304" i="7"/>
  <c r="R297" i="7"/>
  <c r="S297" i="7"/>
  <c r="Q297" i="7"/>
  <c r="S316" i="7"/>
  <c r="R316" i="7"/>
  <c r="S310" i="7"/>
  <c r="R310" i="7"/>
  <c r="S304" i="7"/>
  <c r="R304" i="7"/>
  <c r="G54" i="20"/>
  <c r="H243" i="7"/>
  <c r="F94" i="7"/>
  <c r="G94" i="7"/>
  <c r="G54" i="7"/>
  <c r="F54" i="7"/>
  <c r="H22" i="7"/>
  <c r="F130" i="7"/>
  <c r="G130" i="7"/>
  <c r="E130" i="7"/>
  <c r="E141" i="7" s="1"/>
  <c r="K315" i="7" s="1"/>
  <c r="G52" i="7"/>
  <c r="F52" i="7"/>
  <c r="G136" i="7"/>
  <c r="F136" i="7"/>
  <c r="F82" i="7"/>
  <c r="G82" i="7"/>
  <c r="E82" i="7"/>
  <c r="G77" i="7"/>
  <c r="F77" i="7"/>
  <c r="E77" i="7"/>
  <c r="G64" i="7"/>
  <c r="F64" i="7"/>
  <c r="G97" i="7"/>
  <c r="F97" i="7"/>
  <c r="G47" i="7"/>
  <c r="F47" i="7"/>
  <c r="H48" i="7"/>
  <c r="G44" i="7"/>
  <c r="F44" i="7"/>
  <c r="H46" i="7"/>
  <c r="G139" i="7"/>
  <c r="F139" i="7"/>
  <c r="G92" i="7"/>
  <c r="F92" i="7"/>
  <c r="G132" i="7"/>
  <c r="F132" i="7"/>
  <c r="H133" i="7"/>
  <c r="E64" i="7"/>
  <c r="H45" i="7"/>
  <c r="F41" i="7"/>
  <c r="G41" i="7"/>
  <c r="E41" i="7"/>
  <c r="H119" i="7"/>
  <c r="G120" i="7"/>
  <c r="F120" i="7"/>
  <c r="G112" i="7"/>
  <c r="F112" i="7"/>
  <c r="G110" i="7"/>
  <c r="F110" i="7"/>
  <c r="G84" i="7"/>
  <c r="F84" i="7"/>
  <c r="H85" i="7"/>
  <c r="G50" i="7"/>
  <c r="F50" i="7"/>
  <c r="H51" i="7"/>
  <c r="G114" i="7"/>
  <c r="F114" i="7"/>
  <c r="E99" i="7"/>
  <c r="G11" i="7"/>
  <c r="G10" i="7" s="1"/>
  <c r="F11" i="7"/>
  <c r="F10" i="7" s="1"/>
  <c r="G135" i="7"/>
  <c r="G134" i="7" s="1"/>
  <c r="F135" i="7"/>
  <c r="F134" i="7" s="1"/>
  <c r="G99" i="7"/>
  <c r="F99" i="7"/>
  <c r="R323" i="7" l="1"/>
  <c r="F141" i="7"/>
  <c r="L315" i="7" s="1"/>
  <c r="S323" i="7"/>
  <c r="Q323" i="7"/>
  <c r="G141" i="7"/>
  <c r="M315" i="7" s="1"/>
  <c r="H84" i="7"/>
  <c r="H50" i="7"/>
  <c r="H44" i="7"/>
  <c r="H132" i="7"/>
  <c r="H10" i="7"/>
  <c r="H11" i="7"/>
  <c r="G117" i="7" l="1"/>
  <c r="F117" i="7"/>
  <c r="G102" i="7" l="1"/>
  <c r="F102" i="7"/>
  <c r="G90" i="7"/>
  <c r="F90" i="7"/>
  <c r="G86" i="7"/>
  <c r="F86" i="7"/>
  <c r="H89" i="7"/>
  <c r="F60" i="7"/>
  <c r="G60" i="7"/>
  <c r="E60" i="7"/>
  <c r="G56" i="7"/>
  <c r="F56" i="7"/>
  <c r="H59" i="7"/>
  <c r="G38" i="7"/>
  <c r="F38" i="7"/>
  <c r="F36" i="7"/>
  <c r="G36" i="7"/>
  <c r="E36" i="7"/>
  <c r="F108" i="7"/>
  <c r="G108" i="7"/>
  <c r="E108" i="7"/>
  <c r="F106" i="7"/>
  <c r="G106" i="7"/>
  <c r="E106" i="7"/>
  <c r="F104" i="7"/>
  <c r="G104" i="7"/>
  <c r="E104" i="7"/>
  <c r="H35" i="7"/>
  <c r="F33" i="7"/>
  <c r="G33" i="7"/>
  <c r="E33" i="7"/>
  <c r="F24" i="7"/>
  <c r="G24" i="7"/>
  <c r="E24" i="7"/>
  <c r="H28" i="7"/>
  <c r="F18" i="7"/>
  <c r="G18" i="7"/>
  <c r="E18" i="7"/>
  <c r="H21" i="7"/>
  <c r="H17" i="7"/>
  <c r="F12" i="7"/>
  <c r="G12" i="7"/>
  <c r="E12" i="7"/>
  <c r="H16" i="7"/>
  <c r="H15" i="7"/>
  <c r="G313" i="7"/>
  <c r="G319" i="7"/>
  <c r="F319" i="7"/>
  <c r="G277" i="7"/>
  <c r="F277" i="7"/>
  <c r="H290" i="7"/>
  <c r="H289" i="7"/>
  <c r="H287" i="7"/>
  <c r="H286" i="7"/>
  <c r="H285" i="7"/>
  <c r="H284" i="7"/>
  <c r="H283" i="7"/>
  <c r="H282" i="7"/>
  <c r="H281" i="7"/>
  <c r="H279" i="7"/>
  <c r="H278" i="7"/>
  <c r="G259" i="7"/>
  <c r="F259" i="7"/>
  <c r="H262" i="7"/>
  <c r="K123" i="7" l="1"/>
  <c r="L123" i="7"/>
  <c r="J123" i="7"/>
  <c r="G291" i="7"/>
  <c r="F291" i="7"/>
  <c r="F248" i="7" l="1"/>
  <c r="G248" i="7"/>
  <c r="E248" i="7"/>
  <c r="H247" i="7"/>
  <c r="G246" i="7"/>
  <c r="F246" i="7"/>
  <c r="G241" i="7"/>
  <c r="F241" i="7"/>
  <c r="G234" i="7"/>
  <c r="F234" i="7"/>
  <c r="H238" i="7"/>
  <c r="H237" i="7"/>
  <c r="G220" i="7"/>
  <c r="F220" i="7"/>
  <c r="H230" i="7"/>
  <c r="H223" i="7"/>
  <c r="G217" i="7"/>
  <c r="F217" i="7"/>
  <c r="H218" i="7"/>
  <c r="G165" i="7"/>
  <c r="G307" i="7" s="1"/>
  <c r="F165" i="7"/>
  <c r="H200" i="7"/>
  <c r="H187" i="7"/>
  <c r="H188" i="7"/>
  <c r="H189" i="7"/>
  <c r="H186" i="7"/>
  <c r="F154" i="7"/>
  <c r="G154" i="7"/>
  <c r="G203" i="7" s="1"/>
  <c r="E154" i="7"/>
  <c r="H163" i="7"/>
  <c r="H164" i="7"/>
  <c r="F147" i="7"/>
  <c r="E147" i="7"/>
  <c r="F203" i="7" l="1"/>
  <c r="H203" i="7" s="1"/>
  <c r="F250" i="7"/>
  <c r="F311" i="7" s="1"/>
  <c r="H246" i="7"/>
  <c r="G250" i="7"/>
  <c r="E203" i="7"/>
  <c r="G881" i="17"/>
  <c r="H881" i="17"/>
  <c r="I877" i="17"/>
  <c r="I878" i="17"/>
  <c r="H879" i="17"/>
  <c r="G879" i="17"/>
  <c r="H871" i="17"/>
  <c r="G871" i="17"/>
  <c r="I875" i="17"/>
  <c r="I874" i="17"/>
  <c r="I861" i="17"/>
  <c r="H860" i="17"/>
  <c r="G860" i="17"/>
  <c r="I856" i="17"/>
  <c r="I855" i="17"/>
  <c r="I854" i="17"/>
  <c r="I853" i="17"/>
  <c r="H851" i="17"/>
  <c r="G851" i="17"/>
  <c r="I852" i="17"/>
  <c r="H846" i="17"/>
  <c r="G846" i="17"/>
  <c r="H844" i="17"/>
  <c r="G844" i="17"/>
  <c r="H842" i="17"/>
  <c r="G842" i="17"/>
  <c r="H815" i="17"/>
  <c r="G815" i="17"/>
  <c r="I821" i="17"/>
  <c r="I820" i="17"/>
  <c r="I819" i="17"/>
  <c r="I818" i="17"/>
  <c r="H811" i="17"/>
  <c r="G811" i="17"/>
  <c r="F811" i="17"/>
  <c r="F826" i="17" s="1"/>
  <c r="I812" i="17"/>
  <c r="I813" i="17"/>
  <c r="H809" i="17"/>
  <c r="G809" i="17"/>
  <c r="H807" i="17"/>
  <c r="G807" i="17"/>
  <c r="H794" i="17"/>
  <c r="G794" i="17"/>
  <c r="I799" i="17"/>
  <c r="I800" i="17"/>
  <c r="I797" i="17"/>
  <c r="G790" i="17"/>
  <c r="H790" i="17"/>
  <c r="F790" i="17"/>
  <c r="H782" i="17"/>
  <c r="G782" i="17"/>
  <c r="H773" i="17"/>
  <c r="G773" i="17"/>
  <c r="I778" i="17"/>
  <c r="I779" i="17"/>
  <c r="I776" i="17"/>
  <c r="H769" i="17"/>
  <c r="G769" i="17"/>
  <c r="I772" i="17"/>
  <c r="H746" i="17"/>
  <c r="G746" i="17"/>
  <c r="I751" i="17"/>
  <c r="I752" i="17"/>
  <c r="I749" i="17"/>
  <c r="H729" i="17"/>
  <c r="G729" i="17"/>
  <c r="I732" i="17"/>
  <c r="H708" i="17"/>
  <c r="G708" i="17"/>
  <c r="I713" i="17"/>
  <c r="I714" i="17"/>
  <c r="I711" i="17"/>
  <c r="H692" i="17"/>
  <c r="G692" i="17"/>
  <c r="I698" i="17"/>
  <c r="I699" i="17"/>
  <c r="I696" i="17"/>
  <c r="H677" i="17"/>
  <c r="G677" i="17"/>
  <c r="I682" i="17"/>
  <c r="I683" i="17"/>
  <c r="I680" i="17"/>
  <c r="G674" i="17"/>
  <c r="H674" i="17"/>
  <c r="F674" i="17"/>
  <c r="F684" i="17" s="1"/>
  <c r="H659" i="17"/>
  <c r="G659" i="17"/>
  <c r="I663" i="17"/>
  <c r="I662" i="17"/>
  <c r="I648" i="17"/>
  <c r="I647" i="17"/>
  <c r="H638" i="17"/>
  <c r="G638" i="17"/>
  <c r="I643" i="17"/>
  <c r="I644" i="17"/>
  <c r="I641" i="17"/>
  <c r="H625" i="17"/>
  <c r="G625" i="17"/>
  <c r="I628" i="17"/>
  <c r="G684" i="17" l="1"/>
  <c r="I860" i="17"/>
  <c r="G826" i="17"/>
  <c r="H826" i="17"/>
  <c r="H784" i="17"/>
  <c r="G784" i="17"/>
  <c r="H684" i="17"/>
  <c r="H610" i="17"/>
  <c r="G610" i="17"/>
  <c r="I615" i="17"/>
  <c r="I616" i="17"/>
  <c r="I613" i="17"/>
  <c r="H591" i="17" l="1"/>
  <c r="G591" i="17"/>
  <c r="I597" i="17"/>
  <c r="I598" i="17"/>
  <c r="I595" i="17"/>
  <c r="I594" i="17"/>
  <c r="G588" i="17"/>
  <c r="H588" i="17"/>
  <c r="F588" i="17"/>
  <c r="H580" i="17"/>
  <c r="G580" i="17"/>
  <c r="I581" i="17"/>
  <c r="H570" i="17"/>
  <c r="G570" i="17"/>
  <c r="I574" i="17"/>
  <c r="G567" i="17"/>
  <c r="H567" i="17"/>
  <c r="F567" i="17"/>
  <c r="F582" i="17" s="1"/>
  <c r="H545" i="17"/>
  <c r="G545" i="17"/>
  <c r="I555" i="17"/>
  <c r="I556" i="17"/>
  <c r="I551" i="17"/>
  <c r="H530" i="17"/>
  <c r="G530" i="17"/>
  <c r="I535" i="17"/>
  <c r="I536" i="17"/>
  <c r="I533" i="17"/>
  <c r="I528" i="17"/>
  <c r="H508" i="17"/>
  <c r="G508" i="17"/>
  <c r="I515" i="17"/>
  <c r="I516" i="17"/>
  <c r="I511" i="17"/>
  <c r="H485" i="17"/>
  <c r="G485" i="17"/>
  <c r="I490" i="17"/>
  <c r="I489" i="17"/>
  <c r="I487" i="17"/>
  <c r="I486" i="17"/>
  <c r="G481" i="17"/>
  <c r="H481" i="17"/>
  <c r="G476" i="17"/>
  <c r="H476" i="17"/>
  <c r="H461" i="17"/>
  <c r="G461" i="17"/>
  <c r="H457" i="17"/>
  <c r="G457" i="17"/>
  <c r="I459" i="17"/>
  <c r="H452" i="17"/>
  <c r="G452" i="17"/>
  <c r="H438" i="17"/>
  <c r="G438" i="17"/>
  <c r="H427" i="17"/>
  <c r="G427" i="17"/>
  <c r="I436" i="17"/>
  <c r="I437" i="17"/>
  <c r="I430" i="17"/>
  <c r="H398" i="17"/>
  <c r="G398" i="17"/>
  <c r="I403" i="17"/>
  <c r="I404" i="17"/>
  <c r="I401" i="17"/>
  <c r="I399" i="17"/>
  <c r="G395" i="17"/>
  <c r="H395" i="17"/>
  <c r="F395" i="17"/>
  <c r="F409" i="17" s="1"/>
  <c r="H377" i="17"/>
  <c r="G377" i="17"/>
  <c r="I380" i="17"/>
  <c r="I378" i="17"/>
  <c r="H372" i="17"/>
  <c r="G372" i="17"/>
  <c r="H358" i="17"/>
  <c r="H367" i="17" s="1"/>
  <c r="G358" i="17"/>
  <c r="G367" i="17" s="1"/>
  <c r="I363" i="17"/>
  <c r="I364" i="17"/>
  <c r="I361" i="17"/>
  <c r="I359" i="17"/>
  <c r="H339" i="17"/>
  <c r="G339" i="17"/>
  <c r="I340" i="17"/>
  <c r="I341" i="17"/>
  <c r="I342" i="17"/>
  <c r="I337" i="17"/>
  <c r="I338" i="17"/>
  <c r="G336" i="17"/>
  <c r="H336" i="17"/>
  <c r="F336" i="17"/>
  <c r="F345" i="17" s="1"/>
  <c r="H318" i="17"/>
  <c r="G318" i="17"/>
  <c r="I320" i="17"/>
  <c r="H301" i="17"/>
  <c r="G301" i="17"/>
  <c r="I303" i="17"/>
  <c r="F292" i="17"/>
  <c r="H288" i="17"/>
  <c r="H292" i="17" s="1"/>
  <c r="G288" i="17"/>
  <c r="G292" i="17" s="1"/>
  <c r="I290" i="17"/>
  <c r="I275" i="17"/>
  <c r="I276" i="17"/>
  <c r="H271" i="17"/>
  <c r="G271" i="17"/>
  <c r="I273" i="17"/>
  <c r="H248" i="17"/>
  <c r="G248" i="17"/>
  <c r="I253" i="17"/>
  <c r="I254" i="17"/>
  <c r="I251" i="17"/>
  <c r="F238" i="17"/>
  <c r="H234" i="17"/>
  <c r="H238" i="17" s="1"/>
  <c r="G234" i="17"/>
  <c r="G238" i="17" s="1"/>
  <c r="I236" i="17"/>
  <c r="I237" i="17"/>
  <c r="I235" i="17"/>
  <c r="H219" i="17"/>
  <c r="G219" i="17"/>
  <c r="I224" i="17"/>
  <c r="I223" i="17"/>
  <c r="I222" i="17"/>
  <c r="I218" i="17"/>
  <c r="I220" i="17"/>
  <c r="I221" i="17"/>
  <c r="F217" i="17"/>
  <c r="F225" i="17" s="1"/>
  <c r="G217" i="17"/>
  <c r="H217" i="17"/>
  <c r="H215" i="17"/>
  <c r="G215" i="17"/>
  <c r="H206" i="17"/>
  <c r="G206" i="17"/>
  <c r="H202" i="17"/>
  <c r="G202" i="17"/>
  <c r="I204" i="17"/>
  <c r="G199" i="17"/>
  <c r="H199" i="17"/>
  <c r="F199" i="17"/>
  <c r="F208" i="17" s="1"/>
  <c r="I200" i="17"/>
  <c r="H191" i="17"/>
  <c r="G191" i="17"/>
  <c r="H189" i="17"/>
  <c r="G189" i="17"/>
  <c r="H185" i="17"/>
  <c r="G185" i="17"/>
  <c r="H180" i="17"/>
  <c r="G180" i="17"/>
  <c r="I183" i="17"/>
  <c r="H175" i="17"/>
  <c r="G175" i="17"/>
  <c r="I217" i="17" l="1"/>
  <c r="I580" i="17"/>
  <c r="G409" i="17"/>
  <c r="H409" i="17"/>
  <c r="H345" i="17"/>
  <c r="G345" i="17"/>
  <c r="I336" i="17"/>
  <c r="I339" i="17"/>
  <c r="H225" i="17"/>
  <c r="I234" i="17"/>
  <c r="G225" i="17"/>
  <c r="I219" i="17"/>
  <c r="H208" i="17"/>
  <c r="G208" i="17"/>
  <c r="I168" i="17"/>
  <c r="I167" i="17"/>
  <c r="H164" i="17"/>
  <c r="G164" i="17"/>
  <c r="I166" i="17"/>
  <c r="H162" i="17"/>
  <c r="G162" i="17"/>
  <c r="I159" i="17"/>
  <c r="H158" i="17"/>
  <c r="G158" i="17"/>
  <c r="H153" i="17"/>
  <c r="G153" i="17"/>
  <c r="I156" i="17"/>
  <c r="G149" i="17"/>
  <c r="H149" i="17"/>
  <c r="F149" i="17"/>
  <c r="F169" i="17" s="1"/>
  <c r="I152" i="17"/>
  <c r="I148" i="17"/>
  <c r="H147" i="17"/>
  <c r="G147" i="17"/>
  <c r="I145" i="17"/>
  <c r="I146" i="17"/>
  <c r="H121" i="17"/>
  <c r="G121" i="17"/>
  <c r="H127" i="17"/>
  <c r="G127" i="17"/>
  <c r="I126" i="17"/>
  <c r="I125" i="17"/>
  <c r="I123" i="17"/>
  <c r="F102" i="17"/>
  <c r="G100" i="17"/>
  <c r="H100" i="17"/>
  <c r="F100" i="17"/>
  <c r="I158" i="17" l="1"/>
  <c r="I147" i="17"/>
  <c r="H169" i="17"/>
  <c r="G169" i="17"/>
  <c r="F113" i="17"/>
  <c r="H92" i="17"/>
  <c r="G92" i="17"/>
  <c r="I93" i="17"/>
  <c r="H90" i="17"/>
  <c r="G90" i="17"/>
  <c r="H88" i="17"/>
  <c r="G88" i="17"/>
  <c r="H86" i="17"/>
  <c r="G86" i="17"/>
  <c r="H82" i="17"/>
  <c r="G82" i="17"/>
  <c r="I84" i="17"/>
  <c r="I77" i="17"/>
  <c r="I78" i="17"/>
  <c r="H76" i="17"/>
  <c r="G76" i="17"/>
  <c r="H74" i="17"/>
  <c r="G74" i="17"/>
  <c r="H46" i="17"/>
  <c r="G46" i="17"/>
  <c r="I48" i="17"/>
  <c r="I36" i="17"/>
  <c r="H38" i="17"/>
  <c r="G38" i="17"/>
  <c r="H34" i="17"/>
  <c r="G34" i="17"/>
  <c r="H15" i="17"/>
  <c r="G15" i="17"/>
  <c r="I18" i="17"/>
  <c r="I76" i="17" l="1"/>
  <c r="L123" i="8" l="1"/>
  <c r="J123" i="8"/>
  <c r="K124" i="8"/>
  <c r="H46" i="20" s="1"/>
  <c r="G126" i="8"/>
  <c r="F126" i="8"/>
  <c r="E10" i="8"/>
  <c r="H92" i="8"/>
  <c r="H83" i="8"/>
  <c r="H69" i="8"/>
  <c r="F68" i="8"/>
  <c r="G68" i="8"/>
  <c r="E68" i="8"/>
  <c r="H66" i="8"/>
  <c r="H67" i="8"/>
  <c r="E63" i="8"/>
  <c r="H64" i="8"/>
  <c r="H62" i="8"/>
  <c r="H61" i="8"/>
  <c r="H57" i="8"/>
  <c r="H56" i="8"/>
  <c r="G53" i="8"/>
  <c r="F53" i="8"/>
  <c r="H52" i="8"/>
  <c r="H51" i="8"/>
  <c r="H47" i="8"/>
  <c r="H48" i="8"/>
  <c r="E93" i="8" l="1"/>
  <c r="K123" i="8"/>
  <c r="H45" i="8"/>
  <c r="H39" i="8"/>
  <c r="H24" i="8"/>
  <c r="H25" i="8"/>
  <c r="G22" i="8"/>
  <c r="G93" i="8" s="1"/>
  <c r="G124" i="8" s="1"/>
  <c r="F22" i="8"/>
  <c r="F10" i="8"/>
  <c r="G120" i="8"/>
  <c r="F120" i="8"/>
  <c r="H115" i="8"/>
  <c r="H114" i="8"/>
  <c r="H111" i="8"/>
  <c r="H110" i="8"/>
  <c r="L93" i="9"/>
  <c r="K93" i="9"/>
  <c r="J93" i="9"/>
  <c r="F90" i="9"/>
  <c r="G90" i="9"/>
  <c r="H89" i="9"/>
  <c r="H88" i="9"/>
  <c r="H65" i="9"/>
  <c r="H66" i="9"/>
  <c r="F61" i="9"/>
  <c r="F67" i="9" s="1"/>
  <c r="F58" i="9"/>
  <c r="G58" i="9"/>
  <c r="E58" i="9"/>
  <c r="H59" i="9"/>
  <c r="G51" i="9"/>
  <c r="F51" i="9"/>
  <c r="E51" i="9"/>
  <c r="H84" i="9"/>
  <c r="H83" i="9"/>
  <c r="H82" i="9"/>
  <c r="H81" i="9"/>
  <c r="H47" i="9"/>
  <c r="H46" i="9"/>
  <c r="H45" i="9"/>
  <c r="H40" i="9"/>
  <c r="G39" i="9"/>
  <c r="F39" i="9"/>
  <c r="H38" i="9"/>
  <c r="G37" i="9"/>
  <c r="F37" i="9"/>
  <c r="H35" i="9"/>
  <c r="F93" i="8" l="1"/>
  <c r="F124" i="8" s="1"/>
  <c r="F94" i="9"/>
  <c r="G67" i="9"/>
  <c r="G94" i="9" s="1"/>
  <c r="H94" i="9" s="1"/>
  <c r="G98" i="9"/>
  <c r="H98" i="9" s="1"/>
  <c r="F98" i="9"/>
  <c r="H39" i="9"/>
  <c r="F95" i="9"/>
  <c r="F93" i="9" s="1"/>
  <c r="H37" i="9"/>
  <c r="H25" i="9"/>
  <c r="H24" i="9"/>
  <c r="H17" i="9"/>
  <c r="H16" i="9"/>
  <c r="K57" i="10"/>
  <c r="E62" i="10"/>
  <c r="E41" i="11"/>
  <c r="F62" i="10"/>
  <c r="F57" i="10"/>
  <c r="F46" i="10"/>
  <c r="E46" i="10"/>
  <c r="E58" i="10" l="1"/>
  <c r="F53" i="10" l="1"/>
  <c r="G53" i="10"/>
  <c r="E53" i="10"/>
  <c r="H32" i="10"/>
  <c r="E20" i="10"/>
  <c r="L56" i="10"/>
  <c r="K56" i="10"/>
  <c r="J56" i="10"/>
  <c r="L34" i="11"/>
  <c r="K34" i="11"/>
  <c r="J34" i="11"/>
  <c r="L16" i="4"/>
  <c r="K16" i="4"/>
  <c r="J16" i="4"/>
  <c r="F13" i="4"/>
  <c r="G13" i="4"/>
  <c r="E13" i="4"/>
  <c r="H12" i="4"/>
  <c r="K44" i="5" l="1"/>
  <c r="K42" i="5" s="1"/>
  <c r="L44" i="5"/>
  <c r="L42" i="5" s="1"/>
  <c r="F44" i="5"/>
  <c r="J42" i="5"/>
  <c r="F40" i="5"/>
  <c r="F23" i="5"/>
  <c r="G35" i="5"/>
  <c r="G40" i="5" s="1"/>
  <c r="G44" i="5" s="1"/>
  <c r="F35" i="5"/>
  <c r="F12" i="5"/>
  <c r="E12" i="5"/>
  <c r="E40" i="5"/>
  <c r="E35" i="5"/>
  <c r="G33" i="5"/>
  <c r="F33" i="5"/>
  <c r="E33" i="5"/>
  <c r="H34" i="5"/>
  <c r="F18" i="5"/>
  <c r="G18" i="5"/>
  <c r="E18" i="5"/>
  <c r="E23" i="5" s="1"/>
  <c r="F15" i="5"/>
  <c r="G15" i="5"/>
  <c r="E15" i="5"/>
  <c r="G23" i="5" l="1"/>
  <c r="G43" i="5" s="1"/>
  <c r="H33" i="5"/>
  <c r="L51" i="52"/>
  <c r="J51" i="52"/>
  <c r="K194" i="54"/>
  <c r="H14" i="20" s="1"/>
  <c r="H300" i="20" s="1"/>
  <c r="J194" i="54"/>
  <c r="L193" i="54"/>
  <c r="G189" i="54"/>
  <c r="G195" i="54" s="1"/>
  <c r="F196" i="54"/>
  <c r="J193" i="54" l="1"/>
  <c r="G14" i="20"/>
  <c r="K46" i="20" s="1"/>
  <c r="K276" i="20" s="1"/>
  <c r="K193" i="54"/>
  <c r="G45" i="54"/>
  <c r="F45" i="54"/>
  <c r="F189" i="54"/>
  <c r="E189" i="54"/>
  <c r="H188" i="54"/>
  <c r="H187" i="54"/>
  <c r="H168" i="54"/>
  <c r="G163" i="54"/>
  <c r="F163" i="54"/>
  <c r="H164" i="54"/>
  <c r="H162" i="54"/>
  <c r="H160" i="54"/>
  <c r="G151" i="54"/>
  <c r="F151" i="54"/>
  <c r="H154" i="54"/>
  <c r="H146" i="54"/>
  <c r="H147" i="54"/>
  <c r="G145" i="54"/>
  <c r="F145" i="54"/>
  <c r="E145" i="54"/>
  <c r="H141" i="54"/>
  <c r="H142" i="54"/>
  <c r="G140" i="54"/>
  <c r="F140" i="54"/>
  <c r="E140" i="54"/>
  <c r="G135" i="54"/>
  <c r="F135" i="54"/>
  <c r="E135" i="54"/>
  <c r="H138" i="54"/>
  <c r="H133" i="54"/>
  <c r="H134" i="54"/>
  <c r="G132" i="54"/>
  <c r="F132" i="54"/>
  <c r="E132" i="54"/>
  <c r="G128" i="54"/>
  <c r="F128" i="54"/>
  <c r="H131" i="54"/>
  <c r="G122" i="54"/>
  <c r="G114" i="54"/>
  <c r="F114" i="54"/>
  <c r="G111" i="54"/>
  <c r="F111" i="54"/>
  <c r="H113" i="54"/>
  <c r="H112" i="54"/>
  <c r="H110" i="54"/>
  <c r="G98" i="54"/>
  <c r="F98" i="54"/>
  <c r="H106" i="54"/>
  <c r="H105" i="54"/>
  <c r="H104" i="54"/>
  <c r="H101" i="54"/>
  <c r="E98" i="54"/>
  <c r="G88" i="54"/>
  <c r="F88" i="54"/>
  <c r="H97" i="54"/>
  <c r="H96" i="54"/>
  <c r="H95" i="54"/>
  <c r="E88" i="54"/>
  <c r="H92" i="54"/>
  <c r="H163" i="54" l="1"/>
  <c r="G82" i="54"/>
  <c r="F82" i="54"/>
  <c r="G73" i="54"/>
  <c r="F73" i="54"/>
  <c r="H81" i="54"/>
  <c r="H80" i="54"/>
  <c r="H79" i="54"/>
  <c r="H76" i="54"/>
  <c r="H184" i="54"/>
  <c r="H183" i="54"/>
  <c r="H54" i="54"/>
  <c r="H53" i="54"/>
  <c r="H52" i="54"/>
  <c r="H182" i="54"/>
  <c r="H181" i="54"/>
  <c r="H50" i="54"/>
  <c r="H51" i="54"/>
  <c r="G47" i="54"/>
  <c r="F47" i="54"/>
  <c r="H49" i="54"/>
  <c r="H48" i="54"/>
  <c r="H46" i="54"/>
  <c r="H44" i="54"/>
  <c r="H43" i="54"/>
  <c r="G42" i="54"/>
  <c r="F42" i="54"/>
  <c r="H180" i="54"/>
  <c r="H179" i="54"/>
  <c r="H41" i="54"/>
  <c r="H40" i="54"/>
  <c r="H35" i="54"/>
  <c r="H32" i="54"/>
  <c r="H33" i="54"/>
  <c r="H34" i="54"/>
  <c r="G31" i="54"/>
  <c r="F31" i="54"/>
  <c r="H31" i="54" l="1"/>
  <c r="H42" i="54"/>
  <c r="H45" i="54"/>
  <c r="H47" i="54"/>
  <c r="E28" i="54"/>
  <c r="F28" i="54"/>
  <c r="K87" i="54" s="1"/>
  <c r="G28" i="54"/>
  <c r="L87" i="54" s="1"/>
  <c r="H30" i="54"/>
  <c r="H29" i="54"/>
  <c r="H27" i="54"/>
  <c r="H26" i="54"/>
  <c r="H25" i="54"/>
  <c r="H22" i="54"/>
  <c r="H23" i="54"/>
  <c r="H21" i="54"/>
  <c r="H28" i="54" l="1"/>
  <c r="H10" i="54" l="1"/>
  <c r="H11" i="54"/>
  <c r="H12" i="54"/>
  <c r="H13" i="54"/>
  <c r="H14" i="54"/>
  <c r="H16" i="54"/>
  <c r="H17" i="54"/>
  <c r="H18" i="54"/>
  <c r="H19" i="54"/>
  <c r="H20" i="54"/>
  <c r="H24" i="54"/>
  <c r="I9" i="20" l="1"/>
  <c r="M47" i="20" s="1"/>
  <c r="I10" i="20"/>
  <c r="M48" i="20" s="1"/>
  <c r="I11" i="20"/>
  <c r="M49" i="20" s="1"/>
  <c r="I12" i="20"/>
  <c r="M50" i="20" s="1"/>
  <c r="I8" i="20"/>
  <c r="M46" i="20" s="1"/>
  <c r="H9" i="20"/>
  <c r="L47" i="20" s="1"/>
  <c r="H10" i="20"/>
  <c r="L48" i="20" s="1"/>
  <c r="H11" i="20"/>
  <c r="L49" i="20" s="1"/>
  <c r="H12" i="20"/>
  <c r="H8" i="20"/>
  <c r="L46" i="20" s="1"/>
  <c r="G9" i="20"/>
  <c r="K47" i="20" s="1"/>
  <c r="K277" i="20" s="1"/>
  <c r="G10" i="20"/>
  <c r="K48" i="20" s="1"/>
  <c r="G11" i="20"/>
  <c r="K49" i="20" s="1"/>
  <c r="G12" i="20"/>
  <c r="E47" i="52"/>
  <c r="H33" i="52"/>
  <c r="H32" i="52"/>
  <c r="H17" i="52"/>
  <c r="H11" i="52"/>
  <c r="G297" i="20" l="1"/>
  <c r="K50" i="20"/>
  <c r="I283" i="20"/>
  <c r="H297" i="20"/>
  <c r="L50" i="20"/>
  <c r="G300" i="20"/>
  <c r="G7" i="20"/>
  <c r="Q565" i="18"/>
  <c r="L549" i="18" s="1"/>
  <c r="P565" i="18"/>
  <c r="K549" i="18" s="1"/>
  <c r="S2372" i="17"/>
  <c r="H2372" i="17"/>
  <c r="I2344" i="17"/>
  <c r="H2339" i="17"/>
  <c r="G2339" i="17"/>
  <c r="G2351" i="17" s="1"/>
  <c r="I2325" i="17"/>
  <c r="I2323" i="17"/>
  <c r="I2312" i="17"/>
  <c r="I2300" i="17"/>
  <c r="I2288" i="17"/>
  <c r="H2284" i="17"/>
  <c r="G2284" i="17"/>
  <c r="I2272" i="17"/>
  <c r="I2257" i="17"/>
  <c r="I2246" i="17"/>
  <c r="I2244" i="17"/>
  <c r="I2231" i="17"/>
  <c r="I2216" i="17"/>
  <c r="I2203" i="17"/>
  <c r="I2187" i="17"/>
  <c r="H2182" i="17"/>
  <c r="H2194" i="17" s="1"/>
  <c r="G2182" i="17"/>
  <c r="G2194" i="17" s="1"/>
  <c r="F2182" i="17"/>
  <c r="I2190" i="17"/>
  <c r="I2174" i="17"/>
  <c r="I2162" i="17"/>
  <c r="G2141" i="17"/>
  <c r="G2153" i="17" s="1"/>
  <c r="I2147" i="17"/>
  <c r="H2141" i="17"/>
  <c r="H2153" i="17" s="1"/>
  <c r="F2141" i="17"/>
  <c r="F2153" i="17" s="1"/>
  <c r="I2149" i="17"/>
  <c r="I2133" i="17"/>
  <c r="I2118" i="17"/>
  <c r="I2103" i="17"/>
  <c r="I2090" i="17"/>
  <c r="H2086" i="17"/>
  <c r="G2086" i="17"/>
  <c r="F2086" i="17"/>
  <c r="R2372" i="17" l="1"/>
  <c r="I2077" i="17"/>
  <c r="I2064" i="17"/>
  <c r="I2048" i="17"/>
  <c r="I2076" i="17" l="1"/>
  <c r="I2035" i="17"/>
  <c r="I2037" i="17"/>
  <c r="I2022" i="17"/>
  <c r="H2018" i="17"/>
  <c r="G2018" i="17"/>
  <c r="F2018" i="17"/>
  <c r="I2024" i="17"/>
  <c r="I2007" i="17"/>
  <c r="F1992" i="17"/>
  <c r="I1996" i="17"/>
  <c r="I1979" i="17"/>
  <c r="I1967" i="17"/>
  <c r="I1955" i="17"/>
  <c r="I1943" i="17"/>
  <c r="I1945" i="17"/>
  <c r="I1939" i="17"/>
  <c r="I1927" i="17"/>
  <c r="I1884" i="17"/>
  <c r="I1883" i="17"/>
  <c r="I1827" i="17"/>
  <c r="I1826" i="17"/>
  <c r="I1823" i="17"/>
  <c r="I1804" i="17"/>
  <c r="I1706" i="17" l="1"/>
  <c r="I1584" i="17" l="1"/>
  <c r="I1568" i="17"/>
  <c r="I1567" i="17"/>
  <c r="I1522" i="17"/>
  <c r="H1515" i="17"/>
  <c r="H1531" i="17" s="1"/>
  <c r="G1515" i="17"/>
  <c r="G1531" i="17" s="1"/>
  <c r="F1515" i="17"/>
  <c r="F1531" i="17" s="1"/>
  <c r="I1506" i="17"/>
  <c r="I1433" i="17"/>
  <c r="I1417" i="17"/>
  <c r="H1413" i="17"/>
  <c r="H1426" i="17" s="1"/>
  <c r="G1413" i="17"/>
  <c r="G1426" i="17" s="1"/>
  <c r="F1413" i="17"/>
  <c r="F1426" i="17" s="1"/>
  <c r="I1397" i="17"/>
  <c r="I1398" i="17"/>
  <c r="I1384" i="17"/>
  <c r="H1379" i="17"/>
  <c r="G1379" i="17"/>
  <c r="F1379" i="17"/>
  <c r="I1383" i="17"/>
  <c r="I1371" i="17"/>
  <c r="I1372" i="17"/>
  <c r="I1360" i="17"/>
  <c r="I1346" i="17" l="1"/>
  <c r="H1341" i="17"/>
  <c r="G1341" i="17"/>
  <c r="F1341" i="17"/>
  <c r="I1345" i="17"/>
  <c r="I1327" i="17"/>
  <c r="I1307" i="17"/>
  <c r="I1308" i="17"/>
  <c r="H1303" i="17"/>
  <c r="H1316" i="17" s="1"/>
  <c r="G1303" i="17"/>
  <c r="G1316" i="17" s="1"/>
  <c r="F1303" i="17"/>
  <c r="F1316" i="17" s="1"/>
  <c r="I1291" i="17"/>
  <c r="I1293" i="17"/>
  <c r="I1277" i="17"/>
  <c r="H1272" i="17"/>
  <c r="H1282" i="17" s="1"/>
  <c r="G1272" i="17"/>
  <c r="G1282" i="17" s="1"/>
  <c r="F1272" i="17"/>
  <c r="F1282" i="17" s="1"/>
  <c r="I1276" i="17"/>
  <c r="I1208" i="17"/>
  <c r="F1202" i="17"/>
  <c r="F1219" i="17" s="1"/>
  <c r="H1202" i="17"/>
  <c r="H1219" i="17" s="1"/>
  <c r="G1202" i="17"/>
  <c r="G1219" i="17" s="1"/>
  <c r="I1193" i="17"/>
  <c r="I1194" i="17"/>
  <c r="I1188" i="17"/>
  <c r="I1159" i="17" l="1"/>
  <c r="I1140" i="17"/>
  <c r="I1139" i="17"/>
  <c r="F1129" i="17"/>
  <c r="F1151" i="17" s="1"/>
  <c r="I1138" i="17"/>
  <c r="I1135" i="17"/>
  <c r="I1131" i="17"/>
  <c r="I1063" i="17"/>
  <c r="I1062" i="17"/>
  <c r="I1058" i="17"/>
  <c r="I1031" i="17"/>
  <c r="I1029" i="17"/>
  <c r="I993" i="17" l="1"/>
  <c r="I971" i="17"/>
  <c r="I969" i="17"/>
  <c r="H912" i="17" l="1"/>
  <c r="H934" i="17" s="1"/>
  <c r="G912" i="17"/>
  <c r="G934" i="17" s="1"/>
  <c r="I893" i="17" l="1"/>
  <c r="I895" i="17"/>
  <c r="I873" i="17"/>
  <c r="I872" i="17"/>
  <c r="I810" i="17"/>
  <c r="I796" i="17"/>
  <c r="I793" i="17"/>
  <c r="I795" i="17"/>
  <c r="I775" i="17"/>
  <c r="F769" i="17"/>
  <c r="F784" i="17" s="1"/>
  <c r="I774" i="17"/>
  <c r="I755" i="17"/>
  <c r="I748" i="17"/>
  <c r="I747" i="17"/>
  <c r="I736" i="17"/>
  <c r="I731" i="17"/>
  <c r="H726" i="17"/>
  <c r="H738" i="17" s="1"/>
  <c r="G726" i="17"/>
  <c r="G738" i="17" s="1"/>
  <c r="H717" i="17"/>
  <c r="G717" i="17"/>
  <c r="I710" i="17"/>
  <c r="H705" i="17"/>
  <c r="G705" i="17"/>
  <c r="F705" i="17"/>
  <c r="F720" i="17" s="1"/>
  <c r="I709" i="17"/>
  <c r="G801" i="17" l="1"/>
  <c r="H801" i="17"/>
  <c r="H689" i="17"/>
  <c r="H700" i="17" s="1"/>
  <c r="G689" i="17"/>
  <c r="G700" i="17" s="1"/>
  <c r="I695" i="17"/>
  <c r="I697" i="17"/>
  <c r="I693" i="17"/>
  <c r="I694" i="17"/>
  <c r="I679" i="17"/>
  <c r="I678" i="17"/>
  <c r="I661" i="17"/>
  <c r="H656" i="17"/>
  <c r="H669" i="17" s="1"/>
  <c r="G656" i="17"/>
  <c r="G669" i="17" s="1"/>
  <c r="F656" i="17"/>
  <c r="F669" i="17" s="1"/>
  <c r="I660" i="17"/>
  <c r="I649" i="17"/>
  <c r="I650" i="17"/>
  <c r="I640" i="17"/>
  <c r="H635" i="17"/>
  <c r="H651" i="17" s="1"/>
  <c r="G635" i="17"/>
  <c r="G651" i="17" s="1"/>
  <c r="I639" i="17"/>
  <c r="I627" i="17"/>
  <c r="H622" i="17"/>
  <c r="H630" i="17" s="1"/>
  <c r="G622" i="17"/>
  <c r="G630" i="17" s="1"/>
  <c r="F622" i="17"/>
  <c r="I626" i="17"/>
  <c r="I612" i="17" l="1"/>
  <c r="H607" i="17"/>
  <c r="G607" i="17"/>
  <c r="F607" i="17"/>
  <c r="I611" i="17"/>
  <c r="H599" i="17"/>
  <c r="H602" i="17" s="1"/>
  <c r="G599" i="17"/>
  <c r="G602" i="17" s="1"/>
  <c r="I593" i="17"/>
  <c r="H617" i="17" l="1"/>
  <c r="G617" i="17"/>
  <c r="I592" i="17"/>
  <c r="I573" i="17"/>
  <c r="H559" i="17"/>
  <c r="G559" i="17"/>
  <c r="I560" i="17"/>
  <c r="I552" i="17"/>
  <c r="I572" i="17"/>
  <c r="I571" i="17"/>
  <c r="I550" i="17"/>
  <c r="I547" i="17"/>
  <c r="I546" i="17"/>
  <c r="I532" i="17"/>
  <c r="G526" i="17"/>
  <c r="G537" i="17" s="1"/>
  <c r="F526" i="17"/>
  <c r="F537" i="17" s="1"/>
  <c r="I531" i="17"/>
  <c r="I512" i="17"/>
  <c r="I510" i="17"/>
  <c r="I509" i="17"/>
  <c r="H505" i="17"/>
  <c r="H521" i="17" s="1"/>
  <c r="G505" i="17"/>
  <c r="G521" i="17" s="1"/>
  <c r="I513" i="17"/>
  <c r="I458" i="17" l="1"/>
  <c r="G454" i="17"/>
  <c r="G471" i="17" s="1"/>
  <c r="I434" i="17"/>
  <c r="I431" i="17"/>
  <c r="I429" i="17"/>
  <c r="I428" i="17"/>
  <c r="I408" i="17"/>
  <c r="I407" i="17"/>
  <c r="I400" i="17"/>
  <c r="I382" i="17"/>
  <c r="G374" i="17"/>
  <c r="G388" i="17" s="1"/>
  <c r="I379" i="17"/>
  <c r="I360" i="17"/>
  <c r="I319" i="17"/>
  <c r="I302" i="17"/>
  <c r="V2360" i="17" l="1"/>
  <c r="I289" i="17"/>
  <c r="I272" i="17"/>
  <c r="I249" i="17"/>
  <c r="I250" i="17"/>
  <c r="I206" i="17"/>
  <c r="I207" i="17"/>
  <c r="I203" i="17"/>
  <c r="I181" i="17"/>
  <c r="W2360" i="17" l="1"/>
  <c r="I155" i="17"/>
  <c r="I154" i="17"/>
  <c r="I122" i="17"/>
  <c r="H102" i="17" l="1"/>
  <c r="H113" i="17" s="1"/>
  <c r="G102" i="17"/>
  <c r="G113" i="17" s="1"/>
  <c r="I83" i="17" l="1"/>
  <c r="I47" i="17"/>
  <c r="I35" i="17"/>
  <c r="H12" i="17"/>
  <c r="G12" i="17"/>
  <c r="H20" i="17"/>
  <c r="G20" i="17"/>
  <c r="I21" i="17"/>
  <c r="I17" i="17"/>
  <c r="I16" i="17"/>
  <c r="I13" i="17"/>
  <c r="J550" i="18"/>
  <c r="G25" i="17" l="1"/>
  <c r="H25" i="17"/>
  <c r="D10" i="20" l="1"/>
  <c r="G156" i="20" l="1"/>
  <c r="H156" i="20"/>
  <c r="I156" i="20"/>
  <c r="C159" i="20"/>
  <c r="R174" i="20" s="1"/>
  <c r="R240" i="20" s="1"/>
  <c r="C160" i="20"/>
  <c r="D160" i="20"/>
  <c r="E160" i="20"/>
  <c r="T175" i="20" s="1"/>
  <c r="T241" i="20" s="1"/>
  <c r="C161" i="20"/>
  <c r="R176" i="20" s="1"/>
  <c r="R242" i="20" s="1"/>
  <c r="D161" i="20"/>
  <c r="E161" i="20"/>
  <c r="G162" i="20"/>
  <c r="H162" i="20"/>
  <c r="I162" i="20"/>
  <c r="C165" i="20"/>
  <c r="C166" i="20"/>
  <c r="R265" i="20" s="1"/>
  <c r="D166" i="20"/>
  <c r="S265" i="20" s="1"/>
  <c r="S267" i="20" s="1"/>
  <c r="E166" i="20"/>
  <c r="C167" i="20"/>
  <c r="D167" i="20"/>
  <c r="S266" i="20" s="1"/>
  <c r="E167" i="20"/>
  <c r="T266" i="20" s="1"/>
  <c r="T284" i="20" s="1"/>
  <c r="M107" i="20"/>
  <c r="I13" i="20"/>
  <c r="I45" i="20"/>
  <c r="R266" i="20" l="1"/>
  <c r="R267" i="20" s="1"/>
  <c r="S175" i="20"/>
  <c r="S241" i="20" s="1"/>
  <c r="T265" i="20"/>
  <c r="T267" i="20" s="1"/>
  <c r="S176" i="20"/>
  <c r="S242" i="20" s="1"/>
  <c r="R175" i="20"/>
  <c r="R241" i="20" s="1"/>
  <c r="R243" i="20" s="1"/>
  <c r="D156" i="20"/>
  <c r="C162" i="20"/>
  <c r="E162" i="20"/>
  <c r="D162" i="20"/>
  <c r="C156" i="20"/>
  <c r="E156" i="20"/>
  <c r="I406" i="18" l="1"/>
  <c r="H311" i="18" l="1"/>
  <c r="G311" i="18"/>
  <c r="H300" i="18"/>
  <c r="G300" i="18"/>
  <c r="F311" i="18"/>
  <c r="I310" i="18"/>
  <c r="F300" i="18"/>
  <c r="I299" i="18"/>
  <c r="I311" i="18" l="1"/>
  <c r="I305" i="18"/>
  <c r="I300" i="18"/>
  <c r="I295" i="18"/>
  <c r="H267" i="18"/>
  <c r="I270" i="18"/>
  <c r="I269" i="18"/>
  <c r="I268" i="18"/>
  <c r="H232" i="18"/>
  <c r="G232" i="18"/>
  <c r="I233" i="18"/>
  <c r="H229" i="18"/>
  <c r="G229" i="18"/>
  <c r="I231" i="18"/>
  <c r="I221" i="18"/>
  <c r="I220" i="18"/>
  <c r="H201" i="18"/>
  <c r="G201" i="18"/>
  <c r="I202" i="18"/>
  <c r="G183" i="18"/>
  <c r="H164" i="18"/>
  <c r="G164" i="18"/>
  <c r="I166" i="18"/>
  <c r="I165" i="18"/>
  <c r="H146" i="18"/>
  <c r="I147" i="18"/>
  <c r="L280" i="20" l="1"/>
  <c r="M280" i="20"/>
  <c r="K280" i="20"/>
  <c r="H53" i="7" l="1"/>
  <c r="H52" i="7"/>
  <c r="H49" i="7"/>
  <c r="H47" i="7"/>
  <c r="H43" i="7"/>
  <c r="H42" i="7"/>
  <c r="H135" i="7"/>
  <c r="H134" i="7"/>
  <c r="H41" i="7" l="1"/>
  <c r="J321" i="7"/>
  <c r="G300" i="7"/>
  <c r="F300" i="7"/>
  <c r="H118" i="7"/>
  <c r="H117" i="7"/>
  <c r="H116" i="7"/>
  <c r="H113" i="7"/>
  <c r="H112" i="7"/>
  <c r="H111" i="7"/>
  <c r="H110" i="7"/>
  <c r="H100" i="7"/>
  <c r="H93" i="7"/>
  <c r="H92" i="7"/>
  <c r="H80" i="7"/>
  <c r="H67" i="7"/>
  <c r="H66" i="7"/>
  <c r="H65" i="7"/>
  <c r="E29" i="7"/>
  <c r="H138" i="7"/>
  <c r="J89" i="7" l="1"/>
  <c r="E123" i="7" s="1"/>
  <c r="H300" i="7"/>
  <c r="H64" i="7"/>
  <c r="F307" i="7"/>
  <c r="H198" i="7"/>
  <c r="H195" i="7"/>
  <c r="H193" i="7"/>
  <c r="H192" i="7"/>
  <c r="H191" i="7"/>
  <c r="H190" i="7"/>
  <c r="H185" i="7"/>
  <c r="H182" i="7"/>
  <c r="H181" i="7"/>
  <c r="H180" i="7"/>
  <c r="H179" i="7"/>
  <c r="H177" i="7"/>
  <c r="H175" i="7"/>
  <c r="H174" i="7"/>
  <c r="H173" i="7"/>
  <c r="H171" i="7"/>
  <c r="H169" i="7"/>
  <c r="H166" i="7"/>
  <c r="H261" i="7" l="1"/>
  <c r="K321" i="7" l="1"/>
  <c r="L321" i="7"/>
  <c r="E250" i="7"/>
  <c r="H249" i="7"/>
  <c r="H248" i="7"/>
  <c r="H236" i="7"/>
  <c r="H229" i="7"/>
  <c r="H228" i="7"/>
  <c r="H225" i="7"/>
  <c r="I76" i="20" l="1"/>
  <c r="E59" i="20" l="1"/>
  <c r="T106" i="20" l="1"/>
  <c r="T102" i="20"/>
  <c r="I88" i="20" l="1"/>
  <c r="H113" i="20"/>
  <c r="F127" i="8" l="1"/>
  <c r="E120" i="8"/>
  <c r="E125" i="8" s="1"/>
  <c r="H119" i="8"/>
  <c r="H118" i="8"/>
  <c r="H113" i="8"/>
  <c r="H109" i="8"/>
  <c r="H108" i="8"/>
  <c r="H107" i="8"/>
  <c r="H104" i="8"/>
  <c r="H103" i="8"/>
  <c r="H84" i="8"/>
  <c r="H80" i="8"/>
  <c r="H79" i="8"/>
  <c r="H78" i="8"/>
  <c r="H14" i="8"/>
  <c r="H13" i="8"/>
  <c r="H31" i="9" l="1"/>
  <c r="H60" i="9"/>
  <c r="H58" i="9"/>
  <c r="H30" i="9"/>
  <c r="E90" i="9"/>
  <c r="E61" i="9"/>
  <c r="E67" i="9" s="1"/>
  <c r="E94" i="9" s="1"/>
  <c r="H57" i="9"/>
  <c r="H56" i="9"/>
  <c r="H55" i="9"/>
  <c r="H54" i="9"/>
  <c r="H48" i="9"/>
  <c r="H33" i="10"/>
  <c r="F41" i="10"/>
  <c r="H31" i="10"/>
  <c r="H13" i="10"/>
  <c r="E43" i="5"/>
  <c r="E42" i="5" s="1"/>
  <c r="H21" i="5"/>
  <c r="E98" i="9" l="1"/>
  <c r="H69" i="54"/>
  <c r="H60" i="54"/>
  <c r="H63" i="54"/>
  <c r="H186" i="54"/>
  <c r="H150" i="54"/>
  <c r="H143" i="54"/>
  <c r="F122" i="54"/>
  <c r="H109" i="54"/>
  <c r="H103" i="54"/>
  <c r="H102" i="54"/>
  <c r="H94" i="54"/>
  <c r="H93" i="54"/>
  <c r="H86" i="54"/>
  <c r="H85" i="54"/>
  <c r="H84" i="54"/>
  <c r="H78" i="54"/>
  <c r="H77" i="54"/>
  <c r="H71" i="54" l="1"/>
  <c r="G47" i="52" l="1"/>
  <c r="G52" i="52" s="1"/>
  <c r="G51" i="52" s="1"/>
  <c r="F47" i="52"/>
  <c r="H21" i="52"/>
  <c r="H16" i="52"/>
  <c r="F59" i="52" l="1"/>
  <c r="F52" i="52"/>
  <c r="H2359" i="17"/>
  <c r="G2359" i="17"/>
  <c r="F2359" i="17"/>
  <c r="I2276" i="17"/>
  <c r="I2275" i="17"/>
  <c r="H2240" i="17"/>
  <c r="G2240" i="17"/>
  <c r="F2240" i="17"/>
  <c r="G2170" i="17"/>
  <c r="G2177" i="17" s="1"/>
  <c r="H2026" i="17"/>
  <c r="G2026" i="17"/>
  <c r="I2021" i="17"/>
  <c r="H2012" i="17"/>
  <c r="I2011" i="17"/>
  <c r="I2010" i="17"/>
  <c r="H1877" i="17" l="1"/>
  <c r="H1893" i="17" s="1"/>
  <c r="G1877" i="17"/>
  <c r="G1893" i="17" s="1"/>
  <c r="F1877" i="17"/>
  <c r="F1893" i="17" s="1"/>
  <c r="H1321" i="17" l="1"/>
  <c r="H1336" i="17" s="1"/>
  <c r="G1321" i="17"/>
  <c r="G1336" i="17" s="1"/>
  <c r="F1321" i="17"/>
  <c r="F1336" i="17" s="1"/>
  <c r="I1323" i="17"/>
  <c r="I1296" i="17"/>
  <c r="H1287" i="17"/>
  <c r="G1287" i="17"/>
  <c r="G1298" i="17" s="1"/>
  <c r="I1297" i="17"/>
  <c r="I1218" i="17"/>
  <c r="I1217" i="17"/>
  <c r="I1204" i="17"/>
  <c r="H1195" i="17"/>
  <c r="G1195" i="17"/>
  <c r="F1183" i="17"/>
  <c r="I1149" i="17"/>
  <c r="I957" i="17"/>
  <c r="I956" i="17"/>
  <c r="H743" i="17" l="1"/>
  <c r="G743" i="17"/>
  <c r="G757" i="17" s="1"/>
  <c r="F743" i="17"/>
  <c r="H578" i="17"/>
  <c r="H582" i="17" s="1"/>
  <c r="G578" i="17"/>
  <c r="G582" i="17" s="1"/>
  <c r="F505" i="17"/>
  <c r="I477" i="17"/>
  <c r="I476" i="17" l="1"/>
  <c r="I433" i="17"/>
  <c r="I427" i="17"/>
  <c r="I441" i="17"/>
  <c r="I440" i="17"/>
  <c r="H424" i="17"/>
  <c r="H446" i="17" s="1"/>
  <c r="G424" i="17"/>
  <c r="G446" i="17" s="1"/>
  <c r="F424" i="17"/>
  <c r="F446" i="17" s="1"/>
  <c r="I323" i="17" l="1"/>
  <c r="I322" i="17"/>
  <c r="H177" i="17" l="1"/>
  <c r="H193" i="17" s="1"/>
  <c r="G177" i="17"/>
  <c r="G193" i="17" s="1"/>
  <c r="F177" i="17"/>
  <c r="F193" i="17" s="1"/>
  <c r="H52" i="17" l="1"/>
  <c r="G52" i="17"/>
  <c r="F524" i="18" l="1"/>
  <c r="IV523" i="18"/>
  <c r="H522" i="18"/>
  <c r="H524" i="18" s="1"/>
  <c r="G522" i="18"/>
  <c r="G524" i="18" s="1"/>
  <c r="H558" i="18"/>
  <c r="G558" i="18"/>
  <c r="F562" i="18"/>
  <c r="I557" i="18"/>
  <c r="IV557" i="18" s="1"/>
  <c r="H555" i="18"/>
  <c r="G555" i="18"/>
  <c r="G562" i="18" s="1"/>
  <c r="H394" i="18"/>
  <c r="G394" i="18"/>
  <c r="I524" i="18" l="1"/>
  <c r="I522" i="18"/>
  <c r="IV522" i="18" s="1"/>
  <c r="IV524" i="18" s="1"/>
  <c r="H562" i="18"/>
  <c r="I562" i="18" s="1"/>
  <c r="I558" i="18"/>
  <c r="IV558" i="18" s="1"/>
  <c r="I555" i="18"/>
  <c r="IV555" i="18" s="1"/>
  <c r="IV562" i="18" s="1"/>
  <c r="I271" i="18"/>
  <c r="H265" i="18"/>
  <c r="G265" i="18"/>
  <c r="H252" i="18" l="1"/>
  <c r="G252" i="18"/>
  <c r="G259" i="18" s="1"/>
  <c r="I254" i="18"/>
  <c r="I168" i="18"/>
  <c r="H151" i="18"/>
  <c r="H156" i="18" s="1"/>
  <c r="G151" i="18"/>
  <c r="G156" i="18" s="1"/>
  <c r="I153" i="18"/>
  <c r="G96" i="18" l="1"/>
  <c r="I93" i="18"/>
  <c r="I72" i="18"/>
  <c r="I309" i="20" l="1"/>
  <c r="H309" i="20"/>
  <c r="G309" i="20"/>
  <c r="L277" i="20"/>
  <c r="M276" i="20"/>
  <c r="L276" i="20"/>
  <c r="I113" i="20"/>
  <c r="M146" i="20" l="1"/>
  <c r="L146" i="20"/>
  <c r="I54" i="20"/>
  <c r="H54" i="20"/>
  <c r="K283" i="20" l="1"/>
  <c r="G283" i="20" s="1"/>
  <c r="I130" i="20" l="1"/>
  <c r="H130" i="20"/>
  <c r="G130" i="20"/>
  <c r="M243" i="20" l="1"/>
  <c r="K243" i="20"/>
  <c r="L243" i="20"/>
  <c r="K278" i="20" l="1"/>
  <c r="L278" i="20" l="1"/>
  <c r="L279" i="20"/>
  <c r="K279" i="20"/>
  <c r="K282" i="20" s="1"/>
  <c r="L14" i="215"/>
  <c r="K14" i="215"/>
  <c r="J14" i="215"/>
  <c r="K281" i="20" l="1"/>
  <c r="K284" i="20" l="1"/>
  <c r="K285" i="20" s="1"/>
  <c r="E309" i="20"/>
  <c r="D309" i="20"/>
  <c r="C309" i="20"/>
  <c r="E262" i="20" l="1"/>
  <c r="C262" i="20"/>
  <c r="F265" i="20"/>
  <c r="F176" i="20"/>
  <c r="F231" i="20"/>
  <c r="G11" i="215" l="1"/>
  <c r="H11" i="215" s="1"/>
  <c r="F11" i="215"/>
  <c r="F15" i="215" s="1"/>
  <c r="F14" i="215" s="1"/>
  <c r="F19" i="215" s="1"/>
  <c r="E11" i="215"/>
  <c r="E15" i="215" s="1"/>
  <c r="E14" i="215" s="1"/>
  <c r="E19" i="215" s="1"/>
  <c r="H10" i="215"/>
  <c r="R177" i="20" l="1"/>
  <c r="G15" i="215"/>
  <c r="H15" i="215" l="1"/>
  <c r="G14" i="215"/>
  <c r="H14" i="215" l="1"/>
  <c r="G19" i="215"/>
  <c r="H19" i="215" s="1"/>
  <c r="S281" i="20" l="1"/>
  <c r="R281" i="20"/>
  <c r="H11" i="193"/>
  <c r="E12" i="193"/>
  <c r="F12" i="193"/>
  <c r="G12" i="193"/>
  <c r="E15" i="193"/>
  <c r="E20" i="193" s="1"/>
  <c r="G15" i="193"/>
  <c r="G20" i="193" s="1"/>
  <c r="J15" i="193"/>
  <c r="K15" i="193"/>
  <c r="L15" i="193"/>
  <c r="E16" i="193"/>
  <c r="F16" i="193"/>
  <c r="F15" i="193" s="1"/>
  <c r="F20" i="193" s="1"/>
  <c r="G16" i="193"/>
  <c r="H16" i="193"/>
  <c r="H20" i="193" l="1"/>
  <c r="H15" i="193"/>
  <c r="S226" i="20" l="1"/>
  <c r="R226" i="20"/>
  <c r="T243" i="20"/>
  <c r="T226" i="20"/>
  <c r="D262" i="20"/>
  <c r="F264" i="20"/>
  <c r="T177" i="20" l="1"/>
  <c r="F262" i="20"/>
  <c r="G29" i="7"/>
  <c r="F29" i="7"/>
  <c r="L89" i="7" l="1"/>
  <c r="G123" i="7" s="1"/>
  <c r="G298" i="7" s="1"/>
  <c r="K89" i="7"/>
  <c r="F123" i="7" s="1"/>
  <c r="F298" i="7" s="1"/>
  <c r="S177" i="20"/>
  <c r="S243" i="20"/>
  <c r="K320" i="7" l="1"/>
  <c r="H34" i="7"/>
  <c r="H32" i="7"/>
  <c r="H27" i="7"/>
  <c r="H14" i="7"/>
  <c r="H13" i="7"/>
  <c r="H233" i="7" l="1"/>
  <c r="H167" i="7"/>
  <c r="C130" i="20" l="1"/>
  <c r="D130" i="20"/>
  <c r="H88" i="8"/>
  <c r="H87" i="8"/>
  <c r="H54" i="8"/>
  <c r="E130" i="20" l="1"/>
  <c r="F130" i="20" s="1"/>
  <c r="H44" i="9"/>
  <c r="H43" i="9"/>
  <c r="H42" i="9"/>
  <c r="H41" i="9"/>
  <c r="F131" i="20" l="1"/>
  <c r="G41" i="10"/>
  <c r="F31" i="11" l="1"/>
  <c r="E16" i="20"/>
  <c r="G148" i="54" l="1"/>
  <c r="L172" i="54" s="1"/>
  <c r="F148" i="54"/>
  <c r="K172" i="54" s="1"/>
  <c r="E148" i="54"/>
  <c r="H149" i="54"/>
  <c r="H116" i="54"/>
  <c r="H115" i="54"/>
  <c r="H68" i="54" l="1"/>
  <c r="H66" i="54"/>
  <c r="H65" i="54"/>
  <c r="H62" i="54"/>
  <c r="H58" i="54"/>
  <c r="H56" i="54"/>
  <c r="H55" i="54"/>
  <c r="G56" i="52" l="1"/>
  <c r="F548" i="18" l="1"/>
  <c r="IV547" i="18"/>
  <c r="H548" i="18"/>
  <c r="G548" i="18"/>
  <c r="F540" i="18"/>
  <c r="IV539" i="18"/>
  <c r="H540" i="18"/>
  <c r="G540" i="18"/>
  <c r="F532" i="18"/>
  <c r="I531" i="18"/>
  <c r="IV531" i="18" s="1"/>
  <c r="H532" i="18"/>
  <c r="G532" i="18"/>
  <c r="F509" i="18"/>
  <c r="IV508" i="18"/>
  <c r="H506" i="18"/>
  <c r="G506" i="18"/>
  <c r="G509" i="18" s="1"/>
  <c r="F501" i="18"/>
  <c r="I500" i="18"/>
  <c r="IV500" i="18" s="1"/>
  <c r="H501" i="18"/>
  <c r="G501" i="18"/>
  <c r="F493" i="18"/>
  <c r="I492" i="18"/>
  <c r="IV492" i="18" s="1"/>
  <c r="H489" i="18"/>
  <c r="H493" i="18" s="1"/>
  <c r="G493" i="18"/>
  <c r="F484" i="18"/>
  <c r="I483" i="18"/>
  <c r="IV483" i="18" s="1"/>
  <c r="H482" i="18"/>
  <c r="G482" i="18"/>
  <c r="IV481" i="18"/>
  <c r="H477" i="18"/>
  <c r="F471" i="18"/>
  <c r="I470" i="18"/>
  <c r="IV470" i="18" s="1"/>
  <c r="H469" i="18"/>
  <c r="H471" i="18" s="1"/>
  <c r="G469" i="18"/>
  <c r="G471" i="18" s="1"/>
  <c r="I468" i="18"/>
  <c r="IV468" i="18" s="1"/>
  <c r="F460" i="18"/>
  <c r="G460" i="18"/>
  <c r="F449" i="18"/>
  <c r="IV448" i="18"/>
  <c r="H449" i="18"/>
  <c r="G449" i="18"/>
  <c r="F440" i="18"/>
  <c r="I439" i="18"/>
  <c r="H438" i="18"/>
  <c r="H440" i="18" s="1"/>
  <c r="G438" i="18"/>
  <c r="G440" i="18" s="1"/>
  <c r="F432" i="18"/>
  <c r="I431" i="18"/>
  <c r="H432" i="18"/>
  <c r="G432" i="18"/>
  <c r="F423" i="18"/>
  <c r="I422" i="18"/>
  <c r="IV422" i="18" s="1"/>
  <c r="H423" i="18"/>
  <c r="G423" i="18"/>
  <c r="I418" i="18"/>
  <c r="F412" i="18"/>
  <c r="I408" i="18"/>
  <c r="IV408" i="18" s="1"/>
  <c r="H398" i="18"/>
  <c r="G398" i="18"/>
  <c r="F383" i="18"/>
  <c r="I382" i="18"/>
  <c r="I381" i="18"/>
  <c r="I380" i="18"/>
  <c r="I379" i="18"/>
  <c r="I378" i="18"/>
  <c r="H377" i="18"/>
  <c r="G377" i="18"/>
  <c r="G383" i="18" s="1"/>
  <c r="I375" i="18"/>
  <c r="F369" i="18"/>
  <c r="IV368" i="18"/>
  <c r="H369" i="18"/>
  <c r="G369" i="18"/>
  <c r="F360" i="18"/>
  <c r="I359" i="18"/>
  <c r="H360" i="18"/>
  <c r="G360" i="18"/>
  <c r="F351" i="18"/>
  <c r="I348" i="18"/>
  <c r="F290" i="18"/>
  <c r="I287" i="18"/>
  <c r="H286" i="18"/>
  <c r="H290" i="18" s="1"/>
  <c r="G286" i="18"/>
  <c r="G290" i="18" s="1"/>
  <c r="I285" i="18"/>
  <c r="F277" i="18"/>
  <c r="I276" i="18"/>
  <c r="H275" i="18"/>
  <c r="H277" i="18" s="1"/>
  <c r="G275" i="18"/>
  <c r="G277" i="18" s="1"/>
  <c r="I274" i="18"/>
  <c r="I273" i="18"/>
  <c r="I266" i="18"/>
  <c r="F259" i="18"/>
  <c r="I258" i="18"/>
  <c r="I257" i="18"/>
  <c r="I256" i="18"/>
  <c r="I255" i="18"/>
  <c r="I253" i="18"/>
  <c r="I251" i="18"/>
  <c r="I249" i="18"/>
  <c r="H248" i="18"/>
  <c r="H259" i="18" s="1"/>
  <c r="F243" i="18"/>
  <c r="I242" i="18"/>
  <c r="I239" i="18"/>
  <c r="H238" i="18"/>
  <c r="G238" i="18"/>
  <c r="I237" i="18"/>
  <c r="H236" i="18"/>
  <c r="G236" i="18"/>
  <c r="I235" i="18"/>
  <c r="I234" i="18"/>
  <c r="I230" i="18"/>
  <c r="F224" i="18"/>
  <c r="I223" i="18"/>
  <c r="H222" i="18"/>
  <c r="G222" i="18"/>
  <c r="H216" i="18"/>
  <c r="G216" i="18"/>
  <c r="F210" i="18"/>
  <c r="H208" i="18"/>
  <c r="G208" i="18"/>
  <c r="I207" i="18"/>
  <c r="H206" i="18"/>
  <c r="G206" i="18"/>
  <c r="I205" i="18"/>
  <c r="H204" i="18"/>
  <c r="G204" i="18"/>
  <c r="I203" i="18"/>
  <c r="I200" i="18"/>
  <c r="H199" i="18"/>
  <c r="G199" i="18"/>
  <c r="F194" i="18"/>
  <c r="I193" i="18"/>
  <c r="I191" i="18"/>
  <c r="I189" i="18"/>
  <c r="I188" i="18"/>
  <c r="I185" i="18"/>
  <c r="I184" i="18"/>
  <c r="H183" i="18"/>
  <c r="I182" i="18"/>
  <c r="H181" i="18"/>
  <c r="G181" i="18"/>
  <c r="G194" i="18" s="1"/>
  <c r="F176" i="18"/>
  <c r="I175" i="18"/>
  <c r="I173" i="18"/>
  <c r="H172" i="18"/>
  <c r="G172" i="18"/>
  <c r="I171" i="18"/>
  <c r="I170" i="18"/>
  <c r="H169" i="18"/>
  <c r="G169" i="18"/>
  <c r="I167" i="18"/>
  <c r="I163" i="18"/>
  <c r="I162" i="18"/>
  <c r="H161" i="18"/>
  <c r="G161" i="18"/>
  <c r="F156" i="18"/>
  <c r="I155" i="18"/>
  <c r="I154" i="18"/>
  <c r="I152" i="18"/>
  <c r="I150" i="18"/>
  <c r="I149" i="18"/>
  <c r="F141" i="18"/>
  <c r="I140" i="18"/>
  <c r="I139" i="18"/>
  <c r="I138" i="18"/>
  <c r="I137" i="18"/>
  <c r="G141" i="18"/>
  <c r="I116" i="18"/>
  <c r="H115" i="18"/>
  <c r="G115" i="18"/>
  <c r="I114" i="18"/>
  <c r="I113" i="18"/>
  <c r="I112" i="18"/>
  <c r="H111" i="18"/>
  <c r="G111" i="18"/>
  <c r="I110" i="18"/>
  <c r="I109" i="18"/>
  <c r="I106" i="18"/>
  <c r="I105" i="18"/>
  <c r="F96" i="18"/>
  <c r="I95" i="18"/>
  <c r="I94" i="18"/>
  <c r="I92" i="18"/>
  <c r="H96" i="18"/>
  <c r="F84" i="18"/>
  <c r="I83" i="18"/>
  <c r="I82" i="18"/>
  <c r="H84" i="18"/>
  <c r="G84" i="18"/>
  <c r="F75" i="18"/>
  <c r="I74" i="18"/>
  <c r="I73" i="18"/>
  <c r="I71" i="18"/>
  <c r="H75" i="18"/>
  <c r="I58" i="18"/>
  <c r="I57" i="18"/>
  <c r="I56" i="18"/>
  <c r="H59" i="18"/>
  <c r="G59" i="18"/>
  <c r="F48" i="18"/>
  <c r="I47" i="18"/>
  <c r="H46" i="18"/>
  <c r="H48" i="18" s="1"/>
  <c r="G46" i="18"/>
  <c r="G48" i="18" s="1"/>
  <c r="I45" i="18"/>
  <c r="I44" i="18"/>
  <c r="I35" i="18"/>
  <c r="H34" i="18"/>
  <c r="G34" i="18"/>
  <c r="I33" i="18"/>
  <c r="I32" i="18"/>
  <c r="H36" i="18"/>
  <c r="F24" i="18"/>
  <c r="I23" i="18"/>
  <c r="H22" i="18"/>
  <c r="G22" i="18"/>
  <c r="I21" i="18"/>
  <c r="I20" i="18"/>
  <c r="H19" i="18"/>
  <c r="H24" i="18" s="1"/>
  <c r="G19" i="18"/>
  <c r="G24" i="18" s="1"/>
  <c r="F13" i="18"/>
  <c r="I12" i="18"/>
  <c r="H13" i="18"/>
  <c r="G13" i="18"/>
  <c r="T2372" i="17"/>
  <c r="I2358" i="17"/>
  <c r="I2357" i="17"/>
  <c r="I2350" i="17"/>
  <c r="I2349" i="17"/>
  <c r="I2348" i="17"/>
  <c r="I2347" i="17"/>
  <c r="I2346" i="17"/>
  <c r="I2342" i="17"/>
  <c r="I2341" i="17"/>
  <c r="I2340" i="17"/>
  <c r="H2351" i="17"/>
  <c r="S2351" i="17"/>
  <c r="F2339" i="17"/>
  <c r="F2351" i="17" s="1"/>
  <c r="R2351" i="17" s="1"/>
  <c r="I2327" i="17"/>
  <c r="I2324" i="17"/>
  <c r="I2322" i="17"/>
  <c r="I2321" i="17"/>
  <c r="F2328" i="17"/>
  <c r="R2328" i="17" s="1"/>
  <c r="H2315" i="17"/>
  <c r="T2315" i="17" s="1"/>
  <c r="G2315" i="17"/>
  <c r="S2315" i="17" s="1"/>
  <c r="F2315" i="17"/>
  <c r="R2315" i="17" s="1"/>
  <c r="I2314" i="17"/>
  <c r="I2311" i="17"/>
  <c r="I2310" i="17"/>
  <c r="I2302" i="17"/>
  <c r="I2299" i="17"/>
  <c r="I2298" i="17"/>
  <c r="I2297" i="17"/>
  <c r="H2296" i="17"/>
  <c r="H2303" i="17" s="1"/>
  <c r="G2296" i="17"/>
  <c r="G2303" i="17" s="1"/>
  <c r="S2303" i="17" s="1"/>
  <c r="F2296" i="17"/>
  <c r="F2303" i="17" s="1"/>
  <c r="R2303" i="17" s="1"/>
  <c r="I2290" i="17"/>
  <c r="I2287" i="17"/>
  <c r="I2286" i="17"/>
  <c r="I2285" i="17"/>
  <c r="H2291" i="17"/>
  <c r="G2291" i="17"/>
  <c r="F2284" i="17"/>
  <c r="F2291" i="17" s="1"/>
  <c r="R2291" i="17" s="1"/>
  <c r="I2274" i="17"/>
  <c r="I2271" i="17"/>
  <c r="I2270" i="17"/>
  <c r="I2269" i="17"/>
  <c r="H2268" i="17"/>
  <c r="G2268" i="17"/>
  <c r="F2268" i="17"/>
  <c r="F2278" i="17" s="1"/>
  <c r="R2278" i="17" s="1"/>
  <c r="I2259" i="17"/>
  <c r="I2256" i="17"/>
  <c r="I2255" i="17"/>
  <c r="I2254" i="17"/>
  <c r="H2253" i="17"/>
  <c r="H2260" i="17" s="1"/>
  <c r="T2260" i="17" s="1"/>
  <c r="G2253" i="17"/>
  <c r="G2260" i="17" s="1"/>
  <c r="S2260" i="17" s="1"/>
  <c r="F2253" i="17"/>
  <c r="F2260" i="17" s="1"/>
  <c r="R2260" i="17" s="1"/>
  <c r="I2243" i="17"/>
  <c r="I2242" i="17"/>
  <c r="I2241" i="17"/>
  <c r="H2247" i="17"/>
  <c r="G2247" i="17"/>
  <c r="S2247" i="17" s="1"/>
  <c r="F2247" i="17"/>
  <c r="R2247" i="17" s="1"/>
  <c r="I2233" i="17"/>
  <c r="I2230" i="17"/>
  <c r="I2229" i="17"/>
  <c r="I2228" i="17"/>
  <c r="H2227" i="17"/>
  <c r="H2234" i="17" s="1"/>
  <c r="G2227" i="17"/>
  <c r="G2234" i="17" s="1"/>
  <c r="S2234" i="17" s="1"/>
  <c r="F2227" i="17"/>
  <c r="F2234" i="17" s="1"/>
  <c r="R2234" i="17" s="1"/>
  <c r="I2218" i="17"/>
  <c r="I2215" i="17"/>
  <c r="S2221" i="17"/>
  <c r="R2221" i="17"/>
  <c r="I2212" i="17"/>
  <c r="I2205" i="17"/>
  <c r="I2202" i="17"/>
  <c r="I2201" i="17"/>
  <c r="I2200" i="17"/>
  <c r="H2199" i="17"/>
  <c r="H2206" i="17" s="1"/>
  <c r="G2199" i="17"/>
  <c r="G2206" i="17" s="1"/>
  <c r="S2206" i="17" s="1"/>
  <c r="F2199" i="17"/>
  <c r="F2206" i="17" s="1"/>
  <c r="R2206" i="17" s="1"/>
  <c r="I2191" i="17"/>
  <c r="I2186" i="17"/>
  <c r="I2185" i="17"/>
  <c r="I2184" i="17"/>
  <c r="I2183" i="17"/>
  <c r="F2194" i="17"/>
  <c r="R2194" i="17" s="1"/>
  <c r="I2176" i="17"/>
  <c r="I2173" i="17"/>
  <c r="I2172" i="17"/>
  <c r="I2171" i="17"/>
  <c r="H2170" i="17"/>
  <c r="H2177" i="17" s="1"/>
  <c r="S2177" i="17"/>
  <c r="F2170" i="17"/>
  <c r="I2164" i="17"/>
  <c r="I2161" i="17"/>
  <c r="I2160" i="17"/>
  <c r="H2158" i="17"/>
  <c r="H2165" i="17" s="1"/>
  <c r="G2158" i="17"/>
  <c r="G2165" i="17" s="1"/>
  <c r="F2158" i="17"/>
  <c r="F2165" i="17" s="1"/>
  <c r="R2165" i="17" s="1"/>
  <c r="I2146" i="17"/>
  <c r="I2144" i="17"/>
  <c r="I2143" i="17"/>
  <c r="I2142" i="17"/>
  <c r="S2153" i="17"/>
  <c r="R2153" i="17"/>
  <c r="I2135" i="17"/>
  <c r="I2132" i="17"/>
  <c r="I2131" i="17"/>
  <c r="I2130" i="17"/>
  <c r="H2129" i="17"/>
  <c r="H2136" i="17" s="1"/>
  <c r="G2129" i="17"/>
  <c r="G2136" i="17" s="1"/>
  <c r="F2129" i="17"/>
  <c r="F2136" i="17" s="1"/>
  <c r="R2136" i="17" s="1"/>
  <c r="I2120" i="17"/>
  <c r="I2117" i="17"/>
  <c r="I2116" i="17"/>
  <c r="I2115" i="17"/>
  <c r="H2114" i="17"/>
  <c r="H2121" i="17" s="1"/>
  <c r="T2121" i="17" s="1"/>
  <c r="G2114" i="17"/>
  <c r="F2114" i="17"/>
  <c r="F2121" i="17" s="1"/>
  <c r="R2121" i="17" s="1"/>
  <c r="I2105" i="17"/>
  <c r="I2102" i="17"/>
  <c r="I2101" i="17"/>
  <c r="I2100" i="17"/>
  <c r="H2099" i="17"/>
  <c r="H2108" i="17" s="1"/>
  <c r="G2099" i="17"/>
  <c r="F2099" i="17"/>
  <c r="F2108" i="17" s="1"/>
  <c r="R2108" i="17" s="1"/>
  <c r="I2092" i="17"/>
  <c r="I2089" i="17"/>
  <c r="I2088" i="17"/>
  <c r="I2087" i="17"/>
  <c r="H2093" i="17"/>
  <c r="G2093" i="17"/>
  <c r="S2093" i="17" s="1"/>
  <c r="F2093" i="17"/>
  <c r="R2093" i="17" s="1"/>
  <c r="H2080" i="17"/>
  <c r="T2080" i="17" s="1"/>
  <c r="G2080" i="17"/>
  <c r="S2080" i="17" s="1"/>
  <c r="I2079" i="17"/>
  <c r="I2075" i="17"/>
  <c r="I2074" i="17"/>
  <c r="F2080" i="17"/>
  <c r="R2080" i="17" s="1"/>
  <c r="I2066" i="17"/>
  <c r="I2063" i="17"/>
  <c r="I2062" i="17"/>
  <c r="I2061" i="17"/>
  <c r="H2060" i="17"/>
  <c r="H2069" i="17" s="1"/>
  <c r="G2060" i="17"/>
  <c r="F2060" i="17"/>
  <c r="F2069" i="17" s="1"/>
  <c r="R2069" i="17" s="1"/>
  <c r="I2050" i="17"/>
  <c r="I2047" i="17"/>
  <c r="I2046" i="17"/>
  <c r="I2045" i="17"/>
  <c r="H2044" i="17"/>
  <c r="H2053" i="17" s="1"/>
  <c r="G2044" i="17"/>
  <c r="G2053" i="17" s="1"/>
  <c r="F2044" i="17"/>
  <c r="F2053" i="17" s="1"/>
  <c r="R2053" i="17" s="1"/>
  <c r="H2038" i="17"/>
  <c r="T2038" i="17" s="1"/>
  <c r="G2038" i="17"/>
  <c r="S2038" i="17" s="1"/>
  <c r="I2032" i="17"/>
  <c r="F2038" i="17"/>
  <c r="R2038" i="17" s="1"/>
  <c r="I2025" i="17"/>
  <c r="I2020" i="17"/>
  <c r="I2019" i="17"/>
  <c r="T2026" i="17"/>
  <c r="F2026" i="17"/>
  <c r="R2026" i="17" s="1"/>
  <c r="T2012" i="17"/>
  <c r="S2012" i="17"/>
  <c r="I2009" i="17"/>
  <c r="I2006" i="17"/>
  <c r="I2005" i="17"/>
  <c r="I2004" i="17"/>
  <c r="F2012" i="17"/>
  <c r="R2012" i="17" s="1"/>
  <c r="I1998" i="17"/>
  <c r="I1995" i="17"/>
  <c r="I1994" i="17"/>
  <c r="H1992" i="17"/>
  <c r="H1999" i="17" s="1"/>
  <c r="G1992" i="17"/>
  <c r="G1999" i="17" s="1"/>
  <c r="S1999" i="17" s="1"/>
  <c r="F1999" i="17"/>
  <c r="R1999" i="17" s="1"/>
  <c r="I1981" i="17"/>
  <c r="I1978" i="17"/>
  <c r="I1977" i="17"/>
  <c r="I1976" i="17"/>
  <c r="H1975" i="17"/>
  <c r="H1982" i="17" s="1"/>
  <c r="G1975" i="17"/>
  <c r="G1982" i="17" s="1"/>
  <c r="F1975" i="17"/>
  <c r="F1982" i="17" s="1"/>
  <c r="R1982" i="17" s="1"/>
  <c r="H1970" i="17"/>
  <c r="T1970" i="17" s="1"/>
  <c r="G1970" i="17"/>
  <c r="S1970" i="17" s="1"/>
  <c r="I1969" i="17"/>
  <c r="I1966" i="17"/>
  <c r="I1965" i="17"/>
  <c r="I1964" i="17"/>
  <c r="F1970" i="17"/>
  <c r="R1970" i="17" s="1"/>
  <c r="I1957" i="17"/>
  <c r="I1954" i="17"/>
  <c r="I1953" i="17"/>
  <c r="H1958" i="17"/>
  <c r="G1958" i="17"/>
  <c r="S1958" i="17" s="1"/>
  <c r="F1958" i="17"/>
  <c r="R1958" i="17" s="1"/>
  <c r="I1942" i="17"/>
  <c r="I1938" i="17"/>
  <c r="I1937" i="17"/>
  <c r="S1946" i="17"/>
  <c r="F1946" i="17"/>
  <c r="R1946" i="17" s="1"/>
  <c r="I1929" i="17"/>
  <c r="I1926" i="17"/>
  <c r="I1925" i="17"/>
  <c r="H1930" i="17"/>
  <c r="T1930" i="17" s="1"/>
  <c r="F1930" i="17"/>
  <c r="R1930" i="17" s="1"/>
  <c r="I1918" i="17"/>
  <c r="I1917" i="17"/>
  <c r="I1916" i="17"/>
  <c r="I1915" i="17"/>
  <c r="I1899" i="17"/>
  <c r="I1892" i="17"/>
  <c r="I1891" i="17"/>
  <c r="I1890" i="17"/>
  <c r="I1889" i="17"/>
  <c r="I1888" i="17"/>
  <c r="I1887" i="17"/>
  <c r="R1893" i="17"/>
  <c r="I1886" i="17"/>
  <c r="I1880" i="17"/>
  <c r="I1879" i="17"/>
  <c r="I1878" i="17"/>
  <c r="I1870" i="17"/>
  <c r="I1869" i="17"/>
  <c r="I1868" i="17"/>
  <c r="I1867" i="17"/>
  <c r="I1856" i="17"/>
  <c r="I1855" i="17"/>
  <c r="I1854" i="17"/>
  <c r="I1853" i="17"/>
  <c r="I1852" i="17"/>
  <c r="I1825" i="17"/>
  <c r="I1821" i="17"/>
  <c r="I1820" i="17"/>
  <c r="F1830" i="17"/>
  <c r="R1830" i="17" s="1"/>
  <c r="I1812" i="17"/>
  <c r="I1811" i="17"/>
  <c r="I1810" i="17"/>
  <c r="I1809" i="17"/>
  <c r="I1808" i="17"/>
  <c r="I1807" i="17"/>
  <c r="I1806" i="17"/>
  <c r="I1802" i="17"/>
  <c r="I1801" i="17"/>
  <c r="I1793" i="17"/>
  <c r="I1792" i="17"/>
  <c r="I1782" i="17"/>
  <c r="I1781" i="17"/>
  <c r="I1780" i="17"/>
  <c r="I1772" i="17"/>
  <c r="I1771" i="17"/>
  <c r="I1763" i="17"/>
  <c r="R1773" i="17"/>
  <c r="I1761" i="17"/>
  <c r="I1760" i="17"/>
  <c r="I1750" i="17"/>
  <c r="I1749" i="17"/>
  <c r="I1748" i="17"/>
  <c r="I1747" i="17"/>
  <c r="I1746" i="17"/>
  <c r="I1745" i="17"/>
  <c r="I1735" i="17"/>
  <c r="I1733" i="17"/>
  <c r="I1732" i="17"/>
  <c r="I1725" i="17"/>
  <c r="I1724" i="17"/>
  <c r="I1723" i="17"/>
  <c r="I1722" i="17"/>
  <c r="I1711" i="17"/>
  <c r="I1710" i="17"/>
  <c r="I1708" i="17"/>
  <c r="I1705" i="17"/>
  <c r="I1699" i="17"/>
  <c r="I1698" i="17"/>
  <c r="I1697" i="17"/>
  <c r="I1696" i="17"/>
  <c r="I1685" i="17"/>
  <c r="I1683" i="17"/>
  <c r="I1682" i="17"/>
  <c r="I1676" i="17"/>
  <c r="I1675" i="17"/>
  <c r="I1663" i="17"/>
  <c r="K1677" i="17"/>
  <c r="R1677" i="17"/>
  <c r="I1661" i="17"/>
  <c r="I1660" i="17"/>
  <c r="I1654" i="17"/>
  <c r="I1653" i="17"/>
  <c r="I1652" i="17"/>
  <c r="I1651" i="17"/>
  <c r="I1637" i="17"/>
  <c r="I1636" i="17"/>
  <c r="I1635" i="17"/>
  <c r="I1633" i="17"/>
  <c r="I1632" i="17"/>
  <c r="I1605" i="17"/>
  <c r="I1604" i="17"/>
  <c r="I1603" i="17"/>
  <c r="I1602" i="17"/>
  <c r="I1601" i="17"/>
  <c r="I1600" i="17"/>
  <c r="I1589" i="17"/>
  <c r="I1588" i="17"/>
  <c r="I1587" i="17"/>
  <c r="I1582" i="17"/>
  <c r="R1606" i="17"/>
  <c r="I1574" i="17"/>
  <c r="I1573" i="17"/>
  <c r="I1570" i="17"/>
  <c r="I1564" i="17"/>
  <c r="I1563" i="17"/>
  <c r="I1562" i="17"/>
  <c r="F1561" i="17"/>
  <c r="F1575" i="17" s="1"/>
  <c r="I1560" i="17"/>
  <c r="I1559" i="17"/>
  <c r="I1551" i="17"/>
  <c r="I1550" i="17"/>
  <c r="I1549" i="17"/>
  <c r="I1540" i="17"/>
  <c r="I1538" i="17"/>
  <c r="I1537" i="17"/>
  <c r="I1530" i="17"/>
  <c r="I1528" i="17"/>
  <c r="I1527" i="17"/>
  <c r="I1516" i="17"/>
  <c r="I1505" i="17"/>
  <c r="I1504" i="17"/>
  <c r="I1503" i="17"/>
  <c r="I1502" i="17"/>
  <c r="I1491" i="17"/>
  <c r="I1490" i="17"/>
  <c r="I1489" i="17"/>
  <c r="I1487" i="17"/>
  <c r="I1485" i="17"/>
  <c r="I1484" i="17"/>
  <c r="I1473" i="17"/>
  <c r="I1472" i="17"/>
  <c r="I1471" i="17"/>
  <c r="I1470" i="17"/>
  <c r="I1462" i="17"/>
  <c r="I1458" i="17"/>
  <c r="I1457" i="17"/>
  <c r="I1455" i="17"/>
  <c r="O1433" i="17"/>
  <c r="N1433" i="17"/>
  <c r="M1433" i="17"/>
  <c r="L1433" i="17"/>
  <c r="K1433" i="17"/>
  <c r="J1433" i="17"/>
  <c r="I1431" i="17"/>
  <c r="I1425" i="17"/>
  <c r="I1424" i="17"/>
  <c r="I1423" i="17"/>
  <c r="I1422" i="17"/>
  <c r="I1419" i="17"/>
  <c r="I1415" i="17"/>
  <c r="I1414" i="17"/>
  <c r="I1396" i="17"/>
  <c r="R1407" i="17"/>
  <c r="I1386" i="17"/>
  <c r="I1381" i="17"/>
  <c r="I1380" i="17"/>
  <c r="F1389" i="17"/>
  <c r="R1389" i="17" s="1"/>
  <c r="I1370" i="17"/>
  <c r="I1369" i="17"/>
  <c r="I1368" i="17"/>
  <c r="I1367" i="17"/>
  <c r="I1366" i="17"/>
  <c r="I1365" i="17"/>
  <c r="I1362" i="17"/>
  <c r="I1357" i="17"/>
  <c r="I1356" i="17"/>
  <c r="I1348" i="17"/>
  <c r="I1343" i="17"/>
  <c r="I1342" i="17"/>
  <c r="F1349" i="17"/>
  <c r="R1349" i="17" s="1"/>
  <c r="I1335" i="17"/>
  <c r="I1334" i="17"/>
  <c r="I1333" i="17"/>
  <c r="I1332" i="17"/>
  <c r="I1329" i="17"/>
  <c r="I1324" i="17"/>
  <c r="I1322" i="17"/>
  <c r="I1311" i="17"/>
  <c r="I1305" i="17"/>
  <c r="I1304" i="17"/>
  <c r="R1316" i="17"/>
  <c r="H1298" i="17"/>
  <c r="I1289" i="17"/>
  <c r="I1288" i="17"/>
  <c r="F1287" i="17"/>
  <c r="F1298" i="17" s="1"/>
  <c r="R1298" i="17" s="1"/>
  <c r="I1281" i="17"/>
  <c r="I1280" i="17"/>
  <c r="I1274" i="17"/>
  <c r="I1273" i="17"/>
  <c r="R1282" i="17"/>
  <c r="I1267" i="17"/>
  <c r="I1266" i="17"/>
  <c r="I1265" i="17"/>
  <c r="I1264" i="17"/>
  <c r="I1263" i="17"/>
  <c r="I1262" i="17"/>
  <c r="I1256" i="17"/>
  <c r="I1255" i="17"/>
  <c r="I1253" i="17"/>
  <c r="I1252" i="17"/>
  <c r="I1250" i="17"/>
  <c r="I1248" i="17"/>
  <c r="I1247" i="17"/>
  <c r="I1240" i="17"/>
  <c r="I1229" i="17"/>
  <c r="I1227" i="17"/>
  <c r="I1226" i="17"/>
  <c r="I1216" i="17"/>
  <c r="I1215" i="17"/>
  <c r="I1214" i="17"/>
  <c r="I1213" i="17"/>
  <c r="I1210" i="17"/>
  <c r="I1205" i="17"/>
  <c r="I1203" i="17"/>
  <c r="I1190" i="17"/>
  <c r="I1185" i="17"/>
  <c r="I1184" i="17"/>
  <c r="F1195" i="17"/>
  <c r="R1195" i="17" s="1"/>
  <c r="I1176" i="17"/>
  <c r="I1175" i="17"/>
  <c r="I1174" i="17"/>
  <c r="I1173" i="17"/>
  <c r="I1172" i="17"/>
  <c r="I1171" i="17"/>
  <c r="I1170" i="17"/>
  <c r="I1169" i="17"/>
  <c r="I1160" i="17"/>
  <c r="I1158" i="17"/>
  <c r="I1157" i="17"/>
  <c r="I1150" i="17"/>
  <c r="I1148" i="17"/>
  <c r="I1147" i="17"/>
  <c r="I1146" i="17"/>
  <c r="I1145" i="17"/>
  <c r="I1142" i="17"/>
  <c r="I1132" i="17"/>
  <c r="I1130" i="17"/>
  <c r="R1151" i="17"/>
  <c r="I1095" i="17"/>
  <c r="I1094" i="17"/>
  <c r="I1093" i="17"/>
  <c r="I1092" i="17"/>
  <c r="I1084" i="17"/>
  <c r="I1083" i="17"/>
  <c r="I1082" i="17"/>
  <c r="I1074" i="17"/>
  <c r="I1073" i="17"/>
  <c r="I1061" i="17"/>
  <c r="I1056" i="17"/>
  <c r="I1055" i="17"/>
  <c r="I1043" i="17"/>
  <c r="I1042" i="17"/>
  <c r="I1036" i="17"/>
  <c r="I1035" i="17"/>
  <c r="I1033" i="17"/>
  <c r="I1022" i="17"/>
  <c r="I1021" i="17"/>
  <c r="I1008" i="17"/>
  <c r="R1023" i="17"/>
  <c r="I1004" i="17"/>
  <c r="I1003" i="17"/>
  <c r="I997" i="17"/>
  <c r="I995" i="17"/>
  <c r="H998" i="17"/>
  <c r="G998" i="17"/>
  <c r="I988" i="17"/>
  <c r="I987" i="17"/>
  <c r="I977" i="17"/>
  <c r="I973" i="17"/>
  <c r="I966" i="17"/>
  <c r="I965" i="17"/>
  <c r="R978" i="17"/>
  <c r="I955" i="17"/>
  <c r="I954" i="17"/>
  <c r="I942" i="17"/>
  <c r="I941" i="17"/>
  <c r="I940" i="17"/>
  <c r="I933" i="17"/>
  <c r="I932" i="17"/>
  <c r="I931" i="17"/>
  <c r="I930" i="17"/>
  <c r="I919" i="17"/>
  <c r="I918" i="17"/>
  <c r="I917" i="17"/>
  <c r="I916" i="17"/>
  <c r="I915" i="17"/>
  <c r="I914" i="17"/>
  <c r="I913" i="17"/>
  <c r="I897" i="17"/>
  <c r="I892" i="17"/>
  <c r="I891" i="17"/>
  <c r="I890" i="17"/>
  <c r="I882" i="17"/>
  <c r="I881" i="17"/>
  <c r="I880" i="17"/>
  <c r="I879" i="17"/>
  <c r="I876" i="17"/>
  <c r="I870" i="17"/>
  <c r="I869" i="17"/>
  <c r="H868" i="17"/>
  <c r="H883" i="17" s="1"/>
  <c r="G868" i="17"/>
  <c r="G883" i="17" s="1"/>
  <c r="F868" i="17"/>
  <c r="F883" i="17" s="1"/>
  <c r="I859" i="17"/>
  <c r="I858" i="17"/>
  <c r="I857" i="17"/>
  <c r="I851" i="17"/>
  <c r="I850" i="17"/>
  <c r="I849" i="17"/>
  <c r="H848" i="17"/>
  <c r="H862" i="17" s="1"/>
  <c r="G848" i="17"/>
  <c r="G862" i="17" s="1"/>
  <c r="F848" i="17"/>
  <c r="F862" i="17" s="1"/>
  <c r="I847" i="17"/>
  <c r="I846" i="17"/>
  <c r="I845" i="17"/>
  <c r="I844" i="17"/>
  <c r="I843" i="17"/>
  <c r="I825" i="17"/>
  <c r="I824" i="17"/>
  <c r="I823" i="17"/>
  <c r="I822" i="17"/>
  <c r="I817" i="17"/>
  <c r="I816" i="17"/>
  <c r="I814" i="17"/>
  <c r="I811" i="17"/>
  <c r="I808" i="17"/>
  <c r="I798" i="17"/>
  <c r="I792" i="17"/>
  <c r="I791" i="17"/>
  <c r="F801" i="17"/>
  <c r="R801" i="17" s="1"/>
  <c r="I783" i="17"/>
  <c r="I781" i="17"/>
  <c r="I780" i="17"/>
  <c r="I777" i="17"/>
  <c r="I771" i="17"/>
  <c r="I770" i="17"/>
  <c r="I756" i="17"/>
  <c r="I754" i="17"/>
  <c r="I753" i="17"/>
  <c r="I750" i="17"/>
  <c r="H757" i="17"/>
  <c r="I745" i="17"/>
  <c r="I744" i="17"/>
  <c r="F757" i="17"/>
  <c r="R757" i="17" s="1"/>
  <c r="I735" i="17"/>
  <c r="I734" i="17"/>
  <c r="I733" i="17"/>
  <c r="I727" i="17"/>
  <c r="F726" i="17"/>
  <c r="F738" i="17" s="1"/>
  <c r="I719" i="17"/>
  <c r="I718" i="17"/>
  <c r="I717" i="17"/>
  <c r="I716" i="17"/>
  <c r="H715" i="17"/>
  <c r="H720" i="17" s="1"/>
  <c r="G715" i="17"/>
  <c r="G720" i="17" s="1"/>
  <c r="I712" i="17"/>
  <c r="I707" i="17"/>
  <c r="I706" i="17"/>
  <c r="M700" i="17"/>
  <c r="L700" i="17"/>
  <c r="K700" i="17"/>
  <c r="I691" i="17"/>
  <c r="I690" i="17"/>
  <c r="F689" i="17"/>
  <c r="F700" i="17" s="1"/>
  <c r="I681" i="17"/>
  <c r="I676" i="17"/>
  <c r="I675" i="17"/>
  <c r="I668" i="17"/>
  <c r="I666" i="17"/>
  <c r="I665" i="17"/>
  <c r="I664" i="17"/>
  <c r="I658" i="17"/>
  <c r="I657" i="17"/>
  <c r="I646" i="17"/>
  <c r="I645" i="17"/>
  <c r="I642" i="17"/>
  <c r="I637" i="17"/>
  <c r="I636" i="17"/>
  <c r="F635" i="17"/>
  <c r="F651" i="17" s="1"/>
  <c r="R651" i="17" s="1"/>
  <c r="I629" i="17"/>
  <c r="I624" i="17"/>
  <c r="I623" i="17"/>
  <c r="I614" i="17"/>
  <c r="I609" i="17"/>
  <c r="I608" i="17"/>
  <c r="F617" i="17"/>
  <c r="R617" i="17" s="1"/>
  <c r="I601" i="17"/>
  <c r="I600" i="17"/>
  <c r="I596" i="17"/>
  <c r="I590" i="17"/>
  <c r="I589" i="17"/>
  <c r="F602" i="17"/>
  <c r="R602" i="17" s="1"/>
  <c r="I579" i="17"/>
  <c r="I577" i="17"/>
  <c r="I576" i="17"/>
  <c r="I575" i="17"/>
  <c r="I569" i="17"/>
  <c r="I568" i="17"/>
  <c r="I561" i="17"/>
  <c r="I558" i="17"/>
  <c r="I557" i="17"/>
  <c r="I554" i="17"/>
  <c r="I544" i="17"/>
  <c r="I543" i="17"/>
  <c r="H542" i="17"/>
  <c r="H562" i="17" s="1"/>
  <c r="G542" i="17"/>
  <c r="G562" i="17" s="1"/>
  <c r="F542" i="17"/>
  <c r="I534" i="17"/>
  <c r="I529" i="17"/>
  <c r="I527" i="17"/>
  <c r="H526" i="17"/>
  <c r="H537" i="17" s="1"/>
  <c r="I520" i="17"/>
  <c r="I518" i="17"/>
  <c r="I517" i="17"/>
  <c r="I507" i="17"/>
  <c r="I506" i="17"/>
  <c r="F521" i="17"/>
  <c r="R521" i="17" s="1"/>
  <c r="I499" i="17"/>
  <c r="I498" i="17"/>
  <c r="I497" i="17"/>
  <c r="I496" i="17"/>
  <c r="I488" i="17"/>
  <c r="I485" i="17"/>
  <c r="I484" i="17"/>
  <c r="I483" i="17"/>
  <c r="I482" i="17"/>
  <c r="I480" i="17"/>
  <c r="I479" i="17"/>
  <c r="H478" i="17"/>
  <c r="H500" i="17" s="1"/>
  <c r="G478" i="17"/>
  <c r="G500" i="17" s="1"/>
  <c r="F478" i="17"/>
  <c r="F500" i="17" s="1"/>
  <c r="I470" i="17"/>
  <c r="I469" i="17"/>
  <c r="I468" i="17"/>
  <c r="I467" i="17"/>
  <c r="I466" i="17"/>
  <c r="I465" i="17"/>
  <c r="I464" i="17"/>
  <c r="I463" i="17"/>
  <c r="I462" i="17"/>
  <c r="I460" i="17"/>
  <c r="I456" i="17"/>
  <c r="I455" i="17"/>
  <c r="H454" i="17"/>
  <c r="H471" i="17" s="1"/>
  <c r="F454" i="17"/>
  <c r="F471" i="17" s="1"/>
  <c r="I453" i="17"/>
  <c r="I452" i="17"/>
  <c r="I445" i="17"/>
  <c r="I444" i="17"/>
  <c r="I443" i="17"/>
  <c r="I442" i="17"/>
  <c r="I439" i="17"/>
  <c r="I438" i="17"/>
  <c r="I426" i="17"/>
  <c r="I425" i="17"/>
  <c r="R446" i="17"/>
  <c r="I406" i="17"/>
  <c r="I405" i="17"/>
  <c r="I402" i="17"/>
  <c r="I397" i="17"/>
  <c r="R409" i="17"/>
  <c r="I394" i="17"/>
  <c r="I393" i="17"/>
  <c r="I387" i="17"/>
  <c r="I386" i="17"/>
  <c r="I385" i="17"/>
  <c r="I384" i="17"/>
  <c r="I381" i="17"/>
  <c r="I377" i="17"/>
  <c r="I376" i="17"/>
  <c r="I375" i="17"/>
  <c r="H374" i="17"/>
  <c r="H388" i="17" s="1"/>
  <c r="S388" i="17"/>
  <c r="F374" i="17"/>
  <c r="I373" i="17"/>
  <c r="I372" i="17"/>
  <c r="M367" i="17"/>
  <c r="L367" i="17"/>
  <c r="K367" i="17"/>
  <c r="I366" i="17"/>
  <c r="I365" i="17"/>
  <c r="I362" i="17"/>
  <c r="I357" i="17"/>
  <c r="F367" i="17"/>
  <c r="R367" i="17" s="1"/>
  <c r="S345" i="17"/>
  <c r="I344" i="17"/>
  <c r="I343" i="17"/>
  <c r="I335" i="17"/>
  <c r="I334" i="17"/>
  <c r="I327" i="17"/>
  <c r="I326" i="17"/>
  <c r="I325" i="17"/>
  <c r="I324" i="17"/>
  <c r="I321" i="17"/>
  <c r="I318" i="17"/>
  <c r="I317" i="17"/>
  <c r="I316" i="17"/>
  <c r="H315" i="17"/>
  <c r="H328" i="17" s="1"/>
  <c r="G315" i="17"/>
  <c r="F315" i="17"/>
  <c r="I308" i="17"/>
  <c r="I307" i="17"/>
  <c r="I305" i="17"/>
  <c r="I304" i="17"/>
  <c r="I300" i="17"/>
  <c r="I299" i="17"/>
  <c r="H298" i="17"/>
  <c r="H309" i="17" s="1"/>
  <c r="G298" i="17"/>
  <c r="G309" i="17" s="1"/>
  <c r="F298" i="17"/>
  <c r="F309" i="17" s="1"/>
  <c r="R309" i="17" s="1"/>
  <c r="T292" i="17"/>
  <c r="S292" i="17"/>
  <c r="I291" i="17"/>
  <c r="I288" i="17"/>
  <c r="I287" i="17"/>
  <c r="I286" i="17"/>
  <c r="I285" i="17"/>
  <c r="I284" i="17"/>
  <c r="R292" i="17"/>
  <c r="I274" i="17"/>
  <c r="I270" i="17"/>
  <c r="H268" i="17"/>
  <c r="H277" i="17" s="1"/>
  <c r="G268" i="17"/>
  <c r="G277" i="17" s="1"/>
  <c r="F268" i="17"/>
  <c r="F277" i="17" s="1"/>
  <c r="I267" i="17"/>
  <c r="I266" i="17"/>
  <c r="I260" i="17"/>
  <c r="I259" i="17"/>
  <c r="I258" i="17"/>
  <c r="I257" i="17"/>
  <c r="I256" i="17"/>
  <c r="I255" i="17"/>
  <c r="I252" i="17"/>
  <c r="I247" i="17"/>
  <c r="I246" i="17"/>
  <c r="H245" i="17"/>
  <c r="H261" i="17" s="1"/>
  <c r="G245" i="17"/>
  <c r="G261" i="17" s="1"/>
  <c r="F245" i="17"/>
  <c r="F261" i="17" s="1"/>
  <c r="I244" i="17"/>
  <c r="I243" i="17"/>
  <c r="S238" i="17"/>
  <c r="I233" i="17"/>
  <c r="I232" i="17"/>
  <c r="I231" i="17"/>
  <c r="I230" i="17"/>
  <c r="R238" i="17"/>
  <c r="T225" i="17"/>
  <c r="S225" i="17"/>
  <c r="I216" i="17"/>
  <c r="I215" i="17"/>
  <c r="R225" i="17"/>
  <c r="I205" i="17"/>
  <c r="I201" i="17"/>
  <c r="I199" i="17"/>
  <c r="J199" i="17" s="1"/>
  <c r="K199" i="17" s="1"/>
  <c r="L199" i="17" s="1"/>
  <c r="M199" i="17" s="1"/>
  <c r="N199" i="17" s="1"/>
  <c r="O199" i="17" s="1"/>
  <c r="I192" i="17"/>
  <c r="I191" i="17"/>
  <c r="I190" i="17"/>
  <c r="I189" i="17"/>
  <c r="I188" i="17"/>
  <c r="I187" i="17"/>
  <c r="I186" i="17"/>
  <c r="I182" i="17"/>
  <c r="I179" i="17"/>
  <c r="I178" i="17"/>
  <c r="I176" i="17"/>
  <c r="I175" i="17"/>
  <c r="I165" i="17"/>
  <c r="I164" i="17"/>
  <c r="I163" i="17"/>
  <c r="I162" i="17"/>
  <c r="I161" i="17"/>
  <c r="I160" i="17"/>
  <c r="I157" i="17"/>
  <c r="I151" i="17"/>
  <c r="I150" i="17"/>
  <c r="I134" i="17"/>
  <c r="I133" i="17"/>
  <c r="I132" i="17"/>
  <c r="I131" i="17"/>
  <c r="I130" i="17"/>
  <c r="I129" i="17"/>
  <c r="I128" i="17"/>
  <c r="I127" i="17"/>
  <c r="I124" i="17"/>
  <c r="I120" i="17"/>
  <c r="I119" i="17"/>
  <c r="H118" i="17"/>
  <c r="H135" i="17" s="1"/>
  <c r="G118" i="17"/>
  <c r="G135" i="17" s="1"/>
  <c r="F118" i="17"/>
  <c r="F135" i="17" s="1"/>
  <c r="I94" i="17"/>
  <c r="I92" i="17"/>
  <c r="I91" i="17"/>
  <c r="I90" i="17"/>
  <c r="I89" i="17"/>
  <c r="I88" i="17"/>
  <c r="I87" i="17"/>
  <c r="I85" i="17"/>
  <c r="I81" i="17"/>
  <c r="I80" i="17"/>
  <c r="H79" i="17"/>
  <c r="H95" i="17" s="1"/>
  <c r="G79" i="17"/>
  <c r="G95" i="17" s="1"/>
  <c r="F79" i="17"/>
  <c r="F95" i="17" s="1"/>
  <c r="I75" i="17"/>
  <c r="I74" i="17"/>
  <c r="I53" i="17"/>
  <c r="I51" i="17"/>
  <c r="H50" i="17"/>
  <c r="H54" i="17" s="1"/>
  <c r="G50" i="17"/>
  <c r="G54" i="17" s="1"/>
  <c r="F50" i="17"/>
  <c r="F54" i="17" s="1"/>
  <c r="I49" i="17"/>
  <c r="I46" i="17"/>
  <c r="I39" i="17"/>
  <c r="I37" i="17"/>
  <c r="I34" i="17"/>
  <c r="I33" i="17"/>
  <c r="I32" i="17"/>
  <c r="H31" i="17"/>
  <c r="G31" i="17"/>
  <c r="F31" i="17"/>
  <c r="F40" i="17" s="1"/>
  <c r="R40" i="17" s="1"/>
  <c r="R25" i="17"/>
  <c r="I24" i="17"/>
  <c r="I23" i="17"/>
  <c r="I22" i="17"/>
  <c r="I20" i="17"/>
  <c r="I19" i="17"/>
  <c r="I15" i="17"/>
  <c r="I14" i="17"/>
  <c r="I12" i="17"/>
  <c r="G224" i="18" l="1"/>
  <c r="I376" i="18"/>
  <c r="IV376" i="18" s="1"/>
  <c r="H119" i="18"/>
  <c r="H224" i="18"/>
  <c r="G119" i="18"/>
  <c r="G2108" i="17"/>
  <c r="S2108" i="17" s="1"/>
  <c r="G2069" i="17"/>
  <c r="S2069" i="17" s="1"/>
  <c r="F388" i="17"/>
  <c r="R388" i="17" s="1"/>
  <c r="F328" i="17"/>
  <c r="R328" i="17" s="1"/>
  <c r="G328" i="17"/>
  <c r="S328" i="17" s="1"/>
  <c r="S2291" i="17"/>
  <c r="S2136" i="17"/>
  <c r="S2053" i="17"/>
  <c r="S1813" i="17"/>
  <c r="S1726" i="17"/>
  <c r="R905" i="17"/>
  <c r="S95" i="17"/>
  <c r="R95" i="17"/>
  <c r="T95" i="17"/>
  <c r="R54" i="17"/>
  <c r="S2328" i="17"/>
  <c r="H2278" i="17"/>
  <c r="T2278" i="17" s="1"/>
  <c r="G2278" i="17"/>
  <c r="S2278" i="17" s="1"/>
  <c r="F2177" i="17"/>
  <c r="R2177" i="17" s="1"/>
  <c r="I2194" i="17"/>
  <c r="S2165" i="17"/>
  <c r="S1982" i="17"/>
  <c r="S1893" i="17"/>
  <c r="S1508" i="17"/>
  <c r="S1474" i="17"/>
  <c r="T1508" i="17"/>
  <c r="R1508" i="17"/>
  <c r="S1241" i="17"/>
  <c r="S1268" i="17"/>
  <c r="T1268" i="17"/>
  <c r="S1219" i="17"/>
  <c r="R1177" i="17"/>
  <c r="S1177" i="17"/>
  <c r="T1050" i="17"/>
  <c r="S1075" i="17"/>
  <c r="S1050" i="17"/>
  <c r="S958" i="17"/>
  <c r="T958" i="17"/>
  <c r="R934" i="17"/>
  <c r="S934" i="17"/>
  <c r="T934" i="17"/>
  <c r="R862" i="17"/>
  <c r="T883" i="17"/>
  <c r="S826" i="17"/>
  <c r="R826" i="17"/>
  <c r="S738" i="17"/>
  <c r="S720" i="17"/>
  <c r="T630" i="17"/>
  <c r="F630" i="17"/>
  <c r="R630" i="17" s="1"/>
  <c r="S630" i="17"/>
  <c r="S617" i="17"/>
  <c r="S537" i="17"/>
  <c r="R582" i="17"/>
  <c r="F562" i="17"/>
  <c r="R562" i="17" s="1"/>
  <c r="T562" i="17"/>
  <c r="T537" i="17"/>
  <c r="R537" i="17"/>
  <c r="S471" i="17"/>
  <c r="R471" i="17"/>
  <c r="T471" i="17"/>
  <c r="S651" i="17"/>
  <c r="R1552" i="17"/>
  <c r="S113" i="17"/>
  <c r="H40" i="17"/>
  <c r="T40" i="17" s="1"/>
  <c r="T998" i="17"/>
  <c r="S1151" i="17"/>
  <c r="R1268" i="17"/>
  <c r="S1298" i="17"/>
  <c r="S1316" i="17"/>
  <c r="S1655" i="17"/>
  <c r="S446" i="17"/>
  <c r="T651" i="17"/>
  <c r="R1075" i="17"/>
  <c r="S1426" i="17"/>
  <c r="S1552" i="17"/>
  <c r="T446" i="17"/>
  <c r="S1282" i="17"/>
  <c r="R1531" i="17"/>
  <c r="T1753" i="17"/>
  <c r="G210" i="18"/>
  <c r="G400" i="18"/>
  <c r="I423" i="18"/>
  <c r="H400" i="18"/>
  <c r="I252" i="18"/>
  <c r="I275" i="18"/>
  <c r="H412" i="18"/>
  <c r="I409" i="18"/>
  <c r="I457" i="18"/>
  <c r="IV457" i="18" s="1"/>
  <c r="IV460" i="18" s="1"/>
  <c r="I466" i="18"/>
  <c r="IV466" i="18" s="1"/>
  <c r="IV471" i="18" s="1"/>
  <c r="I469" i="18"/>
  <c r="IV469" i="18" s="1"/>
  <c r="H484" i="18"/>
  <c r="I482" i="18"/>
  <c r="IV482" i="18" s="1"/>
  <c r="I548" i="18"/>
  <c r="I24" i="18"/>
  <c r="I22" i="18"/>
  <c r="I111" i="18"/>
  <c r="I151" i="18"/>
  <c r="G176" i="18"/>
  <c r="I172" i="18"/>
  <c r="I183" i="18"/>
  <c r="I190" i="18"/>
  <c r="I201" i="18"/>
  <c r="I206" i="18"/>
  <c r="I222" i="18"/>
  <c r="I229" i="18"/>
  <c r="I236" i="18"/>
  <c r="I240" i="18"/>
  <c r="I286" i="18"/>
  <c r="H383" i="18"/>
  <c r="I377" i="18"/>
  <c r="IV377" i="18" s="1"/>
  <c r="I493" i="18"/>
  <c r="G36" i="18"/>
  <c r="I36" i="18" s="1"/>
  <c r="I42" i="18"/>
  <c r="I84" i="18"/>
  <c r="I532" i="18"/>
  <c r="I46" i="18"/>
  <c r="I75" i="18"/>
  <c r="I96" i="18"/>
  <c r="I115" i="18"/>
  <c r="I134" i="18"/>
  <c r="I164" i="18"/>
  <c r="I186" i="18"/>
  <c r="I192" i="18"/>
  <c r="I208" i="18"/>
  <c r="I216" i="18"/>
  <c r="H243" i="18"/>
  <c r="I232" i="18"/>
  <c r="I238" i="18"/>
  <c r="G243" i="18"/>
  <c r="I248" i="18"/>
  <c r="I267" i="18"/>
  <c r="I369" i="18"/>
  <c r="I374" i="18"/>
  <c r="IV374" i="18" s="1"/>
  <c r="G412" i="18"/>
  <c r="G484" i="18"/>
  <c r="I506" i="18"/>
  <c r="IV506" i="18" s="1"/>
  <c r="IV509" i="18" s="1"/>
  <c r="R113" i="17"/>
  <c r="S883" i="17"/>
  <c r="T602" i="17"/>
  <c r="R883" i="17"/>
  <c r="U2360" i="17"/>
  <c r="S309" i="17"/>
  <c r="G40" i="17"/>
  <c r="S40" i="17" s="1"/>
  <c r="S367" i="17"/>
  <c r="S500" i="17"/>
  <c r="T113" i="17"/>
  <c r="L2359" i="17"/>
  <c r="I86" i="17"/>
  <c r="T135" i="17"/>
  <c r="I121" i="17"/>
  <c r="T409" i="17"/>
  <c r="I271" i="17"/>
  <c r="I454" i="17"/>
  <c r="I461" i="17"/>
  <c r="I625" i="17"/>
  <c r="S801" i="17"/>
  <c r="I794" i="17"/>
  <c r="I996" i="17"/>
  <c r="T1023" i="17"/>
  <c r="T1195" i="17"/>
  <c r="I1187" i="17"/>
  <c r="R1219" i="17"/>
  <c r="R1241" i="17"/>
  <c r="I1272" i="17"/>
  <c r="I1290" i="17"/>
  <c r="S1336" i="17"/>
  <c r="I1325" i="17"/>
  <c r="H1349" i="17"/>
  <c r="T1349" i="17" s="1"/>
  <c r="I1344" i="17"/>
  <c r="S1373" i="17"/>
  <c r="R1373" i="17"/>
  <c r="G1389" i="17"/>
  <c r="S1389" i="17" s="1"/>
  <c r="R1426" i="17"/>
  <c r="I1529" i="17"/>
  <c r="I1548" i="17"/>
  <c r="S1575" i="17"/>
  <c r="R1575" i="17"/>
  <c r="S1606" i="17"/>
  <c r="R1700" i="17"/>
  <c r="R1726" i="17"/>
  <c r="I1709" i="17"/>
  <c r="S1773" i="17"/>
  <c r="I1881" i="17"/>
  <c r="I1924" i="17"/>
  <c r="I2114" i="17"/>
  <c r="I2129" i="17"/>
  <c r="S25" i="17"/>
  <c r="S54" i="17"/>
  <c r="I50" i="17"/>
  <c r="I153" i="17"/>
  <c r="I177" i="17"/>
  <c r="I202" i="17"/>
  <c r="T208" i="17"/>
  <c r="T261" i="17"/>
  <c r="I248" i="17"/>
  <c r="I301" i="17"/>
  <c r="I358" i="17"/>
  <c r="I395" i="17"/>
  <c r="R500" i="17"/>
  <c r="I481" i="17"/>
  <c r="S521" i="17"/>
  <c r="I508" i="17"/>
  <c r="I530" i="17"/>
  <c r="I570" i="17"/>
  <c r="I610" i="17"/>
  <c r="I638" i="17"/>
  <c r="S669" i="17"/>
  <c r="I667" i="17"/>
  <c r="R684" i="17"/>
  <c r="T684" i="17"/>
  <c r="S700" i="17"/>
  <c r="I692" i="17"/>
  <c r="I715" i="17"/>
  <c r="R720" i="17"/>
  <c r="S757" i="17"/>
  <c r="R784" i="17"/>
  <c r="S784" i="17"/>
  <c r="I782" i="17"/>
  <c r="I807" i="17"/>
  <c r="I848" i="17"/>
  <c r="T905" i="17"/>
  <c r="R958" i="17"/>
  <c r="I939" i="17"/>
  <c r="S978" i="17"/>
  <c r="I968" i="17"/>
  <c r="S1023" i="17"/>
  <c r="I1034" i="17"/>
  <c r="R1100" i="17"/>
  <c r="I1129" i="17"/>
  <c r="I1156" i="17"/>
  <c r="I1239" i="17"/>
  <c r="H1389" i="17"/>
  <c r="T1389" i="17" s="1"/>
  <c r="T1407" i="17"/>
  <c r="I1395" i="17"/>
  <c r="I1456" i="17"/>
  <c r="I1488" i="17"/>
  <c r="J1655" i="17"/>
  <c r="I1634" i="17"/>
  <c r="I1662" i="17"/>
  <c r="T1773" i="17"/>
  <c r="T1830" i="17"/>
  <c r="I1822" i="17"/>
  <c r="I2018" i="17"/>
  <c r="T193" i="17"/>
  <c r="R208" i="17"/>
  <c r="S562" i="17"/>
  <c r="S684" i="17"/>
  <c r="I38" i="17"/>
  <c r="T54" i="17"/>
  <c r="I52" i="17"/>
  <c r="I82" i="17"/>
  <c r="I118" i="17"/>
  <c r="R135" i="17"/>
  <c r="I149" i="17"/>
  <c r="R169" i="17"/>
  <c r="T169" i="17"/>
  <c r="I180" i="17"/>
  <c r="R193" i="17"/>
  <c r="S208" i="17"/>
  <c r="R261" i="17"/>
  <c r="I245" i="17"/>
  <c r="R345" i="17"/>
  <c r="I398" i="17"/>
  <c r="I457" i="17"/>
  <c r="I519" i="17"/>
  <c r="I559" i="17"/>
  <c r="T582" i="17"/>
  <c r="S582" i="17"/>
  <c r="S602" i="17"/>
  <c r="R669" i="17"/>
  <c r="T669" i="17"/>
  <c r="I659" i="17"/>
  <c r="I677" i="17"/>
  <c r="R700" i="17"/>
  <c r="I708" i="17"/>
  <c r="I729" i="17"/>
  <c r="I746" i="17"/>
  <c r="I773" i="17"/>
  <c r="I809" i="17"/>
  <c r="I842" i="17"/>
  <c r="I871" i="17"/>
  <c r="S905" i="17"/>
  <c r="T978" i="17"/>
  <c r="I976" i="17"/>
  <c r="S998" i="17"/>
  <c r="I1007" i="17"/>
  <c r="R1050" i="17"/>
  <c r="I1028" i="17"/>
  <c r="I1037" i="17"/>
  <c r="I1057" i="17"/>
  <c r="F998" i="17"/>
  <c r="R998" i="17" s="1"/>
  <c r="S1700" i="17"/>
  <c r="K1794" i="17"/>
  <c r="R1919" i="17"/>
  <c r="T1919" i="17"/>
  <c r="S1100" i="17"/>
  <c r="I1134" i="17"/>
  <c r="S1195" i="17"/>
  <c r="I1206" i="17"/>
  <c r="I1228" i="17"/>
  <c r="I1251" i="17"/>
  <c r="I1275" i="17"/>
  <c r="I1287" i="17"/>
  <c r="I1306" i="17"/>
  <c r="I1321" i="17"/>
  <c r="R1336" i="17"/>
  <c r="G1349" i="17"/>
  <c r="S1349" i="17" s="1"/>
  <c r="I1359" i="17"/>
  <c r="I1382" i="17"/>
  <c r="S1407" i="17"/>
  <c r="I1416" i="17"/>
  <c r="R1474" i="17"/>
  <c r="I1486" i="17"/>
  <c r="S1531" i="17"/>
  <c r="I1539" i="17"/>
  <c r="I1565" i="17"/>
  <c r="I1583" i="17"/>
  <c r="I1684" i="17"/>
  <c r="I1707" i="17"/>
  <c r="I1734" i="17"/>
  <c r="R1753" i="17"/>
  <c r="I1762" i="17"/>
  <c r="J1794" i="17"/>
  <c r="R1813" i="17"/>
  <c r="T1813" i="17"/>
  <c r="I1803" i="17"/>
  <c r="S1830" i="17"/>
  <c r="T1871" i="17"/>
  <c r="R1871" i="17"/>
  <c r="S2359" i="17"/>
  <c r="I59" i="18"/>
  <c r="I13" i="18"/>
  <c r="I10" i="18"/>
  <c r="I19" i="18"/>
  <c r="I34" i="18"/>
  <c r="I48" i="18"/>
  <c r="I54" i="18"/>
  <c r="I107" i="18"/>
  <c r="H141" i="18"/>
  <c r="I146" i="18"/>
  <c r="I156" i="18"/>
  <c r="I161" i="18"/>
  <c r="H176" i="18"/>
  <c r="H210" i="18"/>
  <c r="I199" i="18"/>
  <c r="I204" i="18"/>
  <c r="I265" i="18"/>
  <c r="I282" i="18"/>
  <c r="I346" i="18"/>
  <c r="I357" i="18"/>
  <c r="I366" i="18"/>
  <c r="IV366" i="18" s="1"/>
  <c r="IV369" i="18" s="1"/>
  <c r="I394" i="18"/>
  <c r="IV394" i="18" s="1"/>
  <c r="IV400" i="18" s="1"/>
  <c r="I449" i="18"/>
  <c r="I30" i="18"/>
  <c r="I69" i="18"/>
  <c r="I79" i="18"/>
  <c r="I90" i="18"/>
  <c r="I102" i="18"/>
  <c r="H194" i="18"/>
  <c r="I181" i="18"/>
  <c r="I259" i="18"/>
  <c r="I351" i="18"/>
  <c r="I360" i="18"/>
  <c r="I405" i="18"/>
  <c r="IV405" i="18" s="1"/>
  <c r="IV412" i="18" s="1"/>
  <c r="I432" i="18"/>
  <c r="I440" i="18"/>
  <c r="I501" i="18"/>
  <c r="I420" i="18"/>
  <c r="IV420" i="18" s="1"/>
  <c r="IV423" i="18" s="1"/>
  <c r="I429" i="18"/>
  <c r="IV429" i="18" s="1"/>
  <c r="IV432" i="18" s="1"/>
  <c r="I438" i="18"/>
  <c r="IV438" i="18" s="1"/>
  <c r="IV440" i="18" s="1"/>
  <c r="I446" i="18"/>
  <c r="IV446" i="18" s="1"/>
  <c r="IV449" i="18" s="1"/>
  <c r="H460" i="18"/>
  <c r="I460" i="18" s="1"/>
  <c r="I477" i="18"/>
  <c r="IV477" i="18" s="1"/>
  <c r="IV484" i="18" s="1"/>
  <c r="I498" i="18"/>
  <c r="IV498" i="18" s="1"/>
  <c r="IV501" i="18" s="1"/>
  <c r="H509" i="18"/>
  <c r="I509" i="18" s="1"/>
  <c r="I537" i="18"/>
  <c r="IV537" i="18" s="1"/>
  <c r="IV540" i="18" s="1"/>
  <c r="I489" i="18"/>
  <c r="IV489" i="18" s="1"/>
  <c r="IV493" i="18" s="1"/>
  <c r="I529" i="18"/>
  <c r="IV529" i="18" s="1"/>
  <c r="IV532" i="18" s="1"/>
  <c r="I540" i="18"/>
  <c r="I545" i="18"/>
  <c r="IV545" i="18" s="1"/>
  <c r="IV548" i="18" s="1"/>
  <c r="K277" i="17"/>
  <c r="S277" i="17"/>
  <c r="T367" i="17"/>
  <c r="I238" i="17"/>
  <c r="T238" i="17"/>
  <c r="R277" i="17"/>
  <c r="J277" i="17"/>
  <c r="T277" i="17"/>
  <c r="I277" i="17"/>
  <c r="L277" i="17"/>
  <c r="T309" i="17"/>
  <c r="T328" i="17"/>
  <c r="I345" i="17"/>
  <c r="T345" i="17"/>
  <c r="T388" i="17"/>
  <c r="I388" i="17"/>
  <c r="T500" i="17"/>
  <c r="I31" i="17"/>
  <c r="I79" i="17"/>
  <c r="S135" i="17"/>
  <c r="S169" i="17"/>
  <c r="I185" i="17"/>
  <c r="S193" i="17"/>
  <c r="S261" i="17"/>
  <c r="I292" i="17"/>
  <c r="I315" i="17"/>
  <c r="I356" i="17"/>
  <c r="I374" i="17"/>
  <c r="S409" i="17"/>
  <c r="I505" i="17"/>
  <c r="I542" i="17"/>
  <c r="I567" i="17"/>
  <c r="I588" i="17"/>
  <c r="I607" i="17"/>
  <c r="I622" i="17"/>
  <c r="I635" i="17"/>
  <c r="I674" i="17"/>
  <c r="I689" i="17"/>
  <c r="I705" i="17"/>
  <c r="R738" i="17"/>
  <c r="I743" i="17"/>
  <c r="I769" i="17"/>
  <c r="I815" i="17"/>
  <c r="I225" i="17"/>
  <c r="I268" i="17"/>
  <c r="I298" i="17"/>
  <c r="I424" i="17"/>
  <c r="I478" i="17"/>
  <c r="I526" i="17"/>
  <c r="I545" i="17"/>
  <c r="I591" i="17"/>
  <c r="I656" i="17"/>
  <c r="I726" i="17"/>
  <c r="I790" i="17"/>
  <c r="I964" i="17"/>
  <c r="I986" i="17"/>
  <c r="I1081" i="17"/>
  <c r="I1202" i="17"/>
  <c r="I1249" i="17"/>
  <c r="I1341" i="17"/>
  <c r="R1448" i="17"/>
  <c r="S1448" i="17"/>
  <c r="I1515" i="17"/>
  <c r="I1690" i="17"/>
  <c r="I868" i="17"/>
  <c r="I990" i="17"/>
  <c r="I1183" i="17"/>
  <c r="I1303" i="17"/>
  <c r="I1355" i="17"/>
  <c r="I1379" i="17"/>
  <c r="I1413" i="17"/>
  <c r="I1561" i="17"/>
  <c r="I1581" i="17"/>
  <c r="J1677" i="17"/>
  <c r="S1677" i="17"/>
  <c r="I1819" i="17"/>
  <c r="I1946" i="17"/>
  <c r="T1946" i="17"/>
  <c r="T1982" i="17"/>
  <c r="T2053" i="17"/>
  <c r="I2093" i="17"/>
  <c r="T2093" i="17"/>
  <c r="S1753" i="17"/>
  <c r="I1779" i="17"/>
  <c r="I1800" i="17"/>
  <c r="T1958" i="17"/>
  <c r="I1958" i="17"/>
  <c r="T1999" i="17"/>
  <c r="I1999" i="17"/>
  <c r="T2069" i="17"/>
  <c r="T2108" i="17"/>
  <c r="I1851" i="17"/>
  <c r="S1871" i="17"/>
  <c r="S1919" i="17"/>
  <c r="G1930" i="17"/>
  <c r="S1930" i="17" s="1"/>
  <c r="I1952" i="17"/>
  <c r="I1970" i="17"/>
  <c r="I1992" i="17"/>
  <c r="I2012" i="17"/>
  <c r="S2026" i="17"/>
  <c r="I2038" i="17"/>
  <c r="I2060" i="17"/>
  <c r="I2080" i="17"/>
  <c r="I2099" i="17"/>
  <c r="G2121" i="17"/>
  <c r="T2303" i="17"/>
  <c r="I2303" i="17"/>
  <c r="T2351" i="17"/>
  <c r="I2351" i="17"/>
  <c r="I1877" i="17"/>
  <c r="I1936" i="17"/>
  <c r="I1975" i="17"/>
  <c r="I2044" i="17"/>
  <c r="I2086" i="17"/>
  <c r="I2153" i="17"/>
  <c r="T2153" i="17"/>
  <c r="T2165" i="17"/>
  <c r="I2177" i="17"/>
  <c r="T2177" i="17"/>
  <c r="T2194" i="17"/>
  <c r="I2206" i="17"/>
  <c r="T2206" i="17"/>
  <c r="I2221" i="17"/>
  <c r="T2221" i="17"/>
  <c r="I2234" i="17"/>
  <c r="T2234" i="17"/>
  <c r="T2247" i="17"/>
  <c r="I2247" i="17"/>
  <c r="I2291" i="17"/>
  <c r="T2291" i="17"/>
  <c r="T2328" i="17"/>
  <c r="R2359" i="17"/>
  <c r="J2359" i="17"/>
  <c r="I2260" i="17"/>
  <c r="I2296" i="17"/>
  <c r="I2315" i="17"/>
  <c r="I2339" i="17"/>
  <c r="I2284" i="17"/>
  <c r="I2320" i="17"/>
  <c r="I2356" i="17"/>
  <c r="I224" i="18" l="1"/>
  <c r="K540" i="18"/>
  <c r="K210" i="18"/>
  <c r="L540" i="18"/>
  <c r="I2108" i="17"/>
  <c r="IV383" i="18"/>
  <c r="I2069" i="17"/>
  <c r="I328" i="17"/>
  <c r="I2053" i="17"/>
  <c r="S862" i="17"/>
  <c r="I2328" i="17"/>
  <c r="I141" i="18"/>
  <c r="L210" i="18"/>
  <c r="I2165" i="17"/>
  <c r="I2278" i="17"/>
  <c r="I1982" i="17"/>
  <c r="S2194" i="17"/>
  <c r="I1606" i="17"/>
  <c r="I1893" i="17"/>
  <c r="I700" i="17"/>
  <c r="T1893" i="17"/>
  <c r="K1655" i="17"/>
  <c r="I446" i="17"/>
  <c r="I651" i="17"/>
  <c r="I1268" i="17"/>
  <c r="I367" i="17"/>
  <c r="I309" i="17"/>
  <c r="I484" i="18"/>
  <c r="I400" i="18"/>
  <c r="I176" i="18"/>
  <c r="I119" i="18"/>
  <c r="I471" i="18"/>
  <c r="I194" i="18"/>
  <c r="I383" i="18"/>
  <c r="I277" i="18"/>
  <c r="I290" i="18"/>
  <c r="I412" i="18"/>
  <c r="I243" i="18"/>
  <c r="I883" i="17"/>
  <c r="I684" i="17"/>
  <c r="I602" i="17"/>
  <c r="T2359" i="17"/>
  <c r="S1794" i="17"/>
  <c r="I1508" i="17"/>
  <c r="I1195" i="17"/>
  <c r="K2359" i="17"/>
  <c r="I1830" i="17"/>
  <c r="R1794" i="17"/>
  <c r="T1606" i="17"/>
  <c r="I537" i="17"/>
  <c r="I500" i="17"/>
  <c r="I630" i="17"/>
  <c r="I208" i="17"/>
  <c r="I2359" i="17"/>
  <c r="I40" i="17"/>
  <c r="I617" i="17"/>
  <c r="I521" i="17"/>
  <c r="I978" i="17"/>
  <c r="R1655" i="17"/>
  <c r="I669" i="17"/>
  <c r="I1023" i="17"/>
  <c r="I1773" i="17"/>
  <c r="I1389" i="17"/>
  <c r="I54" i="17"/>
  <c r="I562" i="17"/>
  <c r="I958" i="17"/>
  <c r="I2026" i="17"/>
  <c r="I1930" i="17"/>
  <c r="I1050" i="17"/>
  <c r="I998" i="17"/>
  <c r="I905" i="17"/>
  <c r="T700" i="17"/>
  <c r="T617" i="17"/>
  <c r="T521" i="17"/>
  <c r="I135" i="17"/>
  <c r="I95" i="17"/>
  <c r="I582" i="17"/>
  <c r="I1407" i="17"/>
  <c r="I1349" i="17"/>
  <c r="I210" i="18"/>
  <c r="I1575" i="17"/>
  <c r="T1575" i="17"/>
  <c r="I1552" i="17"/>
  <c r="T1552" i="17"/>
  <c r="T1448" i="17"/>
  <c r="I1448" i="17"/>
  <c r="I1753" i="17"/>
  <c r="I1726" i="17"/>
  <c r="T1726" i="17"/>
  <c r="T1677" i="17"/>
  <c r="I1677" i="17"/>
  <c r="L1677" i="17"/>
  <c r="T1531" i="17"/>
  <c r="I1531" i="17"/>
  <c r="I1474" i="17"/>
  <c r="T1474" i="17"/>
  <c r="I1336" i="17"/>
  <c r="T1336" i="17"/>
  <c r="I1282" i="17"/>
  <c r="T1282" i="17"/>
  <c r="I1241" i="17"/>
  <c r="T1241" i="17"/>
  <c r="I1219" i="17"/>
  <c r="T1219" i="17"/>
  <c r="I934" i="17"/>
  <c r="T738" i="17"/>
  <c r="I738" i="17"/>
  <c r="I471" i="17"/>
  <c r="I409" i="17"/>
  <c r="I261" i="17"/>
  <c r="T25" i="17"/>
  <c r="I25" i="17"/>
  <c r="I169" i="17"/>
  <c r="I2136" i="17"/>
  <c r="T2136" i="17"/>
  <c r="L1655" i="17"/>
  <c r="I1655" i="17"/>
  <c r="T1655" i="17"/>
  <c r="I2121" i="17"/>
  <c r="S2121" i="17"/>
  <c r="I1919" i="17"/>
  <c r="I1871" i="17"/>
  <c r="I1813" i="17"/>
  <c r="I1426" i="17"/>
  <c r="T1426" i="17"/>
  <c r="I1373" i="17"/>
  <c r="T1373" i="17"/>
  <c r="I1298" i="17"/>
  <c r="T1298" i="17"/>
  <c r="I1177" i="17"/>
  <c r="T1177" i="17"/>
  <c r="I1151" i="17"/>
  <c r="T1151" i="17"/>
  <c r="T1100" i="17"/>
  <c r="I1100" i="17"/>
  <c r="T1075" i="17"/>
  <c r="I1075" i="17"/>
  <c r="L1794" i="17"/>
  <c r="T1794" i="17"/>
  <c r="I1794" i="17"/>
  <c r="T1700" i="17"/>
  <c r="I1700" i="17"/>
  <c r="T1316" i="17"/>
  <c r="I1316" i="17"/>
  <c r="T862" i="17"/>
  <c r="I862" i="17"/>
  <c r="I826" i="17"/>
  <c r="T826" i="17"/>
  <c r="T801" i="17"/>
  <c r="I801" i="17"/>
  <c r="I720" i="17"/>
  <c r="T720" i="17"/>
  <c r="T784" i="17"/>
  <c r="I784" i="17"/>
  <c r="T757" i="17"/>
  <c r="I757" i="17"/>
  <c r="I193" i="17"/>
  <c r="K548" i="18" l="1"/>
  <c r="K550" i="18" s="1"/>
  <c r="L548" i="18"/>
  <c r="L550" i="18" s="1"/>
  <c r="T2360" i="17"/>
  <c r="T2363" i="17" s="1"/>
  <c r="S2360" i="17"/>
  <c r="S2363" i="17" s="1"/>
  <c r="S2373" i="17" s="1"/>
  <c r="R2360" i="17"/>
  <c r="R2363" i="17" s="1"/>
  <c r="R2373" i="17" s="1"/>
  <c r="K562" i="18" l="1"/>
  <c r="K564" i="18" s="1"/>
  <c r="L562" i="18"/>
  <c r="L564" i="18" s="1"/>
  <c r="T2373" i="17"/>
  <c r="H60" i="20"/>
  <c r="H252" i="20" l="1"/>
  <c r="I247" i="20"/>
  <c r="D252" i="20"/>
  <c r="I252" i="20"/>
  <c r="C257" i="20"/>
  <c r="D257" i="20"/>
  <c r="D293" i="20" s="1"/>
  <c r="I257" i="20"/>
  <c r="F244" i="20"/>
  <c r="G247" i="20"/>
  <c r="H247" i="20"/>
  <c r="H257" i="20"/>
  <c r="C247" i="20"/>
  <c r="D247" i="20"/>
  <c r="E252" i="20"/>
  <c r="G252" i="20"/>
  <c r="F259" i="20"/>
  <c r="F249" i="20"/>
  <c r="C252" i="20"/>
  <c r="G257" i="20"/>
  <c r="E247" i="20"/>
  <c r="F254" i="20"/>
  <c r="E257" i="20"/>
  <c r="F257" i="20" l="1"/>
  <c r="F252" i="20"/>
  <c r="F247" i="20"/>
  <c r="F235" i="20"/>
  <c r="H118" i="20"/>
  <c r="H112" i="20" s="1"/>
  <c r="L283" i="20" l="1"/>
  <c r="H283" i="20" s="1"/>
  <c r="H115" i="7"/>
  <c r="H114" i="7"/>
  <c r="H101" i="7"/>
  <c r="H99" i="7"/>
  <c r="E57" i="20"/>
  <c r="H12" i="7"/>
  <c r="L282" i="20" l="1"/>
  <c r="L281" i="20"/>
  <c r="L284" i="20" s="1"/>
  <c r="L285" i="20" s="1"/>
  <c r="F220" i="20"/>
  <c r="H201" i="7"/>
  <c r="H199" i="7"/>
  <c r="H197" i="7"/>
  <c r="H227" i="7" l="1"/>
  <c r="H219" i="7"/>
  <c r="H217" i="7"/>
  <c r="H288" i="7"/>
  <c r="H277" i="7"/>
  <c r="F305" i="7" l="1"/>
  <c r="H259" i="7"/>
  <c r="I279" i="20" l="1"/>
  <c r="H279" i="20"/>
  <c r="G279" i="20"/>
  <c r="E10" i="20" l="1"/>
  <c r="C10" i="20"/>
  <c r="H112" i="8" l="1"/>
  <c r="H71" i="8"/>
  <c r="H55" i="8"/>
  <c r="H53" i="8"/>
  <c r="H50" i="8"/>
  <c r="H49" i="8"/>
  <c r="H35" i="8"/>
  <c r="H34" i="8"/>
  <c r="H19" i="8"/>
  <c r="H52" i="9" l="1"/>
  <c r="H27" i="9"/>
  <c r="H23" i="9"/>
  <c r="H22" i="9"/>
  <c r="H15" i="9"/>
  <c r="H14" i="9"/>
  <c r="H26" i="10" l="1"/>
  <c r="G20" i="10"/>
  <c r="G46" i="10" s="1"/>
  <c r="G57" i="10" s="1"/>
  <c r="F20" i="10"/>
  <c r="H157" i="54"/>
  <c r="H156" i="54"/>
  <c r="G173" i="54"/>
  <c r="H124" i="54"/>
  <c r="E73" i="54"/>
  <c r="J87" i="54" s="1"/>
  <c r="L189" i="54" l="1"/>
  <c r="F173" i="54"/>
  <c r="K189" i="54" l="1"/>
  <c r="F200" i="54"/>
  <c r="F56" i="52"/>
  <c r="H46" i="52"/>
  <c r="H44" i="52"/>
  <c r="H43" i="52"/>
  <c r="H42" i="52"/>
  <c r="H41" i="52"/>
  <c r="E56" i="52" l="1"/>
  <c r="C9" i="20"/>
  <c r="H34" i="52"/>
  <c r="E8" i="20" l="1"/>
  <c r="G59" i="52"/>
  <c r="D9" i="20"/>
  <c r="D8" i="20" l="1"/>
  <c r="E52" i="52" l="1"/>
  <c r="C8" i="20" s="1"/>
  <c r="E59" i="52"/>
  <c r="F51" i="52"/>
  <c r="G294" i="20"/>
  <c r="H294" i="20"/>
  <c r="I294" i="20"/>
  <c r="E51" i="52" l="1"/>
  <c r="G295" i="20"/>
  <c r="H83" i="7"/>
  <c r="H82" i="7"/>
  <c r="H55" i="7"/>
  <c r="H54" i="7"/>
  <c r="H30" i="7"/>
  <c r="H25" i="7"/>
  <c r="H19" i="7"/>
  <c r="G299" i="7"/>
  <c r="E56" i="20" s="1"/>
  <c r="F299" i="7"/>
  <c r="F297" i="7" s="1"/>
  <c r="E299" i="7"/>
  <c r="C56" i="20" s="1"/>
  <c r="D64" i="20"/>
  <c r="H202" i="7"/>
  <c r="D68" i="20"/>
  <c r="L316" i="7"/>
  <c r="H245" i="7"/>
  <c r="E73" i="20"/>
  <c r="D73" i="20"/>
  <c r="I243" i="20"/>
  <c r="I229" i="20"/>
  <c r="H229" i="20"/>
  <c r="G229" i="20"/>
  <c r="I223" i="20"/>
  <c r="H223" i="20"/>
  <c r="G223" i="20"/>
  <c r="I218" i="20"/>
  <c r="H218" i="20"/>
  <c r="H243" i="20"/>
  <c r="G243" i="20"/>
  <c r="H234" i="20"/>
  <c r="G234" i="20"/>
  <c r="G218" i="20"/>
  <c r="G208" i="20"/>
  <c r="H208" i="20"/>
  <c r="I208" i="20"/>
  <c r="I203" i="20"/>
  <c r="H203" i="20"/>
  <c r="G203" i="20"/>
  <c r="I189" i="20"/>
  <c r="H189" i="20"/>
  <c r="G189" i="20"/>
  <c r="I183" i="20"/>
  <c r="H183" i="20"/>
  <c r="I174" i="20"/>
  <c r="H174" i="20"/>
  <c r="G174" i="20"/>
  <c r="I169" i="20"/>
  <c r="H169" i="20"/>
  <c r="G169" i="20"/>
  <c r="I152" i="20"/>
  <c r="E152" i="20"/>
  <c r="D152" i="20"/>
  <c r="C152" i="20"/>
  <c r="D147" i="20"/>
  <c r="C147" i="20"/>
  <c r="H33" i="8"/>
  <c r="H32" i="8"/>
  <c r="F125" i="8"/>
  <c r="H86" i="8"/>
  <c r="H85" i="8"/>
  <c r="H106" i="8"/>
  <c r="H105" i="8"/>
  <c r="H38" i="8"/>
  <c r="H37" i="8"/>
  <c r="H49" i="9"/>
  <c r="H29" i="9"/>
  <c r="H28" i="9"/>
  <c r="H59" i="10"/>
  <c r="E41" i="10"/>
  <c r="G37" i="10"/>
  <c r="G62" i="10" s="1"/>
  <c r="F37" i="10"/>
  <c r="E37" i="10"/>
  <c r="H24" i="10"/>
  <c r="G18" i="11"/>
  <c r="F18" i="11"/>
  <c r="H16" i="5"/>
  <c r="E20" i="20"/>
  <c r="H13" i="5"/>
  <c r="H137" i="54"/>
  <c r="H136" i="54"/>
  <c r="E122" i="54"/>
  <c r="J172" i="54" s="1"/>
  <c r="E173" i="54" s="1"/>
  <c r="H37" i="52"/>
  <c r="I7" i="20"/>
  <c r="H7" i="20"/>
  <c r="H40" i="7"/>
  <c r="H26" i="7"/>
  <c r="H20" i="7"/>
  <c r="H18" i="7"/>
  <c r="H18" i="8"/>
  <c r="H17" i="8"/>
  <c r="H87" i="9"/>
  <c r="H62" i="9"/>
  <c r="H33" i="9"/>
  <c r="H34" i="9"/>
  <c r="H27" i="10"/>
  <c r="H25" i="10"/>
  <c r="H22" i="10"/>
  <c r="H21" i="10"/>
  <c r="H17" i="11"/>
  <c r="H16" i="11"/>
  <c r="H15" i="11"/>
  <c r="H11" i="11"/>
  <c r="H12" i="5"/>
  <c r="H11" i="5"/>
  <c r="H107" i="54"/>
  <c r="H40" i="52"/>
  <c r="H39" i="52"/>
  <c r="H28" i="52"/>
  <c r="H29" i="52"/>
  <c r="H30" i="52"/>
  <c r="H35" i="52"/>
  <c r="H36" i="52"/>
  <c r="H27" i="52"/>
  <c r="H25" i="52"/>
  <c r="H24" i="52"/>
  <c r="H23" i="52"/>
  <c r="H22" i="52"/>
  <c r="H20" i="52"/>
  <c r="H19" i="52"/>
  <c r="H18" i="52"/>
  <c r="H15" i="52"/>
  <c r="H14" i="52"/>
  <c r="H13" i="52"/>
  <c r="H12" i="52"/>
  <c r="D11" i="20"/>
  <c r="D22" i="20"/>
  <c r="D27" i="20"/>
  <c r="D28" i="20"/>
  <c r="D32" i="20"/>
  <c r="D33" i="20"/>
  <c r="D36" i="20"/>
  <c r="D38" i="20"/>
  <c r="D43" i="20"/>
  <c r="D44" i="20"/>
  <c r="D57" i="20"/>
  <c r="D58" i="20"/>
  <c r="D67" i="20"/>
  <c r="D69" i="20"/>
  <c r="D72" i="20"/>
  <c r="D74" i="20"/>
  <c r="E11" i="20"/>
  <c r="E22" i="20"/>
  <c r="E27" i="20"/>
  <c r="E28" i="20"/>
  <c r="E32" i="20"/>
  <c r="E33" i="20"/>
  <c r="E36" i="20"/>
  <c r="E38" i="20"/>
  <c r="E43" i="20"/>
  <c r="E44" i="20"/>
  <c r="E58" i="20"/>
  <c r="E67" i="20"/>
  <c r="E69" i="20"/>
  <c r="E72" i="20"/>
  <c r="E74" i="20"/>
  <c r="C63" i="20"/>
  <c r="C64" i="20"/>
  <c r="C11" i="20"/>
  <c r="C16" i="20"/>
  <c r="C17" i="20"/>
  <c r="C22" i="20"/>
  <c r="C23" i="20"/>
  <c r="C27" i="20"/>
  <c r="C28" i="20"/>
  <c r="C32" i="20"/>
  <c r="C33" i="20"/>
  <c r="C36" i="20"/>
  <c r="C37" i="20"/>
  <c r="C38" i="20"/>
  <c r="C43" i="20"/>
  <c r="C44" i="20"/>
  <c r="C48" i="20"/>
  <c r="C49" i="20"/>
  <c r="C57" i="20"/>
  <c r="C58" i="20"/>
  <c r="C67" i="20"/>
  <c r="C68" i="20"/>
  <c r="C69" i="20"/>
  <c r="C72" i="20"/>
  <c r="C73" i="20"/>
  <c r="C74" i="20"/>
  <c r="H276" i="20"/>
  <c r="H213" i="20"/>
  <c r="H152" i="20"/>
  <c r="H125" i="20"/>
  <c r="H99" i="20"/>
  <c r="H104" i="20"/>
  <c r="H88" i="20"/>
  <c r="H93" i="20"/>
  <c r="H76" i="20"/>
  <c r="H82" i="20"/>
  <c r="H292" i="20" s="1"/>
  <c r="H65" i="20"/>
  <c r="H70" i="20"/>
  <c r="H45" i="20"/>
  <c r="H40" i="20"/>
  <c r="H34" i="20"/>
  <c r="H29" i="20"/>
  <c r="H24" i="20"/>
  <c r="H19" i="20"/>
  <c r="H13" i="20"/>
  <c r="I34" i="20"/>
  <c r="I40" i="20"/>
  <c r="I29" i="20"/>
  <c r="I24" i="20"/>
  <c r="I19" i="20"/>
  <c r="I276" i="20"/>
  <c r="I125" i="20"/>
  <c r="I118" i="20"/>
  <c r="I99" i="20"/>
  <c r="I104" i="20"/>
  <c r="I93" i="20"/>
  <c r="I82" i="20"/>
  <c r="I60" i="20"/>
  <c r="I65" i="20"/>
  <c r="I70" i="20"/>
  <c r="G183" i="20"/>
  <c r="G152" i="20"/>
  <c r="G125" i="20"/>
  <c r="G99" i="20"/>
  <c r="G104" i="20"/>
  <c r="G88" i="20"/>
  <c r="G93" i="20"/>
  <c r="G76" i="20"/>
  <c r="G82" i="20"/>
  <c r="G60" i="20"/>
  <c r="G65" i="20"/>
  <c r="G70" i="20"/>
  <c r="G45" i="20"/>
  <c r="G40" i="20"/>
  <c r="G34" i="20"/>
  <c r="G29" i="20"/>
  <c r="G24" i="20"/>
  <c r="G19" i="20"/>
  <c r="G13" i="20"/>
  <c r="G198" i="54"/>
  <c r="F198" i="54"/>
  <c r="F194" i="54" s="1"/>
  <c r="E198" i="54"/>
  <c r="C18" i="20" s="1"/>
  <c r="D12" i="20"/>
  <c r="C12" i="20"/>
  <c r="E15" i="20"/>
  <c r="D16" i="20"/>
  <c r="F195" i="54"/>
  <c r="D15" i="20" s="1"/>
  <c r="E195" i="54"/>
  <c r="C15" i="20" s="1"/>
  <c r="H10" i="30"/>
  <c r="F13" i="30"/>
  <c r="H13" i="30"/>
  <c r="H18" i="30"/>
  <c r="F21" i="30"/>
  <c r="F33" i="30"/>
  <c r="H33" i="30"/>
  <c r="E39" i="30"/>
  <c r="F39" i="30"/>
  <c r="G39" i="30"/>
  <c r="H39" i="30"/>
  <c r="F9" i="29"/>
  <c r="H9" i="29"/>
  <c r="F12" i="29"/>
  <c r="H12" i="29"/>
  <c r="H16" i="29"/>
  <c r="H22" i="29"/>
  <c r="F23" i="29"/>
  <c r="H23" i="29"/>
  <c r="F26" i="29"/>
  <c r="H26" i="29"/>
  <c r="H33" i="29"/>
  <c r="F36" i="29"/>
  <c r="H36" i="29"/>
  <c r="F39" i="29"/>
  <c r="H39" i="29"/>
  <c r="F57" i="29"/>
  <c r="E65" i="29"/>
  <c r="F65" i="29"/>
  <c r="G65" i="29"/>
  <c r="H65" i="2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E25" i="49"/>
  <c r="F25" i="49"/>
  <c r="G25" i="49"/>
  <c r="H25" i="49"/>
  <c r="G26" i="49"/>
  <c r="E27" i="49"/>
  <c r="F27" i="49"/>
  <c r="G27" i="49"/>
  <c r="H27" i="49"/>
  <c r="E30" i="49"/>
  <c r="E29" i="49"/>
  <c r="E34" i="49"/>
  <c r="F30" i="49"/>
  <c r="F29" i="49"/>
  <c r="F34" i="49"/>
  <c r="G30" i="49"/>
  <c r="G29" i="49"/>
  <c r="H30" i="49"/>
  <c r="E32" i="49"/>
  <c r="F32" i="49"/>
  <c r="G32" i="49"/>
  <c r="E11" i="115"/>
  <c r="F11" i="115"/>
  <c r="E14" i="115"/>
  <c r="E13" i="115"/>
  <c r="E18" i="115"/>
  <c r="F14" i="115"/>
  <c r="F13" i="115"/>
  <c r="F18" i="115"/>
  <c r="G14" i="115"/>
  <c r="G13" i="115"/>
  <c r="G18" i="115"/>
  <c r="E13" i="114"/>
  <c r="F13" i="114"/>
  <c r="G13" i="114"/>
  <c r="E16" i="114"/>
  <c r="E15" i="114"/>
  <c r="E20" i="114"/>
  <c r="F16" i="114"/>
  <c r="F15" i="114"/>
  <c r="F20" i="114"/>
  <c r="G16" i="114"/>
  <c r="G15" i="114"/>
  <c r="G20" i="114"/>
  <c r="E18" i="114"/>
  <c r="F18" i="114"/>
  <c r="G18" i="114"/>
  <c r="E11" i="113"/>
  <c r="F11" i="113"/>
  <c r="G11" i="113"/>
  <c r="G12" i="113"/>
  <c r="E13" i="113"/>
  <c r="F13" i="113"/>
  <c r="G13" i="113"/>
  <c r="E23" i="113"/>
  <c r="E20" i="113"/>
  <c r="E25" i="113"/>
  <c r="F23" i="113"/>
  <c r="F20" i="113"/>
  <c r="F25" i="113"/>
  <c r="G23" i="113"/>
  <c r="G20" i="113"/>
  <c r="G25" i="113"/>
  <c r="E10" i="112"/>
  <c r="F10" i="112"/>
  <c r="G10" i="112"/>
  <c r="E14" i="112"/>
  <c r="E13" i="112"/>
  <c r="E18" i="112"/>
  <c r="F14" i="112"/>
  <c r="F13" i="112"/>
  <c r="F18" i="112"/>
  <c r="G14" i="112"/>
  <c r="G13" i="112"/>
  <c r="G18" i="112"/>
  <c r="H18" i="112"/>
  <c r="E11" i="111"/>
  <c r="F11" i="111"/>
  <c r="G11" i="111"/>
  <c r="E15" i="111"/>
  <c r="E14" i="111"/>
  <c r="E19" i="111"/>
  <c r="F15" i="111"/>
  <c r="F14" i="111"/>
  <c r="F19" i="111"/>
  <c r="G15" i="111"/>
  <c r="G14" i="111"/>
  <c r="G19" i="111"/>
  <c r="E11" i="109"/>
  <c r="F11" i="109"/>
  <c r="G11" i="109"/>
  <c r="E15" i="109"/>
  <c r="E14" i="109"/>
  <c r="E19" i="109"/>
  <c r="F15" i="109"/>
  <c r="F14" i="109"/>
  <c r="F19" i="109"/>
  <c r="G15" i="109"/>
  <c r="G14" i="109"/>
  <c r="G19" i="109"/>
  <c r="E11" i="108"/>
  <c r="F11" i="108"/>
  <c r="G11" i="108"/>
  <c r="E12" i="108"/>
  <c r="F12" i="108"/>
  <c r="G12" i="108"/>
  <c r="E13" i="108"/>
  <c r="F13" i="108"/>
  <c r="G13" i="108"/>
  <c r="E17" i="108"/>
  <c r="E16" i="108"/>
  <c r="E21" i="108"/>
  <c r="F17" i="108"/>
  <c r="F16" i="108"/>
  <c r="F21" i="108"/>
  <c r="G17" i="108"/>
  <c r="G16" i="108"/>
  <c r="G21" i="108"/>
  <c r="E19" i="108"/>
  <c r="F19" i="108"/>
  <c r="G19" i="108"/>
  <c r="E11" i="107"/>
  <c r="F11" i="107"/>
  <c r="G11" i="107"/>
  <c r="E15" i="107"/>
  <c r="E14" i="107"/>
  <c r="E19" i="107"/>
  <c r="F15" i="107"/>
  <c r="F14" i="107"/>
  <c r="F19" i="107"/>
  <c r="G15" i="107"/>
  <c r="G14" i="107"/>
  <c r="G19" i="107"/>
  <c r="G14" i="21"/>
  <c r="H14" i="21"/>
  <c r="I20" i="21"/>
  <c r="G21" i="21"/>
  <c r="H21" i="21"/>
  <c r="I21" i="21"/>
  <c r="I27" i="21"/>
  <c r="I28" i="21"/>
  <c r="G29" i="21"/>
  <c r="H29" i="21"/>
  <c r="I29" i="21"/>
  <c r="I31" i="21"/>
  <c r="I32" i="21"/>
  <c r="F33" i="21"/>
  <c r="G33" i="21"/>
  <c r="H33" i="21"/>
  <c r="I33" i="21"/>
  <c r="I40" i="21"/>
  <c r="F41" i="21"/>
  <c r="G41" i="21"/>
  <c r="H41" i="21"/>
  <c r="I41" i="21"/>
  <c r="I47" i="21"/>
  <c r="F48" i="21"/>
  <c r="G48" i="21"/>
  <c r="H48" i="21"/>
  <c r="I48" i="21"/>
  <c r="I54" i="21"/>
  <c r="I55" i="21"/>
  <c r="F56" i="21"/>
  <c r="G56" i="21"/>
  <c r="H56" i="21"/>
  <c r="I56" i="21"/>
  <c r="I62" i="21"/>
  <c r="F63" i="21"/>
  <c r="G63" i="21"/>
  <c r="H63" i="21"/>
  <c r="I63" i="21"/>
  <c r="I71" i="21"/>
  <c r="F72" i="21"/>
  <c r="G72" i="21"/>
  <c r="H72" i="21"/>
  <c r="I72" i="21"/>
  <c r="I78" i="21"/>
  <c r="F79" i="21"/>
  <c r="G79" i="21"/>
  <c r="H79" i="21"/>
  <c r="I79" i="21"/>
  <c r="I85" i="21"/>
  <c r="F86" i="21"/>
  <c r="G86" i="21"/>
  <c r="H86" i="21"/>
  <c r="I86" i="21"/>
  <c r="I92" i="21"/>
  <c r="I93" i="21"/>
  <c r="F94" i="21"/>
  <c r="G94" i="21"/>
  <c r="H94" i="21"/>
  <c r="I94" i="21"/>
  <c r="I100" i="21"/>
  <c r="F101" i="21"/>
  <c r="G101" i="21"/>
  <c r="H101" i="21"/>
  <c r="I101" i="21"/>
  <c r="I107" i="21"/>
  <c r="F108" i="21"/>
  <c r="G108" i="21"/>
  <c r="H108" i="21"/>
  <c r="I108" i="21"/>
  <c r="I114" i="21"/>
  <c r="F115" i="21"/>
  <c r="G115" i="21"/>
  <c r="H115" i="21"/>
  <c r="I115" i="21"/>
  <c r="I121" i="21"/>
  <c r="F122" i="21"/>
  <c r="G122" i="21"/>
  <c r="H122" i="21"/>
  <c r="I122" i="21"/>
  <c r="L122" i="21"/>
  <c r="M122" i="21"/>
  <c r="I128" i="21"/>
  <c r="F129" i="21"/>
  <c r="G129" i="21"/>
  <c r="H129" i="21"/>
  <c r="I129" i="21"/>
  <c r="I138" i="21"/>
  <c r="F139" i="21"/>
  <c r="G139" i="21"/>
  <c r="H139" i="21"/>
  <c r="I139" i="21"/>
  <c r="I145" i="21"/>
  <c r="F146" i="21"/>
  <c r="G146" i="21"/>
  <c r="H146" i="21"/>
  <c r="I146" i="21"/>
  <c r="I152" i="21"/>
  <c r="F153" i="21"/>
  <c r="G153" i="21"/>
  <c r="H153" i="21"/>
  <c r="I153" i="21"/>
  <c r="I159" i="21"/>
  <c r="G160" i="21"/>
  <c r="H160" i="21"/>
  <c r="I160" i="21"/>
  <c r="I161" i="21"/>
  <c r="I162" i="21"/>
  <c r="F163" i="21"/>
  <c r="G163" i="21"/>
  <c r="H163" i="21"/>
  <c r="I163" i="21"/>
  <c r="I169" i="21"/>
  <c r="F170" i="21"/>
  <c r="G170" i="21"/>
  <c r="H170" i="21"/>
  <c r="I170" i="21"/>
  <c r="I176" i="21"/>
  <c r="F177" i="21"/>
  <c r="G177" i="21"/>
  <c r="H177" i="21"/>
  <c r="I177" i="21"/>
  <c r="I183" i="21"/>
  <c r="F184" i="21"/>
  <c r="G184" i="21"/>
  <c r="H184" i="21"/>
  <c r="I184" i="21"/>
  <c r="I190" i="21"/>
  <c r="F191" i="21"/>
  <c r="G191" i="21"/>
  <c r="H191" i="21"/>
  <c r="I191" i="21"/>
  <c r="I197" i="21"/>
  <c r="F198" i="21"/>
  <c r="G198" i="21"/>
  <c r="H198" i="21"/>
  <c r="I198" i="21"/>
  <c r="I204" i="21"/>
  <c r="F205" i="21"/>
  <c r="G205" i="21"/>
  <c r="H205" i="21"/>
  <c r="I205" i="21"/>
  <c r="I211" i="21"/>
  <c r="F212" i="21"/>
  <c r="G212" i="21"/>
  <c r="H212" i="21"/>
  <c r="I212" i="21"/>
  <c r="I218" i="21"/>
  <c r="F219" i="21"/>
  <c r="G219" i="21"/>
  <c r="H219" i="21"/>
  <c r="I219" i="21"/>
  <c r="I225" i="21"/>
  <c r="I226" i="21"/>
  <c r="G227" i="21"/>
  <c r="H227" i="21"/>
  <c r="I227" i="21"/>
  <c r="I228" i="21"/>
  <c r="I229" i="21"/>
  <c r="F230" i="21"/>
  <c r="G230" i="21"/>
  <c r="H230" i="21"/>
  <c r="I230" i="21"/>
  <c r="I236" i="21"/>
  <c r="F237" i="21"/>
  <c r="G237" i="21"/>
  <c r="H237" i="21"/>
  <c r="I237" i="21"/>
  <c r="I243" i="21"/>
  <c r="F244" i="21"/>
  <c r="G244" i="21"/>
  <c r="H244" i="21"/>
  <c r="I244" i="21"/>
  <c r="I250" i="21"/>
  <c r="F251" i="21"/>
  <c r="G251" i="21"/>
  <c r="H251" i="21"/>
  <c r="I251" i="21"/>
  <c r="I257" i="21"/>
  <c r="G258" i="21"/>
  <c r="H258" i="21"/>
  <c r="I258" i="21"/>
  <c r="I259" i="21"/>
  <c r="I260" i="21"/>
  <c r="F261" i="21"/>
  <c r="G261" i="21"/>
  <c r="H261" i="21"/>
  <c r="I261" i="21"/>
  <c r="L261" i="21"/>
  <c r="M261" i="21"/>
  <c r="I271" i="21"/>
  <c r="F272" i="21"/>
  <c r="G272" i="21"/>
  <c r="H272" i="21"/>
  <c r="I272" i="21"/>
  <c r="I278" i="21"/>
  <c r="F279" i="21"/>
  <c r="G279" i="21"/>
  <c r="H279" i="21"/>
  <c r="I279" i="21"/>
  <c r="I285" i="21"/>
  <c r="F286" i="21"/>
  <c r="G286" i="21"/>
  <c r="H286" i="21"/>
  <c r="I286" i="21"/>
  <c r="I293" i="21"/>
  <c r="F294" i="21"/>
  <c r="G294" i="21"/>
  <c r="H294" i="21"/>
  <c r="I294" i="21"/>
  <c r="I300" i="21"/>
  <c r="F301" i="21"/>
  <c r="G301" i="21"/>
  <c r="H301" i="21"/>
  <c r="I301" i="21"/>
  <c r="I307" i="21"/>
  <c r="F308" i="21"/>
  <c r="G308" i="21"/>
  <c r="H308" i="21"/>
  <c r="I308" i="21"/>
  <c r="I314" i="21"/>
  <c r="F315" i="21"/>
  <c r="G315" i="21"/>
  <c r="H315" i="21"/>
  <c r="I315" i="21"/>
  <c r="I321" i="21"/>
  <c r="F322" i="21"/>
  <c r="G322" i="21"/>
  <c r="H322" i="21"/>
  <c r="I322" i="21"/>
  <c r="I328" i="21"/>
  <c r="F329" i="21"/>
  <c r="G329" i="21"/>
  <c r="H329" i="21"/>
  <c r="I329" i="21"/>
  <c r="I338" i="21"/>
  <c r="F339" i="21"/>
  <c r="G339" i="21"/>
  <c r="H339" i="21"/>
  <c r="I339" i="21"/>
  <c r="I345" i="21"/>
  <c r="F346" i="21"/>
  <c r="G346" i="21"/>
  <c r="H346" i="21"/>
  <c r="I346" i="21"/>
  <c r="I353" i="21"/>
  <c r="F354" i="21"/>
  <c r="G354" i="21"/>
  <c r="H354" i="21"/>
  <c r="I354" i="21"/>
  <c r="I360" i="21"/>
  <c r="F361" i="21"/>
  <c r="G361" i="21"/>
  <c r="H361" i="21"/>
  <c r="I361" i="21"/>
  <c r="I367" i="21"/>
  <c r="I368" i="21"/>
  <c r="G369" i="21"/>
  <c r="H369" i="21"/>
  <c r="I369" i="21"/>
  <c r="I370" i="21"/>
  <c r="F371" i="21"/>
  <c r="G371" i="21"/>
  <c r="H371" i="21"/>
  <c r="I371" i="21"/>
  <c r="I377" i="21"/>
  <c r="I378" i="21"/>
  <c r="F379" i="21"/>
  <c r="G379" i="21"/>
  <c r="H379" i="21"/>
  <c r="I379" i="21"/>
  <c r="I385" i="21"/>
  <c r="I386" i="21"/>
  <c r="F387" i="21"/>
  <c r="G387" i="21"/>
  <c r="H387" i="21"/>
  <c r="I387" i="21"/>
  <c r="I393" i="21"/>
  <c r="F394" i="21"/>
  <c r="G394" i="21"/>
  <c r="H394" i="21"/>
  <c r="I394" i="21"/>
  <c r="I405" i="21"/>
  <c r="F406" i="21"/>
  <c r="G406" i="21"/>
  <c r="H406" i="21"/>
  <c r="I406" i="21"/>
  <c r="I412" i="21"/>
  <c r="F413" i="21"/>
  <c r="G413" i="21"/>
  <c r="L412" i="21"/>
  <c r="L413" i="21"/>
  <c r="L1229" i="21"/>
  <c r="H413" i="21"/>
  <c r="M412" i="21"/>
  <c r="M413" i="21"/>
  <c r="M1229" i="21"/>
  <c r="I413" i="21"/>
  <c r="K413" i="21"/>
  <c r="I419" i="21"/>
  <c r="F420" i="21"/>
  <c r="G420" i="21"/>
  <c r="H420" i="21"/>
  <c r="I420" i="21"/>
  <c r="I426" i="21"/>
  <c r="F427" i="21"/>
  <c r="G427" i="21"/>
  <c r="H427" i="21"/>
  <c r="I427" i="21"/>
  <c r="I433" i="21"/>
  <c r="F434" i="21"/>
  <c r="G434" i="21"/>
  <c r="H434" i="21"/>
  <c r="I434" i="21"/>
  <c r="I440" i="21"/>
  <c r="F441" i="21"/>
  <c r="G441" i="21"/>
  <c r="H441" i="21"/>
  <c r="I441" i="21"/>
  <c r="I447" i="21"/>
  <c r="F448" i="21"/>
  <c r="G448" i="21"/>
  <c r="H448" i="21"/>
  <c r="I448" i="21"/>
  <c r="I454" i="21"/>
  <c r="F455" i="21"/>
  <c r="G455" i="21"/>
  <c r="H455" i="21"/>
  <c r="I455" i="21"/>
  <c r="I461" i="21"/>
  <c r="F462" i="21"/>
  <c r="G462" i="21"/>
  <c r="H462" i="21"/>
  <c r="I462" i="21"/>
  <c r="I472" i="21"/>
  <c r="F473" i="21"/>
  <c r="G473" i="21"/>
  <c r="H473" i="21"/>
  <c r="I473" i="21"/>
  <c r="I474" i="21"/>
  <c r="I475" i="21"/>
  <c r="F476" i="21"/>
  <c r="G476" i="21"/>
  <c r="H476" i="21"/>
  <c r="I476" i="21"/>
  <c r="I482" i="21"/>
  <c r="F483" i="21"/>
  <c r="G483" i="21"/>
  <c r="H483" i="21"/>
  <c r="I483" i="21"/>
  <c r="I489" i="21"/>
  <c r="F490" i="21"/>
  <c r="G490" i="21"/>
  <c r="H490" i="21"/>
  <c r="I490" i="21"/>
  <c r="I496" i="21"/>
  <c r="F497" i="21"/>
  <c r="G497" i="21"/>
  <c r="H497" i="21"/>
  <c r="I497" i="21"/>
  <c r="I503" i="21"/>
  <c r="F504" i="21"/>
  <c r="G504" i="21"/>
  <c r="H504" i="21"/>
  <c r="I504" i="21"/>
  <c r="I510" i="21"/>
  <c r="F511" i="21"/>
  <c r="G511" i="21"/>
  <c r="H511" i="21"/>
  <c r="I511" i="21"/>
  <c r="I517" i="21"/>
  <c r="F518" i="21"/>
  <c r="G518" i="21"/>
  <c r="H518" i="21"/>
  <c r="I518" i="21"/>
  <c r="I524" i="21"/>
  <c r="F525" i="21"/>
  <c r="G525" i="21"/>
  <c r="H525" i="21"/>
  <c r="I525" i="21"/>
  <c r="I531" i="21"/>
  <c r="F532" i="21"/>
  <c r="G532" i="21"/>
  <c r="H532" i="21"/>
  <c r="I532" i="21"/>
  <c r="I538" i="21"/>
  <c r="F539" i="21"/>
  <c r="G539" i="21"/>
  <c r="H539" i="21"/>
  <c r="I539" i="21"/>
  <c r="I545" i="21"/>
  <c r="F546" i="21"/>
  <c r="G546" i="21"/>
  <c r="H546" i="21"/>
  <c r="I546" i="21"/>
  <c r="I552" i="21"/>
  <c r="F553" i="21"/>
  <c r="G553" i="21"/>
  <c r="H553" i="21"/>
  <c r="I553" i="21"/>
  <c r="I559" i="21"/>
  <c r="F560" i="21"/>
  <c r="G560" i="21"/>
  <c r="H560" i="21"/>
  <c r="I560" i="21"/>
  <c r="I566" i="21"/>
  <c r="F567" i="21"/>
  <c r="G567" i="21"/>
  <c r="H567" i="21"/>
  <c r="I567" i="21"/>
  <c r="I573" i="21"/>
  <c r="F574" i="21"/>
  <c r="G574" i="21"/>
  <c r="H574" i="21"/>
  <c r="I574" i="21"/>
  <c r="I580" i="21"/>
  <c r="F581" i="21"/>
  <c r="G581" i="21"/>
  <c r="H581" i="21"/>
  <c r="I581" i="21"/>
  <c r="I587" i="21"/>
  <c r="I588" i="21"/>
  <c r="F589" i="21"/>
  <c r="G589" i="21"/>
  <c r="H589" i="21"/>
  <c r="I589" i="21"/>
  <c r="I595" i="21"/>
  <c r="F596" i="21"/>
  <c r="G596" i="21"/>
  <c r="H596" i="21"/>
  <c r="I596" i="21"/>
  <c r="I605" i="21"/>
  <c r="F606" i="21"/>
  <c r="G606" i="21"/>
  <c r="H606" i="21"/>
  <c r="I606" i="21"/>
  <c r="I612" i="21"/>
  <c r="F613" i="21"/>
  <c r="G613" i="21"/>
  <c r="H613" i="21"/>
  <c r="I613" i="21"/>
  <c r="I619" i="21"/>
  <c r="F620" i="21"/>
  <c r="G620" i="21"/>
  <c r="H620" i="21"/>
  <c r="I620" i="21"/>
  <c r="I626" i="21"/>
  <c r="F627" i="21"/>
  <c r="G627" i="21"/>
  <c r="H627" i="21"/>
  <c r="I627" i="21"/>
  <c r="I633" i="21"/>
  <c r="F634" i="21"/>
  <c r="G634" i="21"/>
  <c r="H634" i="21"/>
  <c r="I634" i="21"/>
  <c r="I640" i="21"/>
  <c r="F641" i="21"/>
  <c r="K640" i="21"/>
  <c r="K1231" i="21"/>
  <c r="K1234" i="21"/>
  <c r="F1224" i="21"/>
  <c r="G641" i="21"/>
  <c r="L640" i="21"/>
  <c r="L1231" i="21"/>
  <c r="H641" i="21"/>
  <c r="M640" i="21"/>
  <c r="M1231" i="21"/>
  <c r="I641" i="21"/>
  <c r="I647" i="21"/>
  <c r="F648" i="21"/>
  <c r="G648" i="21"/>
  <c r="H648" i="21"/>
  <c r="I648" i="21"/>
  <c r="I654" i="21"/>
  <c r="F655" i="21"/>
  <c r="G655" i="21"/>
  <c r="H655" i="21"/>
  <c r="I655" i="21"/>
  <c r="F662" i="21"/>
  <c r="G662" i="21"/>
  <c r="H662" i="21"/>
  <c r="I663" i="21"/>
  <c r="F664" i="21"/>
  <c r="G664" i="21"/>
  <c r="H664" i="21"/>
  <c r="I664" i="21"/>
  <c r="I672" i="21"/>
  <c r="G673" i="21"/>
  <c r="H673" i="21"/>
  <c r="I673" i="21"/>
  <c r="I675" i="21"/>
  <c r="I676" i="21"/>
  <c r="F678" i="21"/>
  <c r="G678" i="21"/>
  <c r="H678" i="21"/>
  <c r="I678" i="21"/>
  <c r="I684" i="21"/>
  <c r="F685" i="21"/>
  <c r="G685" i="21"/>
  <c r="H685" i="21"/>
  <c r="I685" i="21"/>
  <c r="I691" i="21"/>
  <c r="F692" i="21"/>
  <c r="G692" i="21"/>
  <c r="H692" i="21"/>
  <c r="I692" i="21"/>
  <c r="I698" i="21"/>
  <c r="F699" i="21"/>
  <c r="G699" i="21"/>
  <c r="H699" i="21"/>
  <c r="I699" i="21"/>
  <c r="I705" i="21"/>
  <c r="F706" i="21"/>
  <c r="G706" i="21"/>
  <c r="H706" i="21"/>
  <c r="I706" i="21"/>
  <c r="I712" i="21"/>
  <c r="F713" i="21"/>
  <c r="G713" i="21"/>
  <c r="H713" i="21"/>
  <c r="I713" i="21"/>
  <c r="I719" i="21"/>
  <c r="F720" i="21"/>
  <c r="G720" i="21"/>
  <c r="H720" i="21"/>
  <c r="I720" i="21"/>
  <c r="I726" i="21"/>
  <c r="F727" i="21"/>
  <c r="G727" i="21"/>
  <c r="H727" i="21"/>
  <c r="I727" i="21"/>
  <c r="I733" i="21"/>
  <c r="F734" i="21"/>
  <c r="G734" i="21"/>
  <c r="H734" i="21"/>
  <c r="I734" i="21"/>
  <c r="I738" i="21"/>
  <c r="F739" i="21"/>
  <c r="G739" i="21"/>
  <c r="H739" i="21"/>
  <c r="I739" i="21"/>
  <c r="I745" i="21"/>
  <c r="G746" i="21"/>
  <c r="H746" i="21"/>
  <c r="I746" i="21"/>
  <c r="I747" i="21"/>
  <c r="F748" i="21"/>
  <c r="G748" i="21"/>
  <c r="H748" i="21"/>
  <c r="I748" i="21"/>
  <c r="I754" i="21"/>
  <c r="I755" i="21"/>
  <c r="F756" i="21"/>
  <c r="G756" i="21"/>
  <c r="H756" i="21"/>
  <c r="I756" i="21"/>
  <c r="I762" i="21"/>
  <c r="I763" i="21"/>
  <c r="F764" i="21"/>
  <c r="G764" i="21"/>
  <c r="H764" i="21"/>
  <c r="I764" i="21"/>
  <c r="K764" i="21"/>
  <c r="L764" i="21"/>
  <c r="M764" i="21"/>
  <c r="I770" i="21"/>
  <c r="I771" i="21"/>
  <c r="F772" i="21"/>
  <c r="G772" i="21"/>
  <c r="H772" i="21"/>
  <c r="I772" i="21"/>
  <c r="I778" i="21"/>
  <c r="F779" i="21"/>
  <c r="G779" i="21"/>
  <c r="H779" i="21"/>
  <c r="I779" i="21"/>
  <c r="F786" i="21"/>
  <c r="G786" i="21"/>
  <c r="H786" i="21"/>
  <c r="I792" i="21"/>
  <c r="F793" i="21"/>
  <c r="G793" i="21"/>
  <c r="H793" i="21"/>
  <c r="I793" i="21"/>
  <c r="I799" i="21"/>
  <c r="F800" i="21"/>
  <c r="G800" i="21"/>
  <c r="H800" i="21"/>
  <c r="I800" i="21"/>
  <c r="I804" i="21"/>
  <c r="F805" i="21"/>
  <c r="G805" i="21"/>
  <c r="H805" i="21"/>
  <c r="I805" i="21"/>
  <c r="I811" i="21"/>
  <c r="F812" i="21"/>
  <c r="G812" i="21"/>
  <c r="H812" i="21"/>
  <c r="I812" i="21"/>
  <c r="I818" i="21"/>
  <c r="I819" i="21"/>
  <c r="F820" i="21"/>
  <c r="G820" i="21"/>
  <c r="H820" i="21"/>
  <c r="I820" i="21"/>
  <c r="I826" i="21"/>
  <c r="F827" i="21"/>
  <c r="G827" i="21"/>
  <c r="H827" i="21"/>
  <c r="I827" i="21"/>
  <c r="I834" i="21"/>
  <c r="F835" i="21"/>
  <c r="G835" i="21"/>
  <c r="H835" i="21"/>
  <c r="I835" i="21"/>
  <c r="I842" i="21"/>
  <c r="F843" i="21"/>
  <c r="G843" i="21"/>
  <c r="H843" i="21"/>
  <c r="F850" i="21"/>
  <c r="G850" i="21"/>
  <c r="H850" i="21"/>
  <c r="I856" i="21"/>
  <c r="F857" i="21"/>
  <c r="G857" i="21"/>
  <c r="H857" i="21"/>
  <c r="I857" i="21"/>
  <c r="I863" i="21"/>
  <c r="F864" i="21"/>
  <c r="G864" i="21"/>
  <c r="H864" i="21"/>
  <c r="I864" i="21"/>
  <c r="I871" i="21"/>
  <c r="F872" i="21"/>
  <c r="G872" i="21"/>
  <c r="H872" i="21"/>
  <c r="I872" i="21"/>
  <c r="I878" i="21"/>
  <c r="I879" i="21"/>
  <c r="F880" i="21"/>
  <c r="G880" i="21"/>
  <c r="H880" i="21"/>
  <c r="I880" i="21"/>
  <c r="I886" i="21"/>
  <c r="I887" i="21"/>
  <c r="F888" i="21"/>
  <c r="G888" i="21"/>
  <c r="H888" i="21"/>
  <c r="I888" i="21"/>
  <c r="I895" i="21"/>
  <c r="F896" i="21"/>
  <c r="G896" i="21"/>
  <c r="H896" i="21"/>
  <c r="I896" i="21"/>
  <c r="I902" i="21"/>
  <c r="F903" i="21"/>
  <c r="G903" i="21"/>
  <c r="H903" i="21"/>
  <c r="I903" i="21"/>
  <c r="I904" i="21"/>
  <c r="I905" i="21"/>
  <c r="I906" i="21"/>
  <c r="F907" i="21"/>
  <c r="G907" i="21"/>
  <c r="H907" i="21"/>
  <c r="I907" i="21"/>
  <c r="I913" i="21"/>
  <c r="F914" i="21"/>
  <c r="G914" i="21"/>
  <c r="H914" i="21"/>
  <c r="I914" i="21"/>
  <c r="I920" i="21"/>
  <c r="F921" i="21"/>
  <c r="G921" i="21"/>
  <c r="H921" i="21"/>
  <c r="I921" i="21"/>
  <c r="I927" i="21"/>
  <c r="F928" i="21"/>
  <c r="G928" i="21"/>
  <c r="H928" i="21"/>
  <c r="I928" i="21"/>
  <c r="I938" i="21"/>
  <c r="F939" i="21"/>
  <c r="G939" i="21"/>
  <c r="H939" i="21"/>
  <c r="I939" i="21"/>
  <c r="I945" i="21"/>
  <c r="F946" i="21"/>
  <c r="G946" i="21"/>
  <c r="H946" i="21"/>
  <c r="I946" i="21"/>
  <c r="I952" i="21"/>
  <c r="F953" i="21"/>
  <c r="G953" i="21"/>
  <c r="H953" i="21"/>
  <c r="I953" i="21"/>
  <c r="I959" i="21"/>
  <c r="F960" i="21"/>
  <c r="G960" i="21"/>
  <c r="H960" i="21"/>
  <c r="I960" i="21"/>
  <c r="I966" i="21"/>
  <c r="F967" i="21"/>
  <c r="G967" i="21"/>
  <c r="H967" i="21"/>
  <c r="I967" i="21"/>
  <c r="I973" i="21"/>
  <c r="F974" i="21"/>
  <c r="G974" i="21"/>
  <c r="H974" i="21"/>
  <c r="I974" i="21"/>
  <c r="I980" i="21"/>
  <c r="F981" i="21"/>
  <c r="G981" i="21"/>
  <c r="H981" i="21"/>
  <c r="I981" i="21"/>
  <c r="I987" i="21"/>
  <c r="G988" i="21"/>
  <c r="H988" i="21"/>
  <c r="I988" i="21"/>
  <c r="I989" i="21"/>
  <c r="F990" i="21"/>
  <c r="G990" i="21"/>
  <c r="H990" i="21"/>
  <c r="I990" i="21"/>
  <c r="I996" i="21"/>
  <c r="F997" i="21"/>
  <c r="G997" i="21"/>
  <c r="H997" i="21"/>
  <c r="I997" i="21"/>
  <c r="I1005" i="21"/>
  <c r="F1006" i="21"/>
  <c r="G1006" i="21"/>
  <c r="H1006" i="21"/>
  <c r="I1006" i="21"/>
  <c r="I1012" i="21"/>
  <c r="F1013" i="21"/>
  <c r="G1013" i="21"/>
  <c r="H1013" i="21"/>
  <c r="I1013" i="21"/>
  <c r="I1019" i="21"/>
  <c r="F1020" i="21"/>
  <c r="G1020" i="21"/>
  <c r="H1020" i="21"/>
  <c r="I1020" i="21"/>
  <c r="I1026" i="21"/>
  <c r="F1027" i="21"/>
  <c r="G1027" i="21"/>
  <c r="H1027" i="21"/>
  <c r="I1027" i="21"/>
  <c r="K1027" i="21"/>
  <c r="L1027" i="21"/>
  <c r="M1027" i="21"/>
  <c r="I1033" i="21"/>
  <c r="F1034" i="21"/>
  <c r="G1034" i="21"/>
  <c r="H1034" i="21"/>
  <c r="I1034" i="21"/>
  <c r="I1040" i="21"/>
  <c r="F1041" i="21"/>
  <c r="G1041" i="21"/>
  <c r="H1041" i="21"/>
  <c r="I1041" i="21"/>
  <c r="I1047" i="21"/>
  <c r="I1048" i="21"/>
  <c r="G1049" i="21"/>
  <c r="H1049" i="21"/>
  <c r="I1049" i="21"/>
  <c r="I1050" i="21"/>
  <c r="I1051" i="21"/>
  <c r="I1052" i="21"/>
  <c r="I1053" i="21"/>
  <c r="F1054" i="21"/>
  <c r="G1054" i="21"/>
  <c r="H1054" i="21"/>
  <c r="I1054" i="21"/>
  <c r="I1060" i="21"/>
  <c r="F1061" i="21"/>
  <c r="G1061" i="21"/>
  <c r="H1061" i="21"/>
  <c r="I1061" i="21"/>
  <c r="I1072" i="21"/>
  <c r="F1073" i="21"/>
  <c r="G1073" i="21"/>
  <c r="H1073" i="21"/>
  <c r="I1073" i="21"/>
  <c r="I1079" i="21"/>
  <c r="F1080" i="21"/>
  <c r="G1080" i="21"/>
  <c r="H1080" i="21"/>
  <c r="I1080" i="21"/>
  <c r="I1086" i="21"/>
  <c r="F1087" i="21"/>
  <c r="G1087" i="21"/>
  <c r="H1087" i="21"/>
  <c r="I1087" i="21"/>
  <c r="I1093" i="21"/>
  <c r="F1094" i="21"/>
  <c r="G1094" i="21"/>
  <c r="H1094" i="21"/>
  <c r="I1094" i="21"/>
  <c r="I1100" i="21"/>
  <c r="F1101" i="21"/>
  <c r="G1101" i="21"/>
  <c r="H1101" i="21"/>
  <c r="I1101" i="21"/>
  <c r="I1107" i="21"/>
  <c r="F1108" i="21"/>
  <c r="G1108" i="21"/>
  <c r="H1108" i="21"/>
  <c r="I1108" i="21"/>
  <c r="I1114" i="21"/>
  <c r="F1115" i="21"/>
  <c r="G1115" i="21"/>
  <c r="H1115" i="21"/>
  <c r="I1115" i="21"/>
  <c r="I1121" i="21"/>
  <c r="F1122" i="21"/>
  <c r="G1122" i="21"/>
  <c r="H1122" i="21"/>
  <c r="I1122" i="21"/>
  <c r="I1128" i="21"/>
  <c r="F1129" i="21"/>
  <c r="G1129" i="21"/>
  <c r="H1129" i="21"/>
  <c r="I1129" i="21"/>
  <c r="I1139" i="21"/>
  <c r="F1140" i="21"/>
  <c r="G1140" i="21"/>
  <c r="H1140" i="21"/>
  <c r="I1140" i="21"/>
  <c r="I1146" i="21"/>
  <c r="F1147" i="21"/>
  <c r="G1147" i="21"/>
  <c r="H1147" i="21"/>
  <c r="I1147" i="21"/>
  <c r="I1153" i="21"/>
  <c r="F1154" i="21"/>
  <c r="G1154" i="21"/>
  <c r="H1154" i="21"/>
  <c r="I1154" i="21"/>
  <c r="I1160" i="21"/>
  <c r="F1161" i="21"/>
  <c r="G1161" i="21"/>
  <c r="H1161" i="21"/>
  <c r="I1161" i="21"/>
  <c r="I1167" i="21"/>
  <c r="F1168" i="21"/>
  <c r="G1168" i="21"/>
  <c r="H1168" i="21"/>
  <c r="I1168" i="21"/>
  <c r="I1174" i="21"/>
  <c r="F1175" i="21"/>
  <c r="G1175" i="21"/>
  <c r="H1175" i="21"/>
  <c r="I1175" i="21"/>
  <c r="I1181" i="21"/>
  <c r="F1182" i="21"/>
  <c r="G1182" i="21"/>
  <c r="H1182" i="21"/>
  <c r="I1182" i="21"/>
  <c r="I1188" i="21"/>
  <c r="F1189" i="21"/>
  <c r="G1189" i="21"/>
  <c r="H1189" i="21"/>
  <c r="I1189" i="21"/>
  <c r="I1195" i="21"/>
  <c r="F1196" i="21"/>
  <c r="G1196" i="21"/>
  <c r="H1196" i="21"/>
  <c r="I1196" i="21"/>
  <c r="I1206" i="21"/>
  <c r="F1207" i="21"/>
  <c r="G1207" i="21"/>
  <c r="H1207" i="21"/>
  <c r="I1207" i="21"/>
  <c r="I1213" i="21"/>
  <c r="F1214" i="21"/>
  <c r="G1214" i="21"/>
  <c r="H1214" i="21"/>
  <c r="I1214" i="21"/>
  <c r="K1214" i="21"/>
  <c r="L1214" i="21"/>
  <c r="M1214" i="21"/>
  <c r="I1220" i="21"/>
  <c r="F1221" i="21"/>
  <c r="G1221" i="21"/>
  <c r="H1221" i="21"/>
  <c r="I1221" i="21"/>
  <c r="K1221" i="21"/>
  <c r="L1221" i="21"/>
  <c r="M1221" i="21"/>
  <c r="K1228" i="21"/>
  <c r="L1228" i="21"/>
  <c r="M1228" i="21"/>
  <c r="K1229" i="21"/>
  <c r="K1230" i="21"/>
  <c r="L1230" i="21"/>
  <c r="M1230" i="21"/>
  <c r="K1232" i="21"/>
  <c r="L1232" i="21"/>
  <c r="M1232" i="21"/>
  <c r="K1233" i="21"/>
  <c r="L1233" i="21"/>
  <c r="M1233" i="21"/>
  <c r="H29" i="7"/>
  <c r="H31" i="7"/>
  <c r="H33" i="7"/>
  <c r="H38" i="7"/>
  <c r="H39" i="7"/>
  <c r="H57" i="7"/>
  <c r="H58" i="7"/>
  <c r="H61" i="7"/>
  <c r="H62" i="7"/>
  <c r="H63" i="7"/>
  <c r="H78" i="7"/>
  <c r="H79" i="7"/>
  <c r="H81" i="7"/>
  <c r="H87" i="7"/>
  <c r="H88" i="7"/>
  <c r="H90" i="7"/>
  <c r="H91" i="7"/>
  <c r="H95" i="7"/>
  <c r="H96" i="7"/>
  <c r="H97" i="7"/>
  <c r="H98" i="7"/>
  <c r="H102" i="7"/>
  <c r="H103" i="7"/>
  <c r="H104" i="7"/>
  <c r="H105" i="7"/>
  <c r="H106" i="7"/>
  <c r="H107" i="7"/>
  <c r="H108" i="7"/>
  <c r="H109" i="7"/>
  <c r="H120" i="7"/>
  <c r="H122" i="7"/>
  <c r="H136" i="7"/>
  <c r="H137" i="7"/>
  <c r="H139" i="7"/>
  <c r="H140" i="7"/>
  <c r="H155" i="7"/>
  <c r="H156" i="7"/>
  <c r="H157" i="7"/>
  <c r="H158" i="7"/>
  <c r="H160" i="7"/>
  <c r="H161" i="7"/>
  <c r="H162" i="7"/>
  <c r="H222" i="7"/>
  <c r="H224" i="7"/>
  <c r="H231" i="7"/>
  <c r="H232" i="7"/>
  <c r="H239" i="7"/>
  <c r="H240" i="7"/>
  <c r="H244" i="7"/>
  <c r="H263" i="7"/>
  <c r="E64" i="20"/>
  <c r="E311" i="7"/>
  <c r="C66" i="20" s="1"/>
  <c r="E68" i="20"/>
  <c r="E317" i="7"/>
  <c r="C71" i="20" s="1"/>
  <c r="H15" i="8"/>
  <c r="H16" i="8"/>
  <c r="H20" i="8"/>
  <c r="H21" i="8"/>
  <c r="H22" i="8"/>
  <c r="H23" i="8"/>
  <c r="H26" i="8"/>
  <c r="H27" i="8"/>
  <c r="H28" i="8"/>
  <c r="H29" i="8"/>
  <c r="H30" i="8"/>
  <c r="H31" i="8"/>
  <c r="H36" i="8"/>
  <c r="H40" i="8"/>
  <c r="H41" i="8"/>
  <c r="H42" i="8"/>
  <c r="H43" i="8"/>
  <c r="H44" i="8"/>
  <c r="H58" i="8"/>
  <c r="H59" i="8"/>
  <c r="H60" i="8"/>
  <c r="H63" i="8"/>
  <c r="H68" i="8"/>
  <c r="H77" i="8"/>
  <c r="H81" i="8"/>
  <c r="H82" i="8"/>
  <c r="H89" i="8"/>
  <c r="H90" i="8"/>
  <c r="H91" i="8"/>
  <c r="H100" i="8"/>
  <c r="H101" i="8"/>
  <c r="H116" i="8"/>
  <c r="H117" i="8"/>
  <c r="H120" i="8"/>
  <c r="E124" i="8"/>
  <c r="C47" i="20"/>
  <c r="D48" i="20"/>
  <c r="E48" i="20"/>
  <c r="H126" i="8"/>
  <c r="D49" i="20"/>
  <c r="G127" i="8"/>
  <c r="E49" i="20" s="1"/>
  <c r="E130" i="8"/>
  <c r="H9" i="27"/>
  <c r="H12" i="27"/>
  <c r="H19" i="27"/>
  <c r="H22" i="27"/>
  <c r="H27" i="27"/>
  <c r="H29" i="27"/>
  <c r="H30" i="27"/>
  <c r="H35" i="27"/>
  <c r="H38" i="27"/>
  <c r="F40" i="27"/>
  <c r="G40" i="27"/>
  <c r="H40" i="27"/>
  <c r="F41" i="27"/>
  <c r="G41" i="27"/>
  <c r="H41" i="27"/>
  <c r="F42" i="27"/>
  <c r="G42" i="27"/>
  <c r="H42" i="27"/>
  <c r="F47" i="27"/>
  <c r="G47" i="27"/>
  <c r="H47" i="27"/>
  <c r="I11" i="25"/>
  <c r="F13" i="25"/>
  <c r="G13" i="25"/>
  <c r="H13" i="25"/>
  <c r="I13" i="25"/>
  <c r="I14" i="25"/>
  <c r="I15" i="25"/>
  <c r="F16" i="25"/>
  <c r="G16" i="25"/>
  <c r="H16" i="25"/>
  <c r="F17" i="25"/>
  <c r="G17" i="25"/>
  <c r="H17" i="25"/>
  <c r="I17" i="25"/>
  <c r="F24" i="25"/>
  <c r="G24" i="25"/>
  <c r="H24" i="25"/>
  <c r="I24" i="25"/>
  <c r="F25" i="25"/>
  <c r="G25" i="25"/>
  <c r="H25" i="25"/>
  <c r="I25" i="25"/>
  <c r="I31" i="25"/>
  <c r="F32" i="25"/>
  <c r="G32" i="25"/>
  <c r="H32" i="25"/>
  <c r="I32" i="25"/>
  <c r="F33" i="25"/>
  <c r="G33" i="25"/>
  <c r="H33" i="25"/>
  <c r="I33" i="25"/>
  <c r="F38" i="25"/>
  <c r="F37" i="25"/>
  <c r="G38" i="25"/>
  <c r="G37" i="25"/>
  <c r="H38" i="25"/>
  <c r="H37" i="25"/>
  <c r="I37" i="25"/>
  <c r="I38" i="25"/>
  <c r="F39" i="25"/>
  <c r="G39" i="25"/>
  <c r="H39" i="25"/>
  <c r="I39" i="25"/>
  <c r="F44" i="25"/>
  <c r="G44" i="25"/>
  <c r="H44" i="25"/>
  <c r="I44" i="25"/>
  <c r="H10" i="9"/>
  <c r="H11" i="9"/>
  <c r="H12" i="9"/>
  <c r="H13" i="9"/>
  <c r="H18" i="9"/>
  <c r="H19" i="9"/>
  <c r="H20" i="9"/>
  <c r="H21" i="9"/>
  <c r="H26" i="9"/>
  <c r="H36" i="9"/>
  <c r="H50" i="9"/>
  <c r="H51" i="9"/>
  <c r="H61" i="9"/>
  <c r="H64" i="9"/>
  <c r="H75" i="9"/>
  <c r="H76" i="9"/>
  <c r="H77" i="9"/>
  <c r="H78" i="9"/>
  <c r="H79" i="9"/>
  <c r="H80" i="9"/>
  <c r="H85" i="9"/>
  <c r="H86" i="9"/>
  <c r="E95" i="9"/>
  <c r="G95" i="9"/>
  <c r="H12" i="10"/>
  <c r="H20" i="10"/>
  <c r="H28" i="10"/>
  <c r="H29" i="10"/>
  <c r="H30" i="10"/>
  <c r="H35" i="10"/>
  <c r="H36" i="10"/>
  <c r="D37" i="20"/>
  <c r="H10" i="11"/>
  <c r="H12" i="11"/>
  <c r="E18" i="11"/>
  <c r="E35" i="11" s="1"/>
  <c r="C30" i="20" s="1"/>
  <c r="H29" i="11"/>
  <c r="H30" i="11"/>
  <c r="E31" i="11"/>
  <c r="E36" i="11" s="1"/>
  <c r="C31" i="20" s="1"/>
  <c r="F36" i="11"/>
  <c r="G31" i="11"/>
  <c r="G36" i="11" s="1"/>
  <c r="E31" i="20" s="1"/>
  <c r="H11" i="4"/>
  <c r="E23" i="4"/>
  <c r="F17" i="4"/>
  <c r="D25" i="20" s="1"/>
  <c r="G23" i="4"/>
  <c r="G17" i="4"/>
  <c r="E25" i="20" s="1"/>
  <c r="E18" i="4"/>
  <c r="C26" i="20" s="1"/>
  <c r="F18" i="4"/>
  <c r="D26" i="20"/>
  <c r="G18" i="4"/>
  <c r="E26" i="20" s="1"/>
  <c r="H10" i="5"/>
  <c r="H14" i="5"/>
  <c r="H15" i="5"/>
  <c r="H17" i="5"/>
  <c r="H22" i="5"/>
  <c r="H35" i="5"/>
  <c r="H36" i="5"/>
  <c r="H37" i="5"/>
  <c r="H38" i="5"/>
  <c r="H39" i="5"/>
  <c r="E49" i="5"/>
  <c r="F46" i="5"/>
  <c r="G46" i="5"/>
  <c r="E23" i="20" s="1"/>
  <c r="H74" i="54"/>
  <c r="H75" i="54"/>
  <c r="H83" i="54"/>
  <c r="H87" i="54"/>
  <c r="H90" i="54"/>
  <c r="H91" i="54"/>
  <c r="H99" i="54"/>
  <c r="H100" i="54"/>
  <c r="H111" i="54"/>
  <c r="H114" i="54"/>
  <c r="H117" i="54"/>
  <c r="H118" i="54"/>
  <c r="H119" i="54"/>
  <c r="H120" i="54"/>
  <c r="H121" i="54"/>
  <c r="H122" i="54"/>
  <c r="H123" i="54"/>
  <c r="H125" i="54"/>
  <c r="H126" i="54"/>
  <c r="H127" i="54"/>
  <c r="H128" i="54"/>
  <c r="H129" i="54"/>
  <c r="H130" i="54"/>
  <c r="H132" i="54"/>
  <c r="H135" i="54"/>
  <c r="H139" i="54"/>
  <c r="H140" i="54"/>
  <c r="H145" i="54"/>
  <c r="H148" i="54"/>
  <c r="H151" i="54"/>
  <c r="H152" i="54"/>
  <c r="H153" i="54"/>
  <c r="H158" i="54"/>
  <c r="H159" i="54"/>
  <c r="H161" i="54"/>
  <c r="H165" i="54"/>
  <c r="H166" i="54"/>
  <c r="H167" i="54"/>
  <c r="H169" i="54"/>
  <c r="H172" i="54"/>
  <c r="H185" i="54"/>
  <c r="H189" i="54"/>
  <c r="H10" i="52"/>
  <c r="H38" i="52"/>
  <c r="M1234" i="21"/>
  <c r="H1224" i="21"/>
  <c r="L1234" i="21"/>
  <c r="G1224" i="21"/>
  <c r="H29" i="49"/>
  <c r="G34" i="49"/>
  <c r="H34" i="49"/>
  <c r="H73" i="54"/>
  <c r="H88" i="54"/>
  <c r="H82" i="54"/>
  <c r="H98" i="54"/>
  <c r="H56" i="52"/>
  <c r="H196" i="54"/>
  <c r="H47" i="52"/>
  <c r="E12" i="20"/>
  <c r="I1224" i="21"/>
  <c r="I292" i="20" l="1"/>
  <c r="C46" i="20"/>
  <c r="E123" i="8"/>
  <c r="I291" i="20"/>
  <c r="H291" i="20"/>
  <c r="G194" i="54"/>
  <c r="H194" i="54" s="1"/>
  <c r="F16" i="20"/>
  <c r="J189" i="54"/>
  <c r="E194" i="54"/>
  <c r="R48" i="20"/>
  <c r="R44" i="20"/>
  <c r="S42" i="20"/>
  <c r="R43" i="20"/>
  <c r="R42" i="20"/>
  <c r="T43" i="20"/>
  <c r="K45" i="20"/>
  <c r="M45" i="20"/>
  <c r="L45" i="20"/>
  <c r="F152" i="20"/>
  <c r="C297" i="20"/>
  <c r="C16" i="31" s="1"/>
  <c r="C283" i="20"/>
  <c r="G53" i="20"/>
  <c r="G291" i="20"/>
  <c r="L317" i="7"/>
  <c r="E42" i="20"/>
  <c r="G93" i="9"/>
  <c r="C42" i="20"/>
  <c r="E93" i="9"/>
  <c r="I53" i="20"/>
  <c r="E298" i="7"/>
  <c r="C55" i="20" s="1"/>
  <c r="J320" i="7"/>
  <c r="K316" i="7"/>
  <c r="K317" i="7" s="1"/>
  <c r="F25" i="20"/>
  <c r="F23" i="4"/>
  <c r="E17" i="4"/>
  <c r="D23" i="20"/>
  <c r="S43" i="20" s="1"/>
  <c r="D21" i="20"/>
  <c r="G98" i="20"/>
  <c r="G292" i="20"/>
  <c r="C20" i="20"/>
  <c r="R133" i="20"/>
  <c r="R135" i="20" s="1"/>
  <c r="D18" i="20"/>
  <c r="S44" i="20" s="1"/>
  <c r="F193" i="54"/>
  <c r="E18" i="20"/>
  <c r="T44" i="20" s="1"/>
  <c r="S101" i="20"/>
  <c r="R100" i="20"/>
  <c r="R101" i="20"/>
  <c r="T101" i="20"/>
  <c r="H86" i="7"/>
  <c r="C62" i="20"/>
  <c r="R99" i="20" s="1"/>
  <c r="M277" i="20"/>
  <c r="F116" i="20"/>
  <c r="H127" i="8"/>
  <c r="G125" i="8"/>
  <c r="E47" i="20" s="1"/>
  <c r="E37" i="20"/>
  <c r="D31" i="20"/>
  <c r="F31" i="20" s="1"/>
  <c r="H36" i="11"/>
  <c r="H31" i="11"/>
  <c r="F41" i="11"/>
  <c r="F35" i="11"/>
  <c r="D30" i="20" s="1"/>
  <c r="H18" i="11"/>
  <c r="G41" i="11"/>
  <c r="G35" i="11"/>
  <c r="E34" i="11"/>
  <c r="H23" i="4"/>
  <c r="H17" i="4"/>
  <c r="G16" i="4"/>
  <c r="H13" i="4"/>
  <c r="F16" i="4"/>
  <c r="H16" i="4" s="1"/>
  <c r="E44" i="5"/>
  <c r="H46" i="5"/>
  <c r="H195" i="54"/>
  <c r="H198" i="54"/>
  <c r="E9" i="20"/>
  <c r="H51" i="52"/>
  <c r="H59" i="52"/>
  <c r="H295" i="20"/>
  <c r="I295" i="20"/>
  <c r="F56" i="10"/>
  <c r="E57" i="10"/>
  <c r="E56" i="10" s="1"/>
  <c r="G56" i="10"/>
  <c r="F15" i="20"/>
  <c r="G112" i="20"/>
  <c r="F90" i="20"/>
  <c r="E88" i="20"/>
  <c r="F277" i="20"/>
  <c r="I75" i="20"/>
  <c r="I98" i="20"/>
  <c r="G87" i="20"/>
  <c r="H75" i="20"/>
  <c r="G75" i="20"/>
  <c r="H87" i="20"/>
  <c r="C29" i="20"/>
  <c r="I87" i="20"/>
  <c r="I112" i="20"/>
  <c r="F79" i="20"/>
  <c r="H53" i="20"/>
  <c r="H98" i="20"/>
  <c r="E93" i="20"/>
  <c r="D24" i="20"/>
  <c r="F97" i="20"/>
  <c r="F89" i="20"/>
  <c r="M278" i="20"/>
  <c r="E24" i="20"/>
  <c r="F48" i="20"/>
  <c r="C45" i="20"/>
  <c r="F85" i="20"/>
  <c r="M279" i="20"/>
  <c r="C7" i="20"/>
  <c r="D88" i="20"/>
  <c r="C88" i="20"/>
  <c r="F94" i="20"/>
  <c r="F49" i="20"/>
  <c r="D93" i="20"/>
  <c r="F12" i="20"/>
  <c r="F95" i="20"/>
  <c r="C243" i="20"/>
  <c r="E243" i="20"/>
  <c r="E218" i="20"/>
  <c r="C229" i="20"/>
  <c r="F219" i="20"/>
  <c r="D243" i="20"/>
  <c r="D218" i="20"/>
  <c r="C234" i="20"/>
  <c r="D229" i="20"/>
  <c r="E229" i="20"/>
  <c r="F230" i="20"/>
  <c r="F214" i="20"/>
  <c r="C218" i="20"/>
  <c r="G213" i="20"/>
  <c r="E213" i="20"/>
  <c r="I234" i="20"/>
  <c r="E234" i="20"/>
  <c r="D213" i="20"/>
  <c r="D234" i="20"/>
  <c r="D208" i="20"/>
  <c r="C203" i="20"/>
  <c r="C213" i="20"/>
  <c r="I213" i="20"/>
  <c r="D203" i="20"/>
  <c r="C208" i="20"/>
  <c r="E203" i="20"/>
  <c r="E208" i="20"/>
  <c r="F204" i="20"/>
  <c r="D169" i="20"/>
  <c r="I194" i="20"/>
  <c r="F171" i="20"/>
  <c r="F184" i="20"/>
  <c r="C183" i="20"/>
  <c r="D183" i="20"/>
  <c r="E183" i="20"/>
  <c r="C174" i="20"/>
  <c r="D174" i="20"/>
  <c r="E174" i="20"/>
  <c r="C169" i="20"/>
  <c r="E169" i="20"/>
  <c r="I147" i="20"/>
  <c r="G147" i="20"/>
  <c r="F149" i="20"/>
  <c r="E147" i="20"/>
  <c r="F147" i="20" s="1"/>
  <c r="H147" i="20"/>
  <c r="H303" i="20"/>
  <c r="H77" i="7"/>
  <c r="F310" i="7"/>
  <c r="H220" i="7"/>
  <c r="H24" i="7"/>
  <c r="H234" i="7"/>
  <c r="H60" i="7"/>
  <c r="D63" i="20"/>
  <c r="S100" i="20" s="1"/>
  <c r="D62" i="20"/>
  <c r="H56" i="7"/>
  <c r="E305" i="7"/>
  <c r="C61" i="20" s="1"/>
  <c r="H154" i="7"/>
  <c r="C65" i="20"/>
  <c r="G317" i="7"/>
  <c r="H94" i="7"/>
  <c r="E316" i="7"/>
  <c r="F68" i="20"/>
  <c r="F317" i="7"/>
  <c r="D71" i="20" s="1"/>
  <c r="D70" i="20" s="1"/>
  <c r="H313" i="7"/>
  <c r="H241" i="7"/>
  <c r="E310" i="7"/>
  <c r="F73" i="20"/>
  <c r="H141" i="7"/>
  <c r="C70" i="20"/>
  <c r="H299" i="7"/>
  <c r="H319" i="7"/>
  <c r="H165" i="7"/>
  <c r="D56" i="20"/>
  <c r="F56" i="20" s="1"/>
  <c r="F101" i="20"/>
  <c r="F107" i="20"/>
  <c r="F121" i="20"/>
  <c r="T280" i="20"/>
  <c r="D276" i="20"/>
  <c r="S279" i="20"/>
  <c r="H90" i="9"/>
  <c r="D41" i="20"/>
  <c r="H67" i="9"/>
  <c r="H46" i="10"/>
  <c r="G49" i="5"/>
  <c r="H40" i="5"/>
  <c r="F49" i="5"/>
  <c r="H23" i="5"/>
  <c r="F43" i="5"/>
  <c r="D7" i="20"/>
  <c r="F199" i="20"/>
  <c r="C198" i="20"/>
  <c r="D198" i="20"/>
  <c r="G198" i="20"/>
  <c r="I198" i="20"/>
  <c r="E198" i="20"/>
  <c r="H198" i="20"/>
  <c r="M283" i="20"/>
  <c r="I303" i="20" s="1"/>
  <c r="D194" i="20"/>
  <c r="H194" i="20"/>
  <c r="G194" i="20"/>
  <c r="F195" i="20"/>
  <c r="C194" i="20"/>
  <c r="E189" i="20"/>
  <c r="F190" i="20"/>
  <c r="D189" i="20"/>
  <c r="C189" i="20"/>
  <c r="F130" i="8"/>
  <c r="H93" i="8"/>
  <c r="G130" i="8"/>
  <c r="D47" i="20"/>
  <c r="E194" i="20"/>
  <c r="F224" i="20"/>
  <c r="E223" i="20"/>
  <c r="D223" i="20"/>
  <c r="C223" i="20"/>
  <c r="G193" i="54" l="1"/>
  <c r="O292" i="20"/>
  <c r="O293" i="20" s="1"/>
  <c r="E297" i="20"/>
  <c r="R98" i="20"/>
  <c r="E283" i="20"/>
  <c r="H282" i="20"/>
  <c r="I282" i="20"/>
  <c r="G282" i="20"/>
  <c r="K274" i="20" s="1"/>
  <c r="M103" i="20"/>
  <c r="K103" i="20"/>
  <c r="F37" i="20"/>
  <c r="T42" i="20"/>
  <c r="D297" i="20"/>
  <c r="D16" i="31" s="1"/>
  <c r="C293" i="20"/>
  <c r="C12" i="31" s="1"/>
  <c r="E16" i="31"/>
  <c r="H296" i="20"/>
  <c r="H298" i="20" s="1"/>
  <c r="H311" i="20" s="1"/>
  <c r="I296" i="20"/>
  <c r="G293" i="20"/>
  <c r="G296" i="20" s="1"/>
  <c r="G298" i="20" s="1"/>
  <c r="G311" i="20" s="1"/>
  <c r="D12" i="31"/>
  <c r="E12" i="31"/>
  <c r="D283" i="20"/>
  <c r="S280" i="20"/>
  <c r="S282" i="20" s="1"/>
  <c r="H56" i="10"/>
  <c r="E193" i="54"/>
  <c r="R282" i="20"/>
  <c r="M282" i="20"/>
  <c r="M281" i="20"/>
  <c r="M284" i="20" s="1"/>
  <c r="M285" i="20" s="1"/>
  <c r="C303" i="20"/>
  <c r="C29" i="31" s="1"/>
  <c r="L103" i="20"/>
  <c r="F24" i="20"/>
  <c r="G297" i="7"/>
  <c r="L320" i="7"/>
  <c r="M316" i="7"/>
  <c r="M317" i="7" s="1"/>
  <c r="F23" i="20"/>
  <c r="H41" i="11"/>
  <c r="E16" i="4"/>
  <c r="C25" i="20"/>
  <c r="C24" i="20" s="1"/>
  <c r="C21" i="20"/>
  <c r="R41" i="20" s="1"/>
  <c r="R47" i="20" s="1"/>
  <c r="S48" i="20"/>
  <c r="F18" i="20"/>
  <c r="T48" i="20"/>
  <c r="F234" i="20"/>
  <c r="F243" i="20"/>
  <c r="E297" i="7"/>
  <c r="C60" i="20"/>
  <c r="D55" i="20"/>
  <c r="C99" i="20"/>
  <c r="C276" i="20"/>
  <c r="S105" i="20"/>
  <c r="D76" i="20"/>
  <c r="C279" i="20"/>
  <c r="H125" i="8"/>
  <c r="H130" i="8"/>
  <c r="H62" i="10"/>
  <c r="D29" i="20"/>
  <c r="F34" i="11"/>
  <c r="H35" i="11"/>
  <c r="E30" i="20"/>
  <c r="G34" i="11"/>
  <c r="H49" i="5"/>
  <c r="E200" i="54"/>
  <c r="D295" i="20"/>
  <c r="D14" i="31" s="1"/>
  <c r="C35" i="20"/>
  <c r="C54" i="20"/>
  <c r="G303" i="20"/>
  <c r="F115" i="20"/>
  <c r="E87" i="20"/>
  <c r="F93" i="20"/>
  <c r="F88" i="20"/>
  <c r="D87" i="20"/>
  <c r="F229" i="20"/>
  <c r="F218" i="20"/>
  <c r="F213" i="20"/>
  <c r="F203" i="20"/>
  <c r="F198" i="20"/>
  <c r="F169" i="20"/>
  <c r="F183" i="20"/>
  <c r="F174" i="20"/>
  <c r="D66" i="20"/>
  <c r="D65" i="20" s="1"/>
  <c r="H250" i="7"/>
  <c r="E304" i="7"/>
  <c r="J322" i="7" s="1"/>
  <c r="J319" i="7" s="1"/>
  <c r="G311" i="7"/>
  <c r="E66" i="20" s="1"/>
  <c r="H291" i="7"/>
  <c r="F316" i="7"/>
  <c r="E63" i="20"/>
  <c r="P292" i="20" s="1"/>
  <c r="P293" i="20" s="1"/>
  <c r="H307" i="7"/>
  <c r="G305" i="7"/>
  <c r="E71" i="20"/>
  <c r="E70" i="20" s="1"/>
  <c r="F70" i="20" s="1"/>
  <c r="G316" i="7"/>
  <c r="E62" i="20"/>
  <c r="C93" i="20"/>
  <c r="C87" i="20" s="1"/>
  <c r="C76" i="20"/>
  <c r="F126" i="20"/>
  <c r="F278" i="20"/>
  <c r="E276" i="20"/>
  <c r="D279" i="20"/>
  <c r="E41" i="20"/>
  <c r="H93" i="9"/>
  <c r="C41" i="20"/>
  <c r="D42" i="20"/>
  <c r="D40" i="20" s="1"/>
  <c r="H95" i="9"/>
  <c r="H57" i="10"/>
  <c r="E35" i="20"/>
  <c r="D35" i="20"/>
  <c r="G42" i="5"/>
  <c r="H44" i="5"/>
  <c r="E21" i="20"/>
  <c r="T41" i="20" s="1"/>
  <c r="F42" i="5"/>
  <c r="D20" i="20"/>
  <c r="H43" i="5"/>
  <c r="D14" i="20"/>
  <c r="F8" i="20"/>
  <c r="H52" i="52"/>
  <c r="E7" i="20"/>
  <c r="F200" i="20"/>
  <c r="G302" i="20"/>
  <c r="F189" i="20"/>
  <c r="E76" i="20"/>
  <c r="H123" i="7"/>
  <c r="F47" i="20"/>
  <c r="E46" i="20"/>
  <c r="G123" i="8"/>
  <c r="H124" i="8"/>
  <c r="D46" i="20"/>
  <c r="F123" i="8"/>
  <c r="F194" i="20"/>
  <c r="T279" i="20"/>
  <c r="F223" i="20"/>
  <c r="I298" i="20" l="1"/>
  <c r="I311" i="20" s="1"/>
  <c r="D303" i="20"/>
  <c r="D29" i="31" s="1"/>
  <c r="S46" i="20"/>
  <c r="S41" i="20"/>
  <c r="S47" i="20" s="1"/>
  <c r="D301" i="20" s="1"/>
  <c r="C34" i="20"/>
  <c r="D34" i="20"/>
  <c r="S40" i="20"/>
  <c r="C294" i="20"/>
  <c r="C13" i="31" s="1"/>
  <c r="G304" i="20"/>
  <c r="E323" i="7"/>
  <c r="C53" i="20"/>
  <c r="C14" i="20"/>
  <c r="R46" i="20" s="1"/>
  <c r="F283" i="20"/>
  <c r="E303" i="20"/>
  <c r="E29" i="31" s="1"/>
  <c r="T47" i="20"/>
  <c r="C19" i="20"/>
  <c r="G284" i="20"/>
  <c r="D13" i="20"/>
  <c r="T282" i="20"/>
  <c r="S99" i="20"/>
  <c r="C104" i="20"/>
  <c r="C98" i="20" s="1"/>
  <c r="F63" i="20"/>
  <c r="T100" i="20"/>
  <c r="T99" i="20"/>
  <c r="T105" i="20"/>
  <c r="C295" i="20"/>
  <c r="C14" i="31" s="1"/>
  <c r="E125" i="20"/>
  <c r="F106" i="20"/>
  <c r="H34" i="11"/>
  <c r="F30" i="20"/>
  <c r="E29" i="20"/>
  <c r="F29" i="20" s="1"/>
  <c r="H42" i="5"/>
  <c r="I302" i="20"/>
  <c r="I304" i="20" s="1"/>
  <c r="F16" i="31"/>
  <c r="C118" i="20"/>
  <c r="F7" i="20"/>
  <c r="D294" i="20"/>
  <c r="D13" i="31" s="1"/>
  <c r="H284" i="20"/>
  <c r="I284" i="20"/>
  <c r="C40" i="20"/>
  <c r="F87" i="20"/>
  <c r="H302" i="20"/>
  <c r="H304" i="20" s="1"/>
  <c r="H311" i="7"/>
  <c r="G310" i="7"/>
  <c r="H310" i="7" s="1"/>
  <c r="H316" i="7"/>
  <c r="G304" i="7"/>
  <c r="H305" i="7"/>
  <c r="E61" i="20"/>
  <c r="D61" i="20"/>
  <c r="D60" i="20" s="1"/>
  <c r="F304" i="7"/>
  <c r="F66" i="20"/>
  <c r="E65" i="20"/>
  <c r="F65" i="20" s="1"/>
  <c r="E113" i="20"/>
  <c r="C113" i="20"/>
  <c r="F119" i="20"/>
  <c r="D118" i="20"/>
  <c r="E104" i="20"/>
  <c r="F105" i="20"/>
  <c r="D104" i="20"/>
  <c r="F84" i="20"/>
  <c r="E295" i="20"/>
  <c r="E14" i="31" s="1"/>
  <c r="F276" i="20"/>
  <c r="F42" i="20"/>
  <c r="F41" i="20"/>
  <c r="E40" i="20"/>
  <c r="E34" i="20"/>
  <c r="F35" i="20"/>
  <c r="F21" i="20"/>
  <c r="E19" i="20"/>
  <c r="D19" i="20"/>
  <c r="F20" i="20"/>
  <c r="F77" i="20"/>
  <c r="D54" i="20"/>
  <c r="H298" i="7"/>
  <c r="E55" i="20"/>
  <c r="E54" i="20" s="1"/>
  <c r="D45" i="20"/>
  <c r="H123" i="8"/>
  <c r="E45" i="20"/>
  <c r="F46" i="20"/>
  <c r="E279" i="20"/>
  <c r="F280" i="20"/>
  <c r="E301" i="20" l="1"/>
  <c r="E27" i="31" s="1"/>
  <c r="G323" i="7"/>
  <c r="T2380" i="17"/>
  <c r="F29" i="31"/>
  <c r="S45" i="20"/>
  <c r="R40" i="20"/>
  <c r="R45" i="20" s="1"/>
  <c r="F34" i="20"/>
  <c r="K322" i="7"/>
  <c r="K319" i="7" s="1"/>
  <c r="F323" i="7"/>
  <c r="T98" i="20"/>
  <c r="C13" i="20"/>
  <c r="T104" i="20"/>
  <c r="S49" i="20"/>
  <c r="C125" i="20"/>
  <c r="R104" i="20"/>
  <c r="C300" i="20" s="1"/>
  <c r="R49" i="20"/>
  <c r="R105" i="20"/>
  <c r="C301" i="20" s="1"/>
  <c r="L322" i="7"/>
  <c r="D99" i="20"/>
  <c r="D98" i="20" s="1"/>
  <c r="F14" i="31"/>
  <c r="F127" i="20"/>
  <c r="D125" i="20"/>
  <c r="F40" i="20"/>
  <c r="E294" i="20"/>
  <c r="E13" i="31" s="1"/>
  <c r="F45" i="20"/>
  <c r="F120" i="20"/>
  <c r="F114" i="20"/>
  <c r="D113" i="20"/>
  <c r="C112" i="20"/>
  <c r="F19" i="20"/>
  <c r="H304" i="7"/>
  <c r="F61" i="20"/>
  <c r="E60" i="20"/>
  <c r="D53" i="20"/>
  <c r="E118" i="20"/>
  <c r="E112" i="20" s="1"/>
  <c r="E99" i="20"/>
  <c r="F100" i="20"/>
  <c r="F104" i="20"/>
  <c r="C82" i="20"/>
  <c r="C292" i="20" s="1"/>
  <c r="E82" i="20"/>
  <c r="E75" i="20" s="1"/>
  <c r="F76" i="20"/>
  <c r="H297" i="7"/>
  <c r="F55" i="20"/>
  <c r="F12" i="31"/>
  <c r="F279" i="20"/>
  <c r="H173" i="54"/>
  <c r="D291" i="20" l="1"/>
  <c r="D10" i="31" s="1"/>
  <c r="H323" i="7"/>
  <c r="E53" i="20"/>
  <c r="E292" i="20"/>
  <c r="E11" i="31" s="1"/>
  <c r="C27" i="31"/>
  <c r="C291" i="20"/>
  <c r="C10" i="31" s="1"/>
  <c r="C26" i="31"/>
  <c r="T107" i="20"/>
  <c r="R107" i="20"/>
  <c r="D27" i="31"/>
  <c r="C11" i="31"/>
  <c r="F99" i="20"/>
  <c r="E14" i="20"/>
  <c r="T40" i="20" s="1"/>
  <c r="T45" i="20" s="1"/>
  <c r="F13" i="31"/>
  <c r="F60" i="20"/>
  <c r="F125" i="20"/>
  <c r="D112" i="20"/>
  <c r="F113" i="20"/>
  <c r="L319" i="7"/>
  <c r="F118" i="20"/>
  <c r="E98" i="20"/>
  <c r="C75" i="20"/>
  <c r="C282" i="20" s="1"/>
  <c r="F54" i="20"/>
  <c r="H193" i="54"/>
  <c r="G200" i="54"/>
  <c r="H200" i="54" s="1"/>
  <c r="C28" i="31" l="1"/>
  <c r="C30" i="31" s="1"/>
  <c r="T46" i="20"/>
  <c r="E300" i="20" s="1"/>
  <c r="E13" i="20"/>
  <c r="R103" i="20"/>
  <c r="C284" i="20"/>
  <c r="T103" i="20"/>
  <c r="C15" i="31"/>
  <c r="C17" i="31" s="1"/>
  <c r="S104" i="20"/>
  <c r="S98" i="20"/>
  <c r="C302" i="20"/>
  <c r="C304" i="20" s="1"/>
  <c r="F98" i="20"/>
  <c r="D82" i="20"/>
  <c r="F83" i="20"/>
  <c r="F14" i="20"/>
  <c r="F112" i="20"/>
  <c r="C296" i="20"/>
  <c r="C298" i="20" s="1"/>
  <c r="C311" i="20" s="1"/>
  <c r="F53" i="20"/>
  <c r="D292" i="20" l="1"/>
  <c r="D11" i="31" s="1"/>
  <c r="D300" i="20"/>
  <c r="D302" i="20" s="1"/>
  <c r="E282" i="20"/>
  <c r="E291" i="20"/>
  <c r="E26" i="31"/>
  <c r="E28" i="31" s="1"/>
  <c r="E30" i="31" s="1"/>
  <c r="S107" i="20"/>
  <c r="T49" i="20"/>
  <c r="F13" i="20"/>
  <c r="D75" i="20"/>
  <c r="D282" i="20" s="1"/>
  <c r="D284" i="20" s="1"/>
  <c r="F82" i="20"/>
  <c r="F27" i="31"/>
  <c r="D296" i="20" l="1"/>
  <c r="D298" i="20" s="1"/>
  <c r="D311" i="20" s="1"/>
  <c r="D26" i="31"/>
  <c r="D28" i="31" s="1"/>
  <c r="D30" i="31" s="1"/>
  <c r="D304" i="20"/>
  <c r="S103" i="20"/>
  <c r="E296" i="20"/>
  <c r="E298" i="20" s="1"/>
  <c r="E311" i="20" s="1"/>
  <c r="E10" i="31"/>
  <c r="E15" i="31" s="1"/>
  <c r="E17" i="31" s="1"/>
  <c r="E302" i="20"/>
  <c r="E304" i="20" s="1"/>
  <c r="F75" i="20"/>
  <c r="E284" i="20"/>
  <c r="F26" i="31"/>
  <c r="F10" i="31" l="1"/>
  <c r="F11" i="31"/>
  <c r="D15" i="31"/>
  <c r="F282" i="20"/>
  <c r="F284" i="20"/>
  <c r="F30" i="31"/>
  <c r="F28" i="31"/>
  <c r="D17" i="31" l="1"/>
  <c r="F17" i="31" s="1"/>
  <c r="F15" i="31"/>
</calcChain>
</file>

<file path=xl/comments1.xml><?xml version="1.0" encoding="utf-8"?>
<comments xmlns="http://schemas.openxmlformats.org/spreadsheetml/2006/main">
  <authors>
    <author>Ing. Alice Hradilová</author>
  </authors>
  <commentList>
    <comment ref="E26" authorId="0">
      <text>
        <r>
          <rPr>
            <sz val="8"/>
            <color indexed="81"/>
            <rFont val="Tahoma"/>
            <family val="2"/>
            <charset val="238"/>
          </rPr>
          <t xml:space="preserve">běžné výdaje z fin - konsolidace ORJ 07
</t>
        </r>
      </text>
    </comment>
  </commentList>
</comments>
</file>

<file path=xl/comments2.xml><?xml version="1.0" encoding="utf-8"?>
<comments xmlns="http://schemas.openxmlformats.org/spreadsheetml/2006/main">
  <authors>
    <author>Hradilová Alice</author>
  </authors>
  <commentList>
    <comment ref="G170" authorId="0">
      <text>
        <r>
          <rPr>
            <sz val="9"/>
            <color indexed="81"/>
            <rFont val="Tahoma"/>
            <family val="2"/>
            <charset val="238"/>
          </rPr>
          <t xml:space="preserve">vztahuje se k ORJ 199
</t>
        </r>
      </text>
    </comment>
  </commentList>
</comments>
</file>

<file path=xl/comments3.xml><?xml version="1.0" encoding="utf-8"?>
<comments xmlns="http://schemas.openxmlformats.org/spreadsheetml/2006/main">
  <authors>
    <author>Hradilová Alice</author>
  </authors>
  <commentList>
    <comment ref="G111" authorId="0">
      <text>
        <r>
          <rPr>
            <b/>
            <sz val="9"/>
            <color indexed="81"/>
            <rFont val="Tahoma"/>
            <family val="2"/>
            <charset val="238"/>
          </rPr>
          <t>Sluňákov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113" authorId="0">
      <text>
        <r>
          <rPr>
            <b/>
            <sz val="9"/>
            <color indexed="81"/>
            <rFont val="Tahoma"/>
            <family val="2"/>
            <charset val="238"/>
          </rPr>
          <t>RS Iris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116" authorId="0">
      <text>
        <r>
          <rPr>
            <b/>
            <sz val="9"/>
            <color indexed="81"/>
            <rFont val="Tahoma"/>
            <family val="2"/>
            <charset val="238"/>
          </rPr>
          <t>Doris Šumperk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118" authorId="0">
      <text>
        <r>
          <rPr>
            <sz val="9"/>
            <color indexed="81"/>
            <rFont val="Tahoma"/>
            <family val="2"/>
            <charset val="238"/>
          </rPr>
          <t xml:space="preserve">Muzeum Komenského v Přerově
</t>
        </r>
      </text>
    </comment>
  </commentList>
</comments>
</file>

<file path=xl/comments4.xml><?xml version="1.0" encoding="utf-8"?>
<comments xmlns="http://schemas.openxmlformats.org/spreadsheetml/2006/main">
  <authors>
    <author>Hradilová Alice</author>
  </authors>
  <commentList>
    <comment ref="D109" authorId="0">
      <text>
        <r>
          <rPr>
            <b/>
            <sz val="9"/>
            <color indexed="81"/>
            <rFont val="Tahoma"/>
            <family val="2"/>
            <charset val="238"/>
          </rPr>
          <t>OLU Paseka 1700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Hradilová Alice</author>
  </authors>
  <commentList>
    <comment ref="D60" authorId="0">
      <text>
        <r>
          <rPr>
            <sz val="9"/>
            <color indexed="81"/>
            <rFont val="Tahoma"/>
            <family val="2"/>
            <charset val="238"/>
          </rPr>
          <t xml:space="preserve">ZUŠ Žerotín, Olomouc
</t>
        </r>
      </text>
    </comment>
  </commentList>
</comments>
</file>

<file path=xl/sharedStrings.xml><?xml version="1.0" encoding="utf-8"?>
<sst xmlns="http://schemas.openxmlformats.org/spreadsheetml/2006/main" count="23336" uniqueCount="2180">
  <si>
    <t>Dotace na SŠ a škol.zařízení</t>
  </si>
  <si>
    <t>Asistenti pedagogů v SŠ a církevních spec.šk.</t>
  </si>
  <si>
    <t>Dotace pro soukromé školy</t>
  </si>
  <si>
    <t>Středisko sociální prevence Olomouc celkem</t>
  </si>
  <si>
    <t>Domov "Na Zámku" Nezamyslice</t>
  </si>
  <si>
    <t>Domov pro seniory Tovačov</t>
  </si>
  <si>
    <t>Domov "Na Zámku" Nezamyslice celkem</t>
  </si>
  <si>
    <t>Domov pro seniory Tovačov celkem</t>
  </si>
  <si>
    <t>Domov ADAM Dřevohostice</t>
  </si>
  <si>
    <t>Domov ADAM Dřevohostice celkem</t>
  </si>
  <si>
    <t>Domov Na Zámečku Rokytnice</t>
  </si>
  <si>
    <t>Domov Na Zámečku Rokytnice  celkem</t>
  </si>
  <si>
    <t>Domov důchodců Šumperk</t>
  </si>
  <si>
    <t>Domov důchodců Šumperk celkem</t>
  </si>
  <si>
    <t>Domov důchodců Libina</t>
  </si>
  <si>
    <t>Domov důchodců Libina celkem</t>
  </si>
  <si>
    <t>Domov důchodců Štíty</t>
  </si>
  <si>
    <t>Domov důchodců Štíty celkem</t>
  </si>
  <si>
    <t>ZZS OK, p.o. - Zateplení budov v Olomouci, Hněvotínská ul.</t>
  </si>
  <si>
    <t>ZZS OK, p.o. - Zateplení budov  Šumperk</t>
  </si>
  <si>
    <t>SMN a.s. - o.z. Nem. PV-  Dispoziční úpravy 6. NP polikliniky</t>
  </si>
  <si>
    <t>SMN a.s. - o.z. Nem. PV - Parkoviště v areálu nemocnice</t>
  </si>
  <si>
    <t>Provozní příspěvky zřízeným PO - rezerva</t>
  </si>
  <si>
    <t>nájemné PO</t>
  </si>
  <si>
    <t>MŠMT - přímé nákl.na vzdělání</t>
  </si>
  <si>
    <t>Střední škola stavební HORSTAV, U Hradiska 4, Olomouc</t>
  </si>
  <si>
    <t>Rezerva hejtmana pro krizové řízení</t>
  </si>
  <si>
    <t>III/4436, III/4435, I/35 Olomouc - okružní křižovatka</t>
  </si>
  <si>
    <t>OA, Mohelnice - odloučené pracoviště Olomoucká 41 - Vzduchotechnika ve školní kuchyni</t>
  </si>
  <si>
    <t>Střední škola sociální péče a služeb, Zábřeh - Kotelna</t>
  </si>
  <si>
    <t>Základní škola a Dětský domov Zábřeh- Rekonstrukce kuchyně na dětském domově</t>
  </si>
  <si>
    <t>DD a Školní jídelna, Olomouc, U Sportovní haly 1a - Oprava pokojů a bytových jader</t>
  </si>
  <si>
    <t>ROP - Regionální dopravní infrastruktura - Silnice II. a III. třídy</t>
  </si>
  <si>
    <t xml:space="preserve">VILA DORIS ŠUMPERK - Podpora sociální integrace v Olomouckém kraji celkem </t>
  </si>
  <si>
    <t>ORJ - 48</t>
  </si>
  <si>
    <t>číslo účtu: 2441512/0800</t>
  </si>
  <si>
    <t xml:space="preserve">vedoucí odboru strategického rozvoje kraje </t>
  </si>
  <si>
    <t xml:space="preserve">Ing. Michaela Pruknerová </t>
  </si>
  <si>
    <t>BIS RTD Podpora veřejného financování výzkumu a technologického rozvoje v regionech celkem</t>
  </si>
  <si>
    <t>číslo účtu: 2309562/0800</t>
  </si>
  <si>
    <t>Neinv.transf.obecně prospěšným spol.</t>
  </si>
  <si>
    <t>Neinv.transfery veř.rozp.ústř.úrovně</t>
  </si>
  <si>
    <t xml:space="preserve">99) Fond na podporu výstavby a obnovy vodohospodářské infrastruktury na území Olomouckého kraje </t>
  </si>
  <si>
    <t xml:space="preserve">199) Fond sociálních potřeb Olomouckého kraje </t>
  </si>
  <si>
    <t xml:space="preserve">Odbor strategického rozvoje kraje celkem </t>
  </si>
  <si>
    <t>SOŠ a SOU stroj. a stavební, Dukelská 1240, Jeseník</t>
  </si>
  <si>
    <t>Střední lesnická škola, Jurikova 588, Hranice</t>
  </si>
  <si>
    <t>Obchodní akademie, Tř. Spojenců 11, Olomouc</t>
  </si>
  <si>
    <t>Střední škola, Základní škola a Mateřská škola, Hanácká 3, Šumperk</t>
  </si>
  <si>
    <r>
      <t>•</t>
    </r>
    <r>
      <rPr>
        <sz val="11"/>
        <rFont val="Arial"/>
        <family val="2"/>
        <charset val="238"/>
      </rPr>
      <t xml:space="preserve"> Běžné výdaje</t>
    </r>
  </si>
  <si>
    <r>
      <t xml:space="preserve">• </t>
    </r>
    <r>
      <rPr>
        <sz val="11"/>
        <rFont val="Arial"/>
        <family val="2"/>
        <charset val="238"/>
      </rPr>
      <t>Kapitálové výdaje</t>
    </r>
  </si>
  <si>
    <t>* Konsolidace je očištění údajů o rozpočtu a skutečnosti o interní přesuny peněžních prostředků uvnitř organizace mezi jednotlivými účty.</t>
  </si>
  <si>
    <t>ORG 100070</t>
  </si>
  <si>
    <t>ORG - 1704</t>
  </si>
  <si>
    <t>8=7/6</t>
  </si>
  <si>
    <t>podpora romských žáků stř.škol</t>
  </si>
  <si>
    <t>a) dle oblastí výdajů</t>
  </si>
  <si>
    <t xml:space="preserve">Výdaje Olomouckého kraje celkem  </t>
  </si>
  <si>
    <t xml:space="preserve">b) dle druhu výdajů </t>
  </si>
  <si>
    <t>5 = 4 / 3</t>
  </si>
  <si>
    <t>00000408</t>
  </si>
  <si>
    <t>Ostat.neinv.transfery nezisk.a pod.org.</t>
  </si>
  <si>
    <t>Inv.transfery občanským sdružením</t>
  </si>
  <si>
    <t>provozní příspěvky zřízeným PO</t>
  </si>
  <si>
    <t>Sociální služby pro seniory Olomouc</t>
  </si>
  <si>
    <t>Sociální služby pro seniory Olomouc celkem</t>
  </si>
  <si>
    <t>příspěvek na provoz-mzdové náklady</t>
  </si>
  <si>
    <t>SMN a.s. - o.z. Nem. Šternberk-Rekonstrukce výtahu - pavilon SVLS</t>
  </si>
  <si>
    <t>SMN a.s. - o.z. Nem. Šternberk- Stavební úprava observačního boxu - dětské odd.</t>
  </si>
  <si>
    <t>Střední odborná škola, Šumperk, Zemědělská 3- Výměna výtahu</t>
  </si>
  <si>
    <t xml:space="preserve">SOŠ železniční, stavební a památkové péče a SOU, Šumperk - Výměna oken </t>
  </si>
  <si>
    <t>SOŠ železniční, stavební a památkové péče a SOU, Šumperk - odloučené pracoviště Hanácká , Šumperk - Výměna oken</t>
  </si>
  <si>
    <t>Realizace energeticky úsporných opatření - Obchodní akademie Přerov</t>
  </si>
  <si>
    <t>ORG 100463</t>
  </si>
  <si>
    <t>Realizace energeticky úsporných opatření - Gymnázium Jeseník</t>
  </si>
  <si>
    <t>ORG 100465</t>
  </si>
  <si>
    <t>Základní škola, Fučíkova 312, Jeseník</t>
  </si>
  <si>
    <t>ORJ - 14</t>
  </si>
  <si>
    <t>ORG 1540</t>
  </si>
  <si>
    <t>Investiční transfery nefininačním podnikatelským subjektům - právnickým osobám</t>
  </si>
  <si>
    <t>Jeseník</t>
  </si>
  <si>
    <t>Základní škola a Mateřská škola, Malá Dlážka 4, Přerov</t>
  </si>
  <si>
    <t>ORG 100473</t>
  </si>
  <si>
    <t>Realizace energeticky úsporných opatření - VOŠ a SŠ automobilní Zábřeh</t>
  </si>
  <si>
    <t>ORG 100510</t>
  </si>
  <si>
    <t>Realizace energeticky úsporných opatření - VOŠ a SPŠE - Olomouc</t>
  </si>
  <si>
    <t>ORG 100511</t>
  </si>
  <si>
    <t>ORG 100512</t>
  </si>
  <si>
    <t>Realizace energeticky úsporných opatření - SŠ Švehlova Prostějov</t>
  </si>
  <si>
    <t>ORG 100513</t>
  </si>
  <si>
    <t>ORG 100545</t>
  </si>
  <si>
    <t>Realizace energeticky úsporných opatření - SŠ zemědělská Olomouc budova školy</t>
  </si>
  <si>
    <t>ORG 100546</t>
  </si>
  <si>
    <t>Realizace energeticky úsporných opatření - SŠ zemědělská Olomouc domov mládeže</t>
  </si>
  <si>
    <t>ORG 100547</t>
  </si>
  <si>
    <t>Realizace energeticky úsporných opatření - VOŠ a SŠ automobilní Zábřeh - domov mládeže</t>
  </si>
  <si>
    <t>ORG 100548</t>
  </si>
  <si>
    <t>Realizace energeticky úsporných opatření - ZŠ a MŠ logopedická Olomouc</t>
  </si>
  <si>
    <t>ORG 100549</t>
  </si>
  <si>
    <t>Domov "Na Zámku" (Nezamyslice) - rekonstrukce venkovních komunikací</t>
  </si>
  <si>
    <t>Komentář:</t>
  </si>
  <si>
    <t>Dětský domov a Školní jídelna, Přerov - Stavební úpravy patra internátu</t>
  </si>
  <si>
    <t>SOŠ železniční, stavební a památkové péče a SOU, Šumperk -Stavební úpravy budovy "zámeček"</t>
  </si>
  <si>
    <t>SŠ technická a obchodní, Olomouc - Elektroinstalace v budově školy.</t>
  </si>
  <si>
    <t>Základní škola Šternberk - Sociální zařízení</t>
  </si>
  <si>
    <t>Centrum vzdělávání na SPŠ strojnické Olomouc</t>
  </si>
  <si>
    <t>ORG 100573</t>
  </si>
  <si>
    <t>ORG 100575</t>
  </si>
  <si>
    <t>DDM Olomouc - Zabezpečení statiky objektu mikropiloty</t>
  </si>
  <si>
    <t>SŠ technická a obchodní, Olomouc -Výměna dlažby</t>
  </si>
  <si>
    <t>ZŠ a MŠ Hranice, Nová 1820 - Multifunkční sportovní hřiště</t>
  </si>
  <si>
    <t>DDM Vila Tereza, Nádražní  530, Uničov</t>
  </si>
  <si>
    <t>DDM MAGNET, Spartakiádní 8, Mohelnice</t>
  </si>
  <si>
    <t xml:space="preserve">Výdaje Olomouckého kraje                                (po konsolidaci)                </t>
  </si>
  <si>
    <t>8b) SROP - individuální projekty</t>
  </si>
  <si>
    <t>ORJ - 30</t>
  </si>
  <si>
    <t>RZ 691/04 - přesun z ORJ 07, § 6172, pol. 5163</t>
  </si>
  <si>
    <t>ORG 3001000003 - Internetizace knihoven v Olomouckém kraji</t>
  </si>
  <si>
    <t>Ostatní nákup dlouhodob.nehm.maj.</t>
  </si>
  <si>
    <t>RZ 731/04 - přesun z ORJ 30, § 3314, pol. 6125</t>
  </si>
  <si>
    <t>Investiční  výdaje celkem</t>
  </si>
  <si>
    <t>Sigmundova střední škola strojírenská, J.Sigmunda 242, Lutín</t>
  </si>
  <si>
    <t>Provozní výdaje odboru celkem</t>
  </si>
  <si>
    <t>Služby tel. a radiokomunikací</t>
  </si>
  <si>
    <t>Fond sociálních potřeb</t>
  </si>
  <si>
    <t>Fond na podporu výstavby a obnovy vodohospodářské infrastruktury na území Olomouckého kraje</t>
  </si>
  <si>
    <t xml:space="preserve">Výdaje celkem  </t>
  </si>
  <si>
    <t>OU a praktická škola, Vodní 27, Mohelnice</t>
  </si>
  <si>
    <t>Střední škola sociální péče a služeb, 8. května 2, Zábřeh</t>
  </si>
  <si>
    <t>OU a PrŠ, Lipová-Lázně 270</t>
  </si>
  <si>
    <t>ZUŠ Miloslava Stibora - výtvarný obor, Pionýrská 4, Olomouc</t>
  </si>
  <si>
    <t>ZUŠ, Litovelská 190, Uničov</t>
  </si>
  <si>
    <t>ZUŠ, Na Příhonech 425, Konice</t>
  </si>
  <si>
    <t>ZUŠ Bedřicha Kozánka, Tř. 17. listopadu 2, Přerov</t>
  </si>
  <si>
    <t>ZUŠ Karla Ditterse, Kostelní, Vidnava</t>
  </si>
  <si>
    <t>Pprovozní příspěvky zřízeným PO</t>
  </si>
  <si>
    <t>Lékařská služba první pomoci</t>
  </si>
  <si>
    <t>Lékařská služba první pomoci-zubní LSPP</t>
  </si>
  <si>
    <t>Provoz záchytné stanice</t>
  </si>
  <si>
    <t>Financování protidrogové prevence</t>
  </si>
  <si>
    <t>Program Zdraví 21</t>
  </si>
  <si>
    <t xml:space="preserve">MFČR - likvidace nepouž.léčiv </t>
  </si>
  <si>
    <t>Drobný hmotný dlouhodobý majetek</t>
  </si>
  <si>
    <t>Operační program Olomouckého kraje celkem</t>
  </si>
  <si>
    <t>Správa silnic Olomouckého kraje</t>
  </si>
  <si>
    <t>Příspěvková organizace</t>
  </si>
  <si>
    <t>Soukromá SOŠ s.r.o., Dukelská 1240, Jeseník</t>
  </si>
  <si>
    <t>Soukromá ZUŠ taneční  s.r.o., Jiráskova 762, Jeseník</t>
  </si>
  <si>
    <t>v tis. Kč</t>
  </si>
  <si>
    <t>§</t>
  </si>
  <si>
    <t>pol.</t>
  </si>
  <si>
    <t>název položky</t>
  </si>
  <si>
    <t>schválený rozp.</t>
  </si>
  <si>
    <t>ORJ - 04</t>
  </si>
  <si>
    <t>ORJ - 05</t>
  </si>
  <si>
    <t>ORJ - 06</t>
  </si>
  <si>
    <t xml:space="preserve">Nákup materiálu </t>
  </si>
  <si>
    <t>Nájemné</t>
  </si>
  <si>
    <t>dárkový pas</t>
  </si>
  <si>
    <t>Služby zpracování dat</t>
  </si>
  <si>
    <t xml:space="preserve">Programové vybavení </t>
  </si>
  <si>
    <t>Výpočetní technika</t>
  </si>
  <si>
    <t>Obchodní akademie, Olomoucká 82, Mohelnice</t>
  </si>
  <si>
    <t>SZdrŠ, Vápenice 3, Prostějov</t>
  </si>
  <si>
    <t>SZdrŠ, Studentská 1095, Hranice</t>
  </si>
  <si>
    <t>SZdrŠ, Kladská 2, Šumperk</t>
  </si>
  <si>
    <t>00000012</t>
  </si>
  <si>
    <t>00000010</t>
  </si>
  <si>
    <t>00000013</t>
  </si>
  <si>
    <t>Příspěvkové organizace celkem - provozní výdaje</t>
  </si>
  <si>
    <t>Investiční transfery vysokým školám</t>
  </si>
  <si>
    <t>ORG 1037</t>
  </si>
  <si>
    <t>ORG 1131</t>
  </si>
  <si>
    <t>Gymnázium Jana Blahoslava a Střední pedagogická škola Přerov</t>
  </si>
  <si>
    <t>ORG 1133</t>
  </si>
  <si>
    <t>Obchodní akademie Olomouc</t>
  </si>
  <si>
    <t>ORG 1150</t>
  </si>
  <si>
    <t>Rekonstrukce budovy v areálu staré nemocnice v Prostějově</t>
  </si>
  <si>
    <t>ORG 100071</t>
  </si>
  <si>
    <t>ZZS OK - vozové terminály</t>
  </si>
  <si>
    <t>MV-neinv.transfery krajům</t>
  </si>
  <si>
    <t>ORJ - 07</t>
  </si>
  <si>
    <t>ZUŠ A.Dvořáka, Havlíčkova 643, Lipník</t>
  </si>
  <si>
    <t>významné projekty</t>
  </si>
  <si>
    <t xml:space="preserve">Výdaje odboru životního prostředí a zemědělství </t>
  </si>
  <si>
    <t>Výdaje odboru školství, mládeže a tělovýchovy</t>
  </si>
  <si>
    <t xml:space="preserve">Soukromé školy </t>
  </si>
  <si>
    <t>DDM, Tř. 17. listopadu 47, Olomouc</t>
  </si>
  <si>
    <t xml:space="preserve">Odbor správní a legislativní celkem </t>
  </si>
  <si>
    <t>Platy zaměstnanců v pracovním poměru</t>
  </si>
  <si>
    <t>RZ 807/05 - přesun na ORJ 199, § 6172, pol. 5164,5139</t>
  </si>
  <si>
    <t xml:space="preserve"> -účelové neinvestiční dotace</t>
  </si>
  <si>
    <t>SMN a.s. - o.z. Nem. PV - Stavební úpravy k CT</t>
  </si>
  <si>
    <t>Podpora kultury a památkové péče</t>
  </si>
  <si>
    <t>Neinv.transfery nefin.podn.subj.-PO</t>
  </si>
  <si>
    <t>vedoucí odboru strategického rozvoje kraje</t>
  </si>
  <si>
    <t>Ing. Stanislav Losert</t>
  </si>
  <si>
    <t>vedoucí odboru školství, mládeže a tělovýchovy</t>
  </si>
  <si>
    <t>program sociální prev.a prev.kriminality</t>
  </si>
  <si>
    <t>SMN a.s. - o.z. Nem. PR- Rekonstrukce 2 ks výtahů (LDN, Chirurgie)</t>
  </si>
  <si>
    <t>SMN a.s. - o.z. Nem. Šternberk - Výměna oken včetně žaluzií - pavilon SVLS</t>
  </si>
  <si>
    <t>Gymnázium J.Blahoslava a SŠ pedagogická, Denisova 3, Přerov</t>
  </si>
  <si>
    <t>Neinvestiční transfery občanským sdružením</t>
  </si>
  <si>
    <t>Neinvestiční transfery krajům</t>
  </si>
  <si>
    <t>Neinv.transfery nefin.podnikatelským subjektům-PO</t>
  </si>
  <si>
    <t>Odbor správní a legislativní</t>
  </si>
  <si>
    <t>Odbor ekonomický</t>
  </si>
  <si>
    <t>ORG 8007</t>
  </si>
  <si>
    <t>Prostějov</t>
  </si>
  <si>
    <t>ORG 8163</t>
  </si>
  <si>
    <t>Bílá Lhota</t>
  </si>
  <si>
    <t>ORG 8302</t>
  </si>
  <si>
    <t>Potštát</t>
  </si>
  <si>
    <t>ORG 8465</t>
  </si>
  <si>
    <t>SPŠ a OA, Uničov - Kotelna</t>
  </si>
  <si>
    <t>ORG 100347</t>
  </si>
  <si>
    <t xml:space="preserve">Neinvestiční příspěvek zřízeným PO </t>
  </si>
  <si>
    <t>Pov.pojistné na sociální zabezpečení</t>
  </si>
  <si>
    <t>Povinné poj.na veřejné zdrav.pojištění</t>
  </si>
  <si>
    <t>Knihy, účební pomůcky a tisk</t>
  </si>
  <si>
    <t>63) GG - Podpora nabídky dalšího vzdělávání Olomouckého kraje</t>
  </si>
  <si>
    <t>ORJ - 63</t>
  </si>
  <si>
    <t>číslo účtu: 3656742/0800</t>
  </si>
  <si>
    <t>Provozní výdaje  celkem</t>
  </si>
  <si>
    <t>Investiční výdaje celkem</t>
  </si>
  <si>
    <t>Provozní výdaje celkem</t>
  </si>
  <si>
    <t>účelové dotace celkem</t>
  </si>
  <si>
    <t>Investiční transfery obcím</t>
  </si>
  <si>
    <t>00000001</t>
  </si>
  <si>
    <t>Ostatní výdaje</t>
  </si>
  <si>
    <t>ORG 100097</t>
  </si>
  <si>
    <t>Vincentinum-poskytovatel soc.služeb Šternberk</t>
  </si>
  <si>
    <t>Vincentinum-poskytovatel soc.služeb Šternberk celkem</t>
  </si>
  <si>
    <t>Střední odborná škola, s.r.o.,  Řepčínská 239/101, Olomouc</t>
  </si>
  <si>
    <t>Středisko sociální prevence Olomouc</t>
  </si>
  <si>
    <t>ZŠ a MŠ, Náměstí 150, Město Libavá</t>
  </si>
  <si>
    <t>Švehlova SŠ, nám.Spojenců 17, Prostějov</t>
  </si>
  <si>
    <t>RZ 712/05 - přesun na ORJ 199, § 6172, pol. 5499</t>
  </si>
  <si>
    <t>RZ 712/05 - přesun z ORJ 199, § 6172, pol. 5169</t>
  </si>
  <si>
    <t>RZ 301/05 - přesun na ORJ 199, § 6172, pol. 5169, 5901</t>
  </si>
  <si>
    <t>RZ 712/05 - přesun na ORJ 199, § 6172, pol. 5137,5175</t>
  </si>
  <si>
    <t>Výdaje odboru zdravotnictví</t>
  </si>
  <si>
    <t xml:space="preserve"> -provozní výdaje</t>
  </si>
  <si>
    <t xml:space="preserve"> -investiční  výdaje</t>
  </si>
  <si>
    <t>Příspěvky příspěvkovým organizacím</t>
  </si>
  <si>
    <t xml:space="preserve">18) Fond na podporu výstavby a obnovy vodohospodářské </t>
  </si>
  <si>
    <t>P - centrum, Lafayettova 9, Olomouc</t>
  </si>
  <si>
    <t>ORG 2237</t>
  </si>
  <si>
    <t>Platby zaměstnanců v pracovním poměru</t>
  </si>
  <si>
    <t>Nákup materiálu jinde nezařazeného</t>
  </si>
  <si>
    <t>Kvalitnější vzdělávání řemeslníků na SŠP - nadstavba učebnového pavilonu</t>
  </si>
  <si>
    <t>RZ 301/05 - přesun z ORJ 199, § 6113, pol. 5499</t>
  </si>
  <si>
    <t>Vypořádání staveb po jejich dokončení z minul. Let - výkupy pozemků a jiné</t>
  </si>
  <si>
    <t>II/367 Bedihošť - Kojetín</t>
  </si>
  <si>
    <t>III/4335 III/43325 Měrovice nad Hanou - průtah, 3. etapa</t>
  </si>
  <si>
    <t>III/37745 Otaslavice, most ev.č. 37745-2</t>
  </si>
  <si>
    <t>III/44311 Dolany, most ev.č.44311-2</t>
  </si>
  <si>
    <t>Silnice III/4537 Vlčice – Bernartice, oprava povodňových škod</t>
  </si>
  <si>
    <t>Silnice III/4539 Skorošice – Kobylá, oprava povodňových škod</t>
  </si>
  <si>
    <t>SMN a.s. - o.z. Nemocnice Prostějov - 2 ks výtah - poliklinika, SVLS</t>
  </si>
  <si>
    <t>výstavba heliportu Jeseník - ZZS OK</t>
  </si>
  <si>
    <t>Drobný hm.dlouhodob.majetek</t>
  </si>
  <si>
    <t>Nemocnice Přerov - stravovací provoz</t>
  </si>
  <si>
    <t>OLÚ Moravský Beroun, p.o.- Evakuační schodiště Pavilonu 1</t>
  </si>
  <si>
    <t>SZPD Olomouc, p.o.- výměna oken a zateplení budovy Kojeneckého ústavu, U Dětského domova 269, Olomouc</t>
  </si>
  <si>
    <t>OLÚ Moravský Beroun, p.o.- Kanalizační přípojka Pavilonu 1</t>
  </si>
  <si>
    <t>RZ 385/05 - přesun na ORJ 99, § 2399, pol. 5909</t>
  </si>
  <si>
    <t>RZ 386/05 - přesun na ORJ 99, § 2321, pol. 6341</t>
  </si>
  <si>
    <t>RZ 873/05 - přesun na ORJ 99, § 2399, pol. 5909</t>
  </si>
  <si>
    <t>Domov důchodců Kobylá nad Vidnavkou</t>
  </si>
  <si>
    <t>Domov důchodců Kobylá nad Vidnavkou celkem</t>
  </si>
  <si>
    <t>Obchodní akademie, Palackého 18, Prostějov</t>
  </si>
  <si>
    <t>Nákup materiálu j. n.</t>
  </si>
  <si>
    <t>Realizované kurzové ztráty</t>
  </si>
  <si>
    <t>Elektrická energie</t>
  </si>
  <si>
    <t>Pohonné hmoty a maziva</t>
  </si>
  <si>
    <t>Investiční dotace obcím</t>
  </si>
  <si>
    <t>Služby, školení a vzdělávání</t>
  </si>
  <si>
    <t>GG - 1.3. Další vzdělávání pracovníků škol a školských zařízení v Olomouckém kraji</t>
  </si>
  <si>
    <t>ORJ - 59</t>
  </si>
  <si>
    <t>číslo účtu: 3344722/0800</t>
  </si>
  <si>
    <t>Projekty v rámci ROP</t>
  </si>
  <si>
    <t>60) Zajištění dostupnosti vybraných sociálních služeb v Olomouckém kraji</t>
  </si>
  <si>
    <t>ORJ - 60</t>
  </si>
  <si>
    <t>číslo účtu: 3353952/0800</t>
  </si>
  <si>
    <t xml:space="preserve">Domov důchodců a penzion Chválkovice - Stavební úpravy pro zřízení domova pro seniory </t>
  </si>
  <si>
    <t>Sociální služby pro seniory Olomouc - Stavební úpravy bytových jáder</t>
  </si>
  <si>
    <t>ORG - 1700</t>
  </si>
  <si>
    <t>ORG - 1702</t>
  </si>
  <si>
    <t>ZŠ a MŠ při Sanatoriu EDEL, Lázeňská 491, Zlaté Hory</t>
  </si>
  <si>
    <t>Základní škola, Olomoucká 76, Šternberk</t>
  </si>
  <si>
    <t>Základní škola, Šternberská 35, Uničov</t>
  </si>
  <si>
    <t>Významné projekty</t>
  </si>
  <si>
    <t>Střední škola polytechnická, Rooseveltova 79, Olomouc</t>
  </si>
  <si>
    <t>Střední škola polygrafická,  Střední Novosadská 55, Olomouc</t>
  </si>
  <si>
    <t>SOU obchodu a služeb, Štursova 14, Olomouc</t>
  </si>
  <si>
    <t>Střední škola technická a obchodní, Kosinova 4, Olomouc</t>
  </si>
  <si>
    <t>Střední škola řezbářská, Nádražní 146, Tovačov</t>
  </si>
  <si>
    <t>00000110</t>
  </si>
  <si>
    <t>Stipendijní řád Olomouckého kraje</t>
  </si>
  <si>
    <t>Neinv.transfery občans.sdruž.</t>
  </si>
  <si>
    <t xml:space="preserve">Neinv.transfery nefin.podnik.subj.-PO </t>
  </si>
  <si>
    <t>Soukromá ZŠ Acorn´s &amp; John´s school, s.r.o.,  U Bečvy 2, Přerov</t>
  </si>
  <si>
    <t>SMN a.s. - o.z. Nemocnice Prostějov - Fasáda polikliniky</t>
  </si>
  <si>
    <t>SMN a.s. - o.z. Nemocnice Přerov - Studie centralizace laboratoří</t>
  </si>
  <si>
    <t>pověřená vedením odboru životního prostředí a zemědělství</t>
  </si>
  <si>
    <t>Gymnázium, Horní náměstí 5, Šternberk</t>
  </si>
  <si>
    <t>Gymnázium, Gymnazijní 257, Uničov</t>
  </si>
  <si>
    <t>Gymnázium J. Wolkera, Kollárova 3, Prostějov</t>
  </si>
  <si>
    <t>Gymnázium Jakuba Škody, Komenského 29, Přerov</t>
  </si>
  <si>
    <t>SPŠS, Tř. 17. listopadu 49, Olomouc</t>
  </si>
  <si>
    <t>SZeŠ Olomouc, U Hradiska 4, Olomouc</t>
  </si>
  <si>
    <t>Převody FKSP a SF obcí a krajů</t>
  </si>
  <si>
    <t>Mgr. Lenka Doleželová</t>
  </si>
  <si>
    <t>Mgr. Hana Kamasová</t>
  </si>
  <si>
    <t>Nájemné PO</t>
  </si>
  <si>
    <t>00034070</t>
  </si>
  <si>
    <t>vedoucí odboru investic a evropských programů</t>
  </si>
  <si>
    <t>Ing. Miroslav Kubín</t>
  </si>
  <si>
    <t>RZ 873/05 - přesun z ORJ 99, § 2399, pol. 6341</t>
  </si>
  <si>
    <t>Fond na podporu výstavby a obnovy vodohospodářské infrastruktury  celkem</t>
  </si>
  <si>
    <t>Výdaje odboru kultury a památkové péče</t>
  </si>
  <si>
    <t>číslo účtu: 2246872/0800</t>
  </si>
  <si>
    <t>46) SROP 3.3 - Partnerství pro rozvoj kraje - 2. část</t>
  </si>
  <si>
    <t>Soukromé školy</t>
  </si>
  <si>
    <t>ORJ - 08</t>
  </si>
  <si>
    <t>Regionální letiště Přerov-převod na OMP</t>
  </si>
  <si>
    <t>Přestavba křižovatky před železničním přejezdem u obce Smržice</t>
  </si>
  <si>
    <t>Střední škola technická, Kouřilkova 8, Přerov</t>
  </si>
  <si>
    <t>Rekapitulace celkových výdajů Olomouckého kraje, které zahrnují výdaje jednotlivých odborů včetně příspěvků zřízeným příspěvkovým organizacím, výdaje na finacování evropských programů a  výdaje fondů.</t>
  </si>
  <si>
    <t>DDM, Komenského  719/6, Litovel</t>
  </si>
  <si>
    <t>Odbor školství, mládeže a tělovýchovy</t>
  </si>
  <si>
    <t>Odbor sociálních věcí</t>
  </si>
  <si>
    <t>Odbor kultury a památkové péče</t>
  </si>
  <si>
    <t>Odbor zdravotnictví</t>
  </si>
  <si>
    <t>Ing. Luděk Niče</t>
  </si>
  <si>
    <t>Správce:</t>
  </si>
  <si>
    <t>vedoucí kanceláře ředitele</t>
  </si>
  <si>
    <t>Enviromentální vzdělávání, výchova a osvěta</t>
  </si>
  <si>
    <t>Odbor Krajský živnostenský úřad</t>
  </si>
  <si>
    <t>Útvar interního auditu</t>
  </si>
  <si>
    <t>16) Útvar interního auditu</t>
  </si>
  <si>
    <t>ORJ - 16</t>
  </si>
  <si>
    <t>Ostatní neinvestiční transfery ob.</t>
  </si>
  <si>
    <t>17) Sociální fond</t>
  </si>
  <si>
    <t>UZ</t>
  </si>
  <si>
    <t>MŠMT-program sociální prev.a prev.kriminality</t>
  </si>
  <si>
    <t>(Dotace pro SŠ ve správě ÚSC)</t>
  </si>
  <si>
    <t>MŠMT - dotace na SŠ a škol.zařízení, 1.čtvrtl..</t>
  </si>
  <si>
    <t>MŠMT - dotace na SŠ a škol.zařízení, 1.čtvrtl.</t>
  </si>
  <si>
    <t>Teplá voda</t>
  </si>
  <si>
    <t>Domov pro seniory  Radkova Lhota</t>
  </si>
  <si>
    <t>Domov Větrný mlýn Skalička</t>
  </si>
  <si>
    <t>Domov Větrný mlýn Skalička celkem</t>
  </si>
  <si>
    <t xml:space="preserve">1)  Zastupitelé                         </t>
  </si>
  <si>
    <t>ORJ - 01</t>
  </si>
  <si>
    <t>Ostatní osobní výdaje</t>
  </si>
  <si>
    <t>posíleno:</t>
  </si>
  <si>
    <t xml:space="preserve">15) Odbor Krajský živnostenský úřad </t>
  </si>
  <si>
    <t>ORJ - 15</t>
  </si>
  <si>
    <t>Bc. Ing. František Pivoda</t>
  </si>
  <si>
    <t xml:space="preserve">Odbor Krajský živnostenský úřad </t>
  </si>
  <si>
    <t>48) BIS RTD Podpora veřejného financování výzkumu a technologického rozvoje v regionech   (6. frame programme)</t>
  </si>
  <si>
    <t>Slovanské gymnázium, Tř.J. z Poděbrad 13, Olomouc</t>
  </si>
  <si>
    <t xml:space="preserve">Odbor informačních technologií celkem </t>
  </si>
  <si>
    <t>Ing. Josef Veselský</t>
  </si>
  <si>
    <t>Středisko pečovatelské služby Jeseník celkem</t>
  </si>
  <si>
    <t>Domov důchodců Červenka</t>
  </si>
  <si>
    <t>Domov důchodců Červenka celkem</t>
  </si>
  <si>
    <t>Domov důchodců Hrubá Voda</t>
  </si>
  <si>
    <t>SPŠ stavební, Komenského sady 257, Lipník n.B.</t>
  </si>
  <si>
    <t xml:space="preserve">Odbor dopravy a silničního hospodářství celkem </t>
  </si>
  <si>
    <t>13) Odbor kultury a památkové péče</t>
  </si>
  <si>
    <t>ORJ - 13</t>
  </si>
  <si>
    <t>ORG - 1649</t>
  </si>
  <si>
    <t>ORG - 1650</t>
  </si>
  <si>
    <t>Domov Paprsek Olšany</t>
  </si>
  <si>
    <t>Domov Paprsek Olšany celkem</t>
  </si>
  <si>
    <t>ORG - 1651</t>
  </si>
  <si>
    <t>ORG - 1652</t>
  </si>
  <si>
    <t>ORG - 1653</t>
  </si>
  <si>
    <t>ORG - 1654</t>
  </si>
  <si>
    <t>ORG - 1655</t>
  </si>
  <si>
    <t>ORG - 1656</t>
  </si>
  <si>
    <t>ORG - 1657</t>
  </si>
  <si>
    <t>ORG - 1658</t>
  </si>
  <si>
    <t>Domov Alfreda Skeneho Pavlovice u Přerova</t>
  </si>
  <si>
    <t>6=5/4</t>
  </si>
  <si>
    <t>56) GG - 1.1. Zvyšování kvality ve vzdělávání v Olomouckém kraji</t>
  </si>
  <si>
    <t>ORJ - 56</t>
  </si>
  <si>
    <t>číslo účtu: 43-2020510277/0100</t>
  </si>
  <si>
    <t>Rezervy kapitálových výdajů</t>
  </si>
  <si>
    <t xml:space="preserve">DD Kobylá nad Vidnávkou - oprava 1 výtahu </t>
  </si>
  <si>
    <t xml:space="preserve">Domov důchodců Javorník  - Stravovací provoz </t>
  </si>
  <si>
    <t>Domov důchodců Kobylá -Kotelna - B1</t>
  </si>
  <si>
    <t>ÚSP pro mládež Jeseník -Střecha</t>
  </si>
  <si>
    <t xml:space="preserve">ÚSP pro mládež Jeseník -Zasklení oblouků v přízemí budovy </t>
  </si>
  <si>
    <t>ÚSP pro mládež Jeseník - Nákladní výtah</t>
  </si>
  <si>
    <t>Domov důchodců Červenka -Sociální zařízení na pokojích uživatelů</t>
  </si>
  <si>
    <t>Obchodní akademie, Olomouc, tř. Spojenců 11 - Výměna oken</t>
  </si>
  <si>
    <t>Podpora kulturních aktivit v Olomouckém kraji</t>
  </si>
  <si>
    <t>Neinvest.transfery občan.sdruž.</t>
  </si>
  <si>
    <t>47) OP RLZ - 3.1.: Vzdělávání učitelů v přípravě a řízení projektů SF EU na středních školách v Olomouckém kraji</t>
  </si>
  <si>
    <t>Domov seniorů POHODA Chválkovice</t>
  </si>
  <si>
    <t>ORG - 1638</t>
  </si>
  <si>
    <t>ORG - 1639</t>
  </si>
  <si>
    <t>Ost.neinv.výdaje j.n.</t>
  </si>
  <si>
    <t>Mateřská škola Sluníčko Olomouc, o.p.s., Blahoslavova 2, Olomouc</t>
  </si>
  <si>
    <t>Usnesením rady UR/5/7/2009 ze dne 22.1.2009 byly finanční prostředky schváleného rozpočtu na rok 2009 pro Odbor ekonomický-oddělení přípravy a realizace investic (ORJ 77)  převedeny na nově vzniklý Odbor investic a evropských programů (ORJ 17).</t>
  </si>
  <si>
    <t>ZŠ a MŠ při lázních Vel.Losiny, Lázeňská 240, Velké Losiny</t>
  </si>
  <si>
    <t>Základní škola a Mateřská škola, Masarykova 4, Mohelnice</t>
  </si>
  <si>
    <t>Zapojení prostředků z FV</t>
  </si>
  <si>
    <t>Neinv.transfery nefin.podnik.subj. - PO</t>
  </si>
  <si>
    <t>Gymnázium, Šternberk, Horní náměstí 5-Oprava sociálního zařízení</t>
  </si>
  <si>
    <t xml:space="preserve">Střední odborná škola, Olomouc, Na Vlčinci 3- Oprava sociálního zařízení </t>
  </si>
  <si>
    <t>Gymnázium J. Wolkera, PV - rekonstrukce prostor pro činnost školního klubu</t>
  </si>
  <si>
    <t>Střední škola technická a obchodní Kosinova Olomouc - fasáda</t>
  </si>
  <si>
    <t>41) GS - 4.2.2 Podpora regionální a místní infrastruktury cestovního ruchu</t>
  </si>
  <si>
    <t xml:space="preserve"> v Olomouckém kraji</t>
  </si>
  <si>
    <t>Střední zdravotnická škola, Šumperk, Kladská 2 -domov mládeže, ul. ČSA 1, Šumperk - Oprava podlahy  v knihovně domova mládeže</t>
  </si>
  <si>
    <t xml:space="preserve">SPŠ elektrotechnická, Mohelnice -Oprava oken </t>
  </si>
  <si>
    <t>vedoucí odboru školství, mládežě a tělovýchovy</t>
  </si>
  <si>
    <t>Mgr. Miroslav Gajdůšek, MBA</t>
  </si>
  <si>
    <t>Výdaje celkem</t>
  </si>
  <si>
    <t xml:space="preserve"> -konsolidace</t>
  </si>
  <si>
    <t>Gymnázium Jeseník, Komenského 281 - rekonstrukce střechy tělocvičny</t>
  </si>
  <si>
    <t>ZŠ Jeseník, Fučíkova 312 - oprava kanalizace bud. Rudná 383</t>
  </si>
  <si>
    <t>RZ 151/05 - zapojení zůstatku fin.prostředků k 31.12.2004 Fondu na podporu výstavby a obnovy vodohosp.infr.</t>
  </si>
  <si>
    <t>RZ 507/05 - přesun z ORJ 99, § 2321, pol. 6341</t>
  </si>
  <si>
    <t>RZ 149/05 - přesun z ORJ 99, § 2399, pol. 6341</t>
  </si>
  <si>
    <t>GS - 4.2.2 Podpora regionální a místní infrastruktury cestovního ruchu v Olomouckém kraji celkem</t>
  </si>
  <si>
    <t>GG - Podpora nabídky dalšího vzdělávání v Olomouckém kraji</t>
  </si>
  <si>
    <t>SPŠ, Havlíčkova 2, Přerov</t>
  </si>
  <si>
    <t>Domov důchodců Prostějov</t>
  </si>
  <si>
    <t>Domov důchodců Prostějov celkem</t>
  </si>
  <si>
    <t>Domov důchodců Jesenec</t>
  </si>
  <si>
    <t>Zdravotnická záchranná služba OK  celkem</t>
  </si>
  <si>
    <t>Archeologické centrum Olomouc celkem</t>
  </si>
  <si>
    <t>Výdaje odboru majetkového a právního</t>
  </si>
  <si>
    <t>Jazyková škola s právem státní jazykové zkoušky, Pöttingova 2, Olomouc</t>
  </si>
  <si>
    <t>Výdaje Zastupitelů</t>
  </si>
  <si>
    <t>Výdaje odboru správního a legislativního</t>
  </si>
  <si>
    <t>Ostatní platby za provedenou práci j.n.</t>
  </si>
  <si>
    <t>Nákup ostatních paliv a energie</t>
  </si>
  <si>
    <t>ZŠ pro žáky se spec.poruchami učení a MŠ log. Schola-Viva o.p.s., Erbenova 16, Šumperk</t>
  </si>
  <si>
    <t>ZŠ a SŠ Poměnka, o.p.s., Šumavská 13, Šumperk</t>
  </si>
  <si>
    <t>Domov pro seniory Radkova Lhota celkem</t>
  </si>
  <si>
    <t>Střední odborná škola, s.r.o., Stromořadí 420, Uničov</t>
  </si>
  <si>
    <t>Silnice III/44921 Loučany - průtah</t>
  </si>
  <si>
    <t>Domov Větrný mlýn Skalička - revitalizace zámeckého parku</t>
  </si>
  <si>
    <t>ORG 100325</t>
  </si>
  <si>
    <t>ORG 100326</t>
  </si>
  <si>
    <t>Revitalizace zámeckého parku s přilehlými plochami v Nových Zámcích</t>
  </si>
  <si>
    <t>ORG 100336</t>
  </si>
  <si>
    <t>ORG 100416</t>
  </si>
  <si>
    <t>ORG 100441</t>
  </si>
  <si>
    <t>Realizace energeticky úsporných opatření - Sociální služby pro seniory Olomouc - ubytovací část</t>
  </si>
  <si>
    <t>ORG 100470</t>
  </si>
  <si>
    <t>Realizace energeticky úsporných opatření - Domov důchodců Šumperk</t>
  </si>
  <si>
    <t>ORG 100494</t>
  </si>
  <si>
    <t>Realizace energeticky úsporných opatření - Domov důchodců Hrubá Voda - budova žen</t>
  </si>
  <si>
    <t>ORG 100496</t>
  </si>
  <si>
    <t>Realizace energeticky úsporných opatření - Penzion pro důchodce Loštice</t>
  </si>
  <si>
    <t>ORG 100497</t>
  </si>
  <si>
    <t>Rekonstrukce zahrady v Domově důchodců Červenka</t>
  </si>
  <si>
    <t>ORG 100530</t>
  </si>
  <si>
    <t>II/150 Vícov - obchvat obce</t>
  </si>
  <si>
    <t>II/434, II/437 Lipník nad Bečvou - okružní křižovatka</t>
  </si>
  <si>
    <t>II/446, III/44613 Štěpánov - úprava křižovatky</t>
  </si>
  <si>
    <t>Základní škola, DD a Školní jídelna, Palackého 938, Litovel</t>
  </si>
  <si>
    <t>SPŠ elektrotechnická, gen.Svobody 2, Mohelnice</t>
  </si>
  <si>
    <t>Střední odborná škola, Zemědělská 3, Šumperk</t>
  </si>
  <si>
    <t>Obecní školy celkem</t>
  </si>
  <si>
    <t xml:space="preserve"> </t>
  </si>
  <si>
    <t>8a) Operační program Olomouckého kraje</t>
  </si>
  <si>
    <t>ORJ - 88XX</t>
  </si>
  <si>
    <t>Ing. Michaela Pruknerová</t>
  </si>
  <si>
    <t>MFČR - Účelová dotace krajům - TBC</t>
  </si>
  <si>
    <t>ZŠ a MŠ při lázních Bludov, Lázeňská 573, Bludov</t>
  </si>
  <si>
    <t xml:space="preserve">VOŠ a SŠ automobilní, U Dráhy 6, Zábřeh </t>
  </si>
  <si>
    <t>OA a Jazyková škola s právem st.jazyk.zkoušky, Bartošova 24, Přerov</t>
  </si>
  <si>
    <t>Domov "Na Zámku" Nezamyslice - rekonstrukce podlahy hl. budovy</t>
  </si>
  <si>
    <t>Domov důchodců a penzion Chválkovice - modernizace areálu</t>
  </si>
  <si>
    <t>Vlastivědné muzeum v Olomouci - Letní reflektář Klášterní Hradisko</t>
  </si>
  <si>
    <t>00098861</t>
  </si>
  <si>
    <t>MF - Výkupy pozemků pod krajskými komunikacemi</t>
  </si>
  <si>
    <t>Neinv.transfery regionálním radám</t>
  </si>
  <si>
    <t>EIB</t>
  </si>
  <si>
    <t>SOŠ a SOU, Moravské nám. 681, Uničov</t>
  </si>
  <si>
    <t>Muzeum Komenského v Přerově celkem</t>
  </si>
  <si>
    <t>Soukromá SOŠ,s.r.o.,  Jaselská 832, Hranice</t>
  </si>
  <si>
    <t>VOŠ živnostenská, s.r.o., Palackého 19, Přerov</t>
  </si>
  <si>
    <t>TRIVIS - střední škola veřejnoprávní, s.r.o., Havlíčkova 24/2920, Prostějov</t>
  </si>
  <si>
    <t>Střední škola stavební a podnikatelská, s.r.o., Štěpánovská 23, Olomouc-Chomoutov</t>
  </si>
  <si>
    <t>Projektové a procesní řízení na Krajském úřadě Olomouckého kraje</t>
  </si>
  <si>
    <t>Výdaje z finančního vypořádání minulých let mezi regionální radou a kraji, obcemi a dobrovolnými svazky obcí</t>
  </si>
  <si>
    <t>Investiční transfery nefinačním podnikatelským subjektům - právnickým osobám</t>
  </si>
  <si>
    <t xml:space="preserve">Investiční transfery církvím a náboženským společnostem </t>
  </si>
  <si>
    <t>Zapojení prostředků z finančního vypořádání</t>
  </si>
  <si>
    <t>ORG 1104</t>
  </si>
  <si>
    <t>ORG 1109</t>
  </si>
  <si>
    <t>Gymnázium. Svatopluka Čecha 683, Kojetín</t>
  </si>
  <si>
    <t>ORG 1110</t>
  </si>
  <si>
    <t>ORG 1130</t>
  </si>
  <si>
    <t>ORG 1132</t>
  </si>
  <si>
    <t>VOŠ a SPŠ, Gen. Krátkého 1, Šumperk</t>
  </si>
  <si>
    <t>ORG 1135</t>
  </si>
  <si>
    <t>ORG 1152</t>
  </si>
  <si>
    <t>Střední zdravotnická škola, Vápenice 3, Prostějov</t>
  </si>
  <si>
    <t>ORG 1161</t>
  </si>
  <si>
    <t>Střední škola technická, Kouřílkova 8, Přerov</t>
  </si>
  <si>
    <t>ORG 1173</t>
  </si>
  <si>
    <t>ORG 1204</t>
  </si>
  <si>
    <t>Střední škola polygrafická, Střední Novosadská 55, Olomouc</t>
  </si>
  <si>
    <t>ORG 1205</t>
  </si>
  <si>
    <t>Společný regionální operační program celkem</t>
  </si>
  <si>
    <t xml:space="preserve">Ing. Josef Veselský </t>
  </si>
  <si>
    <t>00000020</t>
  </si>
  <si>
    <t>00000019</t>
  </si>
  <si>
    <t>Ostatní nein.transfery neziskovým</t>
  </si>
  <si>
    <t>a podobným organizacím</t>
  </si>
  <si>
    <t>00000006</t>
  </si>
  <si>
    <t>00013307</t>
  </si>
  <si>
    <t xml:space="preserve">MPSV - na výplatu st.přísp.pro zřiz.zařízení pro děti vyž.okamžitou pomoc </t>
  </si>
  <si>
    <t xml:space="preserve">Neinv.transfery obecně prospěš.spol. </t>
  </si>
  <si>
    <t>MŠMT - Vybav.škol pomůckami kompenz.a rehab.char.</t>
  </si>
  <si>
    <t>Domov Alfreda Skeneho Pavlovice u Přerova celkem</t>
  </si>
  <si>
    <t>ORG - 1659</t>
  </si>
  <si>
    <t>ORG - 1660</t>
  </si>
  <si>
    <t>Centrum Dominika Kokory</t>
  </si>
  <si>
    <t>ORG - 1661</t>
  </si>
  <si>
    <t>Centrum Dominika Kokory celkem</t>
  </si>
  <si>
    <t>ORG - 1662</t>
  </si>
  <si>
    <t>ORG - 1663</t>
  </si>
  <si>
    <t>investice</t>
  </si>
  <si>
    <t>dotace</t>
  </si>
  <si>
    <t xml:space="preserve">32) Společný regionální operační program </t>
  </si>
  <si>
    <t xml:space="preserve">Výdaje odboru ekonomického </t>
  </si>
  <si>
    <t>Stavební akce celkem</t>
  </si>
  <si>
    <t xml:space="preserve">Výdaje odboru strategického rozvoje kraje </t>
  </si>
  <si>
    <t>SMN a.s. - o.z. Nem. PV- Stavební úpravy laboratoří</t>
  </si>
  <si>
    <t>SMN a.s. - o.z. Nem. PV-Stavební úpravy dětského oddělení</t>
  </si>
  <si>
    <t>SMN a.s. - o.z. Nem. PV- Výměna oken v budově polikliniky - II. etapa</t>
  </si>
  <si>
    <t>Stavební akce</t>
  </si>
  <si>
    <t>Věcné dary</t>
  </si>
  <si>
    <t>Nákup kolků</t>
  </si>
  <si>
    <t>Platby daní a poplatků</t>
  </si>
  <si>
    <t>Nespecifikované rezervy</t>
  </si>
  <si>
    <t>Budovy, haly a stavby</t>
  </si>
  <si>
    <t>Stroje, přístroje a zařízení</t>
  </si>
  <si>
    <t xml:space="preserve">Zastupitelé celkem </t>
  </si>
  <si>
    <t>Prádlo, oděv a obuv</t>
  </si>
  <si>
    <t>Knihy, učební pomůcky a tisk</t>
  </si>
  <si>
    <t>Konzultační, poradenské a právní služby</t>
  </si>
  <si>
    <t>Neinv.transfery občanským sdružením</t>
  </si>
  <si>
    <t>Neinvest.transfery nefin.podnik.subj.-FO</t>
  </si>
  <si>
    <t>Přísp.na hosp.v lesích na území OK</t>
  </si>
  <si>
    <t>Neinvest.transfery nefin.podnik.subj.-PO</t>
  </si>
  <si>
    <t>Přísp.obcím OK na řešení mimoř.událostí</t>
  </si>
  <si>
    <t>MFČR - úhrada škod způs.kormoránem velkým</t>
  </si>
  <si>
    <t>Neinvestiční transfery vysokým školám</t>
  </si>
  <si>
    <t>Investiční transfery zřízeným PO</t>
  </si>
  <si>
    <t>ORJ 8835 celkem</t>
  </si>
  <si>
    <t>Ing. Zuzana Ochmanová</t>
  </si>
  <si>
    <t>Příspěvkové organizace</t>
  </si>
  <si>
    <t>ORG</t>
  </si>
  <si>
    <t>Nákup materiálu j.n.</t>
  </si>
  <si>
    <t>Rekapitulace</t>
  </si>
  <si>
    <t>Odbor (kancelář)</t>
  </si>
  <si>
    <t>schválený rozpočet</t>
  </si>
  <si>
    <t>upravený rozpočet</t>
  </si>
  <si>
    <t>ORJ</t>
  </si>
  <si>
    <t>Zastupitelé</t>
  </si>
  <si>
    <t xml:space="preserve"> - provozní výdaje</t>
  </si>
  <si>
    <t xml:space="preserve"> - investiční výdaje</t>
  </si>
  <si>
    <t>17) Odbor investic a evropských programů</t>
  </si>
  <si>
    <t>Příspěvky divadlům a filharmoniím</t>
  </si>
  <si>
    <t>Neinvestiční dotace pro knihovny</t>
  </si>
  <si>
    <t>Gymnázium, Masarykovo nám. 8, Šumperk</t>
  </si>
  <si>
    <t>provoz</t>
  </si>
  <si>
    <t xml:space="preserve"> - účelové neinvestiční dotace</t>
  </si>
  <si>
    <t xml:space="preserve"> - účelové investiční dotace</t>
  </si>
  <si>
    <t>odbor</t>
  </si>
  <si>
    <t>příspěvkové organizace</t>
  </si>
  <si>
    <t>soukromé školy</t>
  </si>
  <si>
    <t>obecní školy</t>
  </si>
  <si>
    <t>ZUŠ, Jungmannova  740, Litovel</t>
  </si>
  <si>
    <t>Náhrady mezd v době nemoci</t>
  </si>
  <si>
    <t>Ostatní neinvestiční výdaje j.n.</t>
  </si>
  <si>
    <t>Vincentinum Šternberk - Úprava venkovních prostor pro imobilní uživatele</t>
  </si>
  <si>
    <t>Vincentinum - poskytovatel soc. služeb Šternberk - Chlazený sklad nebezpečného odpadu</t>
  </si>
  <si>
    <t>Nákupy ostatních služeb</t>
  </si>
  <si>
    <t>ÚSP Nové Zámky - Střecha a římsy</t>
  </si>
  <si>
    <t>Domov důchodců Šumperk - Chlazený sklad nebezpečného odpadu</t>
  </si>
  <si>
    <t>Domov důchodců Šumperk - Stavební úpravy balkonů</t>
  </si>
  <si>
    <t xml:space="preserve">      infrastruktury na území Olomouckého kraje</t>
  </si>
  <si>
    <t>ORJ  - 99</t>
  </si>
  <si>
    <t>RZ 386/05 - přesun z ORJ 99, § 2399, pol. 6341</t>
  </si>
  <si>
    <t>RZ 507/05 - přesun na ORJ 99, § 2399, pol. 6341</t>
  </si>
  <si>
    <t>Penzion pro důchodce Loštice</t>
  </si>
  <si>
    <t>Penzion pro důchodce Loštice celkem</t>
  </si>
  <si>
    <t>Ost.neinv.transfery veř.rozp.úz.úrovně</t>
  </si>
  <si>
    <t>Středisko volného času ATLAS a BIOS, Žižkova 12, Přerov</t>
  </si>
  <si>
    <t>Investiční a neinvestiční akce v obl.dopravy</t>
  </si>
  <si>
    <t>odkup pozemku</t>
  </si>
  <si>
    <t>Pohoštění</t>
  </si>
  <si>
    <t>RZ 301/05 - přesun z ORJ 199, 03, § 6172, pol. 5499, § 6172, pol. 5177</t>
  </si>
  <si>
    <t>Konzultační, porad.a právní služby</t>
  </si>
  <si>
    <t>00000412</t>
  </si>
  <si>
    <t>Střednědobý plán rozvoje soc.služeb OK</t>
  </si>
  <si>
    <t>Neinv.transfery nefin.pod.subj.-FO</t>
  </si>
  <si>
    <t>číslo účtu: 1701992/0800</t>
  </si>
  <si>
    <t xml:space="preserve">celkem </t>
  </si>
  <si>
    <t>inv.</t>
  </si>
  <si>
    <t>neinv.dot.</t>
  </si>
  <si>
    <t>DD a ŠJ, U Sportovní haly 1a, Olomouc</t>
  </si>
  <si>
    <t>DD a ŠJ, Vrchlického 369, Konice</t>
  </si>
  <si>
    <t>DD a ŠJ, Balkán 333, Plumlov</t>
  </si>
  <si>
    <t>DD a ŠJ, Purgešova 4, Hranice</t>
  </si>
  <si>
    <t>Spec.školy pro zrakově postižené Litovel - Areál Hejčín</t>
  </si>
  <si>
    <t>Dětský domov Konice - rekonstrukce domova</t>
  </si>
  <si>
    <t>SPŠ Přerov, Havlíčkova - výstavba tělocvičny</t>
  </si>
  <si>
    <t>OA Přerov - rekonstrukce hyg.zařízení</t>
  </si>
  <si>
    <t xml:space="preserve">Speciální školy Prostějov, Tetín - rek.vývařovny internátu </t>
  </si>
  <si>
    <t>DD a SŠ zemědělská Olomouc - stavební úpravy a opravy</t>
  </si>
  <si>
    <t>Obchodní akademie, Olomouc - Zateplení uliční a dvorní fasády</t>
  </si>
  <si>
    <t xml:space="preserve">Neinv.transfery obecně prospěšným  společnostem </t>
  </si>
  <si>
    <t>fin.příspěvek v obl.sportu</t>
  </si>
  <si>
    <t>Účel.neinvest.transfery nepodnik. FO</t>
  </si>
  <si>
    <t>Inv.transfery obč.sdružením</t>
  </si>
  <si>
    <t>odpisy</t>
  </si>
  <si>
    <t>Vědecká knihovna v Olomouci -Přístupový chodník a parkovací místa na ul. Bezručova</t>
  </si>
  <si>
    <t>Vlastivědné muzeum v Olomouci -Topný systém v budově sídla VMO</t>
  </si>
  <si>
    <t>Vlastivědné muzeum Jesenicka - Stálá expozice čarodějnických procesů</t>
  </si>
  <si>
    <t xml:space="preserve">Vlastivědné muzeum Jesenicka - Stálá expozice Z historie Jesenicka </t>
  </si>
  <si>
    <t>Brána poznání otevřena - údržba majetku</t>
  </si>
  <si>
    <t xml:space="preserve">Ostatní inv.transfery nezisk.a pod.org. </t>
  </si>
  <si>
    <t>Velký Kosíř - Rozhledna</t>
  </si>
  <si>
    <t xml:space="preserve">Loučany - Náměšť na Hané - rekonstrukce silnice </t>
  </si>
  <si>
    <t xml:space="preserve">UZ </t>
  </si>
  <si>
    <t>Příspěvek na provoz PO-mzdové náklady</t>
  </si>
  <si>
    <t>9) Odbor životního prostředí a zemědělství</t>
  </si>
  <si>
    <t>ORJ - 09</t>
  </si>
  <si>
    <t>10) Odbor školství, mládeže a tělovýchovy</t>
  </si>
  <si>
    <t>ORJ - 10</t>
  </si>
  <si>
    <t>Investiční a neinvestiční akce v obl.školství</t>
  </si>
  <si>
    <t>ORJ 8832-Podpora sportovních volnočasových aktivit</t>
  </si>
  <si>
    <t>ORJ 8832 celkem</t>
  </si>
  <si>
    <t>ORJ 8803 celkem</t>
  </si>
  <si>
    <t>ORJ - 199</t>
  </si>
  <si>
    <t>SROP - individuální projekty</t>
  </si>
  <si>
    <t>Ostatní neinv.transfery ob.</t>
  </si>
  <si>
    <t>Domov důchodců Hrubá Voda celkem</t>
  </si>
  <si>
    <t>Vlastivědné muzeum Jesenicka</t>
  </si>
  <si>
    <t>Gymnázium, Svat.Čecha 683, Kojetín</t>
  </si>
  <si>
    <t>00000407</t>
  </si>
  <si>
    <t>a příspěvek na st.pol.zam.</t>
  </si>
  <si>
    <t>Fond na podporu výst.a obn.vodohosp.infr.</t>
  </si>
  <si>
    <t>Ostatní neinv.výdaje j.n.</t>
  </si>
  <si>
    <t>8 = 7/ 6</t>
  </si>
  <si>
    <t>Neinvestičbní transfery nefin.podnik.subj.-PO</t>
  </si>
  <si>
    <t>Investiční transfery nefin.podnik.subj.-FO</t>
  </si>
  <si>
    <t>odbor celkem</t>
  </si>
  <si>
    <t>RZ 187/05 - přesun z ORJ 99, § 2399, pol. 6341</t>
  </si>
  <si>
    <t>RZ 385/05 - přesun z ORJ 99, § 2399, pol. 6341</t>
  </si>
  <si>
    <t>Zdravotnická záchranná služba Olomouckého kraje</t>
  </si>
  <si>
    <t>MŠ a ZŠ při FN Olomouc, I.P.Pavlova 6, Olomouc</t>
  </si>
  <si>
    <t>Základní škola prof.Z.Matějčka, Svatoplukova 11, Olomouc-Řepčín</t>
  </si>
  <si>
    <t>Střední škola, ZŠ a MŠ, Komenského 10, Prostějov</t>
  </si>
  <si>
    <t>Základní škola speciální Jasněnka, o.p.s., Jiráskova 772, Uničov</t>
  </si>
  <si>
    <t>ZŠ a MŠ Sluničko, s.r.o.,  Loučská  237, Lipník nad Bečvou</t>
  </si>
  <si>
    <t>MÚK R 35 - Tovačov , stavební úpravy</t>
  </si>
  <si>
    <t>Zábřeh - okružní křižovatka</t>
  </si>
  <si>
    <t>III/44620 Náklo - průtah</t>
  </si>
  <si>
    <t>III/43621, III/43622 Velký Týnec, Čechovice - rekonstrukce silnic</t>
  </si>
  <si>
    <t>III/4436, III/44310 Tovéř - okružní křižovatka</t>
  </si>
  <si>
    <t>58) GG - 1.3. Další vzdělávání pracovníků škol a školských zařízení v Olomouckém kraji</t>
  </si>
  <si>
    <t>ORJ - 58</t>
  </si>
  <si>
    <t>číslo účtu: 43-2020400297/0100</t>
  </si>
  <si>
    <t>Ostatní</t>
  </si>
  <si>
    <t>Platby daní a poplatků stát.rozpočtu</t>
  </si>
  <si>
    <t>00000000</t>
  </si>
  <si>
    <t>00000011</t>
  </si>
  <si>
    <t>Středomoravská nemocniční a.s. Olomouc</t>
  </si>
  <si>
    <t>Platby daní a poplatků SR</t>
  </si>
  <si>
    <t>GG - 1.2. Rovné příležitosti dětí a žáků, včetně dětí a žáků se speciálními vzdělávacími potřebami v Olomouckém kraji</t>
  </si>
  <si>
    <t>DD a ŠJ, Tyršova 772, Lipník</t>
  </si>
  <si>
    <t>číslo účtu: 35-1843380237/0100</t>
  </si>
  <si>
    <t>položka</t>
  </si>
  <si>
    <t>9=8/7</t>
  </si>
  <si>
    <t>Celkem</t>
  </si>
  <si>
    <t>Konsolidace</t>
  </si>
  <si>
    <t>Nákup materiálu</t>
  </si>
  <si>
    <t>Převody vlastním rozpočtovým účtům</t>
  </si>
  <si>
    <t xml:space="preserve">Ostatní neinvestiční výdaje </t>
  </si>
  <si>
    <t xml:space="preserve">Celkem výdaje po konsolidaci </t>
  </si>
  <si>
    <t>GS - 1.1. Podpora malého a středního podnikání ve vybraných regionech Olomouckého kraje celkem</t>
  </si>
  <si>
    <t>38) GS - 3.2 Podpora sociální integrace v Olomouckém kraji</t>
  </si>
  <si>
    <t>GS - 3.2 Podpora sociální integrace v Olomouckém kraji celkem</t>
  </si>
  <si>
    <t>RZ 301/05 - přesun na ORJ 199, § 6113, pol. 5169</t>
  </si>
  <si>
    <t>Drobný hmotný a dlouhodobý majetek</t>
  </si>
  <si>
    <t>RZ 712/05 - přesun z ORJ 199, § 6172, pol. 5901</t>
  </si>
  <si>
    <t>Investiční a neinvestiční akce v obl.dopr.</t>
  </si>
  <si>
    <t>Nákup dlouhodob.hm.majetku j.n.</t>
  </si>
  <si>
    <t>Investiční a neinvestiční akce v obl.zdravotnictví</t>
  </si>
  <si>
    <t>Ostatní neinvestiční výdaje jinde nezařazené</t>
  </si>
  <si>
    <t>Vlastivědné muzeum v Olomouci - vybavení depozitářů Denisova ul. (po rekonstrukci budovy)</t>
  </si>
  <si>
    <t>Vlastivědné muzeum Jesenicka - rekonstrukce střešní krytiny na budově Vodní tvrze</t>
  </si>
  <si>
    <t>Archeologické centrum v Ol - rekonstrukce objektu U Hradiska 7/4 (včetně vnitřního vybavení)</t>
  </si>
  <si>
    <t xml:space="preserve">Vlastivědné muzeum Jesenicka - inženýrské sítě a fasáda </t>
  </si>
  <si>
    <t>Muzeum Komenského v Přerově - přístavba depozitáře</t>
  </si>
  <si>
    <t>Vlastivědné muzeum v Olomouci - revitalizace rybníka Bílá Lhota</t>
  </si>
  <si>
    <t>Vlastivědné muzeum Jesenicka - Zřízení prostor pro kavárnu, vinárna, galerie</t>
  </si>
  <si>
    <t>Vlastivědné muzeum v Olomouci - Úprava Václavkova sálu</t>
  </si>
  <si>
    <t>Soukromá výtvarná ZUŠ s.r.o., Alšova 243, Jeseník</t>
  </si>
  <si>
    <t>neinv.transfery na provoz škol-ZŠ Libavá</t>
  </si>
  <si>
    <t>přímé nákl.na vzdělání</t>
  </si>
  <si>
    <t xml:space="preserve">příspěvek na odpisy </t>
  </si>
  <si>
    <t>ZŠ a MŠ logopedická, Tř. Svornosti 37/900, Olomouc</t>
  </si>
  <si>
    <t>MŠ A a T, s.r.o.,  U Bečvy 2, Přerov</t>
  </si>
  <si>
    <t>Speciální  MŠ A a J, s.r.o.,  U Bečvy 2,  Přerov</t>
  </si>
  <si>
    <t xml:space="preserve">Nespecifikované rezervy </t>
  </si>
  <si>
    <t>regionech Olomouckého kraje</t>
  </si>
  <si>
    <t>ORJ - 37</t>
  </si>
  <si>
    <t>číslo účtu: 1701482/0800</t>
  </si>
  <si>
    <t>ORJ - 38</t>
  </si>
  <si>
    <t>číslo účtu: 1701642/0800</t>
  </si>
  <si>
    <t>veřejné subjekty a neziskové organizace</t>
  </si>
  <si>
    <t>ORJ - 39</t>
  </si>
  <si>
    <t>30) Individuální projekty</t>
  </si>
  <si>
    <t>ORJ - 49</t>
  </si>
  <si>
    <t>Domov důchodců Hrubá Voda - Nákladní výtah na přepravu jídla</t>
  </si>
  <si>
    <t>Domov důchodců a penzion Chválkovice - Šatny zaměstnanců</t>
  </si>
  <si>
    <t>MF - Podpora koordinátorů romských poradců</t>
  </si>
  <si>
    <t>Pojistné plnění KÚ</t>
  </si>
  <si>
    <t>GG - 5.3. Zvýšení absorpční kapacity subjektů v Olomouckém kraji</t>
  </si>
  <si>
    <t>Zajištění dostupnosti vybraných sociálních služeb v Olomouckém kraji</t>
  </si>
  <si>
    <t>číslo účtu: 2702452/0800</t>
  </si>
  <si>
    <t>49) VILA DORIS ŠUMPERK - Podpora sociální integrace v Olomouckém kraji</t>
  </si>
  <si>
    <t>DD a Školní jídelna, Přerov, Sušilova 25 - Výměna oken</t>
  </si>
  <si>
    <t>Střední škola zemědělská, Přerov, Osmek 47-rekonstrukce budovy Kovárny, původně Výměna oken v tělocvičně</t>
  </si>
  <si>
    <t xml:space="preserve">Střední průmyslová škola, Přerov, Havlíčkova 2 - Výměna podlahové krytiny v učebnách  a kabinetech </t>
  </si>
  <si>
    <t xml:space="preserve">Švehlova SŠ, Prostějov - odloučené pracoviště Vrchlického 5 a Určická ul. 94, Prostějov - Oprava střechy </t>
  </si>
  <si>
    <t xml:space="preserve">5) Odbor správní a legislativní </t>
  </si>
  <si>
    <t>Sociální služby Šumperk</t>
  </si>
  <si>
    <t>Sociální služby Šumperk celkem</t>
  </si>
  <si>
    <t>Realizace energeticky úsporných opatření - SŠ zemědělská Přerov</t>
  </si>
  <si>
    <t>ORG 100469</t>
  </si>
  <si>
    <t>číslo účtu: 1701722/0800</t>
  </si>
  <si>
    <t>Neinvestiční transfery církvím a náboženským společnostem</t>
  </si>
  <si>
    <t xml:space="preserve">39) GS - Podpora regionálních a místních služeb cestovního ruchu - </t>
  </si>
  <si>
    <t>GS - Podpora regionálních a místních služeb cestovního ruchu - veřejné subjekty a neziskové organizace celkem</t>
  </si>
  <si>
    <t xml:space="preserve">37) GS - 1.1. Podpora malého a středního podnikání ve vybraných </t>
  </si>
  <si>
    <t>ostatní příspěvky</t>
  </si>
  <si>
    <t>Neinv.příspěvky zřízeným PO</t>
  </si>
  <si>
    <t>ORG - 1601</t>
  </si>
  <si>
    <t>ORG - 1602</t>
  </si>
  <si>
    <t>ORG - 1603</t>
  </si>
  <si>
    <t>ORG - 1604</t>
  </si>
  <si>
    <t>ORG - 1606</t>
  </si>
  <si>
    <t>ORG - 1607</t>
  </si>
  <si>
    <t>ORG - 1608</t>
  </si>
  <si>
    <t xml:space="preserve">ÚSP pro mládež Olšany - Rekonstrukce stávající koupelny </t>
  </si>
  <si>
    <t>Domov důchodců Prostějov - Zvětšení dveřních otvorů</t>
  </si>
  <si>
    <t>Domov "Na Zámku" (Nezamyslice) - Koupelna</t>
  </si>
  <si>
    <t>Centrum sociálních služeb Prostějov - Vybavení pavilonu A2</t>
  </si>
  <si>
    <t>Ústav sociální péče Rokytnice - Dispoziční úpravy pokojů</t>
  </si>
  <si>
    <t>Ost.neinv.transfery nezisk.a podob.org.</t>
  </si>
  <si>
    <t>Dary obyvatelstvu</t>
  </si>
  <si>
    <t>Nákup ostatních služeb</t>
  </si>
  <si>
    <t>Investiční výdaje</t>
  </si>
  <si>
    <t>vedoucí odboru ekonomického</t>
  </si>
  <si>
    <t>Ing. Jiří Juřena</t>
  </si>
  <si>
    <t>Pozemky</t>
  </si>
  <si>
    <t>PhDr. Jindřich Garčic</t>
  </si>
  <si>
    <t>SOU, Komenského 677, Litovel</t>
  </si>
  <si>
    <t>Studená voda</t>
  </si>
  <si>
    <t xml:space="preserve">7) Odbor ekonomický </t>
  </si>
  <si>
    <t>Odbor životního prostředí a zemědělství</t>
  </si>
  <si>
    <t>Teplo</t>
  </si>
  <si>
    <t>Služby telekomunikací a radiokomunikací</t>
  </si>
  <si>
    <t>Archeologické centrum Olomouc</t>
  </si>
  <si>
    <t>Ostatní poskytované zálohy a jistiny</t>
  </si>
  <si>
    <t>ORG 1170</t>
  </si>
  <si>
    <t>ORG 1200</t>
  </si>
  <si>
    <t>ORG 1465</t>
  </si>
  <si>
    <t>50) ROP - Regionální dopravní infrastruktura - Silnice II. a III. třídy</t>
  </si>
  <si>
    <t>ORJ - 50</t>
  </si>
  <si>
    <t>číslo účtu: 2955812/0800</t>
  </si>
  <si>
    <t>SPŠ oděvní, Prostějov - Stavební úpravy  školy</t>
  </si>
  <si>
    <t>Základní škola Jeseník - Sociální zařízení</t>
  </si>
  <si>
    <t>Gymnázium Jana Blahoslava a Střední pedagogická škola, Přerov - Změna školní jídelny na výdejnu</t>
  </si>
  <si>
    <t>SŠ, ZŠ a MŠ JISTOTA, o.p.s., Tetín 1, Prostějov</t>
  </si>
  <si>
    <t>Neinvestičbní transfery nefin.podnik.subj.-FO</t>
  </si>
  <si>
    <t>11) Odbor sociálních věcí</t>
  </si>
  <si>
    <t>Střední zemědělská škola, Osmek 47, Přerov</t>
  </si>
  <si>
    <t>upravený rozp.</t>
  </si>
  <si>
    <t>skutečnost</t>
  </si>
  <si>
    <t>%</t>
  </si>
  <si>
    <t>Provozní výdaje</t>
  </si>
  <si>
    <t xml:space="preserve">Odbor školství, mládeže a tělovýchovy celkem </t>
  </si>
  <si>
    <t>ORJ - 11</t>
  </si>
  <si>
    <t>MKČR - veřejné informační služby knihoven</t>
  </si>
  <si>
    <t>MKČR - kulturní aktivity</t>
  </si>
  <si>
    <t>Investiční a neinvestiční akce v obl.kultury</t>
  </si>
  <si>
    <t>Investiční a neinvestiční akce v obl.sociální</t>
  </si>
  <si>
    <t>Ostatní příspěvky</t>
  </si>
  <si>
    <t>Služby peněžních ústavů</t>
  </si>
  <si>
    <t xml:space="preserve">Nájemné </t>
  </si>
  <si>
    <t>sníženo:</t>
  </si>
  <si>
    <t>Služby školení a vzdělávání</t>
  </si>
  <si>
    <t>Opravy a udržování</t>
  </si>
  <si>
    <t>Programové vybavení</t>
  </si>
  <si>
    <t>DD a ŠJ , Sušilova 25,  Přerov</t>
  </si>
  <si>
    <t>DD a ŠJ, Černá Voda 1</t>
  </si>
  <si>
    <t>DD a ŠJ , Priessnitzova 406, Jeseník</t>
  </si>
  <si>
    <t>celkem</t>
  </si>
  <si>
    <t>konsolidace</t>
  </si>
  <si>
    <t>Vědecká knihovna v Olomouci</t>
  </si>
  <si>
    <t>Vědecká knihovna v Olomouci celkem</t>
  </si>
  <si>
    <t>Vlastivědné muzeum v Olomouci</t>
  </si>
  <si>
    <t>Vlastivědné muzeum v Olomouci celkem</t>
  </si>
  <si>
    <t>Muzeum Prostějovska v Prostějově celkem</t>
  </si>
  <si>
    <t>Muzeum Komenského v Přerově</t>
  </si>
  <si>
    <t>Vlastivědné muzeum v Šumperku</t>
  </si>
  <si>
    <t>Vlastivědné muzeum v Šumperku celkem</t>
  </si>
  <si>
    <t>ORJ - 17</t>
  </si>
  <si>
    <t>RZ 807/05 - přesun z ORJ 199, § 6172, pol. 5901</t>
  </si>
  <si>
    <t>RZ 197/05 - zapojení přebytku hospodaření za rok 2004</t>
  </si>
  <si>
    <t>Neinvestiční příspěvky zřízeným PO</t>
  </si>
  <si>
    <t>Správa silnic Olomouckého kraje celkem</t>
  </si>
  <si>
    <t>52) Implementace a péče o území soustavy Natura 2000 v Olomouckém kraji</t>
  </si>
  <si>
    <t>ORJ - 52</t>
  </si>
  <si>
    <t>číslo účtu: 3078612/0800</t>
  </si>
  <si>
    <t>Implementace a péče o území soustavy Natura 2000 v Olomouckém kraji</t>
  </si>
  <si>
    <t>Neinv.transf.obyv.nemající charakter daru</t>
  </si>
  <si>
    <t>fin.vypořádání s MŠMT za rok 2009</t>
  </si>
  <si>
    <t>Inv.transfery ostatním PO</t>
  </si>
  <si>
    <t>Stipendia pro žáky učebních oborů</t>
  </si>
  <si>
    <t>MŠMT - Projekty romské komunity</t>
  </si>
  <si>
    <t>MŠMT - Spolupráce s francouzskými, vlámskými a šp.školami</t>
  </si>
  <si>
    <t>MŠMT - Asistenti pedagogů pro děti, žáky a studenty se soc.znevýhodněním</t>
  </si>
  <si>
    <t>Neinv.dot.zřízeným PO</t>
  </si>
  <si>
    <t>MŠMT - Individ.projekty ost.OP VK-EU</t>
  </si>
  <si>
    <t>MŠMT - Asistenti pedagogů v soukr.a církev.spec.školách</t>
  </si>
  <si>
    <t>Soukromé OU, s.r.o., Velký Újezd  321</t>
  </si>
  <si>
    <t>Střední škola automobilní, s.r.o., Vápenice 2977/9, Prostějov</t>
  </si>
  <si>
    <t>GG - 1.1. Zvyšování kvality ve vzdělávání v Olomouckém kraji</t>
  </si>
  <si>
    <t>57) GG - 1.2. Rovné příležitosti dětí a žáků, včetně dětí a žáků se speciálními vzdělávacími potřebami v Olomouckém kraji</t>
  </si>
  <si>
    <t>ORJ - 57</t>
  </si>
  <si>
    <t>číslo účtu: 43-2020470287/0100</t>
  </si>
  <si>
    <t xml:space="preserve"> GG - 1.2. Rovné příležitosti dětí a žáků, včetně dětí a žáků se speciálními vzdělávacími potřebami v Olomouckém kraji</t>
  </si>
  <si>
    <t>Mateřská škola, Blanická 16, Olomouc</t>
  </si>
  <si>
    <t>ORG 3006000002 - Společný nadregionální projekt pro podporu domác.cestovního ruchu</t>
  </si>
  <si>
    <t>RZ 659/04 - přesun z ORJ 08, § 2140, pol. 5169</t>
  </si>
  <si>
    <t>Úroky vlastní</t>
  </si>
  <si>
    <t>12) Odbor dopravy a silničního hospodářství</t>
  </si>
  <si>
    <t>ORJ - 12</t>
  </si>
  <si>
    <t xml:space="preserve">Neinvestiční příspěvky zřízeným PO </t>
  </si>
  <si>
    <t>Nájemné za půdu</t>
  </si>
  <si>
    <t>neinv.transfery na provoz škol</t>
  </si>
  <si>
    <t>Prostějov -  okružní křižovatka</t>
  </si>
  <si>
    <t xml:space="preserve">Olomouc, místní část Chomutov - průtah </t>
  </si>
  <si>
    <t>III/37349 Ptení - obchvat</t>
  </si>
  <si>
    <t>Velký Týnec - průtah, II. Etapa</t>
  </si>
  <si>
    <t>Dub - Tovačov, stavební úpravy (křižovatka s II/150 po křižovatku do Tovačova do II/433)</t>
  </si>
  <si>
    <t>Dub nad Moravou - hranice krajů OL/ZL silnice II/150 - Želátovice - Dřevohostice,</t>
  </si>
  <si>
    <t>Přerov - most u elektrárny event. Č. 04720-1</t>
  </si>
  <si>
    <t>Soukromá SOŠ, s.r.o., Jaselská 832, Hranice</t>
  </si>
  <si>
    <t>ORG 1539</t>
  </si>
  <si>
    <t>ORG 1554</t>
  </si>
  <si>
    <t>ORG 3000</t>
  </si>
  <si>
    <t>Ostatní neinvestiční transfery neziskovým a podobným organizacím</t>
  </si>
  <si>
    <t>Brodek u Konice</t>
  </si>
  <si>
    <t>ORG 8106</t>
  </si>
  <si>
    <t>Dubicko</t>
  </si>
  <si>
    <t>ORG 8210</t>
  </si>
  <si>
    <t>Svazek obcí údolí Desné</t>
  </si>
  <si>
    <t>ORG 8278</t>
  </si>
  <si>
    <t>Ostatní neinvestiční transfery veřejným rozpočtům územní úrovně</t>
  </si>
  <si>
    <t>Ostatní investiční transfery neziskovým a podobným organizacím</t>
  </si>
  <si>
    <t>Ostatní investiční transfery veřejným rozpočtům územní úrovně</t>
  </si>
  <si>
    <t>Horka nad Moravou</t>
  </si>
  <si>
    <t>ORG 8327</t>
  </si>
  <si>
    <t>Statutární město Olomouc</t>
  </si>
  <si>
    <t>ORG 8357</t>
  </si>
  <si>
    <t>Velký Týnec</t>
  </si>
  <si>
    <t>ORG 8386</t>
  </si>
  <si>
    <t>Lobodice</t>
  </si>
  <si>
    <t>ORG 8446</t>
  </si>
  <si>
    <t>Soběchleby</t>
  </si>
  <si>
    <t>ORG 8480</t>
  </si>
  <si>
    <t>ORG 1014</t>
  </si>
  <si>
    <t>ORG 1035</t>
  </si>
  <si>
    <t>ORG 1040</t>
  </si>
  <si>
    <t>ORG 1041</t>
  </si>
  <si>
    <t>ORG 1127</t>
  </si>
  <si>
    <t>Gymnázium Jana Blahoslava a Střední pedagogická škola, Přerov</t>
  </si>
  <si>
    <t>Odborné učiliště a Praktická škola, Lipová - lázně</t>
  </si>
  <si>
    <t>Dům dětí a mládeže, tř. 17. listopadu 47, Olomouc</t>
  </si>
  <si>
    <t>ORG 1350</t>
  </si>
  <si>
    <t>Soukromá ZŠ Acorn´s a John´s school, s.r.o., U Bečvy 2, Přerov</t>
  </si>
  <si>
    <t>ORG 1516</t>
  </si>
  <si>
    <t>Neinvestiční transfery nefinančním podnikatelským subjektům -právnickým osobám</t>
  </si>
  <si>
    <t>Soukromá SOŠ, s.r.o.,Jaselská 832, Hranice</t>
  </si>
  <si>
    <t>Investiční transfery nefinannčím podnikatelským subjektům-právnickým osobám</t>
  </si>
  <si>
    <t>ORG 2220</t>
  </si>
  <si>
    <t>ORG 2256</t>
  </si>
  <si>
    <t>Uničov</t>
  </si>
  <si>
    <t>ORG 8383</t>
  </si>
  <si>
    <t>Statutární město Přerov</t>
  </si>
  <si>
    <t>ZŠ a MŠ, Malá Dlážka 4, Přerov</t>
  </si>
  <si>
    <t>SPŠ strojnická Olomouc, tř. 17. listopadu 49</t>
  </si>
  <si>
    <t>ORG 1151</t>
  </si>
  <si>
    <t>Střední odborná škola Litovel</t>
  </si>
  <si>
    <t>Střední odborná škola gastronomie a potravinářství, U Jatek 8, Jeseník</t>
  </si>
  <si>
    <t>ORG 1226</t>
  </si>
  <si>
    <t xml:space="preserve">Výdaje odboru strategického rozvoje kraje - operační program Olomouckého kraje </t>
  </si>
  <si>
    <t>Výdaje odboru dopravy a silničního hosp.</t>
  </si>
  <si>
    <t>Neinv.transfery obecně prospěš.spol.</t>
  </si>
  <si>
    <t>MPSV - na výplatu st.přísp.pro zřiz.zařízení pro děti vyž.okamžitou pomoc</t>
  </si>
  <si>
    <t>ORJ 8803-Příprava projektů podnikatelů na čerpání prostř.ze SF EU</t>
  </si>
  <si>
    <t>ORJ 8835 - Příprava projektů NNO na čerpání prostř.ze SF EU</t>
  </si>
  <si>
    <t>Neinvestiční příspěvky zřízeným PO-rezerva</t>
  </si>
  <si>
    <t xml:space="preserve">Rezerva </t>
  </si>
  <si>
    <t>Odbory (kanceláře) Krajského úřadu Olomouckého kraje</t>
  </si>
  <si>
    <r>
      <t xml:space="preserve"> </t>
    </r>
    <r>
      <rPr>
        <b/>
        <sz val="11"/>
        <rFont val="Arial"/>
        <family val="2"/>
        <charset val="238"/>
      </rPr>
      <t>•</t>
    </r>
    <r>
      <rPr>
        <b/>
        <sz val="11"/>
        <rFont val="Arial"/>
        <family val="2"/>
        <charset val="238"/>
      </rPr>
      <t xml:space="preserve"> </t>
    </r>
  </si>
  <si>
    <t xml:space="preserve"> •</t>
  </si>
  <si>
    <t>Půjčka z EIB-projekt modernizace silniční sítě</t>
  </si>
  <si>
    <t>Půjčka z EIB - ROP</t>
  </si>
  <si>
    <t>Vratky veř.rozpočtům ústř.úr.tr.poskyt.v min.rozp.obd.</t>
  </si>
  <si>
    <t>Poskytnuté neinv. příspěvky a náhrady</t>
  </si>
  <si>
    <t>Program obnovy venkova</t>
  </si>
  <si>
    <t>6) Odbor informačních technologií</t>
  </si>
  <si>
    <t>Sociální služby Prostějov</t>
  </si>
  <si>
    <t>Neinvestiční transfery nefinančním podnikatelským subjektům - právnickým osobám</t>
  </si>
  <si>
    <t>Investiční transfery nefinančním podnikatelským subjektům - právnickým osobám</t>
  </si>
  <si>
    <t>ORG 1124</t>
  </si>
  <si>
    <t>ORG 1216</t>
  </si>
  <si>
    <t>ORG 3001</t>
  </si>
  <si>
    <t>Regionální agentura pro rozvoj Střední Moravy</t>
  </si>
  <si>
    <t>ORG 3028</t>
  </si>
  <si>
    <t>64) Operační program lidské zdroje a zaměstnanost</t>
  </si>
  <si>
    <t>ORJ - 64</t>
  </si>
  <si>
    <t>číslo účtu: 4167692/0800</t>
  </si>
  <si>
    <t xml:space="preserve">Pohoštění </t>
  </si>
  <si>
    <t>Vzdělání v eGON Centru Olomouckého kraje</t>
  </si>
  <si>
    <t>ORG 100350</t>
  </si>
  <si>
    <t>Operační program lidské zdroje a zaměstnanost</t>
  </si>
  <si>
    <t xml:space="preserve">ÚSP pro mládež Olšany - Výměna technologie lůžkového výtahu </t>
  </si>
  <si>
    <t>Gymnázium, Zábřeh, náměstí Osvobození 20 - Výměna rozvodů topení</t>
  </si>
  <si>
    <t xml:space="preserve">SŠ, ZŠ a MŠ Šumperk, Hanácká 3 - Oprava zídky a vjezdu </t>
  </si>
  <si>
    <t>Odborné učiliště, Křenovice 8 - Půdní vestavba</t>
  </si>
  <si>
    <t xml:space="preserve">SŠ technická, Přerov - Střecha areálu Bří Hovůrkových </t>
  </si>
  <si>
    <t>Střední zdravotnická škola, Hranice - Plynová kotelna</t>
  </si>
  <si>
    <t>Vyšší odborná škola a SPŠ, Šumperk - Modernizace školní kuchyně</t>
  </si>
  <si>
    <t>Sociální služby pro seniory Olomouc - oprava výtahů (4 ks)</t>
  </si>
  <si>
    <t>Sociální služby Šumperk - přístavba výtahu</t>
  </si>
  <si>
    <t>Domov Na zámečku Rokytnice - oprava výtahu</t>
  </si>
  <si>
    <t>výměna oken - I. a II. Etapa, DD Prostějov</t>
  </si>
  <si>
    <t>Oprava výtahu DD Prostějov, Nerudova (1osobní + 1nákladní, 6 pater)</t>
  </si>
  <si>
    <t>DD Chválkovice - úpravy výtahů</t>
  </si>
  <si>
    <t>ZUŠ Miloslava Stibora, výtvarný obor, Olomouc -Statické zajištění budovy</t>
  </si>
  <si>
    <t>číslo účtu: 35-1843390267/0100</t>
  </si>
  <si>
    <t xml:space="preserve">42) GS - 3.3. Rozvoj kapacit dalšího profesního vzdělávání         </t>
  </si>
  <si>
    <t>GS - 3.3. Rozvoj kapacit dalšího profesního vzdělávání   celkem</t>
  </si>
  <si>
    <t xml:space="preserve">SMN a.s. o.z. Nemocnice Prostějov – přemístění onkologie </t>
  </si>
  <si>
    <t>Konice - novostavba stanice HZS - příspěvek Konice ve výši 40%</t>
  </si>
  <si>
    <t>III/44311 Dolany - průtah, most</t>
  </si>
  <si>
    <t>ORG 100114</t>
  </si>
  <si>
    <t>ORG 100132</t>
  </si>
  <si>
    <t>Cestování časem</t>
  </si>
  <si>
    <t>ORG 100101</t>
  </si>
  <si>
    <t>ZUŠ I.Krejčího, Na Vozovce 32, Olomouc</t>
  </si>
  <si>
    <t>ZUŠ Žerotín, Kavaleristů 6, Olomouc</t>
  </si>
  <si>
    <t>ZUŠ, Potštát 36</t>
  </si>
  <si>
    <t>ZUŠ, Školní nám. 35, Hranice</t>
  </si>
  <si>
    <t>ZUŠ, Hanusíkova 197, Kojetín</t>
  </si>
  <si>
    <t>ZUŠ, nám. Svobody 15, Mohelnice</t>
  </si>
  <si>
    <t>ZUŠ, Žerotínova 11, Šumperk</t>
  </si>
  <si>
    <t>Gymnázium Olomouc - Hejčín - výstavba stravovacího pavilonu skuch.</t>
  </si>
  <si>
    <t>Gymnázium, Hranice - půdní vestavba</t>
  </si>
  <si>
    <t>SOU Litovel - rekonstrukce obv.pláště a výměna oken</t>
  </si>
  <si>
    <t>SOŠ a SOU zemědělské, Horní Heřmanice - rek.vytápění</t>
  </si>
  <si>
    <t>Provozní příspěvky zřízeným PO</t>
  </si>
  <si>
    <t>Rezerva pro příspěvkové organizace</t>
  </si>
  <si>
    <t>Neinvestiční rezerva pro PO</t>
  </si>
  <si>
    <t>Ing. Věra Štembírková</t>
  </si>
  <si>
    <t>EUO - SŠ polygrafická Olomouc</t>
  </si>
  <si>
    <t>ORG 100134</t>
  </si>
  <si>
    <t>obl.školství</t>
  </si>
  <si>
    <t>obl.sociální</t>
  </si>
  <si>
    <t>obl.dopravy</t>
  </si>
  <si>
    <t>obl.zdravotnictví</t>
  </si>
  <si>
    <t>obl.kriz.řízení</t>
  </si>
  <si>
    <t>obl.kultury</t>
  </si>
  <si>
    <t>Prostějov - přeložka silnice II/366 od Tesca</t>
  </si>
  <si>
    <t>Gymnázium, Komenského 281, Jeseník</t>
  </si>
  <si>
    <t>SPŠE a VOŠ, Božetěchova 3, Olomouc</t>
  </si>
  <si>
    <t>Ost.povinné poj.hrazené zaměstn.</t>
  </si>
  <si>
    <t>Neinvestiční příspěvky celkem</t>
  </si>
  <si>
    <t>Investiční příspěvky celkem</t>
  </si>
  <si>
    <t>II/366 Rekonstrukce silnice a most Kostelec na Hané</t>
  </si>
  <si>
    <t>Ohrozim obchvat</t>
  </si>
  <si>
    <t>Dub nad Moravou - hranice okresu PV - rekonstrukce silnice</t>
  </si>
  <si>
    <t>Kozlovice - obchvat</t>
  </si>
  <si>
    <t>Sušice - přeložka silnice</t>
  </si>
  <si>
    <t>Ostružná - obchvat, 1. a 2. etapa</t>
  </si>
  <si>
    <t>Protihluková opatření - Radslavice</t>
  </si>
  <si>
    <t>OA a Jazyková škola s právem st.jazyk.skoušky, Hlavní tř. 31, Šumperk</t>
  </si>
  <si>
    <t>enviromentální vzdělávání, výchova a osvěta</t>
  </si>
  <si>
    <t>talent Olomouckého kraje</t>
  </si>
  <si>
    <t>Dotace na JSDH z rozpočtu kraje</t>
  </si>
  <si>
    <t>PPP Olomouckého kraje , U sportovní haly 1, Olomouc</t>
  </si>
  <si>
    <t>Základní škola, Sladovní 492, Kojetín</t>
  </si>
  <si>
    <t>Vratky veř.rozpočtům ústř.úrovně transferů poskyt.v min.rozpočt.obd.</t>
  </si>
  <si>
    <t>00000022</t>
  </si>
  <si>
    <t>00033155</t>
  </si>
  <si>
    <t xml:space="preserve">Neinv.transfery občanským sdružením </t>
  </si>
  <si>
    <t>Ostatní neinv.transfery nezisk.a pod.org.</t>
  </si>
  <si>
    <t>Pojistné plnění PO</t>
  </si>
  <si>
    <t>ORG 3009000001 - Silnice II. Třídy č. 446 Nová Seninka</t>
  </si>
  <si>
    <t>RZ 660/04 - přesun z ORJ 08, § 3639, pol. 5166</t>
  </si>
  <si>
    <t>Individuální projekty</t>
  </si>
  <si>
    <t>Provozní  výdaje celkem</t>
  </si>
  <si>
    <t>Provozní výdaje individuálních projektů celkem</t>
  </si>
  <si>
    <t xml:space="preserve">Investiční výdaje individuálních projektů celkem </t>
  </si>
  <si>
    <t>Investiční transfery obecně prospěšným společnostem</t>
  </si>
  <si>
    <t>ORG 1108</t>
  </si>
  <si>
    <t>Střední škola sociální péče a služeb, Zábřeh</t>
  </si>
  <si>
    <t>ORG 1223</t>
  </si>
  <si>
    <t>ORG 1225</t>
  </si>
  <si>
    <t>ORG 8400</t>
  </si>
  <si>
    <t>Investiční transfery občanským sdružením</t>
  </si>
  <si>
    <t xml:space="preserve"> -účelové investiční dotace</t>
  </si>
  <si>
    <t xml:space="preserve"> -investiční  příspěvek</t>
  </si>
  <si>
    <t>Výdaje odboru sociálních věcí</t>
  </si>
  <si>
    <t xml:space="preserve">Nákup ostatních služeb </t>
  </si>
  <si>
    <t>Cestovné (tuzemské i zahraniční)</t>
  </si>
  <si>
    <t xml:space="preserve">Odbor kultury a památkové péče celkem </t>
  </si>
  <si>
    <t xml:space="preserve">Odbor ekonomický celkem </t>
  </si>
  <si>
    <t>Odbor majetkový a právní</t>
  </si>
  <si>
    <t>ORG 100014</t>
  </si>
  <si>
    <t>ZZS OK - přístrojové vybavení vozidel</t>
  </si>
  <si>
    <t>ORG 100015</t>
  </si>
  <si>
    <t>ZZS OK, p.o. - Čerpací stanice pro heliport Olomouc</t>
  </si>
  <si>
    <t>OLÚ Moravský Beroun, p.o.- Box pro zemřelé pacienty</t>
  </si>
  <si>
    <t>OLÚ Paseka - Centrální jídelna a rozšíření prádelny (změna názvu k 17. 12. 2009)</t>
  </si>
  <si>
    <t>ZUŠ Franze Schuberta, Nádražní 280, Zlaté Hory</t>
  </si>
  <si>
    <t>Neinv.transfery nefin.podn.subj.-FO</t>
  </si>
  <si>
    <t>Ostatní povinné pojistné placené zaměstnavatelem</t>
  </si>
  <si>
    <t>Investiční transfery nefin.podnik.subj.-PO</t>
  </si>
  <si>
    <t xml:space="preserve">Inv.transfery obč.sdružením </t>
  </si>
  <si>
    <t xml:space="preserve">Investiční transfery zřízeným PO </t>
  </si>
  <si>
    <t>Neinvest.transfery nefin.podnik.subjektům-PO</t>
  </si>
  <si>
    <t>Neinv.transfery obecně prospěš.společnostem</t>
  </si>
  <si>
    <t>Investiční transfery zřízeným  PO</t>
  </si>
  <si>
    <t>Povinné pojistné na sociální zabezpečení a příspěvěk na státní politiku zaměstnanosti</t>
  </si>
  <si>
    <t>Povinné pojistné na veřejné zdravotní pojištění</t>
  </si>
  <si>
    <t>Individuální projekty (před podáním výzvy)</t>
  </si>
  <si>
    <t xml:space="preserve"> - konsolidace</t>
  </si>
  <si>
    <t>ORJ - 32</t>
  </si>
  <si>
    <t xml:space="preserve">Výdaje Olomouckého kraje celkem </t>
  </si>
  <si>
    <t>Odpisy</t>
  </si>
  <si>
    <t>Mgr. Jiří Šafránek</t>
  </si>
  <si>
    <t>14) Odbor zdravotnictví</t>
  </si>
  <si>
    <t xml:space="preserve">Odbor majetkový a právní celkem </t>
  </si>
  <si>
    <t xml:space="preserve">Odbor životního prostředí a zemědělství celkem </t>
  </si>
  <si>
    <t>Výdaje Olomouckého kraje celkem                       (po konsolidaci)</t>
  </si>
  <si>
    <t>Sociální fond celkem</t>
  </si>
  <si>
    <t>Ústav sociální péče pro mládež Jeseník celkem</t>
  </si>
  <si>
    <t>Středisko pečovatelské služby Jeseník</t>
  </si>
  <si>
    <t>ORG - 1636</t>
  </si>
  <si>
    <t>ORG - 1637</t>
  </si>
  <si>
    <t>Neinv.transfery obecně prospěšným  spol.</t>
  </si>
  <si>
    <t>Obnova kult.památek v OK</t>
  </si>
  <si>
    <t>Obnova staveb drobné arch.mistního významu v OK</t>
  </si>
  <si>
    <t>Neinv.transfery církvím a nábož.společnost.</t>
  </si>
  <si>
    <t>Neinvestiční transfery obcím</t>
  </si>
  <si>
    <t>00000002</t>
  </si>
  <si>
    <t>Přebytek hospodaření OK</t>
  </si>
  <si>
    <t>00000508</t>
  </si>
  <si>
    <t>Zastupování zájmů OK v Bruselu</t>
  </si>
  <si>
    <t>SOŠ průmyslová a SOU strojírenské, Lidická 4, Prostějov</t>
  </si>
  <si>
    <t>Střední škola gastronomie a služeb, Šířava 7, Přerov</t>
  </si>
  <si>
    <t>projekty romské komunity</t>
  </si>
  <si>
    <t>Střední průmyslová škola Hranice, Studentská 1384, Hranice</t>
  </si>
  <si>
    <t>individ.projekty ost.OP VK-EU</t>
  </si>
  <si>
    <t>SŠ elektrotechnická,Tyršova 781, Lipník n/B.</t>
  </si>
  <si>
    <t>rezerva</t>
  </si>
  <si>
    <t>Česko Britská Mezinárodní škola a MŠ s.r.o., Rooseveltova 101,   Olomouc</t>
  </si>
  <si>
    <t>Waldorfská ZŠ a MŠ Olomouc, s.r.o., Kosinova 876/3, Olomouc</t>
  </si>
  <si>
    <t>ORJ - 41</t>
  </si>
  <si>
    <t>ORJ - 42</t>
  </si>
  <si>
    <t>SROP 3.3 - Partnerství pro rozvoj kraje - 2. část</t>
  </si>
  <si>
    <t>ORG 4608000040</t>
  </si>
  <si>
    <t>ORJ - 46</t>
  </si>
  <si>
    <t>OP RLZ - 3.1.: Vzdělávání učitelů v přípravě a řízení projektů SF EU na středních školách v Olomouckém kraji</t>
  </si>
  <si>
    <t>ORJ - 47</t>
  </si>
  <si>
    <t>ORJ - 03</t>
  </si>
  <si>
    <t>Plyn</t>
  </si>
  <si>
    <t>v tis.Kč</t>
  </si>
  <si>
    <t>Poskytnuté neinv.příspěvky a náhrady</t>
  </si>
  <si>
    <t>Ostatní platy</t>
  </si>
  <si>
    <t>Ost.povinné pojistné placené zaměstn.</t>
  </si>
  <si>
    <t xml:space="preserve">Opravy a udržování </t>
  </si>
  <si>
    <t>Dopravní prostředky</t>
  </si>
  <si>
    <t>Centrum sociálních služeb Prostějov</t>
  </si>
  <si>
    <t xml:space="preserve">Centrum sociálních služeb Prostějov  celkem </t>
  </si>
  <si>
    <t>ORJ - 99</t>
  </si>
  <si>
    <t>Gymnázium, Zborovská 293, Hranice</t>
  </si>
  <si>
    <t>Neinv.transfery cizím PO</t>
  </si>
  <si>
    <t>Invest.transf.nefin.podn.subj.-PO</t>
  </si>
  <si>
    <t>MZeČR - Meliorace a hrazení bystřin v lesích podle § 35 odst. 1 a 3 lesního zákona (investice)</t>
  </si>
  <si>
    <t>Neinv.transfery církvím a nábož.společn.</t>
  </si>
  <si>
    <t>MOČR - neinv.transfery na provoz škol</t>
  </si>
  <si>
    <t>Odborný léčebný ústav Paseka</t>
  </si>
  <si>
    <t>Odborný léčebný ústav Paseka celkem</t>
  </si>
  <si>
    <t>Vlastivědné muzeum Jesenicka celkem</t>
  </si>
  <si>
    <t>Účastnické poplatky na konference</t>
  </si>
  <si>
    <t>Investiční  výdaje</t>
  </si>
  <si>
    <t>4) Odbor majetkový a právní</t>
  </si>
  <si>
    <t>OU  Křenovice 8, Kojetín</t>
  </si>
  <si>
    <t xml:space="preserve">Odbor zdravotnictví celkem </t>
  </si>
  <si>
    <t xml:space="preserve">Odbor sociálních věcí celkem </t>
  </si>
  <si>
    <t>ZŠ a MŠ při Priess.léčeb.lázních,a.s.,  Kalvodova 360, Jeseník</t>
  </si>
  <si>
    <t>VOŠ a SPŠ , gen. Krátkého 1, Šumperk</t>
  </si>
  <si>
    <t>Provoz</t>
  </si>
  <si>
    <t>Příspěvek na odpisy</t>
  </si>
  <si>
    <t>Neinvestiční transfery nefininačním podnikatelským subjektům - právnickým osobám</t>
  </si>
  <si>
    <t>ORG 1102</t>
  </si>
  <si>
    <t>Neinvestiční transfery zřízeným příspěvkovým organizacím</t>
  </si>
  <si>
    <t>Gymnázium Olomouc - Hejčín</t>
  </si>
  <si>
    <t>ORG 1103</t>
  </si>
  <si>
    <t>ORG 1106</t>
  </si>
  <si>
    <t>Gymnázium Jeseník</t>
  </si>
  <si>
    <t>ORG 1113</t>
  </si>
  <si>
    <t>VOŠ a SPŠ elektrotechnická, Olomouc</t>
  </si>
  <si>
    <t>ORG 1120</t>
  </si>
  <si>
    <t>SPŠ strojnická, Olomouc</t>
  </si>
  <si>
    <t>ORG 1121</t>
  </si>
  <si>
    <t>SPŠ oděvní, Prostějov</t>
  </si>
  <si>
    <t>ORG 1125</t>
  </si>
  <si>
    <t>ORG 1153</t>
  </si>
  <si>
    <t>ORG 1160</t>
  </si>
  <si>
    <t>Investiční transfery zřízeným příspěvkovým organizacím</t>
  </si>
  <si>
    <t>Realizace energeticky úsporných opatření - Sigmundova střední škola strojírenská, Lutín - budova školy</t>
  </si>
  <si>
    <t>ORG 100553</t>
  </si>
  <si>
    <t>Realizace energeticky úsporných opatření - Sigmundova střední škola strojírenská, Lutín - domov mládeže</t>
  </si>
  <si>
    <t>ORG 100554</t>
  </si>
  <si>
    <t>Realizace energeticky úsporných opatření - Gymnázium Uničov</t>
  </si>
  <si>
    <t>ORG 100559</t>
  </si>
  <si>
    <t>Realizace energeticky úsporných opatření - VOŠ a SPŠ Šumperk - budova školy</t>
  </si>
  <si>
    <t>ORG 100561</t>
  </si>
  <si>
    <t>Realizace energeticky úsporných opatření - VOŠ a SPŠ Šumperk - domov mládeže</t>
  </si>
  <si>
    <t>ORG 100562</t>
  </si>
  <si>
    <t>Realizace energeticky úsporných opatření - VOŠ a SPŠ Šumperk - tělocvična</t>
  </si>
  <si>
    <t>ORG 100563</t>
  </si>
  <si>
    <t>Silnice III/4469 Bohuňovice - průtah</t>
  </si>
  <si>
    <t>ORG 100489</t>
  </si>
  <si>
    <t>Příspěvek na provoz-mzdové náklady</t>
  </si>
  <si>
    <t>Výdaje</t>
  </si>
  <si>
    <t>Evropské programy</t>
  </si>
  <si>
    <t>číslo účtu:1695262/0800</t>
  </si>
  <si>
    <t>Společný regionální operační program</t>
  </si>
  <si>
    <t>Povinné pojistné na sociální zabezpečení a příspěvek na státní politiku zaměstnanosti</t>
  </si>
  <si>
    <t xml:space="preserve">Povinné pojistné na veřejné zdravotní pojištění </t>
  </si>
  <si>
    <t>VOŠ a SPŠ elektrotechnická, Olomouc-školní tělocvična</t>
  </si>
  <si>
    <t>Slovanské gymnázium, Olomouc - rek.soc.zařízení</t>
  </si>
  <si>
    <t>Gymnázium J. Opletala, Opletalova 189, Litovel</t>
  </si>
  <si>
    <t>Gymnázium, Čajkovského 9, Olomouc</t>
  </si>
  <si>
    <t>Gymnázium, Tomkova 45, Olomouc-Hejčín</t>
  </si>
  <si>
    <t>RZ 149/05 - přesun na ORJ 99, § 2399, pol. 5909</t>
  </si>
  <si>
    <t>RZ 187/05 - přesun na ORJ 99, § 2399, pol. 5909</t>
  </si>
  <si>
    <t>ORG - 1631</t>
  </si>
  <si>
    <t>Domov pro seniory Javorník</t>
  </si>
  <si>
    <t>ORG - 1632</t>
  </si>
  <si>
    <t>Domov pro seniory Javorník celkem</t>
  </si>
  <si>
    <t>ORG - 1633</t>
  </si>
  <si>
    <t>ORG - 1634</t>
  </si>
  <si>
    <t>ORG - 1635</t>
  </si>
  <si>
    <t>59) Projekty v rámci ROP</t>
  </si>
  <si>
    <t>Ostaní neinvestiční výdaje jinde nezařazené</t>
  </si>
  <si>
    <t>Neinvestiční transfery obecně prospěšným společnostem</t>
  </si>
  <si>
    <t>Neinv.transfery šk.PO zřízeným státem, kraji a obcemi</t>
  </si>
  <si>
    <t>Domov seniorů POHODA Chvalkovice celkem</t>
  </si>
  <si>
    <t>ORG - 1640</t>
  </si>
  <si>
    <t>Klíč-centrum sociálních služeb</t>
  </si>
  <si>
    <t>ORG - 1641</t>
  </si>
  <si>
    <t>Klíč-centrum sociálních služeb celkem</t>
  </si>
  <si>
    <t>ORG - 1642</t>
  </si>
  <si>
    <t>Nové Zámky - poskytovatel sociálních služeb</t>
  </si>
  <si>
    <t>Nové Zámky-poskytovatel sociálních služeb celkem</t>
  </si>
  <si>
    <t>ORG - 1645</t>
  </si>
  <si>
    <t>ORG - 1646</t>
  </si>
  <si>
    <t>ORG - 1647</t>
  </si>
  <si>
    <t>ORG - 1644</t>
  </si>
  <si>
    <t>ORG - 1648</t>
  </si>
  <si>
    <t>Útvar interního auditu celkem</t>
  </si>
  <si>
    <t>Konsolidace *</t>
  </si>
  <si>
    <t>* Konsolidace</t>
  </si>
  <si>
    <t>Konsolidace je očištění údajů  rozpočtu a skutečnosti o interní přesuny peněžních prostředků uvnitř organizace mezi jednotlivými účty.</t>
  </si>
  <si>
    <t>Domov důchodců Jesenec celkem</t>
  </si>
  <si>
    <t>Sociální služby Prostějov celkem</t>
  </si>
  <si>
    <t>Talent Olomouckého kraje</t>
  </si>
  <si>
    <t>PO, SŠ, Obec.šk.</t>
  </si>
  <si>
    <t>celkem odbor +PO,SŠ,OŠ</t>
  </si>
  <si>
    <t>Výdaje odboru informačních technologií</t>
  </si>
  <si>
    <t>Úvěr KB - čerpání a splátky</t>
  </si>
  <si>
    <t>Program na podporu začínajících včelařů na území OK</t>
  </si>
  <si>
    <t>33113233</t>
  </si>
  <si>
    <t>MPSV - OP lidské zdroje a zaměstnanost-CZ</t>
  </si>
  <si>
    <t>33513233</t>
  </si>
  <si>
    <t>MPSV - OP lidské zdroje a zaměstnanost-EU</t>
  </si>
  <si>
    <t>Dům seniorů FRANTIŠEK  Náměšť na Hané</t>
  </si>
  <si>
    <t>Dům seniorů FRANTIŠEK  Náměšť na Hané celkem</t>
  </si>
  <si>
    <t>Duha - centrum sociálních služeb Vikýřovice</t>
  </si>
  <si>
    <t>Duha - centrum sociálních služeb Vikýřovice Celkem</t>
  </si>
  <si>
    <t>ORG 100171</t>
  </si>
  <si>
    <t>II/366 Kostelec na Hané - průtah (IV. Etapa)</t>
  </si>
  <si>
    <t>ORG 100027</t>
  </si>
  <si>
    <t>Čechy - Domaželice - obchvat</t>
  </si>
  <si>
    <t>Neinvestiční dotace zřízeným příspěvkovým organizacím</t>
  </si>
  <si>
    <t>ORG 1101</t>
  </si>
  <si>
    <t>ORG 1518</t>
  </si>
  <si>
    <t>Základní škola a střední škola Pomněnka, o. p. s., Šumavská 13, Šumperk</t>
  </si>
  <si>
    <t>ORG 1517</t>
  </si>
  <si>
    <t>ZŠ pro žáky se specifickými poruchami učení a MŠ logopedická Schola – Viva o. p. s., Erbenova 16, Šumperk</t>
  </si>
  <si>
    <t>ORG 1222</t>
  </si>
  <si>
    <t>ORG 1038</t>
  </si>
  <si>
    <t>ORG 1123</t>
  </si>
  <si>
    <t>SŠ zemědělská, U Hradiska 4, Olomouc</t>
  </si>
  <si>
    <t>ORG 100324</t>
  </si>
  <si>
    <t>Domov Na zámečku Rokytnice - rekonstrukce zámeckého parku a jeho zpřístupnění veřejnosti</t>
  </si>
  <si>
    <t>38500881</t>
  </si>
  <si>
    <t>38100880</t>
  </si>
  <si>
    <t>41100880</t>
  </si>
  <si>
    <t>ORG 100016</t>
  </si>
  <si>
    <t>Revitalizace území areálu staré nemocnice v Prostějově</t>
  </si>
  <si>
    <t>Nepecifikované rezervy</t>
  </si>
  <si>
    <t>ORG 8022</t>
  </si>
  <si>
    <t>Zlaté Hory</t>
  </si>
  <si>
    <t>číslo účtu: 43-6947880247/0100</t>
  </si>
  <si>
    <t>ORJ - 66</t>
  </si>
  <si>
    <t>66) Zvyšování kvality ve vzdělávání v Olomouckém kraji II</t>
  </si>
  <si>
    <t>Rovné příležitosti dětí a žáků v Olomouckém kraji II</t>
  </si>
  <si>
    <t>číslo účtu: 43-6947900287/0100</t>
  </si>
  <si>
    <t>ORJ - 67</t>
  </si>
  <si>
    <t>67) Rovné  příležitosti  dětí  a  žáků v Olomouckém kraji II</t>
  </si>
  <si>
    <t>číslo účtu: 43-6947910207/0100</t>
  </si>
  <si>
    <t>ORJ - 68</t>
  </si>
  <si>
    <t>68) Další  vzdělávání pracovníků škol a  školských zařízení v Olomouckém kraji II</t>
  </si>
  <si>
    <t>OP - VK - Zvyšování kvality ve vzdělávání</t>
  </si>
  <si>
    <t>číslo účtu: 43-6948010227/0100</t>
  </si>
  <si>
    <t>ORJ - 69</t>
  </si>
  <si>
    <t>69) OP VK - Zvyšování kvality ve vzdělávání</t>
  </si>
  <si>
    <t>číslo účtu: 107-81230237/0100</t>
  </si>
  <si>
    <t>OP - VK - Řízení, kontrola, monitorování a hodnocení programu v Olomouckém kraji II</t>
  </si>
  <si>
    <t>číslo účtu: 107-83900257/0100</t>
  </si>
  <si>
    <t>ORJ - 71</t>
  </si>
  <si>
    <t>71) OP VK - Řízení, kontrola, monitorování a hodnocení programu v Olomouckém kraji II</t>
  </si>
  <si>
    <t>inv.dot.</t>
  </si>
  <si>
    <t>Zvyšování kvality ve vzdělávání v Olomouckém kraji II</t>
  </si>
  <si>
    <t>Rovné  příležitosti  dětí  a  žáků v Olomouckém kraji II</t>
  </si>
  <si>
    <t>Další  vzdělávání pracovníků škol a  školských zařízení v Olomouckém kraji II</t>
  </si>
  <si>
    <t>OP VK - Zvyšování kvality ve vzdělávání</t>
  </si>
  <si>
    <t>OP VK - Řízení, kontrola, monitorování a hodnocení programu v Olomouckém kraji II</t>
  </si>
  <si>
    <t>investice+inv.dot</t>
  </si>
  <si>
    <t>ORG - 1600</t>
  </si>
  <si>
    <t>Provozní příspěvky zřízeným PO včetně rezervy</t>
  </si>
  <si>
    <t>Přímá podpora významných kulturních akcí</t>
  </si>
  <si>
    <t>Příspěvek na záchranný arch. výzkum</t>
  </si>
  <si>
    <t>Vzdělávání lékařů</t>
  </si>
  <si>
    <t>MŠMT - Podpora organizace a ukonč.středního vzděl.maturitní zkouškou</t>
  </si>
  <si>
    <t>MŠMT - Dotace dvojjazyčným gymnáziím s výukou francouštiny</t>
  </si>
  <si>
    <t xml:space="preserve">Příspěvky vysokým školám </t>
  </si>
  <si>
    <t xml:space="preserve">Odbory </t>
  </si>
  <si>
    <t>Fond voda</t>
  </si>
  <si>
    <t>Kapitálové výdaje</t>
  </si>
  <si>
    <t>celkem (po konsolidaci)</t>
  </si>
  <si>
    <t>provozní</t>
  </si>
  <si>
    <t>kapitálové</t>
  </si>
  <si>
    <t xml:space="preserve">Neinvestiční dotace zřízeným PO </t>
  </si>
  <si>
    <t>Základní škola a Mateřská škola, Nová 1820, Hranice</t>
  </si>
  <si>
    <t>Střední škola a Základní škola, Osecká 301, Lipník n/B</t>
  </si>
  <si>
    <t>dot.dvojjazyčným gymnáziím s výukou franc.</t>
  </si>
  <si>
    <t>Gymnázium, Nám.Osvobození 20, Zábřeh na Moravě</t>
  </si>
  <si>
    <t>Podpora organizace a ukončování středního vzdělávání maturitní zkouškou na vybraných školách v podzimním zkušebním období</t>
  </si>
  <si>
    <t>Střední škola designu a módy, Vápenice 1, Prostějov</t>
  </si>
  <si>
    <t>Střední škola logistiky a chemie, U Hradiska 29, Olomouc</t>
  </si>
  <si>
    <t>SOŠ strojírenská a lesnická, Opavská 8,  Šternberk</t>
  </si>
  <si>
    <t>Střední škola železniční a stavební, Bulharská 8, Šumperk</t>
  </si>
  <si>
    <t>Školní jídelna, Tomkova 45, Olomouc-Hejčín</t>
  </si>
  <si>
    <t>SCHOLA-SERVIS zařízení pro DVPP a středisko služeb, Olomoucká 25, Prostějov</t>
  </si>
  <si>
    <t>5xxx +  6xxx</t>
  </si>
  <si>
    <t>Celkem 5xxx+6xxx+rezerva</t>
  </si>
  <si>
    <t>MŠ 1.olomoucká sportovní, s.r.o., Karafiátova 895/3a, Olomouc-Neředín</t>
  </si>
  <si>
    <t>SOŠ podnikání a obchodu, s.r.o., Rejskova 2987/4, Prostějov</t>
  </si>
  <si>
    <t>Odměny členů zastupitelstva obcí a krajů</t>
  </si>
  <si>
    <t>Povinné poj.na veřejné zdravotní pojištění</t>
  </si>
  <si>
    <t>Platby daní a poplatků státnímu rozpočtu</t>
  </si>
  <si>
    <t>Převody FKSP a sociálnímu fondu obcí a krajů</t>
  </si>
  <si>
    <t>Cestovní ruch</t>
  </si>
  <si>
    <t>Povinný podíl kraje - uzn.náklady (z rozpočtu kraje)</t>
  </si>
  <si>
    <t>Předfinancování SR (z rozpočtu kraje)</t>
  </si>
  <si>
    <t xml:space="preserve">Předfinancování EU (z rozpočtu OK) </t>
  </si>
  <si>
    <t>Poplatky dluhové služby</t>
  </si>
  <si>
    <t xml:space="preserve">Regionální inovační strategie OK </t>
  </si>
  <si>
    <t>00000035</t>
  </si>
  <si>
    <t xml:space="preserve">Investiční a neinvestiční akce ostatní   </t>
  </si>
  <si>
    <t>00000414</t>
  </si>
  <si>
    <t>Podpora aktivit zaměřených na sociální začleňování - oblast podpory terénních a ambulantních služeb</t>
  </si>
  <si>
    <t>Příspěvek na provoz PO - mzdové náklady</t>
  </si>
  <si>
    <t>Koordinátor Integrovaného dopravního systému Olomouckého kraje</t>
  </si>
  <si>
    <t xml:space="preserve"> ORG 1599</t>
  </si>
  <si>
    <t>Koordinátor Integrovaného dopravního systému Olomouckého kraje celkem</t>
  </si>
  <si>
    <t>Neinvest.transfery cizím PO</t>
  </si>
  <si>
    <t>MŠMT - Excelence středních škol</t>
  </si>
  <si>
    <t>Realizace energeticky úsporných opatření - SOŠ Šumperk - domov mládeže</t>
  </si>
  <si>
    <t>ORG 100694</t>
  </si>
  <si>
    <t>Podpora technického vybavení dílen - 1. část</t>
  </si>
  <si>
    <t>ORG 100792</t>
  </si>
  <si>
    <t>Podpora technického vybavení dílen - 2. část</t>
  </si>
  <si>
    <t>ORG 100793</t>
  </si>
  <si>
    <t>Technické vybavení dílen Střední škola polygrafická Olomouc</t>
  </si>
  <si>
    <t>ORG 100794</t>
  </si>
  <si>
    <t>Strojní vybavení dílen pro praktickou výuku (SOŠ a SOU Uničov)</t>
  </si>
  <si>
    <t>ORG 100795</t>
  </si>
  <si>
    <t>Podpora technického vybavení dílen - 3. část</t>
  </si>
  <si>
    <t>ORG 100815</t>
  </si>
  <si>
    <t>Domov seniorů POHODA Chválkovice - rekonstrukce budovy B</t>
  </si>
  <si>
    <t>ORG 100317</t>
  </si>
  <si>
    <t>Domov seniorů POHODA Chválkovice - Modernizace hlavní budovy, část A</t>
  </si>
  <si>
    <t>ORG 100407</t>
  </si>
  <si>
    <t>Domov Sněženka Jeseník - Rekonstrukce soc. zařízení a vodoléčby</t>
  </si>
  <si>
    <t>ORG 100518</t>
  </si>
  <si>
    <t>Realizace energeticky úsporných opatření - Domov seniorů POHODA Chválkovice - pavilony A a B</t>
  </si>
  <si>
    <t>ORG 100550</t>
  </si>
  <si>
    <t>Centrum sociálních služeb Prostějov - rekonstrukce budovy 6F - zřízení odlehčovací služby a denního stacionáře</t>
  </si>
  <si>
    <t>ORG 100790</t>
  </si>
  <si>
    <t>Vybrané služby sociální prevence v Olomouckém kraji</t>
  </si>
  <si>
    <t>ORG 100796</t>
  </si>
  <si>
    <t>II/448, II/446 Olomouc, Dobrovského - okruž.křižovatka</t>
  </si>
  <si>
    <t>ORG 100149</t>
  </si>
  <si>
    <t>Uničov - Šternberk - II/444</t>
  </si>
  <si>
    <t>ORG 100535</t>
  </si>
  <si>
    <t>ORG 100798</t>
  </si>
  <si>
    <t>Marketingové aktivity Olomouckého kraje II</t>
  </si>
  <si>
    <t>ORG 100812</t>
  </si>
  <si>
    <t>Rozvoj služeb eGovernmentu</t>
  </si>
  <si>
    <t>ORG 100558</t>
  </si>
  <si>
    <t>Individuální projekty celkem</t>
  </si>
  <si>
    <t xml:space="preserve">ROP - Regionální dopravní infrastruktura - Silnice II. a III. třídy </t>
  </si>
  <si>
    <t>Úhrady sankcí jiným rozpočtům</t>
  </si>
  <si>
    <t>Transformace Vincentina Šternberk - I. Etapa</t>
  </si>
  <si>
    <t>Transformace Vincentina Šternberk - II. Etapa</t>
  </si>
  <si>
    <t>ORG 100814</t>
  </si>
  <si>
    <t>Podpora plánování rozvoje sociálních služeb v Olomouckém kraji</t>
  </si>
  <si>
    <t>ORG 100806</t>
  </si>
  <si>
    <t>ORG 1100</t>
  </si>
  <si>
    <t>Gymnázium Jiřího Wolkera, Kollárova 3, Prostějov</t>
  </si>
  <si>
    <t>VOŠ a SPŠ elektrotechnická, Božetěchova 3, Olomouc</t>
  </si>
  <si>
    <t>Střední průmyslová škola, Havlíčkova 2, Přerov</t>
  </si>
  <si>
    <t>ORG 1142</t>
  </si>
  <si>
    <t>ORG 1202</t>
  </si>
  <si>
    <t xml:space="preserve">Střední škola polygrafická, Střední Novosadská 55, Olomouc </t>
  </si>
  <si>
    <t>SŠ automobilní, Vápenice 2977/9, Prostějov</t>
  </si>
  <si>
    <t>Javorník</t>
  </si>
  <si>
    <t>ORG 8006</t>
  </si>
  <si>
    <t>Velký Újezd</t>
  </si>
  <si>
    <t>ORG 8387</t>
  </si>
  <si>
    <t>Hranice</t>
  </si>
  <si>
    <t>ORG 8401</t>
  </si>
  <si>
    <t>SŠ, ZŠ a MŠ, Hanácká 3, Šumperk</t>
  </si>
  <si>
    <t>Základní škola a Dětský domov, Sušilova 40, Zábřeh</t>
  </si>
  <si>
    <t>Odborné učiliště a Praktická škola, Lipová-lázně 458</t>
  </si>
  <si>
    <t xml:space="preserve">Štěpánov </t>
  </si>
  <si>
    <t>ORG 8374</t>
  </si>
  <si>
    <t>ORG 1138</t>
  </si>
  <si>
    <t>Schola servis, Palackého 8-10,Prostějov</t>
  </si>
  <si>
    <t>Další vzdělávání pracovníků škol a školských zařízení v Olomouckém kraji II</t>
  </si>
  <si>
    <t>Inovace výuky československých a českých dějin 20. století na středních školách v Olomouckém a Moravskoslezském kraji - nepřímé náklady</t>
  </si>
  <si>
    <t>ORG 100799</t>
  </si>
  <si>
    <t>72) Informovanost a publicita programu v Olomouckém kraji II</t>
  </si>
  <si>
    <t>ORJ - 72</t>
  </si>
  <si>
    <t>Informovanost a publicita programu v Olomouckém kraji II</t>
  </si>
  <si>
    <t>ORG 0050001000000</t>
  </si>
  <si>
    <t>73) Zvýšení absorpční kapacity subjektů v Olomouckém kraji II</t>
  </si>
  <si>
    <t>ORJ - 73</t>
  </si>
  <si>
    <t>číslo účtu: 107-106030267/0100</t>
  </si>
  <si>
    <t>Zvýšení absorpční kapacity subjektů v Olomouckém kraji II</t>
  </si>
  <si>
    <t>74) Podpora rozvoje Olomouckého kraje 2012 - 2015</t>
  </si>
  <si>
    <t>ORJ - 74</t>
  </si>
  <si>
    <t>číslo účtu: 107-110270247/0100</t>
  </si>
  <si>
    <t xml:space="preserve">Projekt technické pomoci Olomouckého kraje </t>
  </si>
  <si>
    <t>ORG 100345</t>
  </si>
  <si>
    <t>Ostatní činnosti jinde nezařazené</t>
  </si>
  <si>
    <t>Podpora rozvoje Olomouckého kraje                   2012 - 2015</t>
  </si>
  <si>
    <t>37) Podpora malého a středního podnikání ve vybraných regionech Olomouckého kraje</t>
  </si>
  <si>
    <t>Podpora malého a středního podnikání ve vybraných regionech Olomouckého kraje</t>
  </si>
  <si>
    <t xml:space="preserve"> Informovanost a publicita programu v Olomouckém kraji II</t>
  </si>
  <si>
    <t>Podpora rozvoje Olomouckého kraje 2012 - 2015</t>
  </si>
  <si>
    <t>Podrobnější údaje o celém fondu, ORJ - 99, tedy příjmy, výdaje a zůstatek na zvláštním bankovním účtu, jsou uvedeny v Příloze č. 7.</t>
  </si>
  <si>
    <t>Podrobnější údaje o celém fondu, ORJ - 199, tedy příjmy, výdaje a zůstatek na zvláštním bankovním účtu, jsou uvedeny v Příloze č. 6.</t>
  </si>
  <si>
    <t>ZŠ a MŠ  prof.V.Vejdovského, Tomkova 42, Olomouc</t>
  </si>
  <si>
    <t>Vybav.škol pomůckami kompenz.a rehab.char.</t>
  </si>
  <si>
    <t>Projekty romské komunity</t>
  </si>
  <si>
    <t>Excelence středních škol</t>
  </si>
  <si>
    <t>Mateřská škola UPOL Olomouc, Šmeralova 1116/10, Olomouc</t>
  </si>
  <si>
    <t>Střední škola a  ZŠ  DC 90, s.r.o., Nedbalova 36,  Olomouc-Topolany</t>
  </si>
  <si>
    <t>ZŠ a SŠ CREDO o.p.s., Mozartova 43, Olomouc</t>
  </si>
  <si>
    <t>SŠ obchodu, gastronomie a desingu  Praktik, s.r.o.,  Pasteurova 935/8a, Olomouc</t>
  </si>
  <si>
    <t>Základní umělecká škola Campanella, Slovenská 587/5, Olomouc</t>
  </si>
  <si>
    <t>Neinvest.transfery nefin.podnik.subjektům-FO</t>
  </si>
  <si>
    <t>Realizace energeticky úsporných opatření - SŠ designu a módy Prostějov - domov mládeže Palečkova</t>
  </si>
  <si>
    <t>III/44311 Dolany - průtah, most - I. Etapa</t>
  </si>
  <si>
    <t>Slovanské gymnázium, tř. J. z Poděbrad 13, Olomouc</t>
  </si>
  <si>
    <t>Střední škola gastronomie a služeb, Šírava 7, Přerov</t>
  </si>
  <si>
    <t>Gymnázium Jana Blahoslava a Střední pedagogická škola, Denisova 3, Přerov</t>
  </si>
  <si>
    <t>Obchodní akademie a jazyková škola s právem státní jazykové zkoušky Bartošova 24, Přerov</t>
  </si>
  <si>
    <t>Střední zdravotnická škola a Vyšší odborná škola zdravotnická Emanuela Pöttinga, Pöttingova 2, Olomouc</t>
  </si>
  <si>
    <t>SCHOLA SERVIS - zařízení pro DVPP a středisko služeb školám, Palackého 8 - 10, Olomouc</t>
  </si>
  <si>
    <t>Gymnázium Palackého a SOŠ živnostenská, s.r.o., Přerov, Palackého 19, Přerov</t>
  </si>
  <si>
    <t>Jeseníky - Sdružení cestovního ruchu, Kladská 1, Šumperk</t>
  </si>
  <si>
    <t xml:space="preserve">Střední škola a Základní škola prof. Z. Matějčka, Svatoplukova 11, Olomouc </t>
  </si>
  <si>
    <t>Střední škola a Základní škola, Osecká 301, Lipník nad Bečvou</t>
  </si>
  <si>
    <t>Základní škola a dětský domov, Sušilova 40, Zábřeh na Moravě</t>
  </si>
  <si>
    <t xml:space="preserve">Švehlova střední škola polytechnická, nám. Spojenců 17, Prostějov </t>
  </si>
  <si>
    <t>Odborné učiliště a praktická škola, Vodní 27, Mohelnice</t>
  </si>
  <si>
    <t>PONTIS Šumperk, o.p.s., Temenická 5, Šumperk</t>
  </si>
  <si>
    <t>KAPPA - HELP, nám. Přerovského povstání 1, Přerov</t>
  </si>
  <si>
    <t>Gymnázium, Tomkova 45, Olomouc - Hejčín</t>
  </si>
  <si>
    <t>Střední odborná škola, Komenského 677, Litovel</t>
  </si>
  <si>
    <t>Střední Morava - Sdružení cestovního ruchu, Horní náměstí 5, Olomouc</t>
  </si>
  <si>
    <t>Gymnázium Jana Opletala, Opletalova 189, Litovel</t>
  </si>
  <si>
    <t>Střední odborná škola a střední odborné učiliště strojírenské a stavební, Dukelská 1240, Jeseník</t>
  </si>
  <si>
    <t>Ing. Ladislav Růžička</t>
  </si>
  <si>
    <t>Příspěvky do 25 tis. Kč</t>
  </si>
  <si>
    <t>18) Odbor tajemníka hejtmana</t>
  </si>
  <si>
    <t>ORJ - 18</t>
  </si>
  <si>
    <t>Komunikační, publikační a propagační činnost</t>
  </si>
  <si>
    <t>Koordinační služby</t>
  </si>
  <si>
    <t>Produkční služby</t>
  </si>
  <si>
    <t>Výdaje odboru tajemníka hejtmana</t>
  </si>
  <si>
    <t xml:space="preserve">Odbor tajemníka hejtmana celkem </t>
  </si>
  <si>
    <t>Fond sociálních potřeb Olomouckého kraje celkem</t>
  </si>
  <si>
    <t xml:space="preserve">Výdaje Fondu sociálních potřeb Olomouckého kraje </t>
  </si>
  <si>
    <t xml:space="preserve">Výdaje Fondu na podporu výstavby a obnovy vodohospodářské infrastruktury na území Olomouckého kraje </t>
  </si>
  <si>
    <t>Fond na podporu výstavby a obnovy vodohospodářské infrastruktury na území Olomouckého kraje  celkem</t>
  </si>
  <si>
    <t>Mgr. Irena Sonntagová</t>
  </si>
  <si>
    <t>Ing. Radek Dosoudil</t>
  </si>
  <si>
    <t>00000415</t>
  </si>
  <si>
    <t>Dotační program pro oblast prevence kriminality</t>
  </si>
  <si>
    <t>Neinv.transfery zřízeným PO</t>
  </si>
  <si>
    <t>Domov Sněženka Jeseník</t>
  </si>
  <si>
    <t>Ing. Bohuslav Kolář, MBA</t>
  </si>
  <si>
    <t>Dětské centrum Ostrůvek Olomouc</t>
  </si>
  <si>
    <t>Dětské centrum Ostrůvek celkem</t>
  </si>
  <si>
    <t>MŠMT - Podpora zavádění diagnostických nástrojů</t>
  </si>
  <si>
    <t>investice celkem</t>
  </si>
  <si>
    <t>provoz celkem</t>
  </si>
  <si>
    <t>Olympiáda dětí a mládeže</t>
  </si>
  <si>
    <t>Realizace energeticky úsporných opatření – Střední škola polytechnická Olomouc</t>
  </si>
  <si>
    <t>ORG 100821</t>
  </si>
  <si>
    <t>Energetická úspora na objektu Gymnázia Šternberk</t>
  </si>
  <si>
    <t>ORG 100822</t>
  </si>
  <si>
    <t>ORG 100828</t>
  </si>
  <si>
    <t>SŠTZ Mohelnice - přístavba strojních dílen</t>
  </si>
  <si>
    <t>ORG 100829</t>
  </si>
  <si>
    <t>SŠ polytechnická Olomouc - nástavba dílen</t>
  </si>
  <si>
    <t>ORG 100830</t>
  </si>
  <si>
    <t>Domov seniorů POHODA Chválkovice - Modernizace hlavní budovy, část B a C</t>
  </si>
  <si>
    <t>ORG 100823</t>
  </si>
  <si>
    <t>II/150 Dub nad Moravou – hranice okresu PV – rekonstrukce silnice</t>
  </si>
  <si>
    <t>ORG 100032</t>
  </si>
  <si>
    <t>II/570 Hněvotín - rekonstrukce silnice</t>
  </si>
  <si>
    <t>ORG 100106</t>
  </si>
  <si>
    <t>ORG 100110</t>
  </si>
  <si>
    <t xml:space="preserve">II/447, II/446, III/44621 Pňovice - průtah </t>
  </si>
  <si>
    <t>ORG 100532</t>
  </si>
  <si>
    <t>Valšovský Žleb - Dlouhá Loučka - II/449</t>
  </si>
  <si>
    <t>ORG 100534</t>
  </si>
  <si>
    <t>II/449 Senice - průtah</t>
  </si>
  <si>
    <t>ORG 100676</t>
  </si>
  <si>
    <t>III/44029 Drahotuše - průtah</t>
  </si>
  <si>
    <t>ORG 100677</t>
  </si>
  <si>
    <t>III/37354 Holubice - Hrochov</t>
  </si>
  <si>
    <t>ORG 100678</t>
  </si>
  <si>
    <t>III/36719 Pivín - rekonstrukce silnice</t>
  </si>
  <si>
    <t>ORG 100679</t>
  </si>
  <si>
    <t>II/433, III/36711 Výšovice průtah</t>
  </si>
  <si>
    <t>ORG 100831</t>
  </si>
  <si>
    <t>III/3679 Čechůvky – Kralice na Hané</t>
  </si>
  <si>
    <t>ORG 100863</t>
  </si>
  <si>
    <t>III/43415 Radslavice – Grymov</t>
  </si>
  <si>
    <t>ORG 100864</t>
  </si>
  <si>
    <t>Silnice II/444 Uničov – Šternberk, intravilány obcí</t>
  </si>
  <si>
    <t>ORG 100865</t>
  </si>
  <si>
    <t>Komplexní program modernizace geriatrického oddělení OLÚ Moravský Beroun</t>
  </si>
  <si>
    <t>Značení kulturních a turistických cílů v Olomouckém kraji III</t>
  </si>
  <si>
    <t>ORG 100825</t>
  </si>
  <si>
    <t>SMN a. s. – o. z. Nemocnice Přerov – modernizace pavilonu radiodiagnostiky</t>
  </si>
  <si>
    <t>ORG 100832</t>
  </si>
  <si>
    <t xml:space="preserve">Krajský standardizovaný projekt ZZS Olomouckého kraje </t>
  </si>
  <si>
    <t>ORG 100581</t>
  </si>
  <si>
    <t>Realizace energeticky úsporných opatření - Gymnázium,Olomouc, Čajkovského 9</t>
  </si>
  <si>
    <t>Modernizace dílen Střední školy železniční a stavební, Šumperk, Bulharská 8</t>
  </si>
  <si>
    <t>53500881</t>
  </si>
  <si>
    <t xml:space="preserve">„Léto v pohraničí“ </t>
  </si>
  <si>
    <t>ORG 100836</t>
  </si>
  <si>
    <t>53100880</t>
  </si>
  <si>
    <t>IP a NP - oblast cestovního ruchu</t>
  </si>
  <si>
    <t>Neinvestiční transfery obecně prospěšných společnostem</t>
  </si>
  <si>
    <t>Neinvestiční transfery spolkům</t>
  </si>
  <si>
    <t>Zajištění integrace příslušníků romských komunit v OK II</t>
  </si>
  <si>
    <t>ORG 100861</t>
  </si>
  <si>
    <t>Slovanské gymnázium, tř. Jiřího z Poděbrad 13, Olomouc</t>
  </si>
  <si>
    <t>ORG 1105</t>
  </si>
  <si>
    <t>Střední zdravotnická škola a Vyšší odborná škola zdravotní E. Pöttinga, Pöttingova 2, Olomouc</t>
  </si>
  <si>
    <t>Střední zdravotnická škola, Kladská 2, Šumperk</t>
  </si>
  <si>
    <t>ORG 1163</t>
  </si>
  <si>
    <t>ORG 1207</t>
  </si>
  <si>
    <t>Střední odborné učiliště obchodní, nám. E. Husserla 1, Prostějov</t>
  </si>
  <si>
    <t>ORG 1212</t>
  </si>
  <si>
    <t>Střední odborná škola podnikání a obchodu, s.r.o., Rejskova 2987/4, Prostějov</t>
  </si>
  <si>
    <t>ORG 1537</t>
  </si>
  <si>
    <t>Soukromá střední odborná škola živnostenská, s.r.o., Palackého 19, Přerov</t>
  </si>
  <si>
    <t>Němčice nad Hanou</t>
  </si>
  <si>
    <t>ORG 8148</t>
  </si>
  <si>
    <t>Hanušovice</t>
  </si>
  <si>
    <t>ORG 8271</t>
  </si>
  <si>
    <t>Mohelnice</t>
  </si>
  <si>
    <t>ORG 8277</t>
  </si>
  <si>
    <t>Náklo</t>
  </si>
  <si>
    <t>ORG 8353</t>
  </si>
  <si>
    <t>Slatinice</t>
  </si>
  <si>
    <t>ORG 8367</t>
  </si>
  <si>
    <t>Přerov</t>
  </si>
  <si>
    <t>Olomouc</t>
  </si>
  <si>
    <t>Neinvestiční transfery cizím příspěvkovým organizacím</t>
  </si>
  <si>
    <t>Střední zdravotnická škola, Studentská 1095, Hranice</t>
  </si>
  <si>
    <t>ORG 1162</t>
  </si>
  <si>
    <t>Šumperk</t>
  </si>
  <si>
    <t>ORG 8275</t>
  </si>
  <si>
    <t>Strategie integrované spolupráce česko-polského příhraničí</t>
  </si>
  <si>
    <t>ORG 100788</t>
  </si>
  <si>
    <t>Podpora rozvoje Olomouckého kraje 2012-2015</t>
  </si>
  <si>
    <t>ORG 100807</t>
  </si>
  <si>
    <t>75) Podpora technického a přírodovědného vzdělávání v Olomouckém kraji</t>
  </si>
  <si>
    <t>ORJ - 75</t>
  </si>
  <si>
    <t>číslo účtu: 107-5424970258/0100</t>
  </si>
  <si>
    <t>ORG 1111</t>
  </si>
  <si>
    <t>Jiné investiční transfery zřízeným příspěvkovým organizacím</t>
  </si>
  <si>
    <t>Vyšší odborná škola a střední průmyslová škola elektrotechnická, Božetěchova 3, Olomouc</t>
  </si>
  <si>
    <t>Střední průmyslová škola strojnická, tř. 17. listopadu 49, Olomouc</t>
  </si>
  <si>
    <t xml:space="preserve">Střední průmyslová škola a Střední odborné učiliště, Školní 164, Uničov </t>
  </si>
  <si>
    <t>ORG 1122</t>
  </si>
  <si>
    <t>Střední průmyslová škola, Studentská 1384, Hranice</t>
  </si>
  <si>
    <t>ORG 1128</t>
  </si>
  <si>
    <t>Vyšší odborná škola a střední průmyslová škola, gen. Krátkého 1, Šumperk</t>
  </si>
  <si>
    <t>Vyšší odborná škola a střední škola automobilní, U Dráhy 6, Zábřeh na Moravě</t>
  </si>
  <si>
    <t>ORG 1136</t>
  </si>
  <si>
    <t>Střední průmyslová škola elektrotechnická, gen. Svobody 2, Mohelnice</t>
  </si>
  <si>
    <t>ORG 1137</t>
  </si>
  <si>
    <t>Střední odborná škola a střední odborné učiliště, gen. Krátkého 30, Šumperk</t>
  </si>
  <si>
    <t>ORG 1140</t>
  </si>
  <si>
    <t xml:space="preserve">Střední škola technická a zemědělská, 1. máje 2, Mohelnice </t>
  </si>
  <si>
    <t>ORG 1174</t>
  </si>
  <si>
    <t>Sigmundova střední škola strojírenská, J. Sigmunda 242, Lutín</t>
  </si>
  <si>
    <t>ORG 1201</t>
  </si>
  <si>
    <t xml:space="preserve">Střední škola polygrafická, Střední Novosadská 87/53, Olomouc </t>
  </si>
  <si>
    <t>Střední odborná škola obchodu a služeb, Štursova 14, Olomouc</t>
  </si>
  <si>
    <t>ORG 1206</t>
  </si>
  <si>
    <t>Střední odborná škola lesnická a strojírenská, Opavská 4, Šternberk</t>
  </si>
  <si>
    <t>ORG 1208</t>
  </si>
  <si>
    <t>ORG 1221</t>
  </si>
  <si>
    <t>Odborné učiliště a praktická škola, Lipová - lázně 458</t>
  </si>
  <si>
    <t>Střední odborná škola a Střední odborné učiliště zemědělské, Horní Heřmanice 47, Bernartice</t>
  </si>
  <si>
    <t>ORG 1227</t>
  </si>
  <si>
    <t>Soukromá střední odborná škola, s.r.o., Jaselská 832, Hranice</t>
  </si>
  <si>
    <t>Neinvestiční transfery nefinančním podnikatelským subjektům-právnickým osobám</t>
  </si>
  <si>
    <t>Podpora technického a přírodovědného vzdělávání v Olomouckém kraji</t>
  </si>
  <si>
    <t>Povinné pojistné na úrazové pojištění</t>
  </si>
  <si>
    <t xml:space="preserve">36) GS - 1.1. Podpora drobného podnikání ve vybraných regionech </t>
  </si>
  <si>
    <t>Olomouckého kraje</t>
  </si>
  <si>
    <t>ORJ - 36</t>
  </si>
  <si>
    <t>vratky veřejným rozpočtům ústření úrovně transferů poskytnutých v minulých rozpočtových obdobích</t>
  </si>
  <si>
    <t>GS - 1.1. Podpora drobného podnikání ve vybraných regionech Olomouckého kraje celkem</t>
  </si>
  <si>
    <t>Podpora drobného podnikání ve vybraných regionech Olomouckého kraje celkem</t>
  </si>
  <si>
    <t>Odbor tajemníka hejtmana</t>
  </si>
  <si>
    <t>splátky</t>
  </si>
  <si>
    <t>splátky celkem</t>
  </si>
  <si>
    <t>ART ECON - SŠ, s.r.o., Husovo nám.2061/91, Prostějov</t>
  </si>
  <si>
    <t>Příspěvky do 25 tis.Kč</t>
  </si>
  <si>
    <t>SOŠ a SOU služeb Velký Újezd, s.r.o.,Navrátilova 321, Velký Újezd</t>
  </si>
  <si>
    <t>Účelové neinvest.transf.nepodnik.fyz.osobám</t>
  </si>
  <si>
    <t>Rezerva-uvedeno v provozních výdajích  ORJ 10 a SŠ</t>
  </si>
  <si>
    <t>Vyšší odborná škola hotelnictví a turismu, o.p.s., Stromořadí 420, Uničov</t>
  </si>
  <si>
    <t>Podpora zavádění diagnostických nástrojů</t>
  </si>
  <si>
    <t xml:space="preserve">na výplatu st.přísp.pro zřiz.zařízení pro děti vyž.okamžitou pomoc </t>
  </si>
  <si>
    <t>Podpora odborného vzdělávání</t>
  </si>
  <si>
    <t>Odbor informačních technologií</t>
  </si>
  <si>
    <t xml:space="preserve">Odbor dopravy a silničního hospodářství </t>
  </si>
  <si>
    <t xml:space="preserve">Fond na podporu výstavby a obnovy vodohospodářské infrastruktury na území Olomouckého kraje </t>
  </si>
  <si>
    <t>Odměna za užití duševního vlastnictví</t>
  </si>
  <si>
    <t>Kursové rozdíly ve výdajích</t>
  </si>
  <si>
    <t>Zpracování dat a služby související s inform.a komunikač.technologiemi</t>
  </si>
  <si>
    <t>Poštovní služby</t>
  </si>
  <si>
    <t>MF-Účelové dotace na výdaje spojené s volbami do zastupitelstev v obcích</t>
  </si>
  <si>
    <t>MPSV-Operační program Lidské zdroje a zaměstnan.</t>
  </si>
  <si>
    <t>Odstupné</t>
  </si>
  <si>
    <t>Ochranné pomůcky</t>
  </si>
  <si>
    <t>Poskytnuté náhrady</t>
  </si>
  <si>
    <t xml:space="preserve">Rozpočet OK - financování investičních akcí      </t>
  </si>
  <si>
    <t>Nákup materiálu jinde nezařazený</t>
  </si>
  <si>
    <t>Invest.transf.obecně prospěš.společnostem</t>
  </si>
  <si>
    <t>Investiční transfery spolkům</t>
  </si>
  <si>
    <t>Investiční transfery nefinančním podnikatelským subjektům-fyzickým osobám</t>
  </si>
  <si>
    <t>Pohotění</t>
  </si>
  <si>
    <t>38100884</t>
  </si>
  <si>
    <t>Povinné poj.na soc.zab.a přísp.na st.pol.zaměstnanosti</t>
  </si>
  <si>
    <t>Akce NNO</t>
  </si>
  <si>
    <t>Neinvestiční transfery státnímu rozpočtu</t>
  </si>
  <si>
    <t>00013305</t>
  </si>
  <si>
    <t>MZdr.-Připravenost poskytovatele ZZS na řešení mimořádných událostí a krizových situací</t>
  </si>
  <si>
    <t>Předfinancování PO - z rozpočtu kraje</t>
  </si>
  <si>
    <t>Příspěvek obcím na podporu výstavby cysklostezek</t>
  </si>
  <si>
    <t>Příspěvek na bezpečnostní prvky na silnicích</t>
  </si>
  <si>
    <t xml:space="preserve">Investiční a neinvestiční akce v oblasti dopravy  </t>
  </si>
  <si>
    <t>MKČR-ISO D Preventivní ochrana před vlivy prostředí</t>
  </si>
  <si>
    <t>Muzeum a galerie v Prostějově</t>
  </si>
  <si>
    <t>00014018</t>
  </si>
  <si>
    <t xml:space="preserve">MVČR-Podpora prevence kriminality </t>
  </si>
  <si>
    <t>Služby kolení a vzdělávání</t>
  </si>
  <si>
    <t>Neinv.transf.nefin.podnikatelským subj.-FO</t>
  </si>
  <si>
    <t>MPSV-Neinvestiční nedávkové transfery</t>
  </si>
  <si>
    <t>dotace celkem</t>
  </si>
  <si>
    <t>MŠMT-Vybavení škol pomůckami kompenzačního a rehabilitačního charakteru</t>
  </si>
  <si>
    <t>MŠMT-Podpora zavádění diagnostických nástrojů</t>
  </si>
  <si>
    <t>MŠMT-Podpora odborného vzdělávání</t>
  </si>
  <si>
    <t>Environmentální vzdělávání, výchova a osvěta (EVVO)</t>
  </si>
  <si>
    <t>Studijní stipendium Olomouckého kraje</t>
  </si>
  <si>
    <t>MŠMT-Rozvojový program na podporu školních psychologů, speciálních pedagogů a metodiků - specialistů</t>
  </si>
  <si>
    <t>MŠMT-Zvýšení platů pracovníků regionálního školství</t>
  </si>
  <si>
    <t>Stipendia pro žáky technických oborů</t>
  </si>
  <si>
    <t>MZem-Příspěvek na ekologické a k přírodě šetrné technologie, podle písm. D pravidel</t>
  </si>
  <si>
    <t>MZem-Příspěvek na podporu ohrožených druhů zvířat, podle písm. G pravidel</t>
  </si>
  <si>
    <t>MŠMT-Rozvoj.progr.MŠMT pro děti-cizince ze 3. Zemí</t>
  </si>
  <si>
    <t>MŠMT-Program sociální prevence a prevence kriminality</t>
  </si>
  <si>
    <t>MŠMT-Program podpory vzdělávání národnostních menšin</t>
  </si>
  <si>
    <t>Zpracování dat a služby související s informačními a komunikačními technologiemi</t>
  </si>
  <si>
    <t>MŽP-Ostatní neinvestiční dotace obcím a krajům</t>
  </si>
  <si>
    <t>celkem inv.+provoz</t>
  </si>
  <si>
    <t>Inv.transfery obecně prospěš.společnostem</t>
  </si>
  <si>
    <t>Investiční příspěvky a neinvestiční příspěvky - oblast dopravy</t>
  </si>
  <si>
    <t>ORG 000000</t>
  </si>
  <si>
    <t>II/436 Přerov - úprava křižovatky silnic, Dluhonská</t>
  </si>
  <si>
    <t>ORG 100041</t>
  </si>
  <si>
    <t>II/315 a III/31527 Zábřeh na Moravě - okružní křižovatka ul. Postřelmovská, Čsl. armády</t>
  </si>
  <si>
    <t>II/433 Prostějov- Mořice</t>
  </si>
  <si>
    <t>ORG 100913</t>
  </si>
  <si>
    <t>II/449 MÚK Unčovice - Litovel</t>
  </si>
  <si>
    <t>ORG 100914</t>
  </si>
  <si>
    <t>II/446 Uničov - Strukov</t>
  </si>
  <si>
    <t>ORG 100915</t>
  </si>
  <si>
    <t xml:space="preserve">II/439 Ústí - průtah - hr. okresu Vsetín </t>
  </si>
  <si>
    <t>ORG 100916</t>
  </si>
  <si>
    <t>Investiční příspěvky a neinvestiční příspěvky - oblast školství a vzdělávání</t>
  </si>
  <si>
    <t>Realizace energeticky úsporných opatření - SŠ Logistiky a chemie Olomouc</t>
  </si>
  <si>
    <t>ORG 100466</t>
  </si>
  <si>
    <t>Realizace energeticky úsporných opatření - SOŠ gastronomie a potravinářství Jeseník</t>
  </si>
  <si>
    <t>Realizace energeticky úsporných opatření - SPŠ Hranice</t>
  </si>
  <si>
    <t>ORG 100661</t>
  </si>
  <si>
    <t>Realizace energeticky úsporných opatření – SŠ sociální péče a služeb Zábřeh</t>
  </si>
  <si>
    <t>ORG 100873</t>
  </si>
  <si>
    <t>Realizace energeticky úsporných opatření – ZŠ a MŠ Hranice</t>
  </si>
  <si>
    <t>ORG 100875</t>
  </si>
  <si>
    <t>Realizace energeticky úsporných opatření – OU a praktická škola Lipová - lázně</t>
  </si>
  <si>
    <t>ORG 100876</t>
  </si>
  <si>
    <t>Realizace energeticky úsporných opatření – SOŠ obchodu a služeb Olomouc</t>
  </si>
  <si>
    <t>ORG 100877</t>
  </si>
  <si>
    <t>Realizace energeticky úsporných opatření – SŠ technická a obchodní Olomouc</t>
  </si>
  <si>
    <t>ORG 100878</t>
  </si>
  <si>
    <t>Realizace energeticky úsporných opatření – SOŠ a SOU Šumperk, Gen. Krátkého 30</t>
  </si>
  <si>
    <t>ORG 100879</t>
  </si>
  <si>
    <t>Realizace energeticky úsporných opatření – Slovanské gymnázium Olomouc - Pasteurova</t>
  </si>
  <si>
    <t>ORG 100880</t>
  </si>
  <si>
    <t>Realizace energeticky úsporných opatření – SOŠ gastronomie a potravinářství - tělocvična</t>
  </si>
  <si>
    <t>ORG 100881</t>
  </si>
  <si>
    <t>Realizace energeticky úsporných opatření – SOŠ a SOU strojírenské a stavební Jeseník - dílny</t>
  </si>
  <si>
    <t>ORG 100882</t>
  </si>
  <si>
    <t>Realizace energeticky úsporných opatření – Domov důchodců Prostějov</t>
  </si>
  <si>
    <t>ORG 100883</t>
  </si>
  <si>
    <t>Realizace energeticky úsporných opatření – Sociální služby pro seniory Olomouc II</t>
  </si>
  <si>
    <t>ORG 100884</t>
  </si>
  <si>
    <t>Realizace energeticky úsporných opatření – Nemocnice Šternberk – budova gynekologie</t>
  </si>
  <si>
    <t>ORG 100886</t>
  </si>
  <si>
    <t>Realizace energeticky úsporných opatření – Nemocnice Prostějov – budova LDN</t>
  </si>
  <si>
    <t>ORG 100887</t>
  </si>
  <si>
    <t xml:space="preserve">Implementace a péče o území soustavy Natura 2000 v Olomouckém kraji II. část </t>
  </si>
  <si>
    <t>ORG 100837</t>
  </si>
  <si>
    <t>Pořízení technologického vybavení a vozidel pro ZZS OK</t>
  </si>
  <si>
    <t>ORG 100889</t>
  </si>
  <si>
    <t>Rekonstrukce pavilonu CSS Prostějov – zřízení zařízení pro nemocné Alzeimerovou chorobou</t>
  </si>
  <si>
    <t>Domov seniorů POHODA Chválkovice - rekonstrukce budovy A</t>
  </si>
  <si>
    <t>Zaplacené sankce</t>
  </si>
  <si>
    <t>Stroje, přaístroje a zařízení</t>
  </si>
  <si>
    <t>Zámek Čechy pod Kosířem - rekonstrukce a využití objektů, III. etapa</t>
  </si>
  <si>
    <t>ORG 100872</t>
  </si>
  <si>
    <t>Zajištění vybraných služeb sociální prevence v Olomouckém kraji</t>
  </si>
  <si>
    <t>ORG 100922</t>
  </si>
  <si>
    <t>Střední průmyslová škola, Studenská 1 384, Hranice</t>
  </si>
  <si>
    <t>Odborné učiliště a praktická škola, Lipová-lázně 458</t>
  </si>
  <si>
    <t>Zvýšení efektivity Krajského úřadu Olomouckého kraje-přímé náklady</t>
  </si>
  <si>
    <t>ORG 100808</t>
  </si>
  <si>
    <t>Převody vlastním rozpočotovým účtům</t>
  </si>
  <si>
    <t>Investční příspěvky a neinvestiční příspěvky - krajský úřad a zastupitelé</t>
  </si>
  <si>
    <t>ORG 60013000000</t>
  </si>
  <si>
    <t>Podpora zajištění dostupnosti a kvality sociálních služeb v Olomouckém kraji</t>
  </si>
  <si>
    <t>ORG 100888</t>
  </si>
  <si>
    <t>Zvýšení efektivity Krajského úřadu Olomouckého kraje-nepřímé náklady</t>
  </si>
  <si>
    <t>ORG 100912</t>
  </si>
  <si>
    <t>Neinvestiční příspěvky církvím a náboženským společnostem</t>
  </si>
  <si>
    <t>Obchodní akademie, tř. Spojenců 11, Olomouc</t>
  </si>
  <si>
    <t>Inovační vouchery v Olomouckém kraji - II. etapa</t>
  </si>
  <si>
    <t>ORG 100860</t>
  </si>
  <si>
    <t>MŠ jazyková a umělecká, s.r.o., Petelinova 593/17, Olomouc, Nová Ulice</t>
  </si>
  <si>
    <t>Rozvoj.progr.MŠMT pro děti-cizince ze 3. Zemí</t>
  </si>
  <si>
    <t>Zdravá anglická mateřská škola, s.r.o., Olomouc, Rybniční 158/3, Olomouc-Nedvězí</t>
  </si>
  <si>
    <t>Prima mateřská škola, s.r.o., Komenského 262,  Hranice</t>
  </si>
  <si>
    <t>ZŠ a MŠ Dětské centrum,  Struhlovsko 1424, Hranice</t>
  </si>
  <si>
    <t>Mateřská škola Borůvka, Revoluční 3138/32a, 787 01 Šumperk</t>
  </si>
  <si>
    <t>Soukromá mateřská škola Medová školka, Moravičany 175, 789 82</t>
  </si>
  <si>
    <t>Střední odborná škola služeb, s.r.o., Pavlovická 16/51, Olomouc</t>
  </si>
  <si>
    <t>Gymnázium Palackého  a SOŠ živnostenská, s.r.o.,  Palackého  19, Přerov</t>
  </si>
  <si>
    <t>Střední škola gastronomie a farmářství Jeseník</t>
  </si>
  <si>
    <t>ORJ 30-52</t>
  </si>
  <si>
    <t>ORJ 99,199</t>
  </si>
  <si>
    <t>dotace ostatní</t>
  </si>
  <si>
    <t>Zvýšení platů pracovníků regionálního školství</t>
  </si>
  <si>
    <t xml:space="preserve">Neinvestiční transfery zřízeným PO </t>
  </si>
  <si>
    <t xml:space="preserve">Asistenti pedagogů pro děti, žáky a studenty se sociálním znevýhodněním </t>
  </si>
  <si>
    <t>Program podpory vzdělávání národnostních menšin</t>
  </si>
  <si>
    <t>Střední škola, Základní škola, Mateřská škola  a Dětský domov, Sušilova 40, Zábřeh</t>
  </si>
  <si>
    <t>Rozvojový program na podporu školních psychologů, speciálních pedagogů a metodiků - specialistů</t>
  </si>
  <si>
    <t>Spolupráce s francouzskými, vlámskými a šp.školami</t>
  </si>
  <si>
    <t>SPŠ a SOA Uničov, Školní 164, Uničov</t>
  </si>
  <si>
    <t>Příspěvek na ekologické a k přírodě šetrné technologie, podle písm. D pravidel</t>
  </si>
  <si>
    <t>Příspěvek na podporu ohrožených druhů zvířat, podle písm. G pravidel</t>
  </si>
  <si>
    <t>Střední škola železniční, technická a služeb, gen. Krátkého 30, Šumperk</t>
  </si>
  <si>
    <t>SZŠ a VOŠ zdravotnická E.Pöttinga a JŠ s právem st.jaz.zkoušky, Pöttingova 2, Olomouc</t>
  </si>
  <si>
    <t>Střední škola technická a zemědělská, 1.máje 2, Mohelnice</t>
  </si>
  <si>
    <t>Soutěže</t>
  </si>
  <si>
    <t>MŠMT - soutěže</t>
  </si>
  <si>
    <t>Střední škola gastronomie a farmářství, U Jatek 8, Jeseník</t>
  </si>
  <si>
    <t>soutěže</t>
  </si>
  <si>
    <t>000000041</t>
  </si>
  <si>
    <t>000000009</t>
  </si>
  <si>
    <t>Ing. Karel Chovanec</t>
  </si>
  <si>
    <t>Inv. transfery st.rozpočtu</t>
  </si>
  <si>
    <t>000000000</t>
  </si>
  <si>
    <t>000000016</t>
  </si>
  <si>
    <t>000014004</t>
  </si>
  <si>
    <t>000000008</t>
  </si>
  <si>
    <t>Účel. neinvest. transfery nepodnik. FO</t>
  </si>
  <si>
    <t>000098074</t>
  </si>
  <si>
    <t>000004001</t>
  </si>
  <si>
    <t>000013015</t>
  </si>
  <si>
    <t>033113233</t>
  </si>
  <si>
    <t>033513233</t>
  </si>
  <si>
    <t>110100880</t>
  </si>
  <si>
    <t>110100882</t>
  </si>
  <si>
    <t>110500881</t>
  </si>
  <si>
    <t>Léky a zdravotnický materiál</t>
  </si>
  <si>
    <t>000000508</t>
  </si>
  <si>
    <t>000000021</t>
  </si>
  <si>
    <t>Odvody za neplnění povinnosti zaměstnávat zdravotně postižené</t>
  </si>
  <si>
    <t>Ostatní neinv. transfery nezisk. apod. org.</t>
  </si>
  <si>
    <t>Umělecká díla a předměty</t>
  </si>
  <si>
    <t xml:space="preserve">Odbor kancelář ředitele celkem </t>
  </si>
  <si>
    <t>Výdaje odboru kanceláře ředitele</t>
  </si>
  <si>
    <t>3) Odbor kancelář ředitele</t>
  </si>
  <si>
    <t>Příspěvek na výkon sociální práce</t>
  </si>
  <si>
    <t>Čerpání neinvest. fin. příspěvků z rozpočtu OK hasičům</t>
  </si>
  <si>
    <t>000013307</t>
  </si>
  <si>
    <t>Půjčka z ČS</t>
  </si>
  <si>
    <t>000000019</t>
  </si>
  <si>
    <t>000000001</t>
  </si>
  <si>
    <t>000000002</t>
  </si>
  <si>
    <t>000000040</t>
  </si>
  <si>
    <t>000000813</t>
  </si>
  <si>
    <t>000000804</t>
  </si>
  <si>
    <t>000000814</t>
  </si>
  <si>
    <t>000000887</t>
  </si>
  <si>
    <t>000000807</t>
  </si>
  <si>
    <t>000000017</t>
  </si>
  <si>
    <t>Ostatní neinv. půjčené prostř. nezis. a pod. org.</t>
  </si>
  <si>
    <t>Půjčky NNO na předfin. Projektů z EU</t>
  </si>
  <si>
    <t>000000035</t>
  </si>
  <si>
    <t>000029517</t>
  </si>
  <si>
    <t>000000552</t>
  </si>
  <si>
    <t>000000005</t>
  </si>
  <si>
    <t>000000550</t>
  </si>
  <si>
    <t>000000553</t>
  </si>
  <si>
    <t>Koncepce</t>
  </si>
  <si>
    <t>000098278</t>
  </si>
  <si>
    <t>000007131</t>
  </si>
  <si>
    <t>000033353</t>
  </si>
  <si>
    <t>000033052</t>
  </si>
  <si>
    <t>000033061</t>
  </si>
  <si>
    <t>Zvýšení odměňování pracovníků regionálního školství v roce 2015</t>
  </si>
  <si>
    <t>000000006</t>
  </si>
  <si>
    <t>000000020</t>
  </si>
  <si>
    <t>032133058</t>
  </si>
  <si>
    <t>032533058</t>
  </si>
  <si>
    <t>OP VK - šablony ZŠ a SŠ v oblasti podpory 1.1</t>
  </si>
  <si>
    <t>000033040</t>
  </si>
  <si>
    <t>000000027</t>
  </si>
  <si>
    <t>000033049</t>
  </si>
  <si>
    <t>000033160</t>
  </si>
  <si>
    <t>Střední škola, Základní škola a Mateřská škola prof.V.Vejdovského Olomouc-Hejčín</t>
  </si>
  <si>
    <t>000033025</t>
  </si>
  <si>
    <t>Vybavení škol pomůckami kompenzačního a rehabilitačního charakteru</t>
  </si>
  <si>
    <t>přímé nákl. na vzdělání</t>
  </si>
  <si>
    <t>000000112</t>
  </si>
  <si>
    <t>000033457</t>
  </si>
  <si>
    <t>000033339</t>
  </si>
  <si>
    <t>000033038</t>
  </si>
  <si>
    <t>000033050</t>
  </si>
  <si>
    <t>000033192</t>
  </si>
  <si>
    <t>000000114</t>
  </si>
  <si>
    <t>000000119</t>
  </si>
  <si>
    <t>Příspěvky na mezinárodní výměnné pobyty mládeže a kofinancování mezinárodních vzdělávacích programů</t>
  </si>
  <si>
    <t>000033035</t>
  </si>
  <si>
    <t>000033056</t>
  </si>
  <si>
    <t>Učebnice a laboratorní sady v programu CTY Online</t>
  </si>
  <si>
    <t>000033024</t>
  </si>
  <si>
    <t>000000118</t>
  </si>
  <si>
    <t>000033060</t>
  </si>
  <si>
    <t>Zabezpečení škol a školských zařízení</t>
  </si>
  <si>
    <t>000000115</t>
  </si>
  <si>
    <t>000000023</t>
  </si>
  <si>
    <t>000029015</t>
  </si>
  <si>
    <t>000029096</t>
  </si>
  <si>
    <t>000033034</t>
  </si>
  <si>
    <t>000033055</t>
  </si>
  <si>
    <t>Podpora nadaných žáků základních a středních škol</t>
  </si>
  <si>
    <t>000033122</t>
  </si>
  <si>
    <t>000033166</t>
  </si>
  <si>
    <t>032133019</t>
  </si>
  <si>
    <t>032533019</t>
  </si>
  <si>
    <t>000033059</t>
  </si>
  <si>
    <t>Zvýšení platů pracovníků soukromého a církevního školství</t>
  </si>
  <si>
    <t>000033155</t>
  </si>
  <si>
    <t>000033215</t>
  </si>
  <si>
    <t>000000110</t>
  </si>
  <si>
    <t>000033043</t>
  </si>
  <si>
    <t>Podpora implementace Etické výchovy</t>
  </si>
  <si>
    <t>000033044</t>
  </si>
  <si>
    <t>Rozvojový program Podpora logopedické prevence v předškolním vzdělávání</t>
  </si>
  <si>
    <t>000033435</t>
  </si>
  <si>
    <t>Bezplatná příprava dětí azylantů, účastníků řízení o azyl a dětí osob se státní příslušností jiného členského státu EU k začlenění do základního vzdělávání</t>
  </si>
  <si>
    <t>000000117</t>
  </si>
  <si>
    <t>000000120</t>
  </si>
  <si>
    <t>Mezikrajské sportovní hry</t>
  </si>
  <si>
    <t>000000105</t>
  </si>
  <si>
    <t>vedoucí odboru</t>
  </si>
  <si>
    <t>JUDr. Marie Mazánková</t>
  </si>
  <si>
    <t>000015340</t>
  </si>
  <si>
    <t>000000116</t>
  </si>
  <si>
    <t>3. Plnění rozpočtu výdajů Olomouckého kraje k 31.12.2015</t>
  </si>
  <si>
    <t>3. Plnění rozpočtu výdajů Olomouckého kraje k 31. 12. 2015</t>
  </si>
  <si>
    <t xml:space="preserve"> -investiční  příspěvky</t>
  </si>
  <si>
    <t xml:space="preserve"> -neinvestiční  příspěvky</t>
  </si>
  <si>
    <t>PO celkem</t>
  </si>
  <si>
    <t>invesitce celkem</t>
  </si>
  <si>
    <t>Příspěvek na provoz PO – účelově určený příspěvek.</t>
  </si>
  <si>
    <t>00000039</t>
  </si>
  <si>
    <t>Kulturní aktivity</t>
  </si>
  <si>
    <t>Podpora aktivit zaměřených na sociální začleňování - oblast prevence kriminality</t>
  </si>
  <si>
    <t>Neinvestiční transfery cizím příspěvkovým org.</t>
  </si>
  <si>
    <t>Dotace z rozpočtu OK na poskytování sociálních služeb NNO</t>
  </si>
  <si>
    <t>00000416</t>
  </si>
  <si>
    <t>Podpora aktivit zaměřených na sociální začleňování - oblast integrace příslušníků romských komunit</t>
  </si>
  <si>
    <t xml:space="preserve">vedoucí odboru </t>
  </si>
  <si>
    <t xml:space="preserve">RSSM-ROP RS Střední Morava – IV – EU </t>
  </si>
  <si>
    <t>038587505</t>
  </si>
  <si>
    <t>Jiné investiční transfery zřízeným PO</t>
  </si>
  <si>
    <t>PO - předfinancování(půjčka EIB-projekt evropské f.)</t>
  </si>
  <si>
    <t>000000886</t>
  </si>
  <si>
    <t>000000883</t>
  </si>
  <si>
    <t>000000012</t>
  </si>
  <si>
    <t>000000022</t>
  </si>
  <si>
    <t>Příspěvek na úhradu prokazatelné ztráty - od obcí</t>
  </si>
  <si>
    <t>000000614</t>
  </si>
  <si>
    <t>Příspěvek na úhradu protarifovací ztráty - drážní doprava</t>
  </si>
  <si>
    <t>000000612</t>
  </si>
  <si>
    <t>Příspěvek na úhradu prokazatelné ztráty dopravcům - drážní doprava</t>
  </si>
  <si>
    <t>000000604</t>
  </si>
  <si>
    <t>Příspěvek na úhradu prokazatelné ztráty dopravcům - veřejná linková doprava</t>
  </si>
  <si>
    <t>000000601</t>
  </si>
  <si>
    <t>000000039</t>
  </si>
  <si>
    <t>MDČR-Příspěvek na ztrátu dopravce z provozu veřejné osobní drážní dopravy</t>
  </si>
  <si>
    <t>000027355</t>
  </si>
  <si>
    <t>Ostatní inv.transfery neziskovým a podobným org.</t>
  </si>
  <si>
    <t>000000605</t>
  </si>
  <si>
    <t>000000608</t>
  </si>
  <si>
    <t>000000201</t>
  </si>
  <si>
    <t>000000013</t>
  </si>
  <si>
    <t>000034013</t>
  </si>
  <si>
    <t>MKČR-Podpora obnovy kulturních památek prostřednictvím obcí s rozšířenou působností - NIV</t>
  </si>
  <si>
    <t>000034002</t>
  </si>
  <si>
    <t>MKČR-ISO C Výkupy předmětů - neinvestiční</t>
  </si>
  <si>
    <t>000034012</t>
  </si>
  <si>
    <t>000000024</t>
  </si>
  <si>
    <t>000034070</t>
  </si>
  <si>
    <t>Veřejné informační služby knihoven - investice</t>
  </si>
  <si>
    <t>000034544</t>
  </si>
  <si>
    <t>000034053</t>
  </si>
  <si>
    <t>000000204</t>
  </si>
  <si>
    <t>Investiční transfery nefinančním podnikatelským subjektům-právnickým osobám</t>
  </si>
  <si>
    <t>000000211</t>
  </si>
  <si>
    <t>000000210</t>
  </si>
  <si>
    <t>Účel.neinvest.transfery fyzickým osobám</t>
  </si>
  <si>
    <t>000000209</t>
  </si>
  <si>
    <t>000000212</t>
  </si>
  <si>
    <t>000000213</t>
  </si>
  <si>
    <t>Neinvestiční transfery vysokým kolám</t>
  </si>
  <si>
    <t>000000200</t>
  </si>
  <si>
    <t>MZČR-Připravenost poskytovatele ZZS na řešení mimořádných událostí a krizových situací-IV</t>
  </si>
  <si>
    <t>000035963</t>
  </si>
  <si>
    <t>000000014</t>
  </si>
  <si>
    <t>000035018</t>
  </si>
  <si>
    <t>Předfinancování EU (ČS-revolvingový úvěr)</t>
  </si>
  <si>
    <t>000000891</t>
  </si>
  <si>
    <t>000098335</t>
  </si>
  <si>
    <t>000098297</t>
  </si>
  <si>
    <t>000000258</t>
  </si>
  <si>
    <t>000000255</t>
  </si>
  <si>
    <t>000000254</t>
  </si>
  <si>
    <t>000000253</t>
  </si>
  <si>
    <t>000000256</t>
  </si>
  <si>
    <t>000000252</t>
  </si>
  <si>
    <t xml:space="preserve">vedoucí  odboru </t>
  </si>
  <si>
    <t>Poznámka: ORJ 15 - Odbor Krajský živnostenský úřad byl k 1.3.2015 sloučen do ORJ 05 - Odbor správní, legislativní a Krajský živnostenský úřad</t>
  </si>
  <si>
    <t xml:space="preserve">pověřená vedením </t>
  </si>
  <si>
    <t xml:space="preserve">Odbor veřejných  zakázek a investic celkem </t>
  </si>
  <si>
    <t>Výdaje odboru veřejných zakázek a investic</t>
  </si>
  <si>
    <t>000000015</t>
  </si>
  <si>
    <t>000000011</t>
  </si>
  <si>
    <t>000000025</t>
  </si>
  <si>
    <t>000000010</t>
  </si>
  <si>
    <t>SFDI-Financování dopravní infrastruktury - investice</t>
  </si>
  <si>
    <t>000091628</t>
  </si>
  <si>
    <t>17) Odbor veřejných zakázek a investic</t>
  </si>
  <si>
    <t xml:space="preserve">Významné projekty </t>
  </si>
  <si>
    <t>000000500</t>
  </si>
  <si>
    <t>000000510</t>
  </si>
  <si>
    <t>000000350</t>
  </si>
  <si>
    <t>000000351</t>
  </si>
  <si>
    <t>000000352</t>
  </si>
  <si>
    <t>Potovní služby</t>
  </si>
  <si>
    <t>Podpora rozvoje zahraničních vztahů Olomouckého kraje</t>
  </si>
  <si>
    <t>000000513</t>
  </si>
  <si>
    <t>Podpora akcí nadregionálního významu</t>
  </si>
  <si>
    <t>000000511</t>
  </si>
  <si>
    <t>Podpora zkvalitnění služeb turistických inform.center v OK</t>
  </si>
  <si>
    <t>000000512</t>
  </si>
  <si>
    <t>EUROPE DIRECT</t>
  </si>
  <si>
    <t>000000501</t>
  </si>
  <si>
    <t>Finanční příspěvky sdružení Jeseníky - Sdružení cestovního ruchu, Svazku obcí údolí Desné, sdružení Střední Morava - Sdružení cestovního ruchu</t>
  </si>
  <si>
    <t>000000504</t>
  </si>
  <si>
    <t>Neinv.transfery církvím a náboženským společ.</t>
  </si>
  <si>
    <t>Finanční příspěvek Klubu českých turistů</t>
  </si>
  <si>
    <t>000000503</t>
  </si>
  <si>
    <t xml:space="preserve">Příspěvky do 25. tis. Kč     </t>
  </si>
  <si>
    <t>Neinv.transfery obecně prospěným společnostem</t>
  </si>
  <si>
    <t>Neinv.transfery nefin.podnikatelským subj.-PO</t>
  </si>
  <si>
    <t xml:space="preserve">Úhrada za plnění firmě RNDr. Ivan Marek </t>
  </si>
  <si>
    <t>000000505</t>
  </si>
  <si>
    <t>Neinv.transfery nefin.podnikatelským subj.-FO</t>
  </si>
  <si>
    <t>Odbor podpory řízení příspěvkových organizací</t>
  </si>
  <si>
    <t xml:space="preserve"> - neinvestiční příspěvky</t>
  </si>
  <si>
    <t xml:space="preserve"> - účelové neinvestiční příspěvky</t>
  </si>
  <si>
    <t xml:space="preserve"> - účelové investiční příspěvky</t>
  </si>
  <si>
    <t>Odbor podpory řízení příspěvkových</t>
  </si>
  <si>
    <t>organizací</t>
  </si>
  <si>
    <t>Výdaje odboru  podpory řízení příspěvkových organizací</t>
  </si>
  <si>
    <t>Příspěvkové organizace celkem - investiční výdaje</t>
  </si>
  <si>
    <t>Příspěvkové organizace - investiční příspěvky</t>
  </si>
  <si>
    <t>Příspěvkové organizace - neinvestiční příspěvky</t>
  </si>
  <si>
    <t>Ing. Miroslava Březinová</t>
  </si>
  <si>
    <t>ORJ - 19</t>
  </si>
  <si>
    <t>19) Odbor podpory řízení příspěvkových organizací</t>
  </si>
  <si>
    <t>000000551</t>
  </si>
  <si>
    <t>Dary – Flexipass</t>
  </si>
  <si>
    <t>000000302</t>
  </si>
  <si>
    <t>000000301</t>
  </si>
  <si>
    <t>Odměny za užití duševního vlastnictví</t>
  </si>
  <si>
    <t>DD a ŠJ , Priessnitzova 405, Jeseník</t>
  </si>
  <si>
    <t>Příspěvek na provoz PO–účelově určený příspěvek.</t>
  </si>
  <si>
    <t>ZUŠ Zábřeh, Sokolská 349/9, Zábřeh</t>
  </si>
  <si>
    <t>SOŠ Prostějov, nám. E.Husserla 1, Prostějov</t>
  </si>
  <si>
    <t>Hotelová škola V.Priessnitze a Obchodní akademie Jeseník, Dukelská 680, Jeseník</t>
  </si>
  <si>
    <t>Švehlova SŠ polytechnická, nám.Spojenců 17, Prostějov</t>
  </si>
  <si>
    <t>pojistné plnění PO</t>
  </si>
  <si>
    <t>Dětský domov a Školní jídelna Prostějov, Lidická 86</t>
  </si>
  <si>
    <t>ZŠ a SŠ  prof.Z.Matějčka, Svatoplukova 11, Olomouc-Řepčín</t>
  </si>
  <si>
    <t>000000003</t>
  </si>
  <si>
    <t>vedoucí odboru strategického rozvoje kraje, územního plánování a stavebního řádu</t>
  </si>
  <si>
    <t>038100880</t>
  </si>
  <si>
    <t>ORG 101017</t>
  </si>
  <si>
    <t>II/445 a II/457 Zlaté Hory - hranice kraje</t>
  </si>
  <si>
    <t>038500881</t>
  </si>
  <si>
    <t>038100884</t>
  </si>
  <si>
    <t>ORG 100965</t>
  </si>
  <si>
    <t>III/36916 Šumperk, okružní křižovatka, ul. Temenická</t>
  </si>
  <si>
    <t>ORG 100934</t>
  </si>
  <si>
    <t>III/44317 Velká Bystřice – okružní křižovatka</t>
  </si>
  <si>
    <t>ORG 100932</t>
  </si>
  <si>
    <t>II/446 Chomoutov - Pňovice, křižovatka silnic II/446 a III/44613</t>
  </si>
  <si>
    <t>ORG 100931</t>
  </si>
  <si>
    <t>Silnice II/455 a III/4578 Písečná – Velké Kunětice</t>
  </si>
  <si>
    <t>ORG 100930</t>
  </si>
  <si>
    <t>Silnice II/446 Hanušovice – Nová Seninka</t>
  </si>
  <si>
    <t>038500891</t>
  </si>
  <si>
    <t>038100881</t>
  </si>
  <si>
    <t>038500871</t>
  </si>
  <si>
    <t>038100870</t>
  </si>
  <si>
    <t>038100874</t>
  </si>
  <si>
    <t>vedoucí odboru veřejných zakázek a investic</t>
  </si>
  <si>
    <t>053515319</t>
  </si>
  <si>
    <t>053500881</t>
  </si>
  <si>
    <t>053190001</t>
  </si>
  <si>
    <t>053100882</t>
  </si>
  <si>
    <t>054515835</t>
  </si>
  <si>
    <t>054190877</t>
  </si>
  <si>
    <t>054100874</t>
  </si>
  <si>
    <t>054100870</t>
  </si>
  <si>
    <t>0Celkem</t>
  </si>
  <si>
    <t>054100884</t>
  </si>
  <si>
    <t>Vratky VRÚÚ transferů poskytnutých v minulých rozpočtových obdobích</t>
  </si>
  <si>
    <t>036500881</t>
  </si>
  <si>
    <t>036100880</t>
  </si>
  <si>
    <t>ORG 100862</t>
  </si>
  <si>
    <t>Zajištění služby výměny dat ZZ kraje se systémy IZS</t>
  </si>
  <si>
    <t>ORG 100978</t>
  </si>
  <si>
    <t>Obnova echokardiografického přístroje (NOK)</t>
  </si>
  <si>
    <t>ORG 100977</t>
  </si>
  <si>
    <t>Obnova laparoskopické věže (NOK)</t>
  </si>
  <si>
    <t>ORG 100976</t>
  </si>
  <si>
    <t>Obnova endoskopů (NOK)</t>
  </si>
  <si>
    <t>ORG 100975</t>
  </si>
  <si>
    <t>Obnova dialyzačních monitorů (NOK)</t>
  </si>
  <si>
    <t>ORG 100974</t>
  </si>
  <si>
    <t>Centrální logovací systém ZZS OK</t>
  </si>
  <si>
    <t>ORG 100973</t>
  </si>
  <si>
    <t>Centrální datové úložiště ZZS OK</t>
  </si>
  <si>
    <t>ORG 100972</t>
  </si>
  <si>
    <t>VPN koncentrátory ZZS OK</t>
  </si>
  <si>
    <t>ORG 100971</t>
  </si>
  <si>
    <t>Telefonní ústředna ZZS OK</t>
  </si>
  <si>
    <t>ORG 100970</t>
  </si>
  <si>
    <t>Dorozumívací zařízení sestra x pacient (OLÚ Paseka)</t>
  </si>
  <si>
    <t>ORG 100969</t>
  </si>
  <si>
    <t>Částečná digitalizace rentgenu radiologického pracoviště OLÚ Paseka a pracoviště Moravský Beroun</t>
  </si>
  <si>
    <t>ORG 100968</t>
  </si>
  <si>
    <t>Ošetřovatelská dokumentace elektronická (OLÚ Paseka)</t>
  </si>
  <si>
    <t>ORG 100967</t>
  </si>
  <si>
    <t>Dodávka 3 ks přenosných defibrilátorů  s monitorem (OLÚ Paseka)</t>
  </si>
  <si>
    <t>ORG 100966</t>
  </si>
  <si>
    <t>Realizace výstavby náhradního zdroje elektrické energie vč. přemístění hlavního elektrického rozvaděče ZZS OK Hněvotínská Olomouc</t>
  </si>
  <si>
    <t>ORG 100963</t>
  </si>
  <si>
    <t>Odborný léčebný ústav Paseka Budova "C" I. etapa, 1. část - nástavba oddělení izolace pro pacienty TBC nad kinosálem</t>
  </si>
  <si>
    <t>ORG 100782</t>
  </si>
  <si>
    <t>Odborný léčebný ústav neurologicko-geriatrický Moravský Beroun - Vybudování plynových kotelen pro výrobu tepla a TUV</t>
  </si>
  <si>
    <t>060100884</t>
  </si>
  <si>
    <t>038587005</t>
  </si>
  <si>
    <t>036100884</t>
  </si>
  <si>
    <t>036500871</t>
  </si>
  <si>
    <t>053100884</t>
  </si>
  <si>
    <t>053100880</t>
  </si>
  <si>
    <t>036100874</t>
  </si>
  <si>
    <t>036100870</t>
  </si>
  <si>
    <t>036500891</t>
  </si>
  <si>
    <t>000000036</t>
  </si>
  <si>
    <t>041100884</t>
  </si>
  <si>
    <t>104500881</t>
  </si>
  <si>
    <t>104100882</t>
  </si>
  <si>
    <t>104100880</t>
  </si>
  <si>
    <t>ORG 100999</t>
  </si>
  <si>
    <t>Služby sociální prevence v Olomouckém kraji – nepřímé náklady</t>
  </si>
  <si>
    <t>032533012</t>
  </si>
  <si>
    <t>032133012</t>
  </si>
  <si>
    <t>032533887</t>
  </si>
  <si>
    <t>032133887</t>
  </si>
  <si>
    <t>032533030</t>
  </si>
  <si>
    <t>032133030</t>
  </si>
  <si>
    <t>033514013</t>
  </si>
  <si>
    <t>033100880</t>
  </si>
  <si>
    <t>0</t>
  </si>
  <si>
    <t>033500881</t>
  </si>
  <si>
    <t>032533926</t>
  </si>
  <si>
    <t>032133926</t>
  </si>
  <si>
    <t>Vratky VRÚU transferů poskyt. v minulých rozp. bbdobích</t>
  </si>
  <si>
    <t>032533007</t>
  </si>
  <si>
    <t>032133007</t>
  </si>
  <si>
    <t>ORG 101001</t>
  </si>
  <si>
    <t>Projekt technické pomoci Olomouckého kraje v rámci INTERREG V-A Česká republika</t>
  </si>
  <si>
    <t>Neinvestiční transfery. nefin. podnikatelským subjektům - právnickým osobám</t>
  </si>
  <si>
    <t>000000053</t>
  </si>
  <si>
    <t>000000052</t>
  </si>
  <si>
    <t>ORG 003010200000</t>
  </si>
  <si>
    <t>Příspěvky, dotace, transfery ostatním subjektům</t>
  </si>
  <si>
    <t>Ostatní neinvestiční transfery nezisk. a podobným organizacím</t>
  </si>
  <si>
    <t>000000054</t>
  </si>
  <si>
    <t>ORG 3053</t>
  </si>
  <si>
    <t>Věda a technika na dosah, z. ú., Hrubá Voda 57</t>
  </si>
  <si>
    <t>Neinvestiční příspěvky zřízeným příspěvkovým organizacím</t>
  </si>
  <si>
    <t>ORG 1353</t>
  </si>
  <si>
    <t>Středisko volného času ATLAS a BIOS, Přerov</t>
  </si>
  <si>
    <t>Povinné pojistné na soc. zab. a příspěvek na st. politiku zaměstnanosti</t>
  </si>
  <si>
    <t>ORG 100927</t>
  </si>
  <si>
    <t>Podpora rozvoje Olomouckého kraje 2015</t>
  </si>
  <si>
    <t>ORG 100988</t>
  </si>
  <si>
    <t>Prázdninové dílny - příměstské tábory</t>
  </si>
  <si>
    <t>032533910</t>
  </si>
  <si>
    <t>032133910</t>
  </si>
  <si>
    <t>Krajský akční plán rozvoje vzdělávání OK</t>
  </si>
  <si>
    <t>číslo účtu: 107-6909780237/0100</t>
  </si>
  <si>
    <t>ORJ - 76</t>
  </si>
  <si>
    <t>76) Krajský akční plán rozvoje vzdělávání OK</t>
  </si>
  <si>
    <t>Kotlíkové dotace</t>
  </si>
  <si>
    <t>106515011</t>
  </si>
  <si>
    <t>ORG 0020001000000</t>
  </si>
  <si>
    <t>Propagace a marketing</t>
  </si>
  <si>
    <t>číslo účtu: 107-8022160247/0100</t>
  </si>
  <si>
    <t>ORJ - 77</t>
  </si>
  <si>
    <t>77) Kotlíkové dotace</t>
  </si>
  <si>
    <t>ORJ 14-19</t>
  </si>
  <si>
    <t>ORJ 56-67</t>
  </si>
  <si>
    <t>ORJ 68-77</t>
  </si>
  <si>
    <t>provoz orj 30 - 77</t>
  </si>
  <si>
    <t>investice orj 30 - 77</t>
  </si>
  <si>
    <t>konsolidace  30 - 77</t>
  </si>
  <si>
    <t>celkem ORJ 30 - 77</t>
  </si>
  <si>
    <t>ORJ 30-77</t>
  </si>
  <si>
    <t>investice včetně inv.dot</t>
  </si>
  <si>
    <t>dotace ORJ 30-77</t>
  </si>
  <si>
    <t xml:space="preserve"> -účelové neinvestiční příspěvky</t>
  </si>
  <si>
    <t xml:space="preserve"> -účelové investiční příspěvky</t>
  </si>
  <si>
    <t>OU a PrŠ, Lipová-Lázně 458</t>
  </si>
  <si>
    <t>Střední odborná škola Prostějov, nám. Edmunda  Husserla 1/30, Prostějov</t>
  </si>
  <si>
    <t>Hotelová škola Vincenze Priessnitze a Obchodní akademie Jeseník, Dukelská 680, Jeseník</t>
  </si>
  <si>
    <t xml:space="preserve">Základní umělecká škola Zábřeh, Školská 349/9, 789 01 Zábřeh </t>
  </si>
  <si>
    <t>Mateřská škola a školní jídelna Kopretinka Olomouc. s.r.o., Koželužská 969/9, Olomouc  779 00</t>
  </si>
  <si>
    <t>Gargulák s.r.o., Krčmaňská 470, 783 72 Velký Týnec</t>
  </si>
  <si>
    <t>Ostatní neinv.transfery nezisk. a pod.org.</t>
  </si>
  <si>
    <t>Mezinárodní MONTESSORI mateřská škola Olomouc, z.ú., Vídeňská 675/5, Olomouc</t>
  </si>
  <si>
    <t>Centrum odborné přípravy Vincenze Priessnitze v gastronomických a potravinářských oborech - středisko praktického vyučování, Priessnitzova 1345/49a, 790 01  Jeseník</t>
  </si>
  <si>
    <t xml:space="preserve">Neinv.transfery obecně prospěš. spol. </t>
  </si>
  <si>
    <t xml:space="preserve"> -neinvestiční  příspěvek</t>
  </si>
  <si>
    <t xml:space="preserve"> -neinvestiční dotace</t>
  </si>
  <si>
    <t xml:space="preserve"> -investiční  dotace</t>
  </si>
  <si>
    <t xml:space="preserve"> -investiční dotace</t>
  </si>
  <si>
    <t xml:space="preserve"> - investiční příspěvky</t>
  </si>
  <si>
    <t xml:space="preserve"> - neivestiční dotace</t>
  </si>
  <si>
    <t xml:space="preserve"> - investiční dotace</t>
  </si>
  <si>
    <t xml:space="preserve"> - neinvestiční dotace</t>
  </si>
  <si>
    <t>Soukromé školy - neinvestiční dotace</t>
  </si>
  <si>
    <t>Příspěvkové organizace celkem - neinvestiční příspěvky</t>
  </si>
  <si>
    <t>Soukromé školy celkem - neinvestiční dotace</t>
  </si>
  <si>
    <t>Obecní školy - neinvestiční dotace</t>
  </si>
  <si>
    <t>Obecní školy celkem - neinvestiční dotace</t>
  </si>
  <si>
    <t>Odbor strategického rozvoje kraje, územního plánování a stavebního řádu</t>
  </si>
  <si>
    <t>8) Odbor strategického rozvoje kraje, územního plánování a stavebního řádu</t>
  </si>
  <si>
    <t>Odbor kancelář ředitele</t>
  </si>
  <si>
    <t>Odbor veřejných zakázek a investic</t>
  </si>
  <si>
    <t xml:space="preserve">vedoucí odboru životního prostředí a zemědělství </t>
  </si>
  <si>
    <t>vedoucí odboru kancelář ředitele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</si>
</sst>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#,##0"/>
    <numFmt numFmtId="165" formatCode="00000"/>
    <numFmt numFmtId="166" formatCode="#,##0.0"/>
    <numFmt numFmtId="167" formatCode="0.0"/>
    <numFmt numFmtId="168" formatCode="00,000"/>
    <numFmt numFmtId="169" formatCode="000"/>
    <numFmt numFmtId="170" formatCode="\ \-\ "/>
    <numFmt numFmtId="171" formatCode="00000000"/>
    <numFmt numFmtId="172" formatCode="000000000"/>
  </numFmts>
  <fonts count="125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sz val="8"/>
      <name val="Arial CE"/>
      <family val="2"/>
      <charset val="238"/>
    </font>
    <font>
      <b/>
      <sz val="14"/>
      <name val="Arial CE"/>
      <family val="2"/>
      <charset val="238"/>
    </font>
    <font>
      <b/>
      <sz val="11"/>
      <name val="Arial CE"/>
      <family val="2"/>
      <charset val="238"/>
    </font>
    <font>
      <sz val="9"/>
      <name val="Arial CE"/>
      <family val="2"/>
      <charset val="238"/>
    </font>
    <font>
      <i/>
      <u/>
      <sz val="10"/>
      <name val="Arial CE"/>
      <charset val="238"/>
    </font>
    <font>
      <sz val="11"/>
      <name val="Arial CE"/>
      <charset val="238"/>
    </font>
    <font>
      <sz val="10"/>
      <name val="Arial CE"/>
      <charset val="238"/>
    </font>
    <font>
      <b/>
      <sz val="11"/>
      <name val="Arial CE"/>
      <charset val="238"/>
    </font>
    <font>
      <sz val="11"/>
      <name val="Arial CE"/>
      <family val="2"/>
      <charset val="238"/>
    </font>
    <font>
      <b/>
      <sz val="10"/>
      <name val="Arial CE"/>
      <charset val="238"/>
    </font>
    <font>
      <b/>
      <i/>
      <sz val="12"/>
      <name val="Arial CE"/>
      <charset val="238"/>
    </font>
    <font>
      <b/>
      <sz val="12"/>
      <name val="Arial CE"/>
      <charset val="238"/>
    </font>
    <font>
      <b/>
      <sz val="10"/>
      <name val="Arial CE"/>
      <family val="2"/>
      <charset val="238"/>
    </font>
    <font>
      <b/>
      <i/>
      <sz val="10"/>
      <name val="Arial CE"/>
      <charset val="238"/>
    </font>
    <font>
      <b/>
      <sz val="9"/>
      <name val="Arial CE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sz val="11"/>
      <name val="Arial CE"/>
      <family val="2"/>
      <charset val="238"/>
    </font>
    <font>
      <b/>
      <sz val="13"/>
      <name val="Arial CE"/>
      <family val="2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Arial CE"/>
      <family val="2"/>
      <charset val="238"/>
    </font>
    <font>
      <b/>
      <i/>
      <sz val="18"/>
      <name val="Arial CE"/>
      <charset val="238"/>
    </font>
    <font>
      <b/>
      <sz val="18"/>
      <name val="Arial CE"/>
      <charset val="238"/>
    </font>
    <font>
      <sz val="18"/>
      <name val="Arial CE"/>
      <charset val="238"/>
    </font>
    <font>
      <b/>
      <i/>
      <sz val="16"/>
      <name val="Arial CE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b/>
      <u/>
      <sz val="12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b/>
      <sz val="13"/>
      <name val="Arial"/>
      <family val="2"/>
      <charset val="238"/>
    </font>
    <font>
      <b/>
      <sz val="18"/>
      <name val="Arial"/>
      <family val="2"/>
      <charset val="238"/>
    </font>
    <font>
      <b/>
      <i/>
      <sz val="18"/>
      <name val="Arial"/>
      <family val="2"/>
      <charset val="238"/>
    </font>
    <font>
      <sz val="18"/>
      <color indexed="9"/>
      <name val="Arial CE"/>
      <charset val="238"/>
    </font>
    <font>
      <i/>
      <u/>
      <sz val="11"/>
      <name val="Arial CE"/>
      <charset val="238"/>
    </font>
    <font>
      <b/>
      <sz val="8"/>
      <name val="Arial CE"/>
      <family val="2"/>
      <charset val="238"/>
    </font>
    <font>
      <b/>
      <sz val="16"/>
      <name val="Arial CE"/>
      <charset val="238"/>
    </font>
    <font>
      <sz val="16"/>
      <name val="Arial CE"/>
      <charset val="238"/>
    </font>
    <font>
      <b/>
      <sz val="13"/>
      <name val="Arial CE"/>
      <charset val="238"/>
    </font>
    <font>
      <b/>
      <i/>
      <sz val="17"/>
      <name val="Arial CE"/>
      <charset val="238"/>
    </font>
    <font>
      <b/>
      <sz val="12"/>
      <name val="Arial"/>
      <family val="2"/>
      <charset val="238"/>
    </font>
    <font>
      <b/>
      <sz val="12"/>
      <name val="Arial CE"/>
      <family val="2"/>
      <charset val="238"/>
    </font>
    <font>
      <sz val="12"/>
      <name val="Arial"/>
      <family val="2"/>
      <charset val="238"/>
    </font>
    <font>
      <sz val="12"/>
      <name val="Arial"/>
      <family val="2"/>
      <charset val="238"/>
    </font>
    <font>
      <b/>
      <sz val="14"/>
      <name val="Arial CE"/>
      <charset val="238"/>
    </font>
    <font>
      <sz val="8"/>
      <name val="Arial CE"/>
      <charset val="238"/>
    </font>
    <font>
      <sz val="14"/>
      <name val="Arial"/>
      <family val="2"/>
      <charset val="238"/>
    </font>
    <font>
      <sz val="14"/>
      <name val="Arial CE"/>
      <charset val="238"/>
    </font>
    <font>
      <sz val="10"/>
      <name val="Arial"/>
      <family val="2"/>
      <charset val="238"/>
    </font>
    <font>
      <b/>
      <u/>
      <sz val="12"/>
      <name val="Arial CE"/>
      <charset val="238"/>
    </font>
    <font>
      <b/>
      <sz val="9"/>
      <name val="Arial"/>
      <family val="2"/>
      <charset val="238"/>
    </font>
    <font>
      <i/>
      <sz val="11"/>
      <name val="Arial CE"/>
      <charset val="238"/>
    </font>
    <font>
      <sz val="13"/>
      <name val="Arial"/>
      <family val="2"/>
      <charset val="238"/>
    </font>
    <font>
      <sz val="16"/>
      <name val="Arial"/>
      <family val="2"/>
      <charset val="238"/>
    </font>
    <font>
      <i/>
      <sz val="10"/>
      <name val="Arial CE"/>
      <charset val="238"/>
    </font>
    <font>
      <sz val="12"/>
      <name val="Arial CE"/>
      <charset val="238"/>
    </font>
    <font>
      <b/>
      <i/>
      <sz val="14"/>
      <name val="Arial CE"/>
      <charset val="238"/>
    </font>
    <font>
      <i/>
      <sz val="12"/>
      <name val="Arial CE"/>
      <charset val="238"/>
    </font>
    <font>
      <b/>
      <sz val="9"/>
      <name val="Arial CE"/>
      <charset val="238"/>
    </font>
    <font>
      <b/>
      <i/>
      <sz val="14"/>
      <name val="Arial CE"/>
      <family val="2"/>
      <charset val="238"/>
    </font>
    <font>
      <i/>
      <sz val="10"/>
      <name val="Arial"/>
      <family val="2"/>
      <charset val="238"/>
    </font>
    <font>
      <b/>
      <i/>
      <sz val="16"/>
      <name val="Arial"/>
      <family val="2"/>
      <charset val="238"/>
    </font>
    <font>
      <i/>
      <sz val="11"/>
      <name val="Arial"/>
      <family val="2"/>
      <charset val="238"/>
    </font>
    <font>
      <b/>
      <u/>
      <sz val="11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9"/>
      <name val="Arial"/>
      <family val="2"/>
      <charset val="238"/>
    </font>
    <font>
      <sz val="10.5"/>
      <name val="Arial"/>
      <family val="2"/>
      <charset val="238"/>
    </font>
    <font>
      <b/>
      <u/>
      <sz val="13"/>
      <name val="Arial"/>
      <family val="2"/>
      <charset val="238"/>
    </font>
    <font>
      <u/>
      <sz val="10"/>
      <name val="Arial"/>
      <family val="2"/>
      <charset val="238"/>
    </font>
    <font>
      <b/>
      <i/>
      <sz val="14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sz val="10"/>
      <color indexed="14"/>
      <name val="Arial"/>
      <family val="2"/>
      <charset val="238"/>
    </font>
    <font>
      <sz val="8"/>
      <color indexed="14"/>
      <name val="Arial"/>
      <family val="2"/>
      <charset val="238"/>
    </font>
    <font>
      <sz val="11"/>
      <color indexed="14"/>
      <name val="Arial"/>
      <family val="2"/>
      <charset val="238"/>
    </font>
    <font>
      <b/>
      <sz val="11"/>
      <color indexed="14"/>
      <name val="Arial"/>
      <family val="2"/>
      <charset val="238"/>
    </font>
    <font>
      <sz val="11"/>
      <color indexed="14"/>
      <name val="Arial CE"/>
      <family val="2"/>
      <charset val="238"/>
    </font>
    <font>
      <b/>
      <sz val="11"/>
      <color indexed="14"/>
      <name val="Arial CE"/>
      <charset val="238"/>
    </font>
    <font>
      <i/>
      <sz val="18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name val="Trebuchet MS"/>
      <family val="2"/>
      <charset val="238"/>
    </font>
    <font>
      <sz val="10"/>
      <color rgb="FFFF0000"/>
      <name val="Arial CE"/>
      <charset val="238"/>
    </font>
    <font>
      <sz val="11"/>
      <color rgb="FFFF0000"/>
      <name val="Arial CE"/>
      <charset val="238"/>
    </font>
    <font>
      <sz val="12"/>
      <color rgb="FFFF0000"/>
      <name val="Arial CE"/>
      <family val="2"/>
      <charset val="238"/>
    </font>
    <font>
      <b/>
      <i/>
      <sz val="11"/>
      <name val="Arial"/>
      <family val="2"/>
      <charset val="238"/>
    </font>
    <font>
      <u/>
      <sz val="12"/>
      <name val="Arial"/>
      <family val="2"/>
      <charset val="238"/>
    </font>
    <font>
      <b/>
      <sz val="16"/>
      <name val="Arial"/>
      <family val="2"/>
      <charset val="238"/>
    </font>
    <font>
      <sz val="10"/>
      <color rgb="FFFF00FF"/>
      <name val="Arial"/>
      <family val="2"/>
      <charset val="238"/>
    </font>
    <font>
      <sz val="11"/>
      <color rgb="FFFF00FF"/>
      <name val="Arial"/>
      <family val="2"/>
      <charset val="238"/>
    </font>
    <font>
      <sz val="8"/>
      <color rgb="FFFF00FF"/>
      <name val="Arial"/>
      <family val="2"/>
      <charset val="238"/>
    </font>
    <font>
      <sz val="12"/>
      <color rgb="FFFF00FF"/>
      <name val="Arial CE"/>
      <family val="2"/>
      <charset val="238"/>
    </font>
    <font>
      <sz val="9"/>
      <color indexed="81"/>
      <name val="Tahoma"/>
      <family val="2"/>
      <charset val="238"/>
    </font>
    <font>
      <b/>
      <i/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i/>
      <sz val="11"/>
      <color rgb="FFFF0000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rgb="FF7030A0"/>
      <name val="Arial"/>
      <family val="2"/>
      <charset val="238"/>
    </font>
    <font>
      <sz val="10"/>
      <color rgb="FF7030A0"/>
      <name val="Arial CE"/>
      <charset val="238"/>
    </font>
    <font>
      <b/>
      <i/>
      <sz val="9"/>
      <name val="Arial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67">
    <xf numFmtId="0" fontId="0" fillId="0" borderId="0"/>
    <xf numFmtId="0" fontId="23" fillId="0" borderId="0"/>
    <xf numFmtId="3" fontId="13" fillId="0" borderId="0"/>
    <xf numFmtId="3" fontId="13" fillId="0" borderId="0"/>
    <xf numFmtId="3" fontId="13" fillId="0" borderId="0"/>
    <xf numFmtId="3" fontId="13" fillId="0" borderId="0"/>
    <xf numFmtId="3" fontId="13" fillId="0" borderId="0"/>
    <xf numFmtId="3" fontId="13" fillId="0" borderId="0"/>
    <xf numFmtId="0" fontId="13" fillId="0" borderId="0"/>
    <xf numFmtId="0" fontId="4" fillId="0" borderId="0"/>
    <xf numFmtId="0" fontId="104" fillId="0" borderId="0" applyNumberFormat="0" applyFill="0" applyBorder="0" applyAlignment="0" applyProtection="0"/>
    <xf numFmtId="0" fontId="105" fillId="0" borderId="66" applyNumberFormat="0" applyFill="0" applyAlignment="0" applyProtection="0"/>
    <xf numFmtId="0" fontId="106" fillId="0" borderId="67" applyNumberFormat="0" applyFill="0" applyAlignment="0" applyProtection="0"/>
    <xf numFmtId="0" fontId="107" fillId="0" borderId="68" applyNumberFormat="0" applyFill="0" applyAlignment="0" applyProtection="0"/>
    <xf numFmtId="0" fontId="107" fillId="0" borderId="0" applyNumberFormat="0" applyFill="0" applyBorder="0" applyAlignment="0" applyProtection="0"/>
    <xf numFmtId="0" fontId="108" fillId="6" borderId="0" applyNumberFormat="0" applyBorder="0" applyAlignment="0" applyProtection="0"/>
    <xf numFmtId="0" fontId="109" fillId="7" borderId="0" applyNumberFormat="0" applyBorder="0" applyAlignment="0" applyProtection="0"/>
    <xf numFmtId="0" fontId="110" fillId="8" borderId="0" applyNumberFormat="0" applyBorder="0" applyAlignment="0" applyProtection="0"/>
    <xf numFmtId="0" fontId="111" fillId="9" borderId="69" applyNumberFormat="0" applyAlignment="0" applyProtection="0"/>
    <xf numFmtId="0" fontId="112" fillId="10" borderId="70" applyNumberFormat="0" applyAlignment="0" applyProtection="0"/>
    <xf numFmtId="0" fontId="113" fillId="10" borderId="69" applyNumberFormat="0" applyAlignment="0" applyProtection="0"/>
    <xf numFmtId="0" fontId="114" fillId="0" borderId="71" applyNumberFormat="0" applyFill="0" applyAlignment="0" applyProtection="0"/>
    <xf numFmtId="0" fontId="115" fillId="11" borderId="72" applyNumberFormat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74" applyNumberFormat="0" applyFill="0" applyAlignment="0" applyProtection="0"/>
    <xf numFmtId="0" fontId="1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19" fillId="16" borderId="0" applyNumberFormat="0" applyBorder="0" applyAlignment="0" applyProtection="0"/>
    <xf numFmtId="0" fontId="1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19" fillId="20" borderId="0" applyNumberFormat="0" applyBorder="0" applyAlignment="0" applyProtection="0"/>
    <xf numFmtId="0" fontId="1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19" fillId="24" borderId="0" applyNumberFormat="0" applyBorder="0" applyAlignment="0" applyProtection="0"/>
    <xf numFmtId="0" fontId="1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19" fillId="28" borderId="0" applyNumberFormat="0" applyBorder="0" applyAlignment="0" applyProtection="0"/>
    <xf numFmtId="0" fontId="1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19" fillId="32" borderId="0" applyNumberFormat="0" applyBorder="0" applyAlignment="0" applyProtection="0"/>
    <xf numFmtId="0" fontId="119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19" fillId="36" borderId="0" applyNumberFormat="0" applyBorder="0" applyAlignment="0" applyProtection="0"/>
    <xf numFmtId="0" fontId="3" fillId="0" borderId="0"/>
    <xf numFmtId="0" fontId="3" fillId="12" borderId="73" applyNumberFormat="0" applyFont="0" applyAlignment="0" applyProtection="0"/>
    <xf numFmtId="0" fontId="2" fillId="0" borderId="0"/>
    <xf numFmtId="0" fontId="2" fillId="12" borderId="73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1" fillId="0" borderId="0"/>
  </cellStyleXfs>
  <cellXfs count="3263">
    <xf numFmtId="0" fontId="0" fillId="0" borderId="0" xfId="0"/>
    <xf numFmtId="1" fontId="5" fillId="0" borderId="0" xfId="0" applyNumberFormat="1" applyFont="1" applyAlignment="1">
      <alignment horizontal="left"/>
    </xf>
    <xf numFmtId="1" fontId="8" fillId="2" borderId="1" xfId="0" applyNumberFormat="1" applyFont="1" applyFill="1" applyBorder="1" applyAlignment="1">
      <alignment horizontal="left"/>
    </xf>
    <xf numFmtId="1" fontId="10" fillId="0" borderId="0" xfId="0" applyNumberFormat="1" applyFont="1" applyAlignment="1">
      <alignment horizontal="left"/>
    </xf>
    <xf numFmtId="0" fontId="5" fillId="0" borderId="0" xfId="0" applyFont="1"/>
    <xf numFmtId="1" fontId="13" fillId="0" borderId="0" xfId="0" applyNumberFormat="1" applyFont="1" applyAlignment="1">
      <alignment horizontal="left"/>
    </xf>
    <xf numFmtId="1" fontId="8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0" fontId="6" fillId="0" borderId="0" xfId="0" applyFont="1"/>
    <xf numFmtId="0" fontId="21" fillId="2" borderId="1" xfId="0" applyFont="1" applyFill="1" applyBorder="1"/>
    <xf numFmtId="0" fontId="21" fillId="0" borderId="0" xfId="0" applyFont="1" applyFill="1" applyBorder="1"/>
    <xf numFmtId="3" fontId="8" fillId="2" borderId="1" xfId="0" applyNumberFormat="1" applyFont="1" applyFill="1" applyBorder="1"/>
    <xf numFmtId="3" fontId="0" fillId="0" borderId="0" xfId="0" applyNumberFormat="1"/>
    <xf numFmtId="3" fontId="19" fillId="0" borderId="0" xfId="0" applyNumberFormat="1" applyFont="1"/>
    <xf numFmtId="3" fontId="19" fillId="0" borderId="0" xfId="0" applyNumberFormat="1" applyFont="1" applyAlignment="1">
      <alignment horizontal="right"/>
    </xf>
    <xf numFmtId="3" fontId="0" fillId="0" borderId="0" xfId="0" applyNumberFormat="1" applyFill="1" applyBorder="1"/>
    <xf numFmtId="3" fontId="8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/>
    <xf numFmtId="3" fontId="8" fillId="3" borderId="0" xfId="0" applyNumberFormat="1" applyFont="1" applyFill="1" applyBorder="1"/>
    <xf numFmtId="1" fontId="5" fillId="0" borderId="2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0" fontId="7" fillId="2" borderId="4" xfId="0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0" borderId="0" xfId="0" applyFont="1"/>
    <xf numFmtId="1" fontId="5" fillId="0" borderId="0" xfId="0" applyNumberFormat="1" applyFont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19" fillId="0" borderId="0" xfId="0" applyFont="1" applyFill="1" applyBorder="1" applyAlignment="1">
      <alignment horizontal="center"/>
    </xf>
    <xf numFmtId="3" fontId="9" fillId="0" borderId="2" xfId="0" applyNumberFormat="1" applyFont="1" applyBorder="1"/>
    <xf numFmtId="3" fontId="9" fillId="0" borderId="3" xfId="0" applyNumberFormat="1" applyFont="1" applyBorder="1"/>
    <xf numFmtId="1" fontId="13" fillId="0" borderId="2" xfId="0" applyNumberFormat="1" applyFont="1" applyBorder="1" applyAlignment="1">
      <alignment horizontal="left"/>
    </xf>
    <xf numFmtId="1" fontId="13" fillId="0" borderId="3" xfId="0" applyNumberFormat="1" applyFont="1" applyBorder="1" applyAlignment="1">
      <alignment horizontal="left"/>
    </xf>
    <xf numFmtId="1" fontId="30" fillId="0" borderId="0" xfId="0" applyNumberFormat="1" applyFont="1" applyFill="1" applyBorder="1" applyAlignment="1">
      <alignment horizontal="left"/>
    </xf>
    <xf numFmtId="1" fontId="5" fillId="0" borderId="6" xfId="0" applyNumberFormat="1" applyFont="1" applyBorder="1" applyAlignment="1">
      <alignment horizontal="left"/>
    </xf>
    <xf numFmtId="0" fontId="26" fillId="2" borderId="7" xfId="0" applyFont="1" applyFill="1" applyBorder="1" applyAlignment="1">
      <alignment horizontal="left"/>
    </xf>
    <xf numFmtId="0" fontId="6" fillId="2" borderId="8" xfId="0" applyFont="1" applyFill="1" applyBorder="1"/>
    <xf numFmtId="3" fontId="8" fillId="2" borderId="5" xfId="0" applyNumberFormat="1" applyFont="1" applyFill="1" applyBorder="1"/>
    <xf numFmtId="3" fontId="14" fillId="0" borderId="9" xfId="0" applyNumberFormat="1" applyFont="1" applyBorder="1"/>
    <xf numFmtId="3" fontId="14" fillId="0" borderId="2" xfId="0" applyNumberFormat="1" applyFont="1" applyBorder="1"/>
    <xf numFmtId="0" fontId="31" fillId="2" borderId="10" xfId="0" applyFont="1" applyFill="1" applyBorder="1" applyAlignment="1">
      <alignment horizontal="left"/>
    </xf>
    <xf numFmtId="1" fontId="32" fillId="2" borderId="10" xfId="0" applyNumberFormat="1" applyFont="1" applyFill="1" applyBorder="1" applyAlignment="1">
      <alignment horizontal="center"/>
    </xf>
    <xf numFmtId="1" fontId="32" fillId="2" borderId="10" xfId="0" applyNumberFormat="1" applyFont="1" applyFill="1" applyBorder="1" applyAlignment="1">
      <alignment horizontal="left"/>
    </xf>
    <xf numFmtId="0" fontId="32" fillId="2" borderId="10" xfId="0" applyFont="1" applyFill="1" applyBorder="1"/>
    <xf numFmtId="3" fontId="31" fillId="2" borderId="10" xfId="0" applyNumberFormat="1" applyFont="1" applyFill="1" applyBorder="1"/>
    <xf numFmtId="0" fontId="33" fillId="2" borderId="0" xfId="0" applyFont="1" applyFill="1"/>
    <xf numFmtId="3" fontId="7" fillId="2" borderId="5" xfId="0" applyNumberFormat="1" applyFont="1" applyFill="1" applyBorder="1" applyAlignment="1">
      <alignment horizontal="center" vertical="center"/>
    </xf>
    <xf numFmtId="3" fontId="7" fillId="2" borderId="9" xfId="0" applyNumberFormat="1" applyFont="1" applyFill="1" applyBorder="1" applyAlignment="1">
      <alignment horizontal="center" vertical="center"/>
    </xf>
    <xf numFmtId="3" fontId="9" fillId="0" borderId="2" xfId="0" applyNumberFormat="1" applyFont="1" applyBorder="1" applyAlignment="1">
      <alignment horizontal="right"/>
    </xf>
    <xf numFmtId="1" fontId="5" fillId="0" borderId="11" xfId="0" applyNumberFormat="1" applyFont="1" applyBorder="1" applyAlignment="1">
      <alignment horizontal="left"/>
    </xf>
    <xf numFmtId="1" fontId="5" fillId="0" borderId="12" xfId="0" applyNumberFormat="1" applyFont="1" applyBorder="1" applyAlignment="1">
      <alignment horizontal="left"/>
    </xf>
    <xf numFmtId="0" fontId="6" fillId="2" borderId="7" xfId="0" applyFont="1" applyFill="1" applyBorder="1"/>
    <xf numFmtId="0" fontId="21" fillId="0" borderId="0" xfId="0" applyFont="1" applyFill="1" applyBorder="1" applyAlignment="1">
      <alignment horizontal="center"/>
    </xf>
    <xf numFmtId="3" fontId="5" fillId="0" borderId="0" xfId="0" applyNumberFormat="1" applyFont="1"/>
    <xf numFmtId="3" fontId="7" fillId="0" borderId="0" xfId="0" applyNumberFormat="1" applyFont="1"/>
    <xf numFmtId="3" fontId="12" fillId="0" borderId="2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3" fontId="21" fillId="0" borderId="0" xfId="0" applyNumberFormat="1" applyFont="1" applyFill="1" applyBorder="1" applyAlignment="1">
      <alignment horizontal="center"/>
    </xf>
    <xf numFmtId="0" fontId="33" fillId="0" borderId="0" xfId="0" applyFont="1" applyFill="1"/>
    <xf numFmtId="3" fontId="9" fillId="3" borderId="0" xfId="0" applyNumberFormat="1" applyFont="1" applyFill="1" applyBorder="1" applyAlignment="1">
      <alignment horizontal="right"/>
    </xf>
    <xf numFmtId="3" fontId="14" fillId="3" borderId="2" xfId="0" applyNumberFormat="1" applyFont="1" applyFill="1" applyBorder="1" applyAlignment="1">
      <alignment horizontal="right"/>
    </xf>
    <xf numFmtId="3" fontId="9" fillId="3" borderId="9" xfId="0" applyNumberFormat="1" applyFont="1" applyFill="1" applyBorder="1" applyAlignment="1">
      <alignment horizontal="right"/>
    </xf>
    <xf numFmtId="0" fontId="14" fillId="0" borderId="9" xfId="0" applyFont="1" applyBorder="1"/>
    <xf numFmtId="3" fontId="10" fillId="0" borderId="0" xfId="0" applyNumberFormat="1" applyFont="1" applyFill="1" applyBorder="1" applyAlignment="1">
      <alignment horizontal="center"/>
    </xf>
    <xf numFmtId="3" fontId="9" fillId="2" borderId="5" xfId="0" applyNumberFormat="1" applyFont="1" applyFill="1" applyBorder="1"/>
    <xf numFmtId="0" fontId="36" fillId="0" borderId="0" xfId="0" applyFont="1"/>
    <xf numFmtId="0" fontId="4" fillId="0" borderId="0" xfId="0" applyFont="1"/>
    <xf numFmtId="1" fontId="12" fillId="0" borderId="0" xfId="0" applyNumberFormat="1" applyFont="1" applyFill="1" applyBorder="1" applyAlignment="1">
      <alignment horizontal="left"/>
    </xf>
    <xf numFmtId="0" fontId="14" fillId="3" borderId="2" xfId="0" applyFont="1" applyFill="1" applyBorder="1"/>
    <xf numFmtId="0" fontId="22" fillId="0" borderId="0" xfId="0" applyFont="1"/>
    <xf numFmtId="0" fontId="37" fillId="0" borderId="0" xfId="0" applyFont="1"/>
    <xf numFmtId="3" fontId="14" fillId="0" borderId="2" xfId="0" applyNumberFormat="1" applyFont="1" applyBorder="1" applyAlignment="1">
      <alignment horizontal="right"/>
    </xf>
    <xf numFmtId="0" fontId="14" fillId="0" borderId="2" xfId="0" applyFont="1" applyBorder="1"/>
    <xf numFmtId="0" fontId="38" fillId="0" borderId="0" xfId="0" applyFont="1"/>
    <xf numFmtId="0" fontId="39" fillId="0" borderId="0" xfId="0" applyFont="1"/>
    <xf numFmtId="1" fontId="40" fillId="0" borderId="0" xfId="0" applyNumberFormat="1" applyFont="1"/>
    <xf numFmtId="1" fontId="39" fillId="2" borderId="1" xfId="0" applyNumberFormat="1" applyFont="1" applyFill="1" applyBorder="1"/>
    <xf numFmtId="0" fontId="39" fillId="2" borderId="1" xfId="0" applyFont="1" applyFill="1" applyBorder="1"/>
    <xf numFmtId="0" fontId="41" fillId="0" borderId="0" xfId="0" applyFont="1"/>
    <xf numFmtId="3" fontId="39" fillId="2" borderId="1" xfId="0" applyNumberFormat="1" applyFont="1" applyFill="1" applyBorder="1"/>
    <xf numFmtId="3" fontId="39" fillId="0" borderId="0" xfId="0" applyNumberFormat="1" applyFont="1"/>
    <xf numFmtId="0" fontId="44" fillId="3" borderId="0" xfId="0" applyFont="1" applyFill="1"/>
    <xf numFmtId="0" fontId="33" fillId="3" borderId="0" xfId="0" applyFont="1" applyFill="1"/>
    <xf numFmtId="1" fontId="11" fillId="0" borderId="0" xfId="0" applyNumberFormat="1" applyFont="1" applyBorder="1" applyAlignment="1">
      <alignment horizontal="left"/>
    </xf>
    <xf numFmtId="0" fontId="14" fillId="0" borderId="2" xfId="0" applyFont="1" applyBorder="1" applyAlignment="1">
      <alignment horizontal="right"/>
    </xf>
    <xf numFmtId="1" fontId="13" fillId="0" borderId="0" xfId="0" applyNumberFormat="1" applyFont="1" applyBorder="1" applyAlignment="1">
      <alignment horizontal="left"/>
    </xf>
    <xf numFmtId="3" fontId="14" fillId="0" borderId="0" xfId="0" applyNumberFormat="1" applyFont="1" applyAlignment="1">
      <alignment horizontal="right"/>
    </xf>
    <xf numFmtId="0" fontId="14" fillId="0" borderId="0" xfId="0" applyFont="1" applyBorder="1"/>
    <xf numFmtId="3" fontId="14" fillId="0" borderId="9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0" fontId="11" fillId="0" borderId="2" xfId="0" applyFont="1" applyBorder="1" applyAlignment="1"/>
    <xf numFmtId="0" fontId="13" fillId="0" borderId="2" xfId="0" applyFont="1" applyBorder="1" applyAlignment="1"/>
    <xf numFmtId="0" fontId="0" fillId="3" borderId="0" xfId="0" applyFill="1"/>
    <xf numFmtId="3" fontId="14" fillId="0" borderId="0" xfId="0" applyNumberFormat="1" applyFont="1" applyBorder="1" applyAlignment="1">
      <alignment horizontal="right"/>
    </xf>
    <xf numFmtId="1" fontId="13" fillId="3" borderId="3" xfId="0" applyNumberFormat="1" applyFont="1" applyFill="1" applyBorder="1" applyAlignment="1">
      <alignment horizontal="left"/>
    </xf>
    <xf numFmtId="1" fontId="13" fillId="3" borderId="2" xfId="0" applyNumberFormat="1" applyFont="1" applyFill="1" applyBorder="1" applyAlignment="1">
      <alignment horizontal="left"/>
    </xf>
    <xf numFmtId="3" fontId="12" fillId="3" borderId="3" xfId="0" applyNumberFormat="1" applyFont="1" applyFill="1" applyBorder="1" applyAlignment="1">
      <alignment horizontal="right"/>
    </xf>
    <xf numFmtId="1" fontId="52" fillId="0" borderId="0" xfId="0" applyNumberFormat="1" applyFont="1" applyFill="1" applyBorder="1" applyAlignment="1">
      <alignment horizontal="left"/>
    </xf>
    <xf numFmtId="0" fontId="51" fillId="0" borderId="0" xfId="0" applyFont="1"/>
    <xf numFmtId="3" fontId="51" fillId="0" borderId="0" xfId="0" applyNumberFormat="1" applyFont="1"/>
    <xf numFmtId="1" fontId="54" fillId="0" borderId="0" xfId="0" applyNumberFormat="1" applyFont="1" applyAlignment="1">
      <alignment horizontal="left"/>
    </xf>
    <xf numFmtId="1" fontId="54" fillId="0" borderId="0" xfId="0" applyNumberFormat="1" applyFont="1" applyAlignment="1">
      <alignment horizontal="center"/>
    </xf>
    <xf numFmtId="164" fontId="54" fillId="0" borderId="0" xfId="0" applyNumberFormat="1" applyFont="1" applyAlignment="1">
      <alignment horizontal="center"/>
    </xf>
    <xf numFmtId="0" fontId="54" fillId="0" borderId="0" xfId="0" applyFont="1"/>
    <xf numFmtId="164" fontId="54" fillId="0" borderId="0" xfId="0" applyNumberFormat="1" applyFont="1" applyAlignment="1">
      <alignment horizontal="left"/>
    </xf>
    <xf numFmtId="0" fontId="54" fillId="0" borderId="0" xfId="0" applyFont="1" applyAlignment="1">
      <alignment horizontal="left"/>
    </xf>
    <xf numFmtId="0" fontId="7" fillId="0" borderId="0" xfId="0" applyFont="1" applyFill="1"/>
    <xf numFmtId="0" fontId="7" fillId="0" borderId="0" xfId="0" applyFont="1" applyFill="1" applyBorder="1"/>
    <xf numFmtId="0" fontId="14" fillId="3" borderId="13" xfId="0" applyFont="1" applyFill="1" applyBorder="1"/>
    <xf numFmtId="1" fontId="54" fillId="0" borderId="0" xfId="0" applyNumberFormat="1" applyFont="1"/>
    <xf numFmtId="3" fontId="14" fillId="2" borderId="5" xfId="0" applyNumberFormat="1" applyFont="1" applyFill="1" applyBorder="1"/>
    <xf numFmtId="3" fontId="9" fillId="2" borderId="14" xfId="0" applyNumberFormat="1" applyFont="1" applyFill="1" applyBorder="1"/>
    <xf numFmtId="167" fontId="0" fillId="0" borderId="0" xfId="0" applyNumberFormat="1"/>
    <xf numFmtId="166" fontId="0" fillId="0" borderId="0" xfId="0" applyNumberFormat="1"/>
    <xf numFmtId="166" fontId="33" fillId="0" borderId="0" xfId="0" applyNumberFormat="1" applyFont="1" applyFill="1"/>
    <xf numFmtId="1" fontId="13" fillId="0" borderId="2" xfId="0" applyNumberFormat="1" applyFont="1" applyBorder="1" applyAlignment="1">
      <alignment horizontal="center"/>
    </xf>
    <xf numFmtId="0" fontId="13" fillId="0" borderId="2" xfId="0" applyFont="1" applyBorder="1"/>
    <xf numFmtId="0" fontId="13" fillId="0" borderId="3" xfId="0" applyFont="1" applyBorder="1"/>
    <xf numFmtId="0" fontId="13" fillId="0" borderId="0" xfId="0" applyFont="1" applyFill="1" applyBorder="1" applyAlignment="1"/>
    <xf numFmtId="0" fontId="29" fillId="0" borderId="0" xfId="0" applyFont="1"/>
    <xf numFmtId="3" fontId="29" fillId="0" borderId="0" xfId="0" applyNumberFormat="1" applyFont="1"/>
    <xf numFmtId="168" fontId="10" fillId="0" borderId="2" xfId="0" applyNumberFormat="1" applyFont="1" applyBorder="1" applyAlignment="1">
      <alignment horizontal="left"/>
    </xf>
    <xf numFmtId="3" fontId="12" fillId="3" borderId="0" xfId="0" applyNumberFormat="1" applyFont="1" applyFill="1" applyBorder="1" applyAlignment="1">
      <alignment horizontal="right"/>
    </xf>
    <xf numFmtId="3" fontId="12" fillId="3" borderId="2" xfId="0" applyNumberFormat="1" applyFont="1" applyFill="1" applyBorder="1" applyAlignment="1">
      <alignment horizontal="right"/>
    </xf>
    <xf numFmtId="3" fontId="15" fillId="3" borderId="2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right"/>
    </xf>
    <xf numFmtId="168" fontId="10" fillId="0" borderId="3" xfId="0" applyNumberFormat="1" applyFont="1" applyBorder="1" applyAlignment="1">
      <alignment horizontal="left"/>
    </xf>
    <xf numFmtId="0" fontId="14" fillId="3" borderId="0" xfId="0" applyFont="1" applyFill="1" applyBorder="1"/>
    <xf numFmtId="168" fontId="10" fillId="0" borderId="15" xfId="0" applyNumberFormat="1" applyFont="1" applyBorder="1" applyAlignment="1">
      <alignment horizontal="left"/>
    </xf>
    <xf numFmtId="3" fontId="58" fillId="3" borderId="2" xfId="0" applyNumberFormat="1" applyFont="1" applyFill="1" applyBorder="1" applyAlignment="1">
      <alignment horizontal="right"/>
    </xf>
    <xf numFmtId="3" fontId="21" fillId="0" borderId="0" xfId="0" applyNumberFormat="1" applyFont="1" applyFill="1" applyBorder="1" applyAlignment="1">
      <alignment horizontal="left"/>
    </xf>
    <xf numFmtId="1" fontId="59" fillId="2" borderId="1" xfId="0" applyNumberFormat="1" applyFont="1" applyFill="1" applyBorder="1"/>
    <xf numFmtId="0" fontId="59" fillId="2" borderId="1" xfId="0" applyFont="1" applyFill="1" applyBorder="1"/>
    <xf numFmtId="3" fontId="59" fillId="0" borderId="0" xfId="0" applyNumberFormat="1" applyFont="1"/>
    <xf numFmtId="0" fontId="59" fillId="0" borderId="0" xfId="0" applyFont="1"/>
    <xf numFmtId="3" fontId="29" fillId="0" borderId="0" xfId="0" applyNumberFormat="1" applyFont="1" applyFill="1" applyBorder="1"/>
    <xf numFmtId="3" fontId="59" fillId="0" borderId="0" xfId="0" applyNumberFormat="1" applyFont="1" applyFill="1" applyBorder="1"/>
    <xf numFmtId="0" fontId="29" fillId="0" borderId="0" xfId="0" applyFont="1" applyFill="1" applyBorder="1"/>
    <xf numFmtId="3" fontId="29" fillId="0" borderId="0" xfId="0" applyNumberFormat="1" applyFont="1" applyAlignment="1">
      <alignment horizontal="right"/>
    </xf>
    <xf numFmtId="168" fontId="21" fillId="2" borderId="1" xfId="0" applyNumberFormat="1" applyFont="1" applyFill="1" applyBorder="1" applyAlignment="1">
      <alignment horizontal="center"/>
    </xf>
    <xf numFmtId="168" fontId="21" fillId="0" borderId="0" xfId="0" applyNumberFormat="1" applyFont="1" applyFill="1" applyBorder="1" applyAlignment="1">
      <alignment horizontal="center"/>
    </xf>
    <xf numFmtId="168" fontId="36" fillId="0" borderId="0" xfId="0" applyNumberFormat="1" applyFont="1"/>
    <xf numFmtId="168" fontId="10" fillId="0" borderId="0" xfId="0" applyNumberFormat="1" applyFont="1" applyAlignment="1">
      <alignment horizontal="center"/>
    </xf>
    <xf numFmtId="168" fontId="21" fillId="2" borderId="8" xfId="0" applyNumberFormat="1" applyFont="1" applyFill="1" applyBorder="1" applyAlignment="1">
      <alignment horizontal="center"/>
    </xf>
    <xf numFmtId="168" fontId="28" fillId="0" borderId="0" xfId="0" applyNumberFormat="1" applyFont="1"/>
    <xf numFmtId="168" fontId="10" fillId="0" borderId="0" xfId="0" applyNumberFormat="1" applyFont="1" applyAlignment="1">
      <alignment horizontal="left"/>
    </xf>
    <xf numFmtId="3" fontId="14" fillId="3" borderId="9" xfId="0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3" fontId="58" fillId="3" borderId="0" xfId="0" applyNumberFormat="1" applyFont="1" applyFill="1" applyBorder="1" applyAlignment="1">
      <alignment horizontal="right"/>
    </xf>
    <xf numFmtId="3" fontId="12" fillId="3" borderId="16" xfId="0" applyNumberFormat="1" applyFont="1" applyFill="1" applyBorder="1" applyAlignment="1">
      <alignment horizontal="right"/>
    </xf>
    <xf numFmtId="3" fontId="29" fillId="2" borderId="1" xfId="0" applyNumberFormat="1" applyFont="1" applyFill="1" applyBorder="1"/>
    <xf numFmtId="166" fontId="29" fillId="0" borderId="0" xfId="0" applyNumberFormat="1" applyFont="1"/>
    <xf numFmtId="1" fontId="5" fillId="0" borderId="17" xfId="0" applyNumberFormat="1" applyFont="1" applyBorder="1" applyAlignment="1">
      <alignment horizontal="left"/>
    </xf>
    <xf numFmtId="1" fontId="5" fillId="0" borderId="18" xfId="0" applyNumberFormat="1" applyFont="1" applyBorder="1" applyAlignment="1">
      <alignment horizontal="left"/>
    </xf>
    <xf numFmtId="168" fontId="10" fillId="0" borderId="17" xfId="0" applyNumberFormat="1" applyFont="1" applyBorder="1" applyAlignment="1">
      <alignment horizontal="left"/>
    </xf>
    <xf numFmtId="0" fontId="22" fillId="3" borderId="19" xfId="0" applyFont="1" applyFill="1" applyBorder="1" applyAlignment="1"/>
    <xf numFmtId="168" fontId="40" fillId="3" borderId="17" xfId="0" applyNumberFormat="1" applyFont="1" applyFill="1" applyBorder="1" applyAlignment="1"/>
    <xf numFmtId="168" fontId="28" fillId="2" borderId="1" xfId="0" applyNumberFormat="1" applyFont="1" applyFill="1" applyBorder="1"/>
    <xf numFmtId="168" fontId="40" fillId="0" borderId="0" xfId="0" applyNumberFormat="1" applyFont="1"/>
    <xf numFmtId="1" fontId="60" fillId="0" borderId="0" xfId="0" applyNumberFormat="1" applyFont="1" applyAlignment="1">
      <alignment horizontal="left"/>
    </xf>
    <xf numFmtId="0" fontId="29" fillId="2" borderId="1" xfId="0" applyFont="1" applyFill="1" applyBorder="1"/>
    <xf numFmtId="1" fontId="59" fillId="0" borderId="0" xfId="0" applyNumberFormat="1" applyFont="1"/>
    <xf numFmtId="0" fontId="29" fillId="3" borderId="0" xfId="0" applyFont="1" applyFill="1"/>
    <xf numFmtId="0" fontId="9" fillId="0" borderId="2" xfId="0" applyFont="1" applyBorder="1" applyAlignment="1">
      <alignment horizontal="right"/>
    </xf>
    <xf numFmtId="0" fontId="13" fillId="3" borderId="0" xfId="0" applyFont="1" applyFill="1" applyBorder="1"/>
    <xf numFmtId="3" fontId="36" fillId="0" borderId="0" xfId="0" applyNumberFormat="1" applyFont="1" applyFill="1" applyBorder="1"/>
    <xf numFmtId="3" fontId="9" fillId="0" borderId="0" xfId="0" applyNumberFormat="1" applyFont="1" applyFill="1" applyBorder="1" applyAlignment="1">
      <alignment horizontal="right"/>
    </xf>
    <xf numFmtId="168" fontId="7" fillId="2" borderId="9" xfId="0" applyNumberFormat="1" applyFont="1" applyFill="1" applyBorder="1" applyAlignment="1">
      <alignment horizontal="center" vertical="center"/>
    </xf>
    <xf numFmtId="168" fontId="54" fillId="0" borderId="0" xfId="0" applyNumberFormat="1" applyFont="1" applyAlignment="1">
      <alignment horizontal="center"/>
    </xf>
    <xf numFmtId="0" fontId="13" fillId="3" borderId="3" xfId="0" applyFont="1" applyFill="1" applyBorder="1"/>
    <xf numFmtId="168" fontId="7" fillId="2" borderId="5" xfId="0" applyNumberFormat="1" applyFont="1" applyFill="1" applyBorder="1" applyAlignment="1">
      <alignment horizontal="center" vertical="center"/>
    </xf>
    <xf numFmtId="0" fontId="14" fillId="0" borderId="2" xfId="0" applyFont="1" applyBorder="1" applyAlignment="1"/>
    <xf numFmtId="168" fontId="27" fillId="3" borderId="0" xfId="0" applyNumberFormat="1" applyFont="1" applyFill="1" applyBorder="1" applyAlignment="1">
      <alignment horizontal="left"/>
    </xf>
    <xf numFmtId="168" fontId="27" fillId="3" borderId="19" xfId="0" applyNumberFormat="1" applyFont="1" applyFill="1" applyBorder="1" applyAlignment="1">
      <alignment horizontal="left"/>
    </xf>
    <xf numFmtId="3" fontId="15" fillId="3" borderId="0" xfId="0" applyNumberFormat="1" applyFont="1" applyFill="1" applyBorder="1" applyAlignment="1">
      <alignment horizontal="right"/>
    </xf>
    <xf numFmtId="3" fontId="15" fillId="3" borderId="3" xfId="0" applyNumberFormat="1" applyFont="1" applyFill="1" applyBorder="1" applyAlignment="1">
      <alignment horizontal="right"/>
    </xf>
    <xf numFmtId="3" fontId="15" fillId="3" borderId="16" xfId="0" applyNumberFormat="1" applyFont="1" applyFill="1" applyBorder="1" applyAlignment="1">
      <alignment horizontal="right"/>
    </xf>
    <xf numFmtId="0" fontId="29" fillId="0" borderId="6" xfId="0" applyFont="1" applyBorder="1" applyAlignment="1">
      <alignment horizontal="left"/>
    </xf>
    <xf numFmtId="3" fontId="9" fillId="0" borderId="0" xfId="0" applyNumberFormat="1" applyFont="1" applyFill="1" applyBorder="1"/>
    <xf numFmtId="3" fontId="19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/>
    <xf numFmtId="3" fontId="12" fillId="3" borderId="14" xfId="0" applyNumberFormat="1" applyFont="1" applyFill="1" applyBorder="1" applyAlignment="1">
      <alignment horizontal="right"/>
    </xf>
    <xf numFmtId="3" fontId="12" fillId="0" borderId="0" xfId="0" applyNumberFormat="1" applyFont="1" applyBorder="1" applyAlignment="1"/>
    <xf numFmtId="3" fontId="14" fillId="3" borderId="13" xfId="0" applyNumberFormat="1" applyFont="1" applyFill="1" applyBorder="1" applyAlignment="1">
      <alignment horizontal="right"/>
    </xf>
    <xf numFmtId="3" fontId="14" fillId="3" borderId="20" xfId="0" applyNumberFormat="1" applyFont="1" applyFill="1" applyBorder="1" applyAlignment="1">
      <alignment horizontal="right"/>
    </xf>
    <xf numFmtId="166" fontId="24" fillId="0" borderId="0" xfId="0" applyNumberFormat="1" applyFont="1" applyFill="1" applyBorder="1"/>
    <xf numFmtId="167" fontId="15" fillId="0" borderId="21" xfId="0" applyNumberFormat="1" applyFont="1" applyBorder="1"/>
    <xf numFmtId="167" fontId="9" fillId="0" borderId="21" xfId="0" applyNumberFormat="1" applyFont="1" applyBorder="1"/>
    <xf numFmtId="167" fontId="8" fillId="2" borderId="22" xfId="0" applyNumberFormat="1" applyFont="1" applyFill="1" applyBorder="1"/>
    <xf numFmtId="167" fontId="31" fillId="2" borderId="10" xfId="0" applyNumberFormat="1" applyFont="1" applyFill="1" applyBorder="1" applyAlignment="1">
      <alignment shrinkToFit="1"/>
    </xf>
    <xf numFmtId="167" fontId="12" fillId="0" borderId="21" xfId="0" applyNumberFormat="1" applyFont="1" applyBorder="1"/>
    <xf numFmtId="167" fontId="8" fillId="0" borderId="0" xfId="0" applyNumberFormat="1" applyFont="1" applyFill="1" applyBorder="1"/>
    <xf numFmtId="167" fontId="8" fillId="3" borderId="0" xfId="0" applyNumberFormat="1" applyFont="1" applyFill="1" applyBorder="1"/>
    <xf numFmtId="167" fontId="7" fillId="2" borderId="23" xfId="0" applyNumberFormat="1" applyFont="1" applyFill="1" applyBorder="1" applyAlignment="1">
      <alignment horizontal="center" vertical="center"/>
    </xf>
    <xf numFmtId="167" fontId="7" fillId="2" borderId="24" xfId="0" applyNumberFormat="1" applyFont="1" applyFill="1" applyBorder="1" applyAlignment="1">
      <alignment horizontal="center" vertical="center"/>
    </xf>
    <xf numFmtId="167" fontId="14" fillId="0" borderId="21" xfId="0" applyNumberFormat="1" applyFont="1" applyBorder="1"/>
    <xf numFmtId="167" fontId="14" fillId="0" borderId="25" xfId="0" applyNumberFormat="1" applyFont="1" applyBorder="1"/>
    <xf numFmtId="167" fontId="13" fillId="0" borderId="0" xfId="0" applyNumberFormat="1" applyFont="1" applyFill="1" applyBorder="1"/>
    <xf numFmtId="167" fontId="59" fillId="0" borderId="0" xfId="0" applyNumberFormat="1" applyFont="1"/>
    <xf numFmtId="167" fontId="29" fillId="0" borderId="0" xfId="0" applyNumberFormat="1" applyFont="1"/>
    <xf numFmtId="167" fontId="14" fillId="0" borderId="25" xfId="0" applyNumberFormat="1" applyFont="1" applyBorder="1" applyAlignment="1">
      <alignment horizontal="right"/>
    </xf>
    <xf numFmtId="166" fontId="7" fillId="2" borderId="24" xfId="0" applyNumberFormat="1" applyFont="1" applyFill="1" applyBorder="1" applyAlignment="1">
      <alignment horizontal="center" vertical="center"/>
    </xf>
    <xf numFmtId="167" fontId="19" fillId="0" borderId="0" xfId="0" applyNumberFormat="1" applyFont="1"/>
    <xf numFmtId="167" fontId="14" fillId="0" borderId="23" xfId="0" applyNumberFormat="1" applyFont="1" applyBorder="1"/>
    <xf numFmtId="167" fontId="9" fillId="2" borderId="24" xfId="0" applyNumberFormat="1" applyFont="1" applyFill="1" applyBorder="1"/>
    <xf numFmtId="167" fontId="14" fillId="2" borderId="24" xfId="0" applyNumberFormat="1" applyFont="1" applyFill="1" applyBorder="1"/>
    <xf numFmtId="167" fontId="51" fillId="0" borderId="0" xfId="0" applyNumberFormat="1" applyFont="1"/>
    <xf numFmtId="166" fontId="9" fillId="0" borderId="0" xfId="0" applyNumberFormat="1" applyFont="1" applyFill="1" applyBorder="1"/>
    <xf numFmtId="166" fontId="9" fillId="3" borderId="25" xfId="0" applyNumberFormat="1" applyFont="1" applyFill="1" applyBorder="1" applyAlignment="1">
      <alignment horizontal="right"/>
    </xf>
    <xf numFmtId="166" fontId="14" fillId="0" borderId="25" xfId="0" applyNumberFormat="1" applyFont="1" applyBorder="1" applyAlignment="1">
      <alignment horizontal="right"/>
    </xf>
    <xf numFmtId="167" fontId="9" fillId="0" borderId="0" xfId="0" applyNumberFormat="1" applyFont="1" applyFill="1" applyBorder="1"/>
    <xf numFmtId="166" fontId="19" fillId="0" borderId="0" xfId="0" applyNumberFormat="1" applyFont="1" applyFill="1" applyBorder="1"/>
    <xf numFmtId="167" fontId="54" fillId="0" borderId="0" xfId="0" applyNumberFormat="1" applyFont="1"/>
    <xf numFmtId="166" fontId="39" fillId="0" borderId="0" xfId="0" applyNumberFormat="1" applyFont="1"/>
    <xf numFmtId="0" fontId="13" fillId="0" borderId="3" xfId="0" applyFont="1" applyBorder="1" applyAlignment="1">
      <alignment wrapText="1"/>
    </xf>
    <xf numFmtId="3" fontId="14" fillId="3" borderId="19" xfId="0" applyNumberFormat="1" applyFont="1" applyFill="1" applyBorder="1" applyAlignment="1">
      <alignment horizontal="right"/>
    </xf>
    <xf numFmtId="1" fontId="13" fillId="3" borderId="9" xfId="0" applyNumberFormat="1" applyFont="1" applyFill="1" applyBorder="1" applyAlignment="1">
      <alignment horizontal="left"/>
    </xf>
    <xf numFmtId="1" fontId="13" fillId="3" borderId="13" xfId="0" applyNumberFormat="1" applyFont="1" applyFill="1" applyBorder="1" applyAlignment="1">
      <alignment horizontal="left"/>
    </xf>
    <xf numFmtId="0" fontId="14" fillId="3" borderId="9" xfId="0" applyFont="1" applyFill="1" applyBorder="1"/>
    <xf numFmtId="1" fontId="5" fillId="0" borderId="26" xfId="0" applyNumberFormat="1" applyFont="1" applyBorder="1" applyAlignment="1">
      <alignment horizontal="left"/>
    </xf>
    <xf numFmtId="1" fontId="13" fillId="3" borderId="12" xfId="0" applyNumberFormat="1" applyFont="1" applyFill="1" applyBorder="1" applyAlignment="1">
      <alignment horizontal="left"/>
    </xf>
    <xf numFmtId="0" fontId="11" fillId="3" borderId="2" xfId="0" applyFont="1" applyFill="1" applyBorder="1"/>
    <xf numFmtId="0" fontId="13" fillId="3" borderId="2" xfId="0" applyFont="1" applyFill="1" applyBorder="1"/>
    <xf numFmtId="0" fontId="13" fillId="3" borderId="14" xfId="0" applyFont="1" applyFill="1" applyBorder="1"/>
    <xf numFmtId="3" fontId="14" fillId="3" borderId="27" xfId="0" applyNumberFormat="1" applyFont="1" applyFill="1" applyBorder="1" applyAlignment="1">
      <alignment horizontal="right"/>
    </xf>
    <xf numFmtId="168" fontId="27" fillId="3" borderId="27" xfId="0" applyNumberFormat="1" applyFont="1" applyFill="1" applyBorder="1" applyAlignment="1">
      <alignment horizontal="center"/>
    </xf>
    <xf numFmtId="168" fontId="27" fillId="0" borderId="19" xfId="0" applyNumberFormat="1" applyFont="1" applyBorder="1" applyAlignment="1">
      <alignment horizontal="center"/>
    </xf>
    <xf numFmtId="168" fontId="27" fillId="0" borderId="0" xfId="0" applyNumberFormat="1" applyFont="1" applyBorder="1" applyAlignment="1">
      <alignment horizontal="center"/>
    </xf>
    <xf numFmtId="168" fontId="27" fillId="3" borderId="0" xfId="0" applyNumberFormat="1" applyFont="1" applyFill="1" applyBorder="1" applyAlignment="1">
      <alignment horizontal="center"/>
    </xf>
    <xf numFmtId="3" fontId="14" fillId="0" borderId="27" xfId="0" applyNumberFormat="1" applyFont="1" applyBorder="1" applyAlignment="1">
      <alignment horizontal="right"/>
    </xf>
    <xf numFmtId="0" fontId="13" fillId="0" borderId="0" xfId="0" applyFont="1" applyFill="1" applyBorder="1" applyAlignment="1">
      <alignment wrapText="1"/>
    </xf>
    <xf numFmtId="1" fontId="13" fillId="3" borderId="26" xfId="0" applyNumberFormat="1" applyFont="1" applyFill="1" applyBorder="1" applyAlignment="1">
      <alignment horizontal="left"/>
    </xf>
    <xf numFmtId="168" fontId="27" fillId="3" borderId="27" xfId="0" applyNumberFormat="1" applyFont="1" applyFill="1" applyBorder="1" applyAlignment="1">
      <alignment horizontal="left"/>
    </xf>
    <xf numFmtId="0" fontId="12" fillId="0" borderId="25" xfId="0" applyFont="1" applyBorder="1" applyAlignment="1">
      <alignment horizontal="right"/>
    </xf>
    <xf numFmtId="1" fontId="13" fillId="3" borderId="28" xfId="0" applyNumberFormat="1" applyFont="1" applyFill="1" applyBorder="1" applyAlignment="1">
      <alignment horizontal="left"/>
    </xf>
    <xf numFmtId="0" fontId="12" fillId="0" borderId="29" xfId="0" applyFont="1" applyBorder="1" applyAlignment="1">
      <alignment horizontal="right"/>
    </xf>
    <xf numFmtId="166" fontId="14" fillId="0" borderId="30" xfId="0" applyNumberFormat="1" applyFont="1" applyBorder="1" applyAlignment="1">
      <alignment horizontal="right"/>
    </xf>
    <xf numFmtId="1" fontId="13" fillId="0" borderId="9" xfId="0" applyNumberFormat="1" applyFont="1" applyBorder="1" applyAlignment="1">
      <alignment horizontal="left"/>
    </xf>
    <xf numFmtId="168" fontId="10" fillId="0" borderId="18" xfId="0" applyNumberFormat="1" applyFont="1" applyBorder="1" applyAlignment="1">
      <alignment horizontal="left"/>
    </xf>
    <xf numFmtId="1" fontId="16" fillId="0" borderId="0" xfId="0" applyNumberFormat="1" applyFont="1" applyAlignment="1">
      <alignment horizontal="left"/>
    </xf>
    <xf numFmtId="0" fontId="59" fillId="0" borderId="0" xfId="0" applyFont="1" applyBorder="1"/>
    <xf numFmtId="168" fontId="28" fillId="0" borderId="17" xfId="0" applyNumberFormat="1" applyFont="1" applyBorder="1"/>
    <xf numFmtId="3" fontId="23" fillId="0" borderId="0" xfId="0" applyNumberFormat="1" applyFont="1"/>
    <xf numFmtId="0" fontId="23" fillId="0" borderId="0" xfId="0" applyFont="1"/>
    <xf numFmtId="166" fontId="14" fillId="0" borderId="29" xfId="0" applyNumberFormat="1" applyFont="1" applyBorder="1" applyAlignment="1">
      <alignment horizontal="right"/>
    </xf>
    <xf numFmtId="0" fontId="13" fillId="3" borderId="3" xfId="0" applyFont="1" applyFill="1" applyBorder="1" applyAlignment="1"/>
    <xf numFmtId="1" fontId="13" fillId="3" borderId="14" xfId="0" applyNumberFormat="1" applyFont="1" applyFill="1" applyBorder="1" applyAlignment="1">
      <alignment horizontal="left"/>
    </xf>
    <xf numFmtId="1" fontId="13" fillId="3" borderId="31" xfId="0" applyNumberFormat="1" applyFont="1" applyFill="1" applyBorder="1" applyAlignment="1">
      <alignment horizontal="left"/>
    </xf>
    <xf numFmtId="168" fontId="27" fillId="3" borderId="20" xfId="0" applyNumberFormat="1" applyFont="1" applyFill="1" applyBorder="1" applyAlignment="1">
      <alignment horizontal="left"/>
    </xf>
    <xf numFmtId="3" fontId="62" fillId="0" borderId="2" xfId="0" applyNumberFormat="1" applyFont="1" applyBorder="1" applyAlignment="1">
      <alignment horizontal="right"/>
    </xf>
    <xf numFmtId="3" fontId="34" fillId="2" borderId="10" xfId="0" applyNumberFormat="1" applyFont="1" applyFill="1" applyBorder="1"/>
    <xf numFmtId="0" fontId="14" fillId="0" borderId="25" xfId="0" applyFont="1" applyBorder="1" applyAlignment="1">
      <alignment horizontal="right"/>
    </xf>
    <xf numFmtId="0" fontId="14" fillId="3" borderId="2" xfId="0" applyFont="1" applyFill="1" applyBorder="1" applyAlignment="1"/>
    <xf numFmtId="166" fontId="14" fillId="0" borderId="32" xfId="0" applyNumberFormat="1" applyFont="1" applyBorder="1" applyAlignment="1">
      <alignment horizontal="right"/>
    </xf>
    <xf numFmtId="166" fontId="8" fillId="3" borderId="25" xfId="0" applyNumberFormat="1" applyFont="1" applyFill="1" applyBorder="1" applyAlignment="1">
      <alignment horizontal="right"/>
    </xf>
    <xf numFmtId="166" fontId="8" fillId="3" borderId="29" xfId="0" applyNumberFormat="1" applyFont="1" applyFill="1" applyBorder="1" applyAlignment="1">
      <alignment horizontal="right"/>
    </xf>
    <xf numFmtId="0" fontId="66" fillId="0" borderId="0" xfId="0" applyFont="1"/>
    <xf numFmtId="3" fontId="54" fillId="0" borderId="0" xfId="0" applyNumberFormat="1" applyFont="1"/>
    <xf numFmtId="3" fontId="53" fillId="0" borderId="0" xfId="0" applyNumberFormat="1" applyFont="1"/>
    <xf numFmtId="1" fontId="13" fillId="3" borderId="33" xfId="0" applyNumberFormat="1" applyFont="1" applyFill="1" applyBorder="1" applyAlignment="1">
      <alignment horizontal="left"/>
    </xf>
    <xf numFmtId="168" fontId="27" fillId="3" borderId="34" xfId="0" applyNumberFormat="1" applyFont="1" applyFill="1" applyBorder="1" applyAlignment="1">
      <alignment horizontal="left"/>
    </xf>
    <xf numFmtId="3" fontId="14" fillId="3" borderId="34" xfId="0" applyNumberFormat="1" applyFont="1" applyFill="1" applyBorder="1" applyAlignment="1">
      <alignment horizontal="right"/>
    </xf>
    <xf numFmtId="3" fontId="14" fillId="3" borderId="14" xfId="0" applyNumberFormat="1" applyFont="1" applyFill="1" applyBorder="1" applyAlignment="1">
      <alignment horizontal="right"/>
    </xf>
    <xf numFmtId="166" fontId="14" fillId="0" borderId="35" xfId="0" applyNumberFormat="1" applyFont="1" applyBorder="1" applyAlignment="1">
      <alignment horizontal="right"/>
    </xf>
    <xf numFmtId="1" fontId="13" fillId="3" borderId="0" xfId="0" applyNumberFormat="1" applyFont="1" applyFill="1" applyBorder="1" applyAlignment="1">
      <alignment horizontal="left"/>
    </xf>
    <xf numFmtId="166" fontId="14" fillId="0" borderId="0" xfId="0" applyNumberFormat="1" applyFont="1" applyBorder="1" applyAlignment="1">
      <alignment horizontal="right"/>
    </xf>
    <xf numFmtId="1" fontId="8" fillId="2" borderId="0" xfId="0" applyNumberFormat="1" applyFont="1" applyFill="1" applyBorder="1" applyAlignment="1">
      <alignment horizontal="left"/>
    </xf>
    <xf numFmtId="0" fontId="8" fillId="2" borderId="0" xfId="0" applyFont="1" applyFill="1" applyBorder="1"/>
    <xf numFmtId="0" fontId="13" fillId="2" borderId="0" xfId="0" applyFont="1" applyFill="1" applyBorder="1"/>
    <xf numFmtId="0" fontId="13" fillId="2" borderId="0" xfId="0" applyFont="1" applyFill="1" applyBorder="1" applyAlignment="1">
      <alignment horizontal="right"/>
    </xf>
    <xf numFmtId="0" fontId="58" fillId="2" borderId="0" xfId="0" applyFont="1" applyFill="1" applyBorder="1" applyAlignment="1">
      <alignment horizontal="right"/>
    </xf>
    <xf numFmtId="0" fontId="55" fillId="2" borderId="19" xfId="0" applyFont="1" applyFill="1" applyBorder="1"/>
    <xf numFmtId="1" fontId="18" fillId="2" borderId="19" xfId="0" applyNumberFormat="1" applyFont="1" applyFill="1" applyBorder="1" applyAlignment="1">
      <alignment horizontal="left"/>
    </xf>
    <xf numFmtId="0" fontId="18" fillId="2" borderId="19" xfId="0" applyFont="1" applyFill="1" applyBorder="1"/>
    <xf numFmtId="0" fontId="68" fillId="2" borderId="19" xfId="0" applyFont="1" applyFill="1" applyBorder="1" applyAlignment="1">
      <alignment horizontal="right"/>
    </xf>
    <xf numFmtId="0" fontId="55" fillId="3" borderId="0" xfId="0" applyFont="1" applyFill="1" applyBorder="1"/>
    <xf numFmtId="1" fontId="18" fillId="3" borderId="0" xfId="0" applyNumberFormat="1" applyFont="1" applyFill="1" applyBorder="1" applyAlignment="1">
      <alignment horizontal="left"/>
    </xf>
    <xf numFmtId="0" fontId="18" fillId="3" borderId="0" xfId="0" applyFont="1" applyFill="1" applyBorder="1"/>
    <xf numFmtId="0" fontId="68" fillId="3" borderId="0" xfId="0" applyFont="1" applyFill="1" applyBorder="1" applyAlignment="1">
      <alignment horizontal="right"/>
    </xf>
    <xf numFmtId="0" fontId="58" fillId="3" borderId="0" xfId="0" applyFont="1" applyFill="1" applyBorder="1" applyAlignment="1">
      <alignment horizontal="right"/>
    </xf>
    <xf numFmtId="166" fontId="0" fillId="3" borderId="0" xfId="0" applyNumberFormat="1" applyFill="1"/>
    <xf numFmtId="0" fontId="14" fillId="0" borderId="30" xfId="0" applyFont="1" applyBorder="1" applyAlignment="1">
      <alignment horizontal="right"/>
    </xf>
    <xf numFmtId="0" fontId="17" fillId="0" borderId="12" xfId="0" applyFont="1" applyBorder="1"/>
    <xf numFmtId="0" fontId="17" fillId="0" borderId="25" xfId="0" applyFont="1" applyBorder="1" applyAlignment="1">
      <alignment horizontal="right"/>
    </xf>
    <xf numFmtId="0" fontId="8" fillId="3" borderId="25" xfId="0" applyFont="1" applyFill="1" applyBorder="1" applyAlignment="1">
      <alignment horizontal="right"/>
    </xf>
    <xf numFmtId="0" fontId="8" fillId="3" borderId="29" xfId="0" applyFont="1" applyFill="1" applyBorder="1" applyAlignment="1">
      <alignment horizontal="right"/>
    </xf>
    <xf numFmtId="1" fontId="18" fillId="0" borderId="2" xfId="0" applyNumberFormat="1" applyFont="1" applyBorder="1" applyAlignment="1">
      <alignment horizontal="left"/>
    </xf>
    <xf numFmtId="168" fontId="69" fillId="0" borderId="0" xfId="0" applyNumberFormat="1" applyFont="1" applyBorder="1" applyAlignment="1">
      <alignment horizontal="center"/>
    </xf>
    <xf numFmtId="3" fontId="62" fillId="0" borderId="27" xfId="0" applyNumberFormat="1" applyFont="1" applyBorder="1" applyAlignment="1">
      <alignment horizontal="right"/>
    </xf>
    <xf numFmtId="3" fontId="62" fillId="0" borderId="0" xfId="0" applyNumberFormat="1" applyFont="1" applyBorder="1" applyAlignment="1">
      <alignment horizontal="right"/>
    </xf>
    <xf numFmtId="3" fontId="12" fillId="0" borderId="19" xfId="0" applyNumberFormat="1" applyFont="1" applyBorder="1" applyAlignment="1">
      <alignment wrapText="1"/>
    </xf>
    <xf numFmtId="0" fontId="17" fillId="0" borderId="28" xfId="0" applyFont="1" applyBorder="1"/>
    <xf numFmtId="1" fontId="18" fillId="0" borderId="3" xfId="0" applyNumberFormat="1" applyFont="1" applyBorder="1" applyAlignment="1">
      <alignment horizontal="left"/>
    </xf>
    <xf numFmtId="3" fontId="62" fillId="0" borderId="19" xfId="0" applyNumberFormat="1" applyFont="1" applyBorder="1" applyAlignment="1">
      <alignment horizontal="right"/>
    </xf>
    <xf numFmtId="167" fontId="9" fillId="3" borderId="25" xfId="0" applyNumberFormat="1" applyFont="1" applyFill="1" applyBorder="1" applyAlignment="1">
      <alignment horizontal="right"/>
    </xf>
    <xf numFmtId="167" fontId="55" fillId="2" borderId="36" xfId="0" applyNumberFormat="1" applyFont="1" applyFill="1" applyBorder="1" applyAlignment="1">
      <alignment horizontal="right"/>
    </xf>
    <xf numFmtId="0" fontId="55" fillId="2" borderId="19" xfId="0" applyFont="1" applyFill="1" applyBorder="1" applyAlignment="1">
      <alignment horizontal="right"/>
    </xf>
    <xf numFmtId="166" fontId="55" fillId="2" borderId="36" xfId="0" applyNumberFormat="1" applyFont="1" applyFill="1" applyBorder="1" applyAlignment="1">
      <alignment horizontal="right"/>
    </xf>
    <xf numFmtId="167" fontId="6" fillId="0" borderId="0" xfId="0" applyNumberFormat="1" applyFont="1" applyBorder="1" applyAlignment="1">
      <alignment horizontal="right"/>
    </xf>
    <xf numFmtId="3" fontId="53" fillId="0" borderId="0" xfId="0" applyNumberFormat="1" applyFont="1" applyAlignment="1">
      <alignment horizontal="right"/>
    </xf>
    <xf numFmtId="3" fontId="51" fillId="3" borderId="0" xfId="0" applyNumberFormat="1" applyFont="1" applyFill="1" applyBorder="1" applyAlignment="1">
      <alignment horizontal="right"/>
    </xf>
    <xf numFmtId="167" fontId="52" fillId="0" borderId="0" xfId="0" applyNumberFormat="1" applyFont="1" applyFill="1" applyBorder="1" applyAlignment="1">
      <alignment horizontal="right" vertical="center"/>
    </xf>
    <xf numFmtId="167" fontId="66" fillId="0" borderId="0" xfId="0" applyNumberFormat="1" applyFont="1" applyFill="1" applyBorder="1" applyAlignment="1">
      <alignment horizontal="right" vertical="center"/>
    </xf>
    <xf numFmtId="3" fontId="4" fillId="0" borderId="0" xfId="0" applyNumberFormat="1" applyFont="1" applyFill="1" applyBorder="1"/>
    <xf numFmtId="0" fontId="19" fillId="0" borderId="0" xfId="0" applyFont="1" applyFill="1" applyBorder="1" applyAlignment="1">
      <alignment horizontal="left"/>
    </xf>
    <xf numFmtId="0" fontId="14" fillId="0" borderId="0" xfId="0" applyFont="1" applyFill="1" applyBorder="1"/>
    <xf numFmtId="0" fontId="9" fillId="0" borderId="18" xfId="0" applyFont="1" applyBorder="1" applyAlignment="1">
      <alignment horizontal="right"/>
    </xf>
    <xf numFmtId="0" fontId="0" fillId="0" borderId="0" xfId="0" applyAlignment="1"/>
    <xf numFmtId="0" fontId="13" fillId="0" borderId="0" xfId="0" applyFont="1" applyFill="1" applyBorder="1"/>
    <xf numFmtId="3" fontId="14" fillId="0" borderId="0" xfId="0" applyNumberFormat="1" applyFont="1" applyFill="1" applyBorder="1" applyAlignment="1">
      <alignment horizontal="right"/>
    </xf>
    <xf numFmtId="3" fontId="12" fillId="0" borderId="0" xfId="0" applyNumberFormat="1" applyFont="1" applyFill="1" applyBorder="1" applyAlignment="1">
      <alignment horizontal="right"/>
    </xf>
    <xf numFmtId="3" fontId="14" fillId="0" borderId="2" xfId="0" applyNumberFormat="1" applyFont="1" applyFill="1" applyBorder="1" applyAlignment="1">
      <alignment horizontal="right"/>
    </xf>
    <xf numFmtId="3" fontId="12" fillId="0" borderId="2" xfId="0" applyNumberFormat="1" applyFont="1" applyFill="1" applyBorder="1" applyAlignment="1">
      <alignment horizontal="right"/>
    </xf>
    <xf numFmtId="0" fontId="14" fillId="0" borderId="0" xfId="0" applyFont="1" applyAlignment="1"/>
    <xf numFmtId="0" fontId="0" fillId="0" borderId="0" xfId="0" applyAlignment="1">
      <alignment horizontal="center"/>
    </xf>
    <xf numFmtId="0" fontId="35" fillId="2" borderId="4" xfId="0" applyFont="1" applyFill="1" applyBorder="1" applyAlignment="1">
      <alignment horizontal="center" vertical="center"/>
    </xf>
    <xf numFmtId="0" fontId="35" fillId="2" borderId="5" xfId="0" applyFont="1" applyFill="1" applyBorder="1" applyAlignment="1">
      <alignment horizontal="center" vertical="center"/>
    </xf>
    <xf numFmtId="1" fontId="35" fillId="2" borderId="5" xfId="0" applyNumberFormat="1" applyFont="1" applyFill="1" applyBorder="1" applyAlignment="1">
      <alignment horizontal="center" vertical="center" wrapText="1"/>
    </xf>
    <xf numFmtId="1" fontId="35" fillId="2" borderId="37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3" fontId="35" fillId="2" borderId="24" xfId="0" applyNumberFormat="1" applyFont="1" applyFill="1" applyBorder="1" applyAlignment="1">
      <alignment horizontal="center" vertical="center"/>
    </xf>
    <xf numFmtId="0" fontId="39" fillId="0" borderId="0" xfId="0" applyFont="1" applyAlignment="1"/>
    <xf numFmtId="0" fontId="39" fillId="0" borderId="0" xfId="0" applyFont="1" applyAlignment="1">
      <alignment horizontal="right"/>
    </xf>
    <xf numFmtId="4" fontId="0" fillId="0" borderId="0" xfId="0" applyNumberFormat="1"/>
    <xf numFmtId="0" fontId="28" fillId="2" borderId="4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vertical="center"/>
    </xf>
    <xf numFmtId="4" fontId="28" fillId="2" borderId="5" xfId="0" applyNumberFormat="1" applyFont="1" applyFill="1" applyBorder="1" applyAlignment="1">
      <alignment horizontal="center" vertical="center" wrapText="1"/>
    </xf>
    <xf numFmtId="4" fontId="28" fillId="2" borderId="37" xfId="0" applyNumberFormat="1" applyFont="1" applyFill="1" applyBorder="1" applyAlignment="1">
      <alignment horizontal="center" vertical="center" wrapText="1"/>
    </xf>
    <xf numFmtId="3" fontId="0" fillId="2" borderId="24" xfId="0" applyNumberFormat="1" applyFill="1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9" xfId="0" applyBorder="1" applyAlignment="1">
      <alignment horizontal="center"/>
    </xf>
    <xf numFmtId="4" fontId="22" fillId="2" borderId="5" xfId="0" applyNumberFormat="1" applyFont="1" applyFill="1" applyBorder="1"/>
    <xf numFmtId="0" fontId="22" fillId="0" borderId="12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22" fillId="0" borderId="17" xfId="0" applyFont="1" applyFill="1" applyBorder="1" applyAlignment="1">
      <alignment horizontal="left"/>
    </xf>
    <xf numFmtId="0" fontId="22" fillId="0" borderId="0" xfId="0" applyFont="1" applyFill="1"/>
    <xf numFmtId="0" fontId="22" fillId="2" borderId="39" xfId="0" applyFont="1" applyFill="1" applyBorder="1" applyAlignment="1">
      <alignment horizontal="left"/>
    </xf>
    <xf numFmtId="0" fontId="22" fillId="2" borderId="10" xfId="0" applyFont="1" applyFill="1" applyBorder="1" applyAlignment="1">
      <alignment horizontal="left"/>
    </xf>
    <xf numFmtId="0" fontId="22" fillId="2" borderId="40" xfId="0" applyFont="1" applyFill="1" applyBorder="1" applyAlignment="1">
      <alignment horizontal="left"/>
    </xf>
    <xf numFmtId="3" fontId="0" fillId="0" borderId="0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6" fontId="22" fillId="0" borderId="0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/>
    <xf numFmtId="0" fontId="4" fillId="0" borderId="0" xfId="0" applyFont="1" applyFill="1" applyAlignment="1">
      <alignment vertical="center"/>
    </xf>
    <xf numFmtId="4" fontId="22" fillId="0" borderId="0" xfId="0" applyNumberFormat="1" applyFont="1" applyFill="1" applyBorder="1"/>
    <xf numFmtId="3" fontId="22" fillId="0" borderId="41" xfId="0" applyNumberFormat="1" applyFont="1" applyFill="1" applyBorder="1" applyAlignment="1">
      <alignment horizontal="right"/>
    </xf>
    <xf numFmtId="0" fontId="51" fillId="0" borderId="0" xfId="0" applyFont="1" applyAlignment="1"/>
    <xf numFmtId="166" fontId="22" fillId="2" borderId="42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vertical="center"/>
    </xf>
    <xf numFmtId="3" fontId="12" fillId="0" borderId="2" xfId="0" applyNumberFormat="1" applyFont="1" applyFill="1" applyBorder="1"/>
    <xf numFmtId="1" fontId="35" fillId="2" borderId="24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/>
    <xf numFmtId="1" fontId="41" fillId="0" borderId="0" xfId="0" applyNumberFormat="1" applyFont="1" applyFill="1" applyBorder="1" applyAlignment="1">
      <alignment horizontal="left"/>
    </xf>
    <xf numFmtId="1" fontId="41" fillId="0" borderId="0" xfId="0" applyNumberFormat="1" applyFont="1" applyFill="1" applyBorder="1" applyAlignment="1">
      <alignment horizontal="center"/>
    </xf>
    <xf numFmtId="168" fontId="41" fillId="0" borderId="0" xfId="0" applyNumberFormat="1" applyFont="1" applyFill="1" applyBorder="1" applyAlignment="1">
      <alignment horizontal="center"/>
    </xf>
    <xf numFmtId="0" fontId="41" fillId="0" borderId="0" xfId="0" applyFont="1" applyFill="1" applyBorder="1"/>
    <xf numFmtId="0" fontId="22" fillId="0" borderId="0" xfId="0" applyFont="1" applyFill="1" applyBorder="1" applyAlignment="1"/>
    <xf numFmtId="167" fontId="31" fillId="2" borderId="10" xfId="0" applyNumberFormat="1" applyFont="1" applyFill="1" applyBorder="1" applyAlignment="1">
      <alignment horizontal="right" shrinkToFit="1"/>
    </xf>
    <xf numFmtId="3" fontId="14" fillId="0" borderId="9" xfId="0" applyNumberFormat="1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66" fontId="22" fillId="0" borderId="43" xfId="0" applyNumberFormat="1" applyFont="1" applyFill="1" applyBorder="1" applyAlignment="1">
      <alignment horizontal="right" vertical="center"/>
    </xf>
    <xf numFmtId="166" fontId="22" fillId="2" borderId="44" xfId="0" applyNumberFormat="1" applyFont="1" applyFill="1" applyBorder="1" applyAlignment="1">
      <alignment horizontal="right" vertical="center"/>
    </xf>
    <xf numFmtId="166" fontId="12" fillId="0" borderId="25" xfId="0" applyNumberFormat="1" applyFont="1" applyFill="1" applyBorder="1"/>
    <xf numFmtId="3" fontId="9" fillId="2" borderId="24" xfId="0" applyNumberFormat="1" applyFont="1" applyFill="1" applyBorder="1"/>
    <xf numFmtId="3" fontId="9" fillId="2" borderId="42" xfId="0" applyNumberFormat="1" applyFont="1" applyFill="1" applyBorder="1"/>
    <xf numFmtId="0" fontId="9" fillId="0" borderId="0" xfId="0" applyFont="1" applyFill="1" applyBorder="1"/>
    <xf numFmtId="0" fontId="14" fillId="0" borderId="2" xfId="0" applyFont="1" applyFill="1" applyBorder="1"/>
    <xf numFmtId="0" fontId="4" fillId="0" borderId="0" xfId="0" applyFont="1" applyFill="1"/>
    <xf numFmtId="3" fontId="4" fillId="0" borderId="0" xfId="0" applyNumberFormat="1" applyFont="1" applyFill="1"/>
    <xf numFmtId="0" fontId="28" fillId="0" borderId="0" xfId="0" applyFont="1" applyFill="1" applyAlignment="1">
      <alignment vertical="center"/>
    </xf>
    <xf numFmtId="4" fontId="22" fillId="0" borderId="41" xfId="0" applyNumberFormat="1" applyFont="1" applyFill="1" applyBorder="1" applyAlignment="1">
      <alignment horizontal="right"/>
    </xf>
    <xf numFmtId="4" fontId="22" fillId="2" borderId="45" xfId="0" applyNumberFormat="1" applyFont="1" applyFill="1" applyBorder="1" applyAlignment="1">
      <alignment horizontal="right"/>
    </xf>
    <xf numFmtId="0" fontId="22" fillId="0" borderId="2" xfId="0" applyFont="1" applyBorder="1" applyAlignment="1">
      <alignment vertical="center" wrapText="1"/>
    </xf>
    <xf numFmtId="0" fontId="22" fillId="0" borderId="2" xfId="0" applyFont="1" applyBorder="1" applyAlignment="1"/>
    <xf numFmtId="3" fontId="22" fillId="0" borderId="2" xfId="0" applyNumberFormat="1" applyFont="1" applyFill="1" applyBorder="1" applyAlignment="1">
      <alignment vertical="center"/>
    </xf>
    <xf numFmtId="3" fontId="8" fillId="3" borderId="0" xfId="0" applyNumberFormat="1" applyFont="1" applyFill="1" applyBorder="1" applyAlignment="1">
      <alignment horizontal="right"/>
    </xf>
    <xf numFmtId="171" fontId="0" fillId="0" borderId="2" xfId="0" applyNumberFormat="1" applyBorder="1" applyAlignment="1">
      <alignment horizontal="center" vertical="center"/>
    </xf>
    <xf numFmtId="4" fontId="22" fillId="2" borderId="37" xfId="0" applyNumberFormat="1" applyFont="1" applyFill="1" applyBorder="1"/>
    <xf numFmtId="1" fontId="78" fillId="3" borderId="0" xfId="0" applyNumberFormat="1" applyFont="1" applyFill="1" applyBorder="1" applyAlignment="1">
      <alignment horizontal="left"/>
    </xf>
    <xf numFmtId="1" fontId="78" fillId="3" borderId="0" xfId="0" applyNumberFormat="1" applyFont="1" applyFill="1" applyBorder="1" applyAlignment="1">
      <alignment horizontal="center"/>
    </xf>
    <xf numFmtId="168" fontId="78" fillId="3" borderId="0" xfId="0" applyNumberFormat="1" applyFont="1" applyFill="1" applyBorder="1" applyAlignment="1">
      <alignment horizontal="center"/>
    </xf>
    <xf numFmtId="0" fontId="78" fillId="3" borderId="0" xfId="0" applyFont="1" applyFill="1" applyBorder="1"/>
    <xf numFmtId="0" fontId="79" fillId="0" borderId="0" xfId="0" applyFont="1"/>
    <xf numFmtId="0" fontId="39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wrapText="1"/>
    </xf>
    <xf numFmtId="0" fontId="29" fillId="0" borderId="0" xfId="0" applyFont="1" applyAlignment="1">
      <alignment horizontal="right"/>
    </xf>
    <xf numFmtId="171" fontId="0" fillId="0" borderId="9" xfId="0" applyNumberFormat="1" applyBorder="1" applyAlignment="1">
      <alignment horizontal="center"/>
    </xf>
    <xf numFmtId="3" fontId="22" fillId="0" borderId="2" xfId="0" applyNumberFormat="1" applyFont="1" applyBorder="1" applyAlignment="1">
      <alignment horizontal="right" vertical="center"/>
    </xf>
    <xf numFmtId="3" fontId="22" fillId="0" borderId="15" xfId="0" applyNumberFormat="1" applyFont="1" applyBorder="1" applyAlignment="1">
      <alignment horizontal="right" vertical="center"/>
    </xf>
    <xf numFmtId="3" fontId="22" fillId="0" borderId="9" xfId="0" applyNumberFormat="1" applyFont="1" applyBorder="1" applyAlignment="1">
      <alignment horizontal="right"/>
    </xf>
    <xf numFmtId="3" fontId="22" fillId="0" borderId="46" xfId="0" applyNumberFormat="1" applyFont="1" applyBorder="1" applyAlignment="1">
      <alignment horizontal="right"/>
    </xf>
    <xf numFmtId="166" fontId="22" fillId="0" borderId="21" xfId="0" applyNumberFormat="1" applyFont="1" applyBorder="1" applyAlignment="1">
      <alignment horizontal="right" vertical="center"/>
    </xf>
    <xf numFmtId="166" fontId="22" fillId="0" borderId="42" xfId="0" applyNumberFormat="1" applyFont="1" applyBorder="1" applyAlignment="1">
      <alignment horizontal="right" vertical="center"/>
    </xf>
    <xf numFmtId="0" fontId="39" fillId="2" borderId="1" xfId="0" applyFont="1" applyFill="1" applyBorder="1" applyAlignment="1">
      <alignment horizontal="left"/>
    </xf>
    <xf numFmtId="0" fontId="0" fillId="2" borderId="1" xfId="0" applyFill="1" applyBorder="1" applyAlignment="1"/>
    <xf numFmtId="0" fontId="0" fillId="0" borderId="0" xfId="0" applyFill="1" applyAlignment="1">
      <alignment horizontal="center"/>
    </xf>
    <xf numFmtId="3" fontId="22" fillId="0" borderId="9" xfId="0" applyNumberFormat="1" applyFont="1" applyFill="1" applyBorder="1" applyAlignment="1">
      <alignment horizontal="right" vertical="center" wrapText="1"/>
    </xf>
    <xf numFmtId="3" fontId="22" fillId="0" borderId="2" xfId="0" applyNumberFormat="1" applyFont="1" applyFill="1" applyBorder="1" applyAlignment="1">
      <alignment horizontal="right" vertical="center" wrapText="1"/>
    </xf>
    <xf numFmtId="3" fontId="22" fillId="0" borderId="9" xfId="0" applyNumberFormat="1" applyFont="1" applyFill="1" applyBorder="1" applyAlignment="1">
      <alignment horizontal="right" vertical="center"/>
    </xf>
    <xf numFmtId="3" fontId="22" fillId="0" borderId="2" xfId="0" applyNumberFormat="1" applyFont="1" applyFill="1" applyBorder="1" applyAlignment="1">
      <alignment horizontal="right" vertical="center"/>
    </xf>
    <xf numFmtId="0" fontId="0" fillId="0" borderId="0" xfId="0" applyFill="1" applyAlignment="1"/>
    <xf numFmtId="0" fontId="39" fillId="0" borderId="0" xfId="0" applyFont="1" applyFill="1" applyAlignment="1"/>
    <xf numFmtId="0" fontId="0" fillId="0" borderId="0" xfId="0" applyFill="1" applyAlignment="1">
      <alignment vertical="center"/>
    </xf>
    <xf numFmtId="0" fontId="0" fillId="0" borderId="6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71" fontId="0" fillId="0" borderId="2" xfId="0" applyNumberFormat="1" applyFill="1" applyBorder="1" applyAlignment="1">
      <alignment horizontal="center" vertical="center"/>
    </xf>
    <xf numFmtId="0" fontId="22" fillId="0" borderId="2" xfId="0" applyFont="1" applyFill="1" applyBorder="1" applyAlignment="1">
      <alignment vertical="center" wrapText="1"/>
    </xf>
    <xf numFmtId="3" fontId="0" fillId="0" borderId="0" xfId="0" applyNumberFormat="1" applyFill="1" applyAlignment="1">
      <alignment horizontal="right"/>
    </xf>
    <xf numFmtId="3" fontId="39" fillId="0" borderId="0" xfId="0" applyNumberFormat="1" applyFont="1" applyFill="1" applyAlignment="1">
      <alignment horizontal="right"/>
    </xf>
    <xf numFmtId="3" fontId="22" fillId="0" borderId="0" xfId="0" applyNumberFormat="1" applyFont="1" applyFill="1" applyAlignment="1">
      <alignment horizontal="right" vertical="center"/>
    </xf>
    <xf numFmtId="166" fontId="22" fillId="0" borderId="21" xfId="0" applyNumberFormat="1" applyFont="1" applyBorder="1" applyAlignment="1">
      <alignment horizontal="right"/>
    </xf>
    <xf numFmtId="167" fontId="14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164" fontId="24" fillId="0" borderId="2" xfId="0" applyNumberFormat="1" applyFont="1" applyFill="1" applyBorder="1" applyAlignment="1">
      <alignment horizontal="right" vertical="center" wrapText="1"/>
    </xf>
    <xf numFmtId="0" fontId="4" fillId="0" borderId="6" xfId="0" applyFont="1" applyFill="1" applyBorder="1"/>
    <xf numFmtId="0" fontId="37" fillId="0" borderId="0" xfId="0" applyFont="1" applyFill="1"/>
    <xf numFmtId="0" fontId="22" fillId="0" borderId="12" xfId="0" applyFont="1" applyFill="1" applyBorder="1"/>
    <xf numFmtId="0" fontId="4" fillId="0" borderId="12" xfId="0" applyFont="1" applyFill="1" applyBorder="1"/>
    <xf numFmtId="3" fontId="0" fillId="0" borderId="0" xfId="0" applyNumberFormat="1" applyFill="1"/>
    <xf numFmtId="166" fontId="22" fillId="0" borderId="42" xfId="0" applyNumberFormat="1" applyFont="1" applyFill="1" applyBorder="1" applyAlignment="1">
      <alignment horizontal="right" vertical="center"/>
    </xf>
    <xf numFmtId="166" fontId="22" fillId="0" borderId="21" xfId="0" applyNumberFormat="1" applyFont="1" applyFill="1" applyBorder="1" applyAlignment="1">
      <alignment horizontal="right" vertical="center"/>
    </xf>
    <xf numFmtId="0" fontId="13" fillId="0" borderId="0" xfId="0" applyFont="1" applyFill="1"/>
    <xf numFmtId="3" fontId="12" fillId="0" borderId="34" xfId="0" applyNumberFormat="1" applyFont="1" applyFill="1" applyBorder="1" applyAlignment="1">
      <alignment horizontal="right"/>
    </xf>
    <xf numFmtId="3" fontId="12" fillId="0" borderId="14" xfId="0" applyNumberFormat="1" applyFont="1" applyFill="1" applyBorder="1" applyAlignment="1">
      <alignment horizontal="right"/>
    </xf>
    <xf numFmtId="3" fontId="14" fillId="0" borderId="14" xfId="0" applyNumberFormat="1" applyFont="1" applyFill="1" applyBorder="1" applyAlignment="1">
      <alignment horizontal="right"/>
    </xf>
    <xf numFmtId="3" fontId="9" fillId="0" borderId="34" xfId="0" applyNumberFormat="1" applyFont="1" applyFill="1" applyBorder="1" applyAlignment="1">
      <alignment horizontal="right"/>
    </xf>
    <xf numFmtId="3" fontId="12" fillId="0" borderId="17" xfId="0" applyNumberFormat="1" applyFont="1" applyFill="1" applyBorder="1" applyAlignment="1">
      <alignment horizontal="right"/>
    </xf>
    <xf numFmtId="3" fontId="9" fillId="0" borderId="2" xfId="0" applyNumberFormat="1" applyFont="1" applyFill="1" applyBorder="1" applyAlignment="1">
      <alignment horizontal="right"/>
    </xf>
    <xf numFmtId="3" fontId="14" fillId="0" borderId="2" xfId="0" applyNumberFormat="1" applyFont="1" applyFill="1" applyBorder="1" applyAlignment="1">
      <alignment horizontal="right" vertical="top"/>
    </xf>
    <xf numFmtId="3" fontId="15" fillId="0" borderId="0" xfId="0" applyNumberFormat="1" applyFont="1" applyFill="1" applyBorder="1" applyAlignment="1">
      <alignment horizontal="right"/>
    </xf>
    <xf numFmtId="3" fontId="14" fillId="0" borderId="27" xfId="0" applyNumberFormat="1" applyFont="1" applyFill="1" applyBorder="1" applyAlignment="1">
      <alignment horizontal="right"/>
    </xf>
    <xf numFmtId="3" fontId="9" fillId="0" borderId="9" xfId="0" applyNumberFormat="1" applyFont="1" applyFill="1" applyBorder="1" applyAlignment="1">
      <alignment horizontal="right"/>
    </xf>
    <xf numFmtId="3" fontId="15" fillId="0" borderId="2" xfId="0" applyNumberFormat="1" applyFont="1" applyFill="1" applyBorder="1" applyAlignment="1">
      <alignment horizontal="right"/>
    </xf>
    <xf numFmtId="3" fontId="12" fillId="0" borderId="14" xfId="0" applyNumberFormat="1" applyFont="1" applyFill="1" applyBorder="1"/>
    <xf numFmtId="4" fontId="0" fillId="0" borderId="0" xfId="0" applyNumberFormat="1" applyFill="1"/>
    <xf numFmtId="0" fontId="12" fillId="0" borderId="2" xfId="0" applyFont="1" applyFill="1" applyBorder="1" applyAlignment="1"/>
    <xf numFmtId="1" fontId="12" fillId="0" borderId="2" xfId="0" applyNumberFormat="1" applyFont="1" applyFill="1" applyBorder="1" applyAlignment="1">
      <alignment horizontal="left"/>
    </xf>
    <xf numFmtId="1" fontId="12" fillId="0" borderId="14" xfId="0" applyNumberFormat="1" applyFont="1" applyFill="1" applyBorder="1" applyAlignment="1">
      <alignment horizontal="left"/>
    </xf>
    <xf numFmtId="0" fontId="12" fillId="0" borderId="0" xfId="0" applyFont="1" applyFill="1" applyBorder="1"/>
    <xf numFmtId="0" fontId="12" fillId="0" borderId="2" xfId="0" applyFont="1" applyFill="1" applyBorder="1"/>
    <xf numFmtId="0" fontId="12" fillId="0" borderId="17" xfId="0" applyFont="1" applyFill="1" applyBorder="1"/>
    <xf numFmtId="3" fontId="24" fillId="0" borderId="0" xfId="0" applyNumberFormat="1" applyFont="1" applyFill="1" applyBorder="1"/>
    <xf numFmtId="1" fontId="8" fillId="0" borderId="1" xfId="0" applyNumberFormat="1" applyFont="1" applyFill="1" applyBorder="1" applyAlignment="1">
      <alignment horizontal="left"/>
    </xf>
    <xf numFmtId="0" fontId="19" fillId="0" borderId="1" xfId="0" applyFont="1" applyFill="1" applyBorder="1" applyAlignment="1">
      <alignment horizontal="center"/>
    </xf>
    <xf numFmtId="168" fontId="21" fillId="0" borderId="1" xfId="0" applyNumberFormat="1" applyFont="1" applyFill="1" applyBorder="1" applyAlignment="1">
      <alignment horizontal="center"/>
    </xf>
    <xf numFmtId="3" fontId="4" fillId="0" borderId="1" xfId="0" applyNumberFormat="1" applyFont="1" applyFill="1" applyBorder="1"/>
    <xf numFmtId="3" fontId="8" fillId="0" borderId="1" xfId="0" applyNumberFormat="1" applyFont="1" applyFill="1" applyBorder="1"/>
    <xf numFmtId="3" fontId="4" fillId="0" borderId="1" xfId="0" applyNumberFormat="1" applyFont="1" applyFill="1" applyBorder="1" applyAlignment="1">
      <alignment horizontal="right"/>
    </xf>
    <xf numFmtId="0" fontId="39" fillId="0" borderId="1" xfId="0" applyFont="1" applyFill="1" applyBorder="1" applyAlignment="1">
      <alignment horizontal="left"/>
    </xf>
    <xf numFmtId="0" fontId="0" fillId="0" borderId="1" xfId="0" applyFill="1" applyBorder="1" applyAlignment="1"/>
    <xf numFmtId="0" fontId="39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3" fontId="0" fillId="0" borderId="1" xfId="0" applyNumberFormat="1" applyFill="1" applyBorder="1" applyAlignment="1">
      <alignment horizontal="right"/>
    </xf>
    <xf numFmtId="0" fontId="39" fillId="0" borderId="1" xfId="0" applyFont="1" applyFill="1" applyBorder="1" applyAlignment="1"/>
    <xf numFmtId="0" fontId="21" fillId="0" borderId="1" xfId="0" applyFont="1" applyFill="1" applyBorder="1"/>
    <xf numFmtId="3" fontId="39" fillId="0" borderId="1" xfId="0" applyNumberFormat="1" applyFont="1" applyFill="1" applyBorder="1"/>
    <xf numFmtId="3" fontId="21" fillId="0" borderId="1" xfId="0" applyNumberFormat="1" applyFont="1" applyFill="1" applyBorder="1" applyAlignment="1">
      <alignment horizontal="center"/>
    </xf>
    <xf numFmtId="0" fontId="10" fillId="0" borderId="1" xfId="0" applyFont="1" applyFill="1" applyBorder="1"/>
    <xf numFmtId="3" fontId="36" fillId="0" borderId="1" xfId="0" applyNumberFormat="1" applyFont="1" applyFill="1" applyBorder="1"/>
    <xf numFmtId="3" fontId="36" fillId="0" borderId="0" xfId="0" applyNumberFormat="1" applyFont="1" applyFill="1"/>
    <xf numFmtId="3" fontId="29" fillId="0" borderId="1" xfId="0" applyNumberFormat="1" applyFont="1" applyFill="1" applyBorder="1"/>
    <xf numFmtId="3" fontId="29" fillId="0" borderId="0" xfId="0" applyNumberFormat="1" applyFont="1" applyFill="1"/>
    <xf numFmtId="1" fontId="39" fillId="0" borderId="1" xfId="0" applyNumberFormat="1" applyFont="1" applyFill="1" applyBorder="1"/>
    <xf numFmtId="1" fontId="59" fillId="0" borderId="1" xfId="0" applyNumberFormat="1" applyFont="1" applyFill="1" applyBorder="1"/>
    <xf numFmtId="0" fontId="59" fillId="0" borderId="1" xfId="0" applyFont="1" applyFill="1" applyBorder="1"/>
    <xf numFmtId="3" fontId="59" fillId="0" borderId="1" xfId="0" applyNumberFormat="1" applyFont="1" applyFill="1" applyBorder="1"/>
    <xf numFmtId="0" fontId="59" fillId="0" borderId="1" xfId="0" applyFont="1" applyFill="1" applyBorder="1" applyAlignment="1">
      <alignment horizontal="left"/>
    </xf>
    <xf numFmtId="0" fontId="21" fillId="0" borderId="1" xfId="0" applyFont="1" applyFill="1" applyBorder="1" applyAlignment="1">
      <alignment horizontal="center"/>
    </xf>
    <xf numFmtId="0" fontId="51" fillId="0" borderId="0" xfId="0" applyFont="1" applyFill="1"/>
    <xf numFmtId="0" fontId="36" fillId="0" borderId="0" xfId="0" applyFont="1" applyFill="1"/>
    <xf numFmtId="164" fontId="0" fillId="0" borderId="0" xfId="0" applyNumberFormat="1" applyFill="1" applyAlignment="1">
      <alignment horizontal="center"/>
    </xf>
    <xf numFmtId="3" fontId="35" fillId="0" borderId="5" xfId="0" applyNumberFormat="1" applyFont="1" applyFill="1" applyBorder="1" applyAlignment="1">
      <alignment horizontal="center" vertical="center" wrapText="1"/>
    </xf>
    <xf numFmtId="3" fontId="4" fillId="0" borderId="5" xfId="0" applyNumberFormat="1" applyFont="1" applyFill="1" applyBorder="1" applyAlignment="1">
      <alignment horizontal="center" vertical="center" wrapText="1"/>
    </xf>
    <xf numFmtId="3" fontId="4" fillId="0" borderId="24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3" fontId="35" fillId="0" borderId="23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170" fontId="36" fillId="0" borderId="26" xfId="0" applyNumberFormat="1" applyFont="1" applyFill="1" applyBorder="1" applyAlignment="1">
      <alignment vertical="top" wrapText="1"/>
    </xf>
    <xf numFmtId="0" fontId="24" fillId="0" borderId="18" xfId="0" applyFont="1" applyFill="1" applyBorder="1" applyAlignment="1">
      <alignment vertical="center" wrapText="1"/>
    </xf>
    <xf numFmtId="166" fontId="24" fillId="0" borderId="23" xfId="0" applyNumberFormat="1" applyFont="1" applyFill="1" applyBorder="1" applyAlignment="1">
      <alignment vertical="center" wrapText="1"/>
    </xf>
    <xf numFmtId="0" fontId="22" fillId="0" borderId="0" xfId="0" applyFont="1" applyFill="1" applyAlignment="1">
      <alignment vertical="center" wrapText="1"/>
    </xf>
    <xf numFmtId="0" fontId="24" fillId="0" borderId="17" xfId="0" applyFont="1" applyFill="1" applyBorder="1"/>
    <xf numFmtId="166" fontId="24" fillId="0" borderId="25" xfId="0" applyNumberFormat="1" applyFont="1" applyFill="1" applyBorder="1"/>
    <xf numFmtId="166" fontId="24" fillId="0" borderId="25" xfId="0" applyNumberFormat="1" applyFont="1" applyFill="1" applyBorder="1" applyAlignment="1">
      <alignment vertical="center" wrapText="1"/>
    </xf>
    <xf numFmtId="164" fontId="51" fillId="0" borderId="45" xfId="0" applyNumberFormat="1" applyFont="1" applyFill="1" applyBorder="1" applyAlignment="1"/>
    <xf numFmtId="166" fontId="51" fillId="0" borderId="44" xfId="0" applyNumberFormat="1" applyFont="1" applyFill="1" applyBorder="1"/>
    <xf numFmtId="3" fontId="18" fillId="0" borderId="45" xfId="0" applyNumberFormat="1" applyFont="1" applyFill="1" applyBorder="1"/>
    <xf numFmtId="166" fontId="18" fillId="0" borderId="36" xfId="0" applyNumberFormat="1" applyFont="1" applyFill="1" applyBorder="1"/>
    <xf numFmtId="0" fontId="24" fillId="0" borderId="0" xfId="0" applyFont="1" applyFill="1"/>
    <xf numFmtId="3" fontId="24" fillId="0" borderId="0" xfId="0" applyNumberFormat="1" applyFont="1" applyFill="1"/>
    <xf numFmtId="3" fontId="76" fillId="0" borderId="0" xfId="0" applyNumberFormat="1" applyFont="1" applyFill="1" applyBorder="1" applyAlignment="1">
      <alignment horizontal="right"/>
    </xf>
    <xf numFmtId="3" fontId="76" fillId="0" borderId="0" xfId="0" applyNumberFormat="1" applyFont="1" applyFill="1" applyBorder="1"/>
    <xf numFmtId="166" fontId="36" fillId="0" borderId="0" xfId="0" applyNumberFormat="1" applyFont="1" applyFill="1" applyBorder="1"/>
    <xf numFmtId="3" fontId="75" fillId="0" borderId="0" xfId="0" applyNumberFormat="1" applyFont="1" applyFill="1" applyBorder="1"/>
    <xf numFmtId="3" fontId="35" fillId="0" borderId="24" xfId="0" applyNumberFormat="1" applyFont="1" applyFill="1" applyBorder="1" applyAlignment="1">
      <alignment horizontal="center" vertical="center"/>
    </xf>
    <xf numFmtId="168" fontId="36" fillId="0" borderId="0" xfId="0" applyNumberFormat="1" applyFont="1" applyFill="1"/>
    <xf numFmtId="0" fontId="29" fillId="0" borderId="0" xfId="0" applyFont="1" applyFill="1"/>
    <xf numFmtId="0" fontId="22" fillId="0" borderId="0" xfId="0" applyFont="1" applyFill="1" applyAlignment="1">
      <alignment horizontal="left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vertical="center"/>
    </xf>
    <xf numFmtId="4" fontId="28" fillId="0" borderId="5" xfId="0" applyNumberFormat="1" applyFont="1" applyFill="1" applyBorder="1" applyAlignment="1">
      <alignment horizontal="center" vertical="center" wrapText="1"/>
    </xf>
    <xf numFmtId="4" fontId="28" fillId="0" borderId="37" xfId="0" applyNumberFormat="1" applyFont="1" applyFill="1" applyBorder="1" applyAlignment="1">
      <alignment horizontal="center" vertical="center" wrapText="1"/>
    </xf>
    <xf numFmtId="3" fontId="0" fillId="0" borderId="24" xfId="0" applyNumberFormat="1" applyFill="1" applyBorder="1" applyAlignment="1">
      <alignment horizontal="center" vertical="center"/>
    </xf>
    <xf numFmtId="1" fontId="35" fillId="0" borderId="5" xfId="0" applyNumberFormat="1" applyFont="1" applyFill="1" applyBorder="1" applyAlignment="1">
      <alignment horizontal="center" vertical="center" wrapText="1"/>
    </xf>
    <xf numFmtId="1" fontId="35" fillId="0" borderId="37" xfId="0" applyNumberFormat="1" applyFont="1" applyFill="1" applyBorder="1" applyAlignment="1">
      <alignment horizontal="center" vertical="center" wrapText="1"/>
    </xf>
    <xf numFmtId="166" fontId="35" fillId="0" borderId="24" xfId="0" applyNumberFormat="1" applyFont="1" applyFill="1" applyBorder="1" applyAlignment="1">
      <alignment horizontal="center" vertical="center"/>
    </xf>
    <xf numFmtId="1" fontId="13" fillId="0" borderId="2" xfId="0" applyNumberFormat="1" applyFont="1" applyFill="1" applyBorder="1" applyAlignment="1">
      <alignment horizontal="left"/>
    </xf>
    <xf numFmtId="168" fontId="27" fillId="0" borderId="2" xfId="0" applyNumberFormat="1" applyFont="1" applyFill="1" applyBorder="1" applyAlignment="1">
      <alignment horizontal="left"/>
    </xf>
    <xf numFmtId="167" fontId="14" fillId="0" borderId="25" xfId="0" applyNumberFormat="1" applyFont="1" applyFill="1" applyBorder="1" applyAlignment="1">
      <alignment horizontal="right"/>
    </xf>
    <xf numFmtId="49" fontId="10" fillId="0" borderId="2" xfId="0" applyNumberFormat="1" applyFont="1" applyFill="1" applyBorder="1" applyAlignment="1">
      <alignment horizontal="left"/>
    </xf>
    <xf numFmtId="167" fontId="12" fillId="0" borderId="25" xfId="0" applyNumberFormat="1" applyFont="1" applyFill="1" applyBorder="1" applyAlignment="1">
      <alignment horizontal="right"/>
    </xf>
    <xf numFmtId="0" fontId="66" fillId="0" borderId="0" xfId="0" applyFont="1" applyFill="1"/>
    <xf numFmtId="0" fontId="0" fillId="0" borderId="0" xfId="0" applyFill="1" applyAlignment="1">
      <alignment horizontal="right"/>
    </xf>
    <xf numFmtId="0" fontId="22" fillId="0" borderId="10" xfId="0" applyFont="1" applyFill="1" applyBorder="1" applyAlignment="1">
      <alignment horizontal="left"/>
    </xf>
    <xf numFmtId="0" fontId="36" fillId="0" borderId="0" xfId="0" applyFont="1" applyFill="1" applyAlignment="1">
      <alignment horizontal="left"/>
    </xf>
    <xf numFmtId="4" fontId="51" fillId="0" borderId="0" xfId="0" applyNumberFormat="1" applyFont="1" applyFill="1"/>
    <xf numFmtId="0" fontId="35" fillId="0" borderId="4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left"/>
    </xf>
    <xf numFmtId="3" fontId="22" fillId="0" borderId="5" xfId="0" applyNumberFormat="1" applyFont="1" applyFill="1" applyBorder="1" applyAlignment="1">
      <alignment horizontal="right"/>
    </xf>
    <xf numFmtId="0" fontId="39" fillId="0" borderId="0" xfId="0" applyFont="1" applyFill="1" applyAlignment="1">
      <alignment horizontal="right"/>
    </xf>
    <xf numFmtId="0" fontId="51" fillId="0" borderId="0" xfId="0" applyFont="1" applyFill="1" applyAlignment="1"/>
    <xf numFmtId="4" fontId="0" fillId="0" borderId="0" xfId="0" applyNumberFormat="1" applyFill="1" applyAlignment="1">
      <alignment horizontal="right"/>
    </xf>
    <xf numFmtId="166" fontId="22" fillId="0" borderId="24" xfId="0" applyNumberFormat="1" applyFont="1" applyFill="1" applyBorder="1" applyAlignment="1">
      <alignment horizontal="center" vertical="center"/>
    </xf>
    <xf numFmtId="3" fontId="22" fillId="0" borderId="5" xfId="0" applyNumberFormat="1" applyFont="1" applyFill="1" applyBorder="1"/>
    <xf numFmtId="166" fontId="22" fillId="0" borderId="42" xfId="0" applyNumberFormat="1" applyFont="1" applyFill="1" applyBorder="1" applyAlignment="1">
      <alignment horizontal="center" vertical="center"/>
    </xf>
    <xf numFmtId="4" fontId="22" fillId="0" borderId="0" xfId="0" applyNumberFormat="1" applyFont="1" applyFill="1"/>
    <xf numFmtId="1" fontId="78" fillId="0" borderId="0" xfId="0" applyNumberFormat="1" applyFont="1" applyFill="1" applyBorder="1" applyAlignment="1">
      <alignment horizontal="left"/>
    </xf>
    <xf numFmtId="1" fontId="78" fillId="0" borderId="0" xfId="0" applyNumberFormat="1" applyFont="1" applyFill="1" applyBorder="1" applyAlignment="1">
      <alignment horizontal="center"/>
    </xf>
    <xf numFmtId="168" fontId="78" fillId="0" borderId="0" xfId="0" applyNumberFormat="1" applyFont="1" applyFill="1" applyBorder="1" applyAlignment="1">
      <alignment horizontal="center"/>
    </xf>
    <xf numFmtId="0" fontId="78" fillId="0" borderId="0" xfId="0" applyFont="1" applyFill="1" applyBorder="1"/>
    <xf numFmtId="3" fontId="51" fillId="0" borderId="0" xfId="0" applyNumberFormat="1" applyFont="1" applyFill="1"/>
    <xf numFmtId="167" fontId="14" fillId="0" borderId="0" xfId="0" applyNumberFormat="1" applyFont="1" applyFill="1" applyBorder="1" applyAlignment="1">
      <alignment horizontal="right"/>
    </xf>
    <xf numFmtId="1" fontId="54" fillId="0" borderId="0" xfId="0" applyNumberFormat="1" applyFont="1" applyFill="1" applyAlignment="1">
      <alignment horizontal="center"/>
    </xf>
    <xf numFmtId="168" fontId="54" fillId="0" borderId="0" xfId="0" applyNumberFormat="1" applyFont="1" applyFill="1" applyAlignment="1">
      <alignment horizontal="center"/>
    </xf>
    <xf numFmtId="0" fontId="54" fillId="0" borderId="0" xfId="0" applyFont="1" applyFill="1"/>
    <xf numFmtId="3" fontId="53" fillId="0" borderId="0" xfId="0" applyNumberFormat="1" applyFont="1" applyFill="1"/>
    <xf numFmtId="167" fontId="12" fillId="0" borderId="0" xfId="0" applyNumberFormat="1" applyFont="1" applyFill="1" applyBorder="1" applyAlignment="1">
      <alignment horizontal="right"/>
    </xf>
    <xf numFmtId="1" fontId="54" fillId="0" borderId="0" xfId="0" applyNumberFormat="1" applyFont="1" applyFill="1" applyAlignment="1">
      <alignment horizontal="left"/>
    </xf>
    <xf numFmtId="0" fontId="54" fillId="0" borderId="0" xfId="0" applyFont="1" applyFill="1" applyAlignment="1">
      <alignment horizontal="left"/>
    </xf>
    <xf numFmtId="3" fontId="53" fillId="0" borderId="0" xfId="0" applyNumberFormat="1" applyFont="1" applyFill="1" applyAlignment="1">
      <alignment horizontal="right"/>
    </xf>
    <xf numFmtId="3" fontId="31" fillId="0" borderId="10" xfId="0" applyNumberFormat="1" applyFont="1" applyFill="1" applyBorder="1"/>
    <xf numFmtId="167" fontId="31" fillId="0" borderId="10" xfId="0" applyNumberFormat="1" applyFont="1" applyFill="1" applyBorder="1" applyAlignment="1">
      <alignment horizontal="right" shrinkToFit="1"/>
    </xf>
    <xf numFmtId="0" fontId="22" fillId="0" borderId="39" xfId="0" applyFont="1" applyFill="1" applyBorder="1" applyAlignment="1">
      <alignment horizontal="left"/>
    </xf>
    <xf numFmtId="0" fontId="22" fillId="0" borderId="40" xfId="0" applyFont="1" applyFill="1" applyBorder="1" applyAlignment="1">
      <alignment horizontal="left"/>
    </xf>
    <xf numFmtId="3" fontId="22" fillId="0" borderId="45" xfId="0" applyNumberFormat="1" applyFont="1" applyFill="1" applyBorder="1" applyAlignment="1">
      <alignment horizontal="right"/>
    </xf>
    <xf numFmtId="3" fontId="22" fillId="0" borderId="15" xfId="0" applyNumberFormat="1" applyFont="1" applyFill="1" applyBorder="1" applyAlignment="1">
      <alignment vertical="center"/>
    </xf>
    <xf numFmtId="3" fontId="22" fillId="0" borderId="37" xfId="0" applyNumberFormat="1" applyFont="1" applyFill="1" applyBorder="1"/>
    <xf numFmtId="0" fontId="79" fillId="0" borderId="0" xfId="0" applyFont="1" applyFill="1"/>
    <xf numFmtId="0" fontId="4" fillId="0" borderId="0" xfId="0" applyFont="1" applyFill="1" applyAlignment="1">
      <alignment horizontal="right"/>
    </xf>
    <xf numFmtId="0" fontId="0" fillId="0" borderId="2" xfId="0" applyFill="1" applyBorder="1" applyAlignment="1">
      <alignment horizontal="right" vertical="center"/>
    </xf>
    <xf numFmtId="3" fontId="22" fillId="0" borderId="15" xfId="0" applyNumberFormat="1" applyFont="1" applyFill="1" applyBorder="1" applyAlignment="1">
      <alignment horizontal="right" vertical="center"/>
    </xf>
    <xf numFmtId="166" fontId="22" fillId="0" borderId="44" xfId="0" applyNumberFormat="1" applyFont="1" applyFill="1" applyBorder="1" applyAlignment="1">
      <alignment horizontal="right" vertical="center"/>
    </xf>
    <xf numFmtId="167" fontId="6" fillId="0" borderId="0" xfId="0" applyNumberFormat="1" applyFont="1" applyFill="1" applyBorder="1" applyAlignment="1">
      <alignment horizontal="right"/>
    </xf>
    <xf numFmtId="0" fontId="23" fillId="0" borderId="0" xfId="0" applyFont="1" applyFill="1" applyAlignment="1">
      <alignment horizontal="right"/>
    </xf>
    <xf numFmtId="167" fontId="67" fillId="0" borderId="10" xfId="0" applyNumberFormat="1" applyFont="1" applyFill="1" applyBorder="1" applyAlignment="1">
      <alignment horizontal="right" shrinkToFit="1"/>
    </xf>
    <xf numFmtId="0" fontId="64" fillId="0" borderId="0" xfId="0" applyFont="1" applyFill="1"/>
    <xf numFmtId="167" fontId="17" fillId="0" borderId="10" xfId="0" applyNumberFormat="1" applyFont="1" applyFill="1" applyBorder="1" applyAlignment="1">
      <alignment horizontal="right" shrinkToFit="1"/>
    </xf>
    <xf numFmtId="166" fontId="0" fillId="0" borderId="0" xfId="0" applyNumberFormat="1" applyFill="1" applyAlignment="1">
      <alignment horizontal="center"/>
    </xf>
    <xf numFmtId="166" fontId="39" fillId="0" borderId="0" xfId="0" applyNumberFormat="1" applyFont="1" applyFill="1" applyAlignment="1">
      <alignment horizontal="right"/>
    </xf>
    <xf numFmtId="166" fontId="39" fillId="0" borderId="0" xfId="0" applyNumberFormat="1" applyFont="1" applyFill="1" applyAlignment="1">
      <alignment horizontal="center"/>
    </xf>
    <xf numFmtId="166" fontId="23" fillId="0" borderId="0" xfId="0" applyNumberFormat="1" applyFont="1" applyFill="1" applyAlignment="1">
      <alignment horizontal="center"/>
    </xf>
    <xf numFmtId="166" fontId="0" fillId="0" borderId="24" xfId="0" applyNumberForma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3" fontId="22" fillId="0" borderId="0" xfId="0" applyNumberFormat="1" applyFont="1" applyFill="1" applyAlignment="1">
      <alignment horizontal="right"/>
    </xf>
    <xf numFmtId="3" fontId="4" fillId="0" borderId="0" xfId="0" applyNumberFormat="1" applyFont="1" applyFill="1" applyAlignment="1">
      <alignment horizontal="right"/>
    </xf>
    <xf numFmtId="3" fontId="28" fillId="0" borderId="5" xfId="0" applyNumberFormat="1" applyFont="1" applyFill="1" applyBorder="1" applyAlignment="1">
      <alignment horizontal="center" vertical="center" wrapText="1"/>
    </xf>
    <xf numFmtId="3" fontId="28" fillId="0" borderId="37" xfId="0" applyNumberFormat="1" applyFont="1" applyFill="1" applyBorder="1" applyAlignment="1">
      <alignment horizontal="center" vertical="center" wrapText="1"/>
    </xf>
    <xf numFmtId="3" fontId="35" fillId="0" borderId="37" xfId="0" applyNumberFormat="1" applyFont="1" applyFill="1" applyBorder="1" applyAlignment="1">
      <alignment horizontal="center" vertical="center" wrapText="1"/>
    </xf>
    <xf numFmtId="0" fontId="39" fillId="0" borderId="19" xfId="0" applyFont="1" applyFill="1" applyBorder="1" applyAlignment="1"/>
    <xf numFmtId="0" fontId="0" fillId="0" borderId="19" xfId="0" applyFill="1" applyBorder="1" applyAlignment="1"/>
    <xf numFmtId="3" fontId="22" fillId="0" borderId="37" xfId="0" applyNumberFormat="1" applyFont="1" applyFill="1" applyBorder="1" applyAlignment="1">
      <alignment horizontal="right"/>
    </xf>
    <xf numFmtId="167" fontId="18" fillId="0" borderId="0" xfId="0" applyNumberFormat="1" applyFont="1" applyFill="1" applyBorder="1" applyAlignment="1">
      <alignment horizontal="right"/>
    </xf>
    <xf numFmtId="166" fontId="22" fillId="0" borderId="24" xfId="0" applyNumberFormat="1" applyFont="1" applyFill="1" applyBorder="1" applyAlignment="1">
      <alignment horizontal="right" vertical="center"/>
    </xf>
    <xf numFmtId="3" fontId="19" fillId="0" borderId="0" xfId="0" applyNumberFormat="1" applyFont="1" applyFill="1" applyAlignment="1">
      <alignment horizontal="right"/>
    </xf>
    <xf numFmtId="1" fontId="5" fillId="0" borderId="0" xfId="0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left"/>
    </xf>
    <xf numFmtId="0" fontId="7" fillId="0" borderId="4" xfId="0" applyFont="1" applyFill="1" applyBorder="1" applyAlignment="1">
      <alignment horizontal="center" vertical="center"/>
    </xf>
    <xf numFmtId="1" fontId="7" fillId="0" borderId="5" xfId="0" applyNumberFormat="1" applyFont="1" applyFill="1" applyBorder="1" applyAlignment="1">
      <alignment horizontal="center" vertical="center"/>
    </xf>
    <xf numFmtId="3" fontId="10" fillId="0" borderId="5" xfId="0" applyNumberFormat="1" applyFont="1" applyFill="1" applyBorder="1" applyAlignment="1">
      <alignment horizontal="center" vertical="center"/>
    </xf>
    <xf numFmtId="3" fontId="7" fillId="0" borderId="5" xfId="0" applyNumberFormat="1" applyFont="1" applyFill="1" applyBorder="1" applyAlignment="1">
      <alignment horizontal="center" vertical="center"/>
    </xf>
    <xf numFmtId="167" fontId="7" fillId="0" borderId="24" xfId="0" applyNumberFormat="1" applyFont="1" applyFill="1" applyBorder="1" applyAlignment="1">
      <alignment horizontal="center" vertical="center"/>
    </xf>
    <xf numFmtId="1" fontId="35" fillId="0" borderId="24" xfId="0" applyNumberFormat="1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left"/>
    </xf>
    <xf numFmtId="0" fontId="6" fillId="0" borderId="7" xfId="0" applyFont="1" applyFill="1" applyBorder="1"/>
    <xf numFmtId="3" fontId="21" fillId="0" borderId="8" xfId="0" applyNumberFormat="1" applyFont="1" applyFill="1" applyBorder="1" applyAlignment="1">
      <alignment horizontal="center"/>
    </xf>
    <xf numFmtId="0" fontId="6" fillId="0" borderId="8" xfId="0" applyFont="1" applyFill="1" applyBorder="1"/>
    <xf numFmtId="3" fontId="8" fillId="0" borderId="5" xfId="0" applyNumberFormat="1" applyFont="1" applyFill="1" applyBorder="1"/>
    <xf numFmtId="167" fontId="8" fillId="0" borderId="22" xfId="0" applyNumberFormat="1" applyFont="1" applyFill="1" applyBorder="1"/>
    <xf numFmtId="1" fontId="5" fillId="0" borderId="0" xfId="0" applyNumberFormat="1" applyFont="1" applyFill="1" applyAlignment="1">
      <alignment horizontal="left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9" fillId="0" borderId="0" xfId="0" applyFont="1" applyFill="1"/>
    <xf numFmtId="167" fontId="9" fillId="0" borderId="0" xfId="0" applyNumberFormat="1" applyFont="1" applyFill="1"/>
    <xf numFmtId="0" fontId="31" fillId="0" borderId="10" xfId="0" applyFont="1" applyFill="1" applyBorder="1" applyAlignment="1">
      <alignment horizontal="left"/>
    </xf>
    <xf numFmtId="1" fontId="32" fillId="0" borderId="10" xfId="0" applyNumberFormat="1" applyFont="1" applyFill="1" applyBorder="1" applyAlignment="1">
      <alignment horizontal="center"/>
    </xf>
    <xf numFmtId="1" fontId="32" fillId="0" borderId="10" xfId="0" applyNumberFormat="1" applyFont="1" applyFill="1" applyBorder="1" applyAlignment="1">
      <alignment horizontal="left"/>
    </xf>
    <xf numFmtId="0" fontId="32" fillId="0" borderId="10" xfId="0" applyFont="1" applyFill="1" applyBorder="1"/>
    <xf numFmtId="1" fontId="5" fillId="0" borderId="27" xfId="0" applyNumberFormat="1" applyFont="1" applyFill="1" applyBorder="1" applyAlignment="1">
      <alignment horizontal="left"/>
    </xf>
    <xf numFmtId="167" fontId="8" fillId="0" borderId="22" xfId="0" applyNumberFormat="1" applyFont="1" applyFill="1" applyBorder="1" applyAlignment="1">
      <alignment shrinkToFit="1"/>
    </xf>
    <xf numFmtId="168" fontId="28" fillId="0" borderId="0" xfId="0" applyNumberFormat="1" applyFont="1" applyFill="1" applyAlignment="1">
      <alignment horizontal="center"/>
    </xf>
    <xf numFmtId="167" fontId="29" fillId="0" borderId="0" xfId="0" applyNumberFormat="1" applyFont="1" applyFill="1"/>
    <xf numFmtId="0" fontId="59" fillId="0" borderId="0" xfId="0" applyFont="1" applyFill="1"/>
    <xf numFmtId="168" fontId="36" fillId="0" borderId="0" xfId="0" applyNumberFormat="1" applyFont="1" applyFill="1" applyAlignment="1">
      <alignment horizontal="left"/>
    </xf>
    <xf numFmtId="3" fontId="59" fillId="0" borderId="0" xfId="0" applyNumberFormat="1" applyFont="1" applyFill="1"/>
    <xf numFmtId="167" fontId="59" fillId="0" borderId="0" xfId="0" applyNumberFormat="1" applyFont="1" applyFill="1"/>
    <xf numFmtId="168" fontId="7" fillId="0" borderId="5" xfId="0" applyNumberFormat="1" applyFont="1" applyFill="1" applyBorder="1" applyAlignment="1">
      <alignment horizontal="center" vertical="center"/>
    </xf>
    <xf numFmtId="0" fontId="9" fillId="0" borderId="17" xfId="0" applyFont="1" applyFill="1" applyBorder="1"/>
    <xf numFmtId="1" fontId="5" fillId="0" borderId="2" xfId="0" applyNumberFormat="1" applyFont="1" applyFill="1" applyBorder="1" applyAlignment="1">
      <alignment horizontal="left"/>
    </xf>
    <xf numFmtId="1" fontId="5" fillId="0" borderId="14" xfId="0" applyNumberFormat="1" applyFont="1" applyFill="1" applyBorder="1" applyAlignment="1">
      <alignment horizontal="left"/>
    </xf>
    <xf numFmtId="168" fontId="21" fillId="0" borderId="8" xfId="0" applyNumberFormat="1" applyFont="1" applyFill="1" applyBorder="1" applyAlignment="1">
      <alignment horizontal="center"/>
    </xf>
    <xf numFmtId="168" fontId="10" fillId="0" borderId="0" xfId="0" applyNumberFormat="1" applyFont="1" applyFill="1" applyAlignment="1">
      <alignment horizontal="center"/>
    </xf>
    <xf numFmtId="0" fontId="5" fillId="0" borderId="0" xfId="0" applyFont="1" applyFill="1" applyBorder="1"/>
    <xf numFmtId="3" fontId="9" fillId="0" borderId="0" xfId="0" applyNumberFormat="1" applyFont="1" applyFill="1"/>
    <xf numFmtId="3" fontId="15" fillId="0" borderId="0" xfId="0" applyNumberFormat="1" applyFont="1" applyFill="1"/>
    <xf numFmtId="3" fontId="25" fillId="0" borderId="0" xfId="0" applyNumberFormat="1" applyFont="1" applyFill="1"/>
    <xf numFmtId="166" fontId="9" fillId="0" borderId="0" xfId="0" applyNumberFormat="1" applyFont="1" applyFill="1"/>
    <xf numFmtId="0" fontId="7" fillId="0" borderId="38" xfId="0" applyFont="1" applyFill="1" applyBorder="1" applyAlignment="1">
      <alignment horizontal="center" vertical="center"/>
    </xf>
    <xf numFmtId="1" fontId="7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166" fontId="7" fillId="0" borderId="23" xfId="0" applyNumberFormat="1" applyFont="1" applyFill="1" applyBorder="1" applyAlignment="1">
      <alignment horizontal="center" vertical="center"/>
    </xf>
    <xf numFmtId="0" fontId="26" fillId="0" borderId="33" xfId="0" applyFont="1" applyFill="1" applyBorder="1" applyAlignment="1">
      <alignment horizontal="left"/>
    </xf>
    <xf numFmtId="0" fontId="6" fillId="0" borderId="34" xfId="0" applyFont="1" applyFill="1" applyBorder="1"/>
    <xf numFmtId="168" fontId="21" fillId="0" borderId="34" xfId="0" applyNumberFormat="1" applyFont="1" applyFill="1" applyBorder="1" applyAlignment="1">
      <alignment horizontal="center"/>
    </xf>
    <xf numFmtId="3" fontId="8" fillId="0" borderId="14" xfId="0" applyNumberFormat="1" applyFont="1" applyFill="1" applyBorder="1"/>
    <xf numFmtId="3" fontId="6" fillId="0" borderId="0" xfId="0" applyNumberFormat="1" applyFont="1" applyFill="1"/>
    <xf numFmtId="49" fontId="10" fillId="0" borderId="0" xfId="0" applyNumberFormat="1" applyFont="1" applyFill="1" applyAlignment="1">
      <alignment horizontal="left"/>
    </xf>
    <xf numFmtId="49" fontId="27" fillId="0" borderId="2" xfId="0" applyNumberFormat="1" applyFont="1" applyFill="1" applyBorder="1" applyAlignment="1">
      <alignment horizontal="left"/>
    </xf>
    <xf numFmtId="3" fontId="12" fillId="0" borderId="2" xfId="5" applyFont="1" applyFill="1" applyBorder="1" applyAlignment="1">
      <alignment horizontal="right"/>
    </xf>
    <xf numFmtId="3" fontId="15" fillId="0" borderId="2" xfId="5" applyFont="1" applyFill="1" applyBorder="1" applyAlignment="1">
      <alignment horizontal="right"/>
    </xf>
    <xf numFmtId="49" fontId="10" fillId="0" borderId="14" xfId="0" applyNumberFormat="1" applyFont="1" applyFill="1" applyBorder="1" applyAlignment="1">
      <alignment horizontal="left"/>
    </xf>
    <xf numFmtId="1" fontId="13" fillId="0" borderId="0" xfId="0" applyNumberFormat="1" applyFont="1" applyFill="1" applyAlignment="1">
      <alignment horizontal="left"/>
    </xf>
    <xf numFmtId="3" fontId="41" fillId="0" borderId="0" xfId="0" applyNumberFormat="1" applyFont="1" applyFill="1" applyBorder="1"/>
    <xf numFmtId="3" fontId="12" fillId="0" borderId="2" xfId="6" applyFont="1" applyFill="1" applyBorder="1" applyAlignment="1">
      <alignment wrapText="1"/>
    </xf>
    <xf numFmtId="3" fontId="12" fillId="0" borderId="0" xfId="6" applyFont="1" applyFill="1" applyAlignment="1">
      <alignment horizontal="right"/>
    </xf>
    <xf numFmtId="0" fontId="49" fillId="0" borderId="0" xfId="0" applyFont="1" applyFill="1"/>
    <xf numFmtId="167" fontId="31" fillId="0" borderId="10" xfId="0" applyNumberFormat="1" applyFont="1" applyFill="1" applyBorder="1" applyAlignment="1">
      <alignment shrinkToFit="1"/>
    </xf>
    <xf numFmtId="1" fontId="5" fillId="0" borderId="0" xfId="0" applyNumberFormat="1" applyFont="1" applyFill="1" applyBorder="1" applyAlignment="1">
      <alignment horizontal="left"/>
    </xf>
    <xf numFmtId="1" fontId="5" fillId="0" borderId="6" xfId="0" applyNumberFormat="1" applyFont="1" applyFill="1" applyBorder="1" applyAlignment="1">
      <alignment horizontal="left"/>
    </xf>
    <xf numFmtId="49" fontId="10" fillId="0" borderId="2" xfId="0" applyNumberFormat="1" applyFont="1" applyFill="1" applyBorder="1" applyAlignment="1">
      <alignment horizontal="left" vertical="top"/>
    </xf>
    <xf numFmtId="1" fontId="5" fillId="0" borderId="34" xfId="0" applyNumberFormat="1" applyFont="1" applyFill="1" applyBorder="1" applyAlignment="1">
      <alignment horizontal="left"/>
    </xf>
    <xf numFmtId="1" fontId="5" fillId="0" borderId="17" xfId="0" applyNumberFormat="1" applyFont="1" applyFill="1" applyBorder="1" applyAlignment="1">
      <alignment horizontal="left"/>
    </xf>
    <xf numFmtId="0" fontId="6" fillId="0" borderId="5" xfId="0" applyFont="1" applyFill="1" applyBorder="1"/>
    <xf numFmtId="3" fontId="13" fillId="0" borderId="17" xfId="5" applyFont="1" applyFill="1" applyBorder="1" applyAlignment="1">
      <alignment horizontal="left" vertical="center" wrapText="1"/>
    </xf>
    <xf numFmtId="3" fontId="13" fillId="0" borderId="0" xfId="5" applyFont="1" applyFill="1" applyAlignment="1"/>
    <xf numFmtId="167" fontId="24" fillId="0" borderId="0" xfId="0" applyNumberFormat="1" applyFont="1" applyFill="1"/>
    <xf numFmtId="167" fontId="53" fillId="0" borderId="0" xfId="0" applyNumberFormat="1" applyFont="1" applyFill="1"/>
    <xf numFmtId="3" fontId="12" fillId="0" borderId="0" xfId="0" applyNumberFormat="1" applyFont="1" applyFill="1"/>
    <xf numFmtId="0" fontId="7" fillId="0" borderId="5" xfId="0" applyFont="1" applyFill="1" applyBorder="1" applyAlignment="1">
      <alignment horizontal="center" vertical="center"/>
    </xf>
    <xf numFmtId="1" fontId="5" fillId="0" borderId="9" xfId="0" applyNumberFormat="1" applyFont="1" applyFill="1" applyBorder="1" applyAlignment="1">
      <alignment horizontal="left"/>
    </xf>
    <xf numFmtId="167" fontId="52" fillId="0" borderId="0" xfId="0" applyNumberFormat="1" applyFont="1" applyFill="1" applyBorder="1"/>
    <xf numFmtId="167" fontId="6" fillId="0" borderId="0" xfId="0" applyNumberFormat="1" applyFont="1" applyFill="1" applyBorder="1"/>
    <xf numFmtId="0" fontId="14" fillId="0" borderId="9" xfId="0" applyFont="1" applyFill="1" applyBorder="1"/>
    <xf numFmtId="49" fontId="10" fillId="0" borderId="0" xfId="0" applyNumberFormat="1" applyFont="1" applyFill="1" applyBorder="1" applyAlignment="1">
      <alignment horizontal="left"/>
    </xf>
    <xf numFmtId="0" fontId="9" fillId="0" borderId="2" xfId="0" applyFont="1" applyFill="1" applyBorder="1"/>
    <xf numFmtId="1" fontId="51" fillId="0" borderId="0" xfId="0" applyNumberFormat="1" applyFont="1" applyFill="1" applyAlignment="1">
      <alignment horizontal="left" vertical="top"/>
    </xf>
    <xf numFmtId="1" fontId="53" fillId="0" borderId="0" xfId="0" applyNumberFormat="1" applyFont="1" applyFill="1" applyAlignment="1">
      <alignment horizontal="center"/>
    </xf>
    <xf numFmtId="0" fontId="53" fillId="0" borderId="0" xfId="0" applyFont="1" applyFill="1"/>
    <xf numFmtId="166" fontId="36" fillId="0" borderId="0" xfId="0" applyNumberFormat="1" applyFont="1" applyFill="1"/>
    <xf numFmtId="3" fontId="21" fillId="0" borderId="0" xfId="0" applyNumberFormat="1" applyFont="1" applyFill="1" applyAlignment="1">
      <alignment horizontal="right"/>
    </xf>
    <xf numFmtId="3" fontId="28" fillId="0" borderId="0" xfId="0" applyNumberFormat="1" applyFont="1" applyFill="1"/>
    <xf numFmtId="3" fontId="10" fillId="0" borderId="0" xfId="0" applyNumberFormat="1" applyFont="1" applyFill="1" applyAlignment="1">
      <alignment horizontal="center"/>
    </xf>
    <xf numFmtId="3" fontId="36" fillId="0" borderId="0" xfId="0" applyNumberFormat="1" applyFont="1" applyFill="1" applyAlignment="1">
      <alignment horizontal="right"/>
    </xf>
    <xf numFmtId="166" fontId="28" fillId="0" borderId="0" xfId="0" applyNumberFormat="1" applyFont="1" applyFill="1"/>
    <xf numFmtId="166" fontId="7" fillId="0" borderId="24" xfId="0" applyNumberFormat="1" applyFont="1" applyFill="1" applyBorder="1" applyAlignment="1">
      <alignment horizontal="center" vertical="center"/>
    </xf>
    <xf numFmtId="3" fontId="10" fillId="0" borderId="2" xfId="0" applyNumberFormat="1" applyFont="1" applyFill="1" applyBorder="1" applyAlignment="1">
      <alignment horizontal="left"/>
    </xf>
    <xf numFmtId="3" fontId="9" fillId="0" borderId="2" xfId="0" applyNumberFormat="1" applyFont="1" applyFill="1" applyBorder="1"/>
    <xf numFmtId="166" fontId="9" fillId="0" borderId="21" xfId="0" applyNumberFormat="1" applyFont="1" applyFill="1" applyBorder="1"/>
    <xf numFmtId="3" fontId="12" fillId="0" borderId="15" xfId="0" applyNumberFormat="1" applyFont="1" applyFill="1" applyBorder="1"/>
    <xf numFmtId="166" fontId="15" fillId="0" borderId="21" xfId="0" applyNumberFormat="1" applyFont="1" applyFill="1" applyBorder="1"/>
    <xf numFmtId="3" fontId="9" fillId="0" borderId="5" xfId="0" applyNumberFormat="1" applyFont="1" applyFill="1" applyBorder="1"/>
    <xf numFmtId="166" fontId="9" fillId="0" borderId="24" xfId="0" applyNumberFormat="1" applyFont="1" applyFill="1" applyBorder="1"/>
    <xf numFmtId="166" fontId="9" fillId="0" borderId="23" xfId="0" applyNumberFormat="1" applyFont="1" applyFill="1" applyBorder="1"/>
    <xf numFmtId="3" fontId="15" fillId="0" borderId="2" xfId="0" applyNumberFormat="1" applyFont="1" applyFill="1" applyBorder="1"/>
    <xf numFmtId="166" fontId="15" fillId="0" borderId="25" xfId="0" applyNumberFormat="1" applyFont="1" applyFill="1" applyBorder="1"/>
    <xf numFmtId="3" fontId="27" fillId="0" borderId="2" xfId="0" applyNumberFormat="1" applyFont="1" applyFill="1" applyBorder="1" applyAlignment="1">
      <alignment horizontal="left"/>
    </xf>
    <xf numFmtId="1" fontId="5" fillId="0" borderId="3" xfId="0" applyNumberFormat="1" applyFont="1" applyFill="1" applyBorder="1" applyAlignment="1">
      <alignment horizontal="left"/>
    </xf>
    <xf numFmtId="3" fontId="15" fillId="0" borderId="3" xfId="0" applyNumberFormat="1" applyFont="1" applyFill="1" applyBorder="1"/>
    <xf numFmtId="166" fontId="15" fillId="0" borderId="49" xfId="0" applyNumberFormat="1" applyFont="1" applyFill="1" applyBorder="1"/>
    <xf numFmtId="3" fontId="15" fillId="0" borderId="17" xfId="0" applyNumberFormat="1" applyFont="1" applyFill="1" applyBorder="1"/>
    <xf numFmtId="3" fontId="9" fillId="0" borderId="17" xfId="0" applyNumberFormat="1" applyFont="1" applyFill="1" applyBorder="1"/>
    <xf numFmtId="166" fontId="9" fillId="0" borderId="25" xfId="0" applyNumberFormat="1" applyFont="1" applyFill="1" applyBorder="1"/>
    <xf numFmtId="3" fontId="12" fillId="0" borderId="17" xfId="0" applyNumberFormat="1" applyFont="1" applyFill="1" applyBorder="1"/>
    <xf numFmtId="166" fontId="14" fillId="0" borderId="25" xfId="0" applyNumberFormat="1" applyFont="1" applyFill="1" applyBorder="1"/>
    <xf numFmtId="3" fontId="10" fillId="0" borderId="9" xfId="0" applyNumberFormat="1" applyFont="1" applyFill="1" applyBorder="1" applyAlignment="1">
      <alignment horizontal="left"/>
    </xf>
    <xf numFmtId="1" fontId="5" fillId="0" borderId="15" xfId="0" applyNumberFormat="1" applyFont="1" applyFill="1" applyBorder="1" applyAlignment="1">
      <alignment horizontal="left"/>
    </xf>
    <xf numFmtId="3" fontId="15" fillId="0" borderId="0" xfId="0" applyNumberFormat="1" applyFont="1" applyFill="1" applyBorder="1"/>
    <xf numFmtId="3" fontId="27" fillId="0" borderId="17" xfId="0" applyNumberFormat="1" applyFont="1" applyFill="1" applyBorder="1" applyAlignment="1">
      <alignment horizontal="left"/>
    </xf>
    <xf numFmtId="0" fontId="15" fillId="0" borderId="15" xfId="0" applyFont="1" applyFill="1" applyBorder="1"/>
    <xf numFmtId="3" fontId="9" fillId="0" borderId="41" xfId="0" applyNumberFormat="1" applyFont="1" applyFill="1" applyBorder="1"/>
    <xf numFmtId="3" fontId="14" fillId="0" borderId="17" xfId="0" applyNumberFormat="1" applyFont="1" applyFill="1" applyBorder="1"/>
    <xf numFmtId="1" fontId="5" fillId="0" borderId="41" xfId="0" applyNumberFormat="1" applyFont="1" applyFill="1" applyBorder="1" applyAlignment="1">
      <alignment horizontal="left"/>
    </xf>
    <xf numFmtId="0" fontId="9" fillId="0" borderId="52" xfId="0" applyFont="1" applyFill="1" applyBorder="1"/>
    <xf numFmtId="166" fontId="9" fillId="0" borderId="43" xfId="0" applyNumberFormat="1" applyFont="1" applyFill="1" applyBorder="1"/>
    <xf numFmtId="3" fontId="10" fillId="0" borderId="18" xfId="0" applyNumberFormat="1" applyFont="1" applyFill="1" applyBorder="1" applyAlignment="1">
      <alignment horizontal="left"/>
    </xf>
    <xf numFmtId="3" fontId="14" fillId="0" borderId="2" xfId="0" applyNumberFormat="1" applyFont="1" applyFill="1" applyBorder="1"/>
    <xf numFmtId="3" fontId="10" fillId="0" borderId="41" xfId="0" applyNumberFormat="1" applyFont="1" applyFill="1" applyBorder="1" applyAlignment="1">
      <alignment horizontal="left"/>
    </xf>
    <xf numFmtId="166" fontId="14" fillId="0" borderId="21" xfId="0" applyNumberFormat="1" applyFont="1" applyFill="1" applyBorder="1"/>
    <xf numFmtId="166" fontId="12" fillId="0" borderId="21" xfId="0" applyNumberFormat="1" applyFont="1" applyFill="1" applyBorder="1"/>
    <xf numFmtId="166" fontId="15" fillId="0" borderId="42" xfId="0" applyNumberFormat="1" applyFont="1" applyFill="1" applyBorder="1"/>
    <xf numFmtId="166" fontId="9" fillId="0" borderId="42" xfId="0" applyNumberFormat="1" applyFont="1" applyFill="1" applyBorder="1"/>
    <xf numFmtId="49" fontId="10" fillId="0" borderId="0" xfId="0" applyNumberFormat="1" applyFont="1" applyFill="1" applyAlignment="1">
      <alignment horizontal="left" vertical="top"/>
    </xf>
    <xf numFmtId="3" fontId="10" fillId="0" borderId="17" xfId="0" applyNumberFormat="1" applyFont="1" applyFill="1" applyBorder="1" applyAlignment="1">
      <alignment horizontal="left"/>
    </xf>
    <xf numFmtId="0" fontId="9" fillId="0" borderId="9" xfId="0" applyFont="1" applyFill="1" applyBorder="1"/>
    <xf numFmtId="3" fontId="9" fillId="0" borderId="9" xfId="0" applyNumberFormat="1" applyFont="1" applyFill="1" applyBorder="1"/>
    <xf numFmtId="3" fontId="52" fillId="0" borderId="5" xfId="0" applyNumberFormat="1" applyFont="1" applyFill="1" applyBorder="1"/>
    <xf numFmtId="166" fontId="52" fillId="0" borderId="24" xfId="0" applyNumberFormat="1" applyFont="1" applyFill="1" applyBorder="1"/>
    <xf numFmtId="1" fontId="5" fillId="0" borderId="18" xfId="0" applyNumberFormat="1" applyFont="1" applyFill="1" applyBorder="1" applyAlignment="1">
      <alignment horizontal="left"/>
    </xf>
    <xf numFmtId="1" fontId="22" fillId="0" borderId="9" xfId="0" applyNumberFormat="1" applyFont="1" applyFill="1" applyBorder="1" applyAlignment="1">
      <alignment horizontal="right" vertical="center" wrapText="1"/>
    </xf>
    <xf numFmtId="0" fontId="35" fillId="0" borderId="6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/>
    </xf>
    <xf numFmtId="1" fontId="12" fillId="0" borderId="17" xfId="0" applyNumberFormat="1" applyFont="1" applyFill="1" applyBorder="1" applyAlignment="1">
      <alignment horizontal="left"/>
    </xf>
    <xf numFmtId="3" fontId="9" fillId="0" borderId="53" xfId="0" applyNumberFormat="1" applyFont="1" applyFill="1" applyBorder="1"/>
    <xf numFmtId="3" fontId="15" fillId="0" borderId="14" xfId="0" applyNumberFormat="1" applyFont="1" applyFill="1" applyBorder="1"/>
    <xf numFmtId="166" fontId="15" fillId="0" borderId="35" xfId="0" applyNumberFormat="1" applyFont="1" applyFill="1" applyBorder="1"/>
    <xf numFmtId="3" fontId="9" fillId="0" borderId="14" xfId="0" applyNumberFormat="1" applyFont="1" applyFill="1" applyBorder="1"/>
    <xf numFmtId="3" fontId="27" fillId="0" borderId="15" xfId="0" applyNumberFormat="1" applyFont="1" applyFill="1" applyBorder="1" applyAlignment="1">
      <alignment horizontal="left"/>
    </xf>
    <xf numFmtId="0" fontId="7" fillId="0" borderId="6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3" fontId="12" fillId="0" borderId="2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/>
    <xf numFmtId="3" fontId="14" fillId="0" borderId="14" xfId="0" applyNumberFormat="1" applyFont="1" applyFill="1" applyBorder="1"/>
    <xf numFmtId="166" fontId="14" fillId="0" borderId="42" xfId="0" applyNumberFormat="1" applyFont="1" applyFill="1" applyBorder="1"/>
    <xf numFmtId="0" fontId="9" fillId="0" borderId="41" xfId="0" applyFont="1" applyFill="1" applyBorder="1"/>
    <xf numFmtId="3" fontId="14" fillId="0" borderId="2" xfId="0" applyNumberFormat="1" applyFont="1" applyFill="1" applyBorder="1" applyAlignment="1">
      <alignment horizontal="right" vertical="center"/>
    </xf>
    <xf numFmtId="3" fontId="14" fillId="0" borderId="5" xfId="0" applyNumberFormat="1" applyFont="1" applyFill="1" applyBorder="1"/>
    <xf numFmtId="166" fontId="14" fillId="0" borderId="24" xfId="0" applyNumberFormat="1" applyFont="1" applyFill="1" applyBorder="1"/>
    <xf numFmtId="1" fontId="5" fillId="0" borderId="48" xfId="0" applyNumberFormat="1" applyFont="1" applyFill="1" applyBorder="1" applyAlignment="1">
      <alignment horizontal="left"/>
    </xf>
    <xf numFmtId="166" fontId="15" fillId="0" borderId="0" xfId="0" applyNumberFormat="1" applyFont="1" applyFill="1" applyBorder="1"/>
    <xf numFmtId="168" fontId="10" fillId="0" borderId="0" xfId="0" applyNumberFormat="1" applyFont="1" applyFill="1" applyBorder="1" applyAlignment="1">
      <alignment horizontal="left"/>
    </xf>
    <xf numFmtId="3" fontId="13" fillId="0" borderId="0" xfId="0" applyNumberFormat="1" applyFont="1" applyFill="1" applyBorder="1"/>
    <xf numFmtId="166" fontId="9" fillId="0" borderId="54" xfId="0" applyNumberFormat="1" applyFont="1" applyFill="1" applyBorder="1"/>
    <xf numFmtId="3" fontId="28" fillId="0" borderId="0" xfId="0" applyNumberFormat="1" applyFont="1" applyFill="1" applyBorder="1"/>
    <xf numFmtId="0" fontId="7" fillId="0" borderId="17" xfId="0" applyFont="1" applyFill="1" applyBorder="1" applyAlignment="1">
      <alignment horizontal="center" vertical="center"/>
    </xf>
    <xf numFmtId="1" fontId="7" fillId="0" borderId="17" xfId="0" applyNumberFormat="1" applyFont="1" applyFill="1" applyBorder="1" applyAlignment="1">
      <alignment horizontal="center" vertical="center"/>
    </xf>
    <xf numFmtId="3" fontId="9" fillId="0" borderId="17" xfId="0" applyNumberFormat="1" applyFont="1" applyFill="1" applyBorder="1" applyAlignment="1">
      <alignment horizontal="right" vertical="center"/>
    </xf>
    <xf numFmtId="3" fontId="15" fillId="0" borderId="17" xfId="0" applyNumberFormat="1" applyFont="1" applyFill="1" applyBorder="1" applyAlignment="1">
      <alignment horizontal="right"/>
    </xf>
    <xf numFmtId="3" fontId="12" fillId="0" borderId="48" xfId="0" applyNumberFormat="1" applyFont="1" applyFill="1" applyBorder="1"/>
    <xf numFmtId="166" fontId="12" fillId="0" borderId="35" xfId="0" applyNumberFormat="1" applyFont="1" applyFill="1" applyBorder="1"/>
    <xf numFmtId="3" fontId="7" fillId="0" borderId="0" xfId="0" applyNumberFormat="1" applyFont="1" applyFill="1"/>
    <xf numFmtId="1" fontId="5" fillId="0" borderId="55" xfId="0" applyNumberFormat="1" applyFont="1" applyFill="1" applyBorder="1" applyAlignment="1">
      <alignment horizontal="left"/>
    </xf>
    <xf numFmtId="3" fontId="14" fillId="0" borderId="41" xfId="0" applyNumberFormat="1" applyFont="1" applyFill="1" applyBorder="1"/>
    <xf numFmtId="166" fontId="14" fillId="0" borderId="43" xfId="0" applyNumberFormat="1" applyFont="1" applyFill="1" applyBorder="1"/>
    <xf numFmtId="1" fontId="19" fillId="0" borderId="0" xfId="0" applyNumberFormat="1" applyFont="1" applyFill="1" applyAlignment="1">
      <alignment horizontal="left"/>
    </xf>
    <xf numFmtId="3" fontId="37" fillId="0" borderId="0" xfId="0" applyNumberFormat="1" applyFont="1" applyFill="1"/>
    <xf numFmtId="0" fontId="6" fillId="0" borderId="33" xfId="0" applyFont="1" applyFill="1" applyBorder="1"/>
    <xf numFmtId="3" fontId="5" fillId="0" borderId="0" xfId="0" applyNumberFormat="1" applyFont="1" applyFill="1"/>
    <xf numFmtId="0" fontId="14" fillId="0" borderId="0" xfId="0" applyFont="1" applyFill="1"/>
    <xf numFmtId="3" fontId="14" fillId="0" borderId="0" xfId="0" applyNumberFormat="1" applyFont="1" applyFill="1"/>
    <xf numFmtId="167" fontId="52" fillId="0" borderId="35" xfId="0" applyNumberFormat="1" applyFont="1" applyFill="1" applyBorder="1"/>
    <xf numFmtId="168" fontId="27" fillId="0" borderId="0" xfId="0" applyNumberFormat="1" applyFont="1" applyFill="1" applyAlignment="1">
      <alignment horizontal="center"/>
    </xf>
    <xf numFmtId="0" fontId="13" fillId="0" borderId="2" xfId="0" applyFont="1" applyFill="1" applyBorder="1" applyAlignment="1">
      <alignment horizontal="center"/>
    </xf>
    <xf numFmtId="3" fontId="14" fillId="0" borderId="0" xfId="0" applyNumberFormat="1" applyFont="1" applyFill="1" applyBorder="1"/>
    <xf numFmtId="167" fontId="8" fillId="0" borderId="0" xfId="0" applyNumberFormat="1" applyFont="1" applyFill="1" applyBorder="1" applyAlignment="1">
      <alignment shrinkToFit="1"/>
    </xf>
    <xf numFmtId="167" fontId="8" fillId="0" borderId="35" xfId="0" applyNumberFormat="1" applyFont="1" applyFill="1" applyBorder="1" applyAlignment="1"/>
    <xf numFmtId="1" fontId="18" fillId="0" borderId="0" xfId="0" applyNumberFormat="1" applyFont="1" applyFill="1" applyAlignment="1">
      <alignment horizontal="left"/>
    </xf>
    <xf numFmtId="0" fontId="7" fillId="0" borderId="56" xfId="0" applyFont="1" applyFill="1" applyBorder="1" applyAlignment="1">
      <alignment horizontal="center" vertical="center"/>
    </xf>
    <xf numFmtId="0" fontId="41" fillId="0" borderId="4" xfId="0" applyFont="1" applyFill="1" applyBorder="1" applyAlignment="1"/>
    <xf numFmtId="0" fontId="39" fillId="0" borderId="5" xfId="0" applyFont="1" applyFill="1" applyBorder="1" applyAlignment="1"/>
    <xf numFmtId="168" fontId="61" fillId="0" borderId="5" xfId="0" applyNumberFormat="1" applyFont="1" applyFill="1" applyBorder="1" applyAlignment="1">
      <alignment horizontal="center"/>
    </xf>
    <xf numFmtId="167" fontId="8" fillId="0" borderId="22" xfId="0" applyNumberFormat="1" applyFont="1" applyFill="1" applyBorder="1" applyAlignment="1"/>
    <xf numFmtId="0" fontId="57" fillId="0" borderId="0" xfId="0" applyFont="1" applyFill="1"/>
    <xf numFmtId="167" fontId="66" fillId="0" borderId="0" xfId="0" applyNumberFormat="1" applyFont="1" applyFill="1" applyBorder="1"/>
    <xf numFmtId="1" fontId="52" fillId="0" borderId="0" xfId="0" applyNumberFormat="1" applyFont="1" applyFill="1" applyAlignment="1">
      <alignment horizontal="left"/>
    </xf>
    <xf numFmtId="166" fontId="8" fillId="0" borderId="22" xfId="0" applyNumberFormat="1" applyFont="1" applyFill="1" applyBorder="1"/>
    <xf numFmtId="166" fontId="8" fillId="0" borderId="35" xfId="0" applyNumberFormat="1" applyFont="1" applyFill="1" applyBorder="1"/>
    <xf numFmtId="3" fontId="51" fillId="0" borderId="0" xfId="0" applyNumberFormat="1" applyFont="1" applyFill="1" applyBorder="1" applyAlignment="1">
      <alignment horizontal="right"/>
    </xf>
    <xf numFmtId="3" fontId="54" fillId="0" borderId="0" xfId="0" applyNumberFormat="1" applyFont="1" applyFill="1" applyAlignment="1">
      <alignment horizontal="right"/>
    </xf>
    <xf numFmtId="3" fontId="66" fillId="0" borderId="0" xfId="0" applyNumberFormat="1" applyFont="1" applyFill="1" applyBorder="1"/>
    <xf numFmtId="1" fontId="7" fillId="0" borderId="0" xfId="0" applyNumberFormat="1" applyFont="1" applyFill="1" applyBorder="1" applyAlignment="1">
      <alignment horizontal="left"/>
    </xf>
    <xf numFmtId="168" fontId="10" fillId="0" borderId="0" xfId="0" applyNumberFormat="1" applyFont="1" applyFill="1" applyBorder="1" applyAlignment="1">
      <alignment horizontal="center"/>
    </xf>
    <xf numFmtId="166" fontId="31" fillId="0" borderId="10" xfId="0" applyNumberFormat="1" applyFont="1" applyFill="1" applyBorder="1" applyAlignment="1">
      <alignment shrinkToFit="1"/>
    </xf>
    <xf numFmtId="3" fontId="29" fillId="0" borderId="0" xfId="0" applyNumberFormat="1" applyFont="1" applyFill="1" applyAlignment="1">
      <alignment horizontal="right"/>
    </xf>
    <xf numFmtId="168" fontId="27" fillId="0" borderId="0" xfId="0" applyNumberFormat="1" applyFont="1" applyFill="1" applyAlignment="1">
      <alignment horizontal="left" vertical="top"/>
    </xf>
    <xf numFmtId="3" fontId="12" fillId="0" borderId="0" xfId="0" applyNumberFormat="1" applyFont="1" applyFill="1" applyAlignment="1">
      <alignment horizontal="right" vertical="top"/>
    </xf>
    <xf numFmtId="0" fontId="9" fillId="0" borderId="0" xfId="0" applyFont="1" applyFill="1" applyAlignment="1">
      <alignment horizontal="right"/>
    </xf>
    <xf numFmtId="0" fontId="6" fillId="0" borderId="8" xfId="0" applyFont="1" applyFill="1" applyBorder="1" applyAlignment="1">
      <alignment horizontal="center"/>
    </xf>
    <xf numFmtId="167" fontId="8" fillId="0" borderId="24" xfId="0" applyNumberFormat="1" applyFont="1" applyFill="1" applyBorder="1"/>
    <xf numFmtId="166" fontId="6" fillId="0" borderId="0" xfId="0" applyNumberFormat="1" applyFont="1" applyFill="1"/>
    <xf numFmtId="0" fontId="29" fillId="0" borderId="0" xfId="0" applyFont="1" applyFill="1" applyAlignment="1">
      <alignment horizontal="center"/>
    </xf>
    <xf numFmtId="168" fontId="28" fillId="0" borderId="0" xfId="0" applyNumberFormat="1" applyFont="1" applyFill="1"/>
    <xf numFmtId="166" fontId="29" fillId="0" borderId="0" xfId="0" applyNumberFormat="1" applyFont="1" applyFill="1"/>
    <xf numFmtId="168" fontId="10" fillId="0" borderId="0" xfId="0" applyNumberFormat="1" applyFont="1" applyFill="1" applyAlignment="1">
      <alignment horizontal="left"/>
    </xf>
    <xf numFmtId="3" fontId="5" fillId="0" borderId="0" xfId="0" applyNumberFormat="1" applyFont="1" applyFill="1" applyAlignment="1">
      <alignment horizontal="right"/>
    </xf>
    <xf numFmtId="3" fontId="19" fillId="0" borderId="0" xfId="0" applyNumberFormat="1" applyFont="1" applyFill="1"/>
    <xf numFmtId="167" fontId="19" fillId="0" borderId="0" xfId="0" applyNumberFormat="1" applyFont="1" applyFill="1"/>
    <xf numFmtId="166" fontId="59" fillId="0" borderId="0" xfId="0" applyNumberFormat="1" applyFont="1" applyFill="1"/>
    <xf numFmtId="1" fontId="40" fillId="0" borderId="0" xfId="0" applyNumberFormat="1" applyFont="1" applyFill="1"/>
    <xf numFmtId="1" fontId="59" fillId="0" borderId="0" xfId="0" applyNumberFormat="1" applyFont="1" applyFill="1"/>
    <xf numFmtId="0" fontId="29" fillId="0" borderId="26" xfId="0" applyFont="1" applyFill="1" applyBorder="1"/>
    <xf numFmtId="171" fontId="10" fillId="0" borderId="2" xfId="0" applyNumberFormat="1" applyFont="1" applyFill="1" applyBorder="1" applyAlignment="1">
      <alignment horizontal="center"/>
    </xf>
    <xf numFmtId="0" fontId="29" fillId="0" borderId="38" xfId="0" applyFont="1" applyFill="1" applyBorder="1"/>
    <xf numFmtId="3" fontId="14" fillId="0" borderId="9" xfId="0" applyNumberFormat="1" applyFont="1" applyFill="1" applyBorder="1"/>
    <xf numFmtId="166" fontId="9" fillId="0" borderId="30" xfId="0" applyNumberFormat="1" applyFont="1" applyFill="1" applyBorder="1"/>
    <xf numFmtId="0" fontId="29" fillId="0" borderId="50" xfId="0" applyFont="1" applyFill="1" applyBorder="1"/>
    <xf numFmtId="171" fontId="10" fillId="0" borderId="14" xfId="0" applyNumberFormat="1" applyFont="1" applyFill="1" applyBorder="1" applyAlignment="1">
      <alignment horizontal="center"/>
    </xf>
    <xf numFmtId="3" fontId="14" fillId="0" borderId="34" xfId="0" applyNumberFormat="1" applyFont="1" applyFill="1" applyBorder="1"/>
    <xf numFmtId="0" fontId="29" fillId="0" borderId="4" xfId="0" applyFont="1" applyFill="1" applyBorder="1"/>
    <xf numFmtId="1" fontId="5" fillId="0" borderId="5" xfId="0" applyNumberFormat="1" applyFont="1" applyFill="1" applyBorder="1" applyAlignment="1">
      <alignment horizontal="left"/>
    </xf>
    <xf numFmtId="171" fontId="10" fillId="0" borderId="5" xfId="0" applyNumberFormat="1" applyFont="1" applyFill="1" applyBorder="1" applyAlignment="1">
      <alignment horizontal="center"/>
    </xf>
    <xf numFmtId="0" fontId="14" fillId="0" borderId="5" xfId="0" applyFont="1" applyFill="1" applyBorder="1"/>
    <xf numFmtId="3" fontId="9" fillId="0" borderId="27" xfId="0" applyNumberFormat="1" applyFont="1" applyFill="1" applyBorder="1"/>
    <xf numFmtId="0" fontId="29" fillId="0" borderId="33" xfId="0" applyFont="1" applyFill="1" applyBorder="1"/>
    <xf numFmtId="166" fontId="9" fillId="0" borderId="35" xfId="0" applyNumberFormat="1" applyFont="1" applyFill="1" applyBorder="1"/>
    <xf numFmtId="171" fontId="10" fillId="0" borderId="9" xfId="0" applyNumberFormat="1" applyFont="1" applyFill="1" applyBorder="1" applyAlignment="1">
      <alignment horizontal="center"/>
    </xf>
    <xf numFmtId="166" fontId="14" fillId="0" borderId="35" xfId="0" applyNumberFormat="1" applyFont="1" applyFill="1" applyBorder="1"/>
    <xf numFmtId="3" fontId="28" fillId="0" borderId="0" xfId="0" applyNumberFormat="1" applyFont="1" applyFill="1" applyAlignment="1">
      <alignment vertical="center"/>
    </xf>
    <xf numFmtId="1" fontId="43" fillId="0" borderId="34" xfId="0" applyNumberFormat="1" applyFont="1" applyFill="1" applyBorder="1" applyAlignment="1"/>
    <xf numFmtId="0" fontId="59" fillId="0" borderId="34" xfId="0" applyFont="1" applyFill="1" applyBorder="1" applyAlignment="1"/>
    <xf numFmtId="3" fontId="43" fillId="0" borderId="34" xfId="0" applyNumberFormat="1" applyFont="1" applyFill="1" applyBorder="1" applyAlignment="1"/>
    <xf numFmtId="3" fontId="80" fillId="0" borderId="34" xfId="0" applyNumberFormat="1" applyFont="1" applyFill="1" applyBorder="1" applyAlignment="1"/>
    <xf numFmtId="166" fontId="67" fillId="0" borderId="34" xfId="0" applyNumberFormat="1" applyFont="1" applyFill="1" applyBorder="1"/>
    <xf numFmtId="0" fontId="43" fillId="0" borderId="0" xfId="0" applyFont="1" applyFill="1" applyAlignment="1">
      <alignment wrapText="1"/>
    </xf>
    <xf numFmtId="3" fontId="23" fillId="0" borderId="0" xfId="0" applyNumberFormat="1" applyFont="1" applyFill="1" applyAlignment="1">
      <alignment wrapText="1"/>
    </xf>
    <xf numFmtId="0" fontId="37" fillId="0" borderId="0" xfId="0" applyFont="1" applyFill="1" applyAlignment="1">
      <alignment wrapText="1"/>
    </xf>
    <xf numFmtId="0" fontId="56" fillId="0" borderId="4" xfId="0" applyFont="1" applyFill="1" applyBorder="1" applyAlignment="1">
      <alignment horizontal="center" vertical="center"/>
    </xf>
    <xf numFmtId="1" fontId="56" fillId="0" borderId="5" xfId="0" applyNumberFormat="1" applyFont="1" applyFill="1" applyBorder="1" applyAlignment="1">
      <alignment horizontal="center" vertical="center"/>
    </xf>
    <xf numFmtId="3" fontId="56" fillId="0" borderId="5" xfId="0" applyNumberFormat="1" applyFont="1" applyFill="1" applyBorder="1" applyAlignment="1">
      <alignment horizontal="center" vertical="center"/>
    </xf>
    <xf numFmtId="3" fontId="56" fillId="0" borderId="56" xfId="0" applyNumberFormat="1" applyFont="1" applyFill="1" applyBorder="1" applyAlignment="1">
      <alignment horizontal="center" vertical="center"/>
    </xf>
    <xf numFmtId="167" fontId="56" fillId="0" borderId="24" xfId="0" applyNumberFormat="1" applyFont="1" applyFill="1" applyBorder="1" applyAlignment="1">
      <alignment horizontal="center" vertical="center"/>
    </xf>
    <xf numFmtId="3" fontId="56" fillId="0" borderId="0" xfId="0" applyNumberFormat="1" applyFont="1" applyFill="1"/>
    <xf numFmtId="0" fontId="56" fillId="0" borderId="0" xfId="0" applyFont="1" applyFill="1"/>
    <xf numFmtId="0" fontId="49" fillId="0" borderId="7" xfId="0" applyFont="1" applyFill="1" applyBorder="1" applyAlignment="1">
      <alignment horizontal="left"/>
    </xf>
    <xf numFmtId="0" fontId="48" fillId="0" borderId="8" xfId="0" applyFont="1" applyFill="1" applyBorder="1"/>
    <xf numFmtId="3" fontId="47" fillId="0" borderId="8" xfId="0" applyNumberFormat="1" applyFont="1" applyFill="1" applyBorder="1" applyAlignment="1">
      <alignment horizontal="center"/>
    </xf>
    <xf numFmtId="0" fontId="34" fillId="0" borderId="56" xfId="0" applyFont="1" applyFill="1" applyBorder="1"/>
    <xf numFmtId="3" fontId="13" fillId="0" borderId="0" xfId="0" applyNumberFormat="1" applyFont="1" applyFill="1" applyBorder="1" applyAlignment="1">
      <alignment horizontal="right"/>
    </xf>
    <xf numFmtId="167" fontId="9" fillId="0" borderId="0" xfId="0" applyNumberFormat="1" applyFont="1" applyFill="1" applyBorder="1" applyAlignment="1">
      <alignment horizontal="right"/>
    </xf>
    <xf numFmtId="167" fontId="34" fillId="0" borderId="10" xfId="0" applyNumberFormat="1" applyFont="1" applyFill="1" applyBorder="1"/>
    <xf numFmtId="1" fontId="10" fillId="0" borderId="0" xfId="0" applyNumberFormat="1" applyFont="1" applyFill="1" applyAlignment="1">
      <alignment horizontal="center"/>
    </xf>
    <xf numFmtId="3" fontId="8" fillId="0" borderId="37" xfId="0" applyNumberFormat="1" applyFont="1" applyFill="1" applyBorder="1"/>
    <xf numFmtId="0" fontId="28" fillId="0" borderId="0" xfId="0" applyFont="1" applyFill="1"/>
    <xf numFmtId="1" fontId="5" fillId="0" borderId="38" xfId="2" applyNumberFormat="1" applyFont="1" applyFill="1" applyBorder="1" applyAlignment="1">
      <alignment horizontal="left"/>
    </xf>
    <xf numFmtId="1" fontId="5" fillId="0" borderId="50" xfId="2" applyNumberFormat="1" applyFont="1" applyFill="1" applyBorder="1" applyAlignment="1">
      <alignment horizontal="left"/>
    </xf>
    <xf numFmtId="3" fontId="21" fillId="0" borderId="34" xfId="0" applyNumberFormat="1" applyFont="1" applyFill="1" applyBorder="1" applyAlignment="1">
      <alignment horizontal="center"/>
    </xf>
    <xf numFmtId="166" fontId="52" fillId="0" borderId="0" xfId="0" applyNumberFormat="1" applyFont="1" applyFill="1" applyBorder="1" applyAlignment="1">
      <alignment horizontal="right"/>
    </xf>
    <xf numFmtId="166" fontId="66" fillId="0" borderId="0" xfId="0" applyNumberFormat="1" applyFont="1" applyFill="1" applyBorder="1" applyAlignment="1">
      <alignment horizontal="right"/>
    </xf>
    <xf numFmtId="166" fontId="67" fillId="0" borderId="10" xfId="0" applyNumberFormat="1" applyFont="1" applyFill="1" applyBorder="1" applyAlignment="1">
      <alignment horizontal="right"/>
    </xf>
    <xf numFmtId="0" fontId="18" fillId="0" borderId="0" xfId="0" applyFont="1" applyFill="1"/>
    <xf numFmtId="0" fontId="20" fillId="0" borderId="0" xfId="0" applyFont="1" applyFill="1" applyBorder="1"/>
    <xf numFmtId="1" fontId="16" fillId="0" borderId="0" xfId="0" applyNumberFormat="1" applyFont="1" applyFill="1" applyBorder="1" applyAlignment="1">
      <alignment horizontal="left"/>
    </xf>
    <xf numFmtId="0" fontId="16" fillId="0" borderId="0" xfId="0" applyFont="1" applyFill="1" applyBorder="1"/>
    <xf numFmtId="3" fontId="20" fillId="0" borderId="0" xfId="0" applyNumberFormat="1" applyFont="1" applyFill="1" applyBorder="1"/>
    <xf numFmtId="167" fontId="20" fillId="0" borderId="0" xfId="0" applyNumberFormat="1" applyFont="1" applyFill="1" applyBorder="1"/>
    <xf numFmtId="168" fontId="51" fillId="0" borderId="0" xfId="0" applyNumberFormat="1" applyFont="1" applyFill="1" applyBorder="1" applyAlignment="1">
      <alignment horizontal="right"/>
    </xf>
    <xf numFmtId="168" fontId="54" fillId="0" borderId="0" xfId="0" applyNumberFormat="1" applyFont="1" applyFill="1" applyAlignment="1">
      <alignment horizontal="right"/>
    </xf>
    <xf numFmtId="167" fontId="8" fillId="0" borderId="35" xfId="0" applyNumberFormat="1" applyFont="1" applyFill="1" applyBorder="1" applyAlignment="1">
      <alignment horizontal="right"/>
    </xf>
    <xf numFmtId="3" fontId="10" fillId="0" borderId="0" xfId="0" applyNumberFormat="1" applyFont="1" applyFill="1" applyBorder="1" applyAlignment="1">
      <alignment horizontal="left"/>
    </xf>
    <xf numFmtId="166" fontId="8" fillId="0" borderId="22" xfId="0" applyNumberFormat="1" applyFont="1" applyFill="1" applyBorder="1" applyAlignment="1">
      <alignment horizontal="right"/>
    </xf>
    <xf numFmtId="166" fontId="51" fillId="0" borderId="0" xfId="0" applyNumberFormat="1" applyFont="1" applyFill="1" applyBorder="1" applyAlignment="1">
      <alignment horizontal="right"/>
    </xf>
    <xf numFmtId="1" fontId="7" fillId="0" borderId="24" xfId="0" applyNumberFormat="1" applyFont="1" applyFill="1" applyBorder="1" applyAlignment="1">
      <alignment horizontal="center" vertical="center"/>
    </xf>
    <xf numFmtId="3" fontId="35" fillId="0" borderId="37" xfId="0" applyNumberFormat="1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1" fontId="5" fillId="0" borderId="27" xfId="0" applyNumberFormat="1" applyFont="1" applyFill="1" applyBorder="1" applyAlignment="1">
      <alignment horizontal="center"/>
    </xf>
    <xf numFmtId="1" fontId="10" fillId="0" borderId="27" xfId="0" applyNumberFormat="1" applyFont="1" applyFill="1" applyBorder="1" applyAlignment="1">
      <alignment horizontal="left"/>
    </xf>
    <xf numFmtId="3" fontId="13" fillId="0" borderId="27" xfId="0" applyNumberFormat="1" applyFont="1" applyFill="1" applyBorder="1"/>
    <xf numFmtId="1" fontId="9" fillId="0" borderId="27" xfId="0" applyNumberFormat="1" applyFont="1" applyFill="1" applyBorder="1" applyAlignment="1">
      <alignment horizontal="right"/>
    </xf>
    <xf numFmtId="1" fontId="5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left"/>
    </xf>
    <xf numFmtId="1" fontId="9" fillId="0" borderId="0" xfId="0" applyNumberFormat="1" applyFont="1" applyFill="1" applyBorder="1" applyAlignment="1">
      <alignment horizontal="right"/>
    </xf>
    <xf numFmtId="167" fontId="66" fillId="0" borderId="0" xfId="0" applyNumberFormat="1" applyFont="1" applyFill="1" applyBorder="1" applyAlignment="1">
      <alignment horizontal="right"/>
    </xf>
    <xf numFmtId="0" fontId="19" fillId="0" borderId="0" xfId="0" applyFont="1" applyFill="1"/>
    <xf numFmtId="1" fontId="19" fillId="0" borderId="0" xfId="0" applyNumberFormat="1" applyFont="1" applyFill="1" applyAlignment="1">
      <alignment horizontal="right"/>
    </xf>
    <xf numFmtId="0" fontId="13" fillId="0" borderId="0" xfId="0" applyFont="1"/>
    <xf numFmtId="0" fontId="9" fillId="0" borderId="0" xfId="0" applyFont="1" applyBorder="1"/>
    <xf numFmtId="0" fontId="14" fillId="0" borderId="0" xfId="0" applyFont="1" applyBorder="1" applyAlignment="1">
      <alignment wrapText="1"/>
    </xf>
    <xf numFmtId="49" fontId="10" fillId="0" borderId="0" xfId="0" applyNumberFormat="1" applyFont="1" applyBorder="1" applyAlignment="1">
      <alignment horizontal="left"/>
    </xf>
    <xf numFmtId="1" fontId="5" fillId="0" borderId="9" xfId="0" applyNumberFormat="1" applyFont="1" applyBorder="1" applyAlignment="1">
      <alignment horizontal="left"/>
    </xf>
    <xf numFmtId="0" fontId="9" fillId="0" borderId="9" xfId="0" applyFont="1" applyBorder="1"/>
    <xf numFmtId="167" fontId="9" fillId="0" borderId="25" xfId="0" applyNumberFormat="1" applyFont="1" applyBorder="1" applyAlignment="1">
      <alignment horizontal="right"/>
    </xf>
    <xf numFmtId="0" fontId="13" fillId="0" borderId="0" xfId="0" applyFont="1" applyBorder="1"/>
    <xf numFmtId="0" fontId="13" fillId="0" borderId="0" xfId="0" applyFont="1" applyBorder="1" applyAlignment="1"/>
    <xf numFmtId="167" fontId="12" fillId="0" borderId="25" xfId="0" applyNumberFormat="1" applyFont="1" applyBorder="1" applyAlignment="1">
      <alignment horizontal="right"/>
    </xf>
    <xf numFmtId="1" fontId="10" fillId="0" borderId="9" xfId="0" applyNumberFormat="1" applyFont="1" applyBorder="1" applyAlignment="1">
      <alignment horizontal="left"/>
    </xf>
    <xf numFmtId="1" fontId="10" fillId="0" borderId="2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 vertical="top"/>
    </xf>
    <xf numFmtId="49" fontId="10" fillId="0" borderId="2" xfId="0" applyNumberFormat="1" applyFont="1" applyBorder="1" applyAlignment="1">
      <alignment horizontal="left"/>
    </xf>
    <xf numFmtId="3" fontId="21" fillId="0" borderId="14" xfId="0" applyNumberFormat="1" applyFont="1" applyFill="1" applyBorder="1" applyAlignment="1">
      <alignment horizontal="center"/>
    </xf>
    <xf numFmtId="1" fontId="6" fillId="0" borderId="0" xfId="0" applyNumberFormat="1" applyFont="1" applyAlignment="1">
      <alignment horizontal="left"/>
    </xf>
    <xf numFmtId="3" fontId="9" fillId="0" borderId="9" xfId="0" applyNumberFormat="1" applyFont="1" applyBorder="1" applyAlignment="1">
      <alignment horizontal="right"/>
    </xf>
    <xf numFmtId="166" fontId="9" fillId="0" borderId="25" xfId="0" applyNumberFormat="1" applyFont="1" applyBorder="1" applyAlignment="1">
      <alignment horizontal="right"/>
    </xf>
    <xf numFmtId="166" fontId="12" fillId="0" borderId="25" xfId="0" applyNumberFormat="1" applyFont="1" applyBorder="1" applyAlignment="1">
      <alignment horizontal="right"/>
    </xf>
    <xf numFmtId="0" fontId="14" fillId="0" borderId="0" xfId="0" applyFont="1" applyBorder="1" applyAlignment="1"/>
    <xf numFmtId="1" fontId="5" fillId="0" borderId="33" xfId="0" applyNumberFormat="1" applyFont="1" applyBorder="1" applyAlignment="1">
      <alignment horizontal="left"/>
    </xf>
    <xf numFmtId="0" fontId="9" fillId="0" borderId="34" xfId="0" applyFont="1" applyBorder="1"/>
    <xf numFmtId="166" fontId="9" fillId="0" borderId="35" xfId="0" applyNumberFormat="1" applyFont="1" applyBorder="1" applyAlignment="1">
      <alignment horizontal="right"/>
    </xf>
    <xf numFmtId="0" fontId="13" fillId="0" borderId="0" xfId="0" applyFont="1" applyBorder="1" applyAlignment="1">
      <alignment wrapText="1"/>
    </xf>
    <xf numFmtId="1" fontId="14" fillId="0" borderId="0" xfId="0" applyNumberFormat="1" applyFont="1" applyBorder="1" applyAlignment="1">
      <alignment horizontal="left"/>
    </xf>
    <xf numFmtId="49" fontId="10" fillId="0" borderId="14" xfId="0" applyNumberFormat="1" applyFont="1" applyBorder="1" applyAlignment="1">
      <alignment horizontal="left"/>
    </xf>
    <xf numFmtId="1" fontId="5" fillId="0" borderId="14" xfId="0" applyNumberFormat="1" applyFont="1" applyBorder="1" applyAlignment="1">
      <alignment horizontal="left"/>
    </xf>
    <xf numFmtId="3" fontId="9" fillId="0" borderId="14" xfId="0" applyNumberFormat="1" applyFont="1" applyBorder="1" applyAlignment="1">
      <alignment horizontal="right"/>
    </xf>
    <xf numFmtId="49" fontId="27" fillId="0" borderId="2" xfId="0" applyNumberFormat="1" applyFont="1" applyBorder="1" applyAlignment="1">
      <alignment horizontal="left"/>
    </xf>
    <xf numFmtId="49" fontId="10" fillId="0" borderId="9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1" fontId="5" fillId="0" borderId="0" xfId="0" applyNumberFormat="1" applyFont="1" applyAlignment="1">
      <alignment horizontal="right"/>
    </xf>
    <xf numFmtId="3" fontId="13" fillId="0" borderId="0" xfId="0" applyNumberFormat="1" applyFont="1"/>
    <xf numFmtId="1" fontId="5" fillId="0" borderId="34" xfId="0" applyNumberFormat="1" applyFont="1" applyBorder="1" applyAlignment="1">
      <alignment horizontal="left"/>
    </xf>
    <xf numFmtId="3" fontId="13" fillId="0" borderId="2" xfId="0" applyNumberFormat="1" applyFont="1" applyBorder="1" applyAlignment="1">
      <alignment horizontal="right"/>
    </xf>
    <xf numFmtId="1" fontId="5" fillId="0" borderId="38" xfId="0" applyNumberFormat="1" applyFont="1" applyBorder="1" applyAlignment="1">
      <alignment horizontal="left"/>
    </xf>
    <xf numFmtId="1" fontId="5" fillId="0" borderId="50" xfId="0" applyNumberFormat="1" applyFont="1" applyBorder="1" applyAlignment="1">
      <alignment horizontal="left"/>
    </xf>
    <xf numFmtId="0" fontId="18" fillId="0" borderId="0" xfId="0" applyFont="1" applyBorder="1"/>
    <xf numFmtId="0" fontId="13" fillId="0" borderId="17" xfId="0" applyFont="1" applyBorder="1" applyAlignment="1"/>
    <xf numFmtId="3" fontId="12" fillId="0" borderId="14" xfId="0" applyNumberFormat="1" applyFont="1" applyBorder="1" applyAlignment="1">
      <alignment horizontal="right"/>
    </xf>
    <xf numFmtId="168" fontId="27" fillId="3" borderId="2" xfId="0" applyNumberFormat="1" applyFont="1" applyFill="1" applyBorder="1" applyAlignment="1">
      <alignment horizontal="left"/>
    </xf>
    <xf numFmtId="49" fontId="10" fillId="0" borderId="2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0" fontId="14" fillId="3" borderId="34" xfId="0" applyFont="1" applyFill="1" applyBorder="1"/>
    <xf numFmtId="49" fontId="10" fillId="0" borderId="14" xfId="0" applyNumberFormat="1" applyFont="1" applyBorder="1" applyAlignment="1">
      <alignment horizontal="center"/>
    </xf>
    <xf numFmtId="0" fontId="13" fillId="3" borderId="0" xfId="0" applyFont="1" applyFill="1"/>
    <xf numFmtId="1" fontId="10" fillId="0" borderId="14" xfId="0" applyNumberFormat="1" applyFont="1" applyBorder="1" applyAlignment="1">
      <alignment horizontal="left"/>
    </xf>
    <xf numFmtId="166" fontId="9" fillId="0" borderId="30" xfId="0" applyNumberFormat="1" applyFont="1" applyBorder="1" applyAlignment="1">
      <alignment horizontal="right"/>
    </xf>
    <xf numFmtId="0" fontId="13" fillId="3" borderId="0" xfId="0" applyFont="1" applyFill="1" applyBorder="1" applyAlignment="1"/>
    <xf numFmtId="0" fontId="9" fillId="0" borderId="0" xfId="0" applyFont="1" applyBorder="1" applyAlignment="1">
      <alignment wrapText="1"/>
    </xf>
    <xf numFmtId="0" fontId="13" fillId="0" borderId="0" xfId="0" applyFont="1" applyBorder="1" applyAlignment="1">
      <alignment horizontal="right"/>
    </xf>
    <xf numFmtId="49" fontId="27" fillId="3" borderId="2" xfId="0" applyNumberFormat="1" applyFont="1" applyFill="1" applyBorder="1" applyAlignment="1">
      <alignment horizontal="left"/>
    </xf>
    <xf numFmtId="168" fontId="27" fillId="0" borderId="2" xfId="0" applyNumberFormat="1" applyFont="1" applyBorder="1" applyAlignment="1">
      <alignment horizontal="left"/>
    </xf>
    <xf numFmtId="0" fontId="9" fillId="0" borderId="27" xfId="0" applyFont="1" applyBorder="1"/>
    <xf numFmtId="49" fontId="27" fillId="0" borderId="2" xfId="0" applyNumberFormat="1" applyFont="1" applyBorder="1" applyAlignment="1">
      <alignment horizontal="left" vertical="top"/>
    </xf>
    <xf numFmtId="3" fontId="13" fillId="3" borderId="2" xfId="0" applyNumberFormat="1" applyFont="1" applyFill="1" applyBorder="1" applyAlignment="1">
      <alignment horizontal="right"/>
    </xf>
    <xf numFmtId="3" fontId="15" fillId="0" borderId="2" xfId="0" applyNumberFormat="1" applyFont="1" applyBorder="1" applyAlignment="1">
      <alignment horizontal="right"/>
    </xf>
    <xf numFmtId="0" fontId="13" fillId="0" borderId="14" xfId="0" applyFont="1" applyBorder="1"/>
    <xf numFmtId="49" fontId="27" fillId="0" borderId="14" xfId="0" applyNumberFormat="1" applyFont="1" applyBorder="1" applyAlignment="1">
      <alignment horizontal="left"/>
    </xf>
    <xf numFmtId="3" fontId="14" fillId="0" borderId="14" xfId="0" applyNumberFormat="1" applyFont="1" applyBorder="1" applyAlignment="1">
      <alignment horizontal="right"/>
    </xf>
    <xf numFmtId="0" fontId="9" fillId="0" borderId="17" xfId="0" applyFont="1" applyBorder="1"/>
    <xf numFmtId="0" fontId="13" fillId="0" borderId="17" xfId="0" applyFont="1" applyBorder="1"/>
    <xf numFmtId="0" fontId="14" fillId="0" borderId="17" xfId="0" applyFont="1" applyBorder="1" applyAlignment="1">
      <alignment wrapText="1"/>
    </xf>
    <xf numFmtId="3" fontId="13" fillId="0" borderId="0" xfId="7" applyFont="1"/>
    <xf numFmtId="3" fontId="13" fillId="3" borderId="0" xfId="7" applyFont="1" applyFill="1" applyBorder="1"/>
    <xf numFmtId="3" fontId="14" fillId="0" borderId="9" xfId="7" applyFont="1" applyFill="1" applyBorder="1" applyAlignment="1">
      <alignment horizontal="right"/>
    </xf>
    <xf numFmtId="3" fontId="12" fillId="0" borderId="2" xfId="7" applyFont="1" applyFill="1" applyBorder="1" applyAlignment="1">
      <alignment horizontal="right"/>
    </xf>
    <xf numFmtId="3" fontId="14" fillId="0" borderId="2" xfId="7" applyFont="1" applyFill="1" applyBorder="1" applyAlignment="1">
      <alignment horizontal="right"/>
    </xf>
    <xf numFmtId="3" fontId="12" fillId="0" borderId="14" xfId="7" applyFont="1" applyFill="1" applyBorder="1" applyAlignment="1">
      <alignment horizontal="right"/>
    </xf>
    <xf numFmtId="3" fontId="14" fillId="3" borderId="2" xfId="7" applyFont="1" applyFill="1" applyBorder="1" applyAlignment="1">
      <alignment horizontal="right"/>
    </xf>
    <xf numFmtId="3" fontId="14" fillId="3" borderId="9" xfId="7" applyFont="1" applyFill="1" applyBorder="1"/>
    <xf numFmtId="3" fontId="13" fillId="0" borderId="2" xfId="7" applyBorder="1" applyAlignment="1"/>
    <xf numFmtId="3" fontId="14" fillId="3" borderId="2" xfId="7" applyFont="1" applyFill="1" applyBorder="1"/>
    <xf numFmtId="3" fontId="13" fillId="0" borderId="14" xfId="7" applyBorder="1" applyAlignment="1"/>
    <xf numFmtId="168" fontId="27" fillId="3" borderId="9" xfId="7" applyNumberFormat="1" applyFont="1" applyFill="1" applyBorder="1" applyAlignment="1">
      <alignment horizontal="left"/>
    </xf>
    <xf numFmtId="49" fontId="10" fillId="0" borderId="2" xfId="7" applyNumberFormat="1" applyFont="1" applyBorder="1" applyAlignment="1">
      <alignment horizontal="left"/>
    </xf>
    <xf numFmtId="168" fontId="27" fillId="3" borderId="2" xfId="7" applyNumberFormat="1" applyFont="1" applyFill="1" applyBorder="1" applyAlignment="1">
      <alignment horizontal="left"/>
    </xf>
    <xf numFmtId="49" fontId="10" fillId="0" borderId="14" xfId="7" applyNumberFormat="1" applyFont="1" applyBorder="1" applyAlignment="1">
      <alignment horizontal="left"/>
    </xf>
    <xf numFmtId="167" fontId="52" fillId="0" borderId="22" xfId="0" applyNumberFormat="1" applyFont="1" applyFill="1" applyBorder="1"/>
    <xf numFmtId="1" fontId="9" fillId="0" borderId="2" xfId="0" applyNumberFormat="1" applyFont="1" applyBorder="1" applyAlignment="1">
      <alignment horizontal="left"/>
    </xf>
    <xf numFmtId="1" fontId="14" fillId="0" borderId="2" xfId="0" applyNumberFormat="1" applyFont="1" applyBorder="1" applyAlignment="1">
      <alignment horizontal="left"/>
    </xf>
    <xf numFmtId="0" fontId="12" fillId="0" borderId="2" xfId="0" applyFont="1" applyBorder="1"/>
    <xf numFmtId="0" fontId="13" fillId="0" borderId="2" xfId="0" applyFont="1" applyBorder="1" applyAlignment="1">
      <alignment vertical="top"/>
    </xf>
    <xf numFmtId="168" fontId="21" fillId="0" borderId="5" xfId="0" applyNumberFormat="1" applyFont="1" applyFill="1" applyBorder="1" applyAlignment="1">
      <alignment horizontal="center"/>
    </xf>
    <xf numFmtId="0" fontId="14" fillId="0" borderId="0" xfId="0" applyFont="1" applyBorder="1" applyAlignment="1">
      <alignment vertical="top" wrapText="1"/>
    </xf>
    <xf numFmtId="1" fontId="13" fillId="3" borderId="6" xfId="0" applyNumberFormat="1" applyFont="1" applyFill="1" applyBorder="1" applyAlignment="1">
      <alignment horizontal="left"/>
    </xf>
    <xf numFmtId="0" fontId="12" fillId="0" borderId="0" xfId="0" applyFont="1"/>
    <xf numFmtId="1" fontId="5" fillId="0" borderId="27" xfId="0" applyNumberFormat="1" applyFont="1" applyBorder="1" applyAlignment="1">
      <alignment horizontal="left"/>
    </xf>
    <xf numFmtId="167" fontId="8" fillId="0" borderId="35" xfId="0" applyNumberFormat="1" applyFont="1" applyFill="1" applyBorder="1" applyAlignment="1">
      <alignment shrinkToFit="1"/>
    </xf>
    <xf numFmtId="3" fontId="12" fillId="0" borderId="9" xfId="0" applyNumberFormat="1" applyFont="1" applyBorder="1" applyAlignment="1">
      <alignment horizontal="right"/>
    </xf>
    <xf numFmtId="49" fontId="10" fillId="0" borderId="14" xfId="0" applyNumberFormat="1" applyFont="1" applyBorder="1" applyAlignment="1">
      <alignment horizontal="left" vertical="top"/>
    </xf>
    <xf numFmtId="0" fontId="14" fillId="0" borderId="27" xfId="0" applyFont="1" applyFill="1" applyBorder="1"/>
    <xf numFmtId="1" fontId="39" fillId="0" borderId="0" xfId="0" applyNumberFormat="1" applyFont="1" applyFill="1" applyBorder="1"/>
    <xf numFmtId="1" fontId="59" fillId="0" borderId="0" xfId="0" applyNumberFormat="1" applyFont="1" applyFill="1" applyBorder="1"/>
    <xf numFmtId="0" fontId="59" fillId="0" borderId="0" xfId="0" applyFont="1" applyFill="1" applyBorder="1" applyAlignment="1">
      <alignment horizontal="left"/>
    </xf>
    <xf numFmtId="0" fontId="59" fillId="0" borderId="0" xfId="0" applyFont="1" applyFill="1" applyBorder="1"/>
    <xf numFmtId="3" fontId="39" fillId="0" borderId="0" xfId="0" applyNumberFormat="1" applyFont="1" applyFill="1" applyBorder="1"/>
    <xf numFmtId="0" fontId="13" fillId="0" borderId="0" xfId="0" applyFont="1" applyBorder="1" applyAlignment="1">
      <alignment vertical="top"/>
    </xf>
    <xf numFmtId="166" fontId="12" fillId="3" borderId="25" xfId="0" applyNumberFormat="1" applyFont="1" applyFill="1" applyBorder="1" applyAlignment="1">
      <alignment horizontal="right"/>
    </xf>
    <xf numFmtId="0" fontId="35" fillId="0" borderId="38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1" fontId="35" fillId="0" borderId="9" xfId="0" applyNumberFormat="1" applyFont="1" applyFill="1" applyBorder="1" applyAlignment="1">
      <alignment horizontal="center" vertical="center" wrapText="1"/>
    </xf>
    <xf numFmtId="1" fontId="35" fillId="0" borderId="46" xfId="0" applyNumberFormat="1" applyFont="1" applyFill="1" applyBorder="1" applyAlignment="1">
      <alignment horizontal="center" vertical="center" wrapText="1"/>
    </xf>
    <xf numFmtId="1" fontId="35" fillId="0" borderId="23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/>
    </xf>
    <xf numFmtId="0" fontId="22" fillId="0" borderId="27" xfId="0" applyFont="1" applyFill="1" applyBorder="1" applyAlignment="1">
      <alignment horizontal="left" vertical="center"/>
    </xf>
    <xf numFmtId="0" fontId="14" fillId="0" borderId="34" xfId="0" applyFont="1" applyFill="1" applyBorder="1"/>
    <xf numFmtId="3" fontId="22" fillId="0" borderId="27" xfId="0" applyNumberFormat="1" applyFont="1" applyFill="1" applyBorder="1" applyAlignment="1">
      <alignment horizontal="right" vertical="center" wrapText="1"/>
    </xf>
    <xf numFmtId="3" fontId="22" fillId="0" borderId="0" xfId="0" applyNumberFormat="1" applyFont="1" applyFill="1" applyBorder="1" applyAlignment="1">
      <alignment horizontal="right" vertical="center" wrapText="1"/>
    </xf>
    <xf numFmtId="3" fontId="14" fillId="0" borderId="27" xfId="0" applyNumberFormat="1" applyFont="1" applyFill="1" applyBorder="1"/>
    <xf numFmtId="166" fontId="14" fillId="0" borderId="30" xfId="0" applyNumberFormat="1" applyFont="1" applyFill="1" applyBorder="1"/>
    <xf numFmtId="0" fontId="29" fillId="0" borderId="7" xfId="0" applyFont="1" applyFill="1" applyBorder="1"/>
    <xf numFmtId="1" fontId="5" fillId="0" borderId="8" xfId="0" applyNumberFormat="1" applyFont="1" applyFill="1" applyBorder="1" applyAlignment="1">
      <alignment horizontal="left"/>
    </xf>
    <xf numFmtId="0" fontId="14" fillId="0" borderId="8" xfId="0" applyFont="1" applyFill="1" applyBorder="1"/>
    <xf numFmtId="3" fontId="14" fillId="0" borderId="8" xfId="0" applyNumberFormat="1" applyFont="1" applyFill="1" applyBorder="1"/>
    <xf numFmtId="166" fontId="14" fillId="0" borderId="22" xfId="0" applyNumberFormat="1" applyFont="1" applyFill="1" applyBorder="1"/>
    <xf numFmtId="0" fontId="22" fillId="0" borderId="34" xfId="0" applyFont="1" applyFill="1" applyBorder="1" applyAlignment="1">
      <alignment horizontal="left" vertical="center"/>
    </xf>
    <xf numFmtId="3" fontId="22" fillId="0" borderId="14" xfId="0" applyNumberFormat="1" applyFont="1" applyFill="1" applyBorder="1" applyAlignment="1">
      <alignment horizontal="right" vertical="center" wrapText="1"/>
    </xf>
    <xf numFmtId="3" fontId="22" fillId="0" borderId="34" xfId="0" applyNumberFormat="1" applyFont="1" applyFill="1" applyBorder="1" applyAlignment="1">
      <alignment horizontal="right" vertical="center" wrapText="1"/>
    </xf>
    <xf numFmtId="3" fontId="22" fillId="0" borderId="17" xfId="0" applyNumberFormat="1" applyFont="1" applyFill="1" applyBorder="1" applyAlignment="1">
      <alignment horizontal="right" vertical="center" wrapText="1"/>
    </xf>
    <xf numFmtId="0" fontId="22" fillId="0" borderId="17" xfId="0" applyFont="1" applyFill="1" applyBorder="1" applyAlignment="1">
      <alignment horizontal="left" vertical="center"/>
    </xf>
    <xf numFmtId="171" fontId="10" fillId="0" borderId="17" xfId="0" applyNumberFormat="1" applyFont="1" applyFill="1" applyBorder="1" applyAlignment="1">
      <alignment horizontal="center"/>
    </xf>
    <xf numFmtId="0" fontId="22" fillId="0" borderId="8" xfId="0" applyFont="1" applyFill="1" applyBorder="1" applyAlignment="1">
      <alignment horizontal="left" vertical="center"/>
    </xf>
    <xf numFmtId="3" fontId="22" fillId="0" borderId="5" xfId="0" applyNumberFormat="1" applyFont="1" applyFill="1" applyBorder="1" applyAlignment="1">
      <alignment horizontal="right" vertical="center" wrapText="1"/>
    </xf>
    <xf numFmtId="3" fontId="22" fillId="0" borderId="8" xfId="0" applyNumberFormat="1" applyFont="1" applyFill="1" applyBorder="1" applyAlignment="1">
      <alignment horizontal="right" vertical="center" wrapText="1"/>
    </xf>
    <xf numFmtId="3" fontId="14" fillId="0" borderId="18" xfId="0" applyNumberFormat="1" applyFont="1" applyFill="1" applyBorder="1"/>
    <xf numFmtId="0" fontId="14" fillId="0" borderId="18" xfId="0" applyFont="1" applyFill="1" applyBorder="1"/>
    <xf numFmtId="171" fontId="10" fillId="0" borderId="18" xfId="0" applyNumberFormat="1" applyFont="1" applyFill="1" applyBorder="1" applyAlignment="1">
      <alignment horizontal="center"/>
    </xf>
    <xf numFmtId="3" fontId="14" fillId="0" borderId="48" xfId="0" applyNumberFormat="1" applyFont="1" applyFill="1" applyBorder="1"/>
    <xf numFmtId="0" fontId="14" fillId="0" borderId="48" xfId="0" applyFont="1" applyFill="1" applyBorder="1"/>
    <xf numFmtId="171" fontId="10" fillId="0" borderId="48" xfId="0" applyNumberFormat="1" applyFont="1" applyFill="1" applyBorder="1" applyAlignment="1">
      <alignment horizontal="center"/>
    </xf>
    <xf numFmtId="0" fontId="14" fillId="0" borderId="17" xfId="0" applyFont="1" applyFill="1" applyBorder="1"/>
    <xf numFmtId="0" fontId="29" fillId="0" borderId="6" xfId="0" applyFont="1" applyFill="1" applyBorder="1"/>
    <xf numFmtId="0" fontId="22" fillId="0" borderId="5" xfId="0" applyFont="1" applyFill="1" applyBorder="1" applyAlignment="1">
      <alignment horizontal="left" vertical="center"/>
    </xf>
    <xf numFmtId="1" fontId="22" fillId="0" borderId="9" xfId="0" applyNumberFormat="1" applyFont="1" applyFill="1" applyBorder="1" applyAlignment="1">
      <alignment horizontal="center" vertical="center" wrapText="1"/>
    </xf>
    <xf numFmtId="1" fontId="22" fillId="0" borderId="27" xfId="0" applyNumberFormat="1" applyFont="1" applyFill="1" applyBorder="1" applyAlignment="1">
      <alignment horizontal="right" vertical="center" wrapText="1"/>
    </xf>
    <xf numFmtId="1" fontId="22" fillId="0" borderId="5" xfId="0" applyNumberFormat="1" applyFont="1" applyFill="1" applyBorder="1" applyAlignment="1">
      <alignment horizontal="right" vertical="center" wrapText="1"/>
    </xf>
    <xf numFmtId="1" fontId="5" fillId="0" borderId="56" xfId="0" applyNumberFormat="1" applyFont="1" applyFill="1" applyBorder="1" applyAlignment="1">
      <alignment horizontal="left"/>
    </xf>
    <xf numFmtId="171" fontId="10" fillId="0" borderId="56" xfId="0" applyNumberFormat="1" applyFont="1" applyFill="1" applyBorder="1" applyAlignment="1">
      <alignment horizontal="center"/>
    </xf>
    <xf numFmtId="0" fontId="14" fillId="0" borderId="56" xfId="0" applyFont="1" applyFill="1" applyBorder="1"/>
    <xf numFmtId="3" fontId="14" fillId="0" borderId="56" xfId="0" applyNumberFormat="1" applyFont="1" applyFill="1" applyBorder="1"/>
    <xf numFmtId="1" fontId="5" fillId="0" borderId="8" xfId="0" applyNumberFormat="1" applyFont="1" applyFill="1" applyBorder="1" applyAlignment="1">
      <alignment horizontal="center"/>
    </xf>
    <xf numFmtId="0" fontId="23" fillId="0" borderId="6" xfId="0" applyFont="1" applyFill="1" applyBorder="1" applyAlignment="1"/>
    <xf numFmtId="0" fontId="23" fillId="0" borderId="17" xfId="0" applyFont="1" applyFill="1" applyBorder="1" applyAlignment="1"/>
    <xf numFmtId="0" fontId="23" fillId="0" borderId="0" xfId="0" applyFont="1" applyFill="1" applyBorder="1" applyAlignment="1"/>
    <xf numFmtId="1" fontId="22" fillId="0" borderId="18" xfId="0" applyNumberFormat="1" applyFont="1" applyFill="1" applyBorder="1" applyAlignment="1">
      <alignment horizontal="right" vertical="center" wrapText="1"/>
    </xf>
    <xf numFmtId="0" fontId="14" fillId="0" borderId="14" xfId="0" applyFont="1" applyFill="1" applyBorder="1"/>
    <xf numFmtId="3" fontId="22" fillId="0" borderId="18" xfId="0" applyNumberFormat="1" applyFont="1" applyFill="1" applyBorder="1" applyAlignment="1">
      <alignment horizontal="right" vertical="center" wrapText="1"/>
    </xf>
    <xf numFmtId="0" fontId="22" fillId="0" borderId="18" xfId="0" applyFont="1" applyFill="1" applyBorder="1" applyAlignment="1">
      <alignment horizontal="left" vertical="center"/>
    </xf>
    <xf numFmtId="0" fontId="22" fillId="0" borderId="56" xfId="0" applyFont="1" applyFill="1" applyBorder="1" applyAlignment="1">
      <alignment horizontal="left" vertical="center"/>
    </xf>
    <xf numFmtId="3" fontId="22" fillId="0" borderId="56" xfId="0" applyNumberFormat="1" applyFont="1" applyFill="1" applyBorder="1" applyAlignment="1">
      <alignment horizontal="right" vertical="center" wrapText="1"/>
    </xf>
    <xf numFmtId="1" fontId="22" fillId="0" borderId="56" xfId="0" applyNumberFormat="1" applyFont="1" applyFill="1" applyBorder="1" applyAlignment="1">
      <alignment horizontal="right" vertical="center" wrapText="1"/>
    </xf>
    <xf numFmtId="0" fontId="23" fillId="0" borderId="38" xfId="0" applyFont="1" applyFill="1" applyBorder="1" applyAlignment="1"/>
    <xf numFmtId="0" fontId="23" fillId="0" borderId="18" xfId="0" applyFont="1" applyFill="1" applyBorder="1" applyAlignment="1"/>
    <xf numFmtId="0" fontId="29" fillId="0" borderId="38" xfId="0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0" fontId="29" fillId="0" borderId="27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/>
    </xf>
    <xf numFmtId="0" fontId="29" fillId="0" borderId="48" xfId="0" applyFont="1" applyFill="1" applyBorder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1" fontId="37" fillId="0" borderId="0" xfId="0" applyNumberFormat="1" applyFont="1" applyFill="1" applyAlignment="1"/>
    <xf numFmtId="0" fontId="37" fillId="0" borderId="34" xfId="0" applyFont="1" applyBorder="1" applyAlignment="1"/>
    <xf numFmtId="0" fontId="29" fillId="0" borderId="4" xfId="0" applyFont="1" applyFill="1" applyBorder="1" applyAlignment="1">
      <alignment horizontal="center" vertical="center"/>
    </xf>
    <xf numFmtId="0" fontId="29" fillId="0" borderId="56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0" fontId="29" fillId="0" borderId="26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0" fontId="81" fillId="0" borderId="0" xfId="0" applyFont="1" applyFill="1"/>
    <xf numFmtId="0" fontId="5" fillId="0" borderId="0" xfId="0" applyFont="1" applyBorder="1" applyAlignment="1">
      <alignment vertical="top"/>
    </xf>
    <xf numFmtId="0" fontId="5" fillId="0" borderId="2" xfId="0" applyFont="1" applyBorder="1" applyAlignment="1"/>
    <xf numFmtId="0" fontId="45" fillId="0" borderId="2" xfId="0" applyFont="1" applyBorder="1" applyAlignment="1"/>
    <xf numFmtId="0" fontId="12" fillId="0" borderId="2" xfId="0" applyFont="1" applyBorder="1" applyAlignment="1"/>
    <xf numFmtId="0" fontId="13" fillId="0" borderId="34" xfId="0" applyFont="1" applyBorder="1" applyAlignment="1">
      <alignment vertical="top"/>
    </xf>
    <xf numFmtId="1" fontId="12" fillId="0" borderId="2" xfId="0" applyNumberFormat="1" applyFont="1" applyBorder="1" applyAlignment="1">
      <alignment horizontal="left"/>
    </xf>
    <xf numFmtId="0" fontId="10" fillId="0" borderId="0" xfId="0" applyFont="1" applyFill="1"/>
    <xf numFmtId="3" fontId="10" fillId="0" borderId="0" xfId="0" applyNumberFormat="1" applyFont="1" applyFill="1"/>
    <xf numFmtId="3" fontId="12" fillId="0" borderId="0" xfId="0" applyNumberFormat="1" applyFont="1" applyBorder="1" applyAlignment="1">
      <alignment horizontal="right"/>
    </xf>
    <xf numFmtId="167" fontId="29" fillId="0" borderId="0" xfId="0" applyNumberFormat="1" applyFont="1" applyFill="1" applyAlignment="1">
      <alignment shrinkToFit="1"/>
    </xf>
    <xf numFmtId="3" fontId="18" fillId="0" borderId="0" xfId="0" applyNumberFormat="1" applyFont="1" applyFill="1"/>
    <xf numFmtId="0" fontId="12" fillId="0" borderId="0" xfId="0" applyFont="1" applyAlignment="1">
      <alignment horizontal="right"/>
    </xf>
    <xf numFmtId="49" fontId="10" fillId="0" borderId="17" xfId="0" applyNumberFormat="1" applyFont="1" applyBorder="1" applyAlignment="1">
      <alignment horizontal="left" vertical="top"/>
    </xf>
    <xf numFmtId="0" fontId="12" fillId="0" borderId="2" xfId="0" applyFont="1" applyBorder="1" applyAlignment="1">
      <alignment vertical="top"/>
    </xf>
    <xf numFmtId="0" fontId="15" fillId="0" borderId="17" xfId="0" applyFont="1" applyBorder="1" applyAlignment="1">
      <alignment vertical="top"/>
    </xf>
    <xf numFmtId="49" fontId="10" fillId="0" borderId="17" xfId="0" applyNumberFormat="1" applyFont="1" applyFill="1" applyBorder="1" applyAlignment="1">
      <alignment horizontal="left" vertical="top"/>
    </xf>
    <xf numFmtId="3" fontId="15" fillId="0" borderId="17" xfId="0" applyNumberFormat="1" applyFont="1" applyFill="1" applyBorder="1" applyAlignment="1">
      <alignment vertical="top"/>
    </xf>
    <xf numFmtId="166" fontId="15" fillId="0" borderId="21" xfId="0" applyNumberFormat="1" applyFont="1" applyFill="1" applyBorder="1" applyAlignment="1">
      <alignment vertical="top"/>
    </xf>
    <xf numFmtId="3" fontId="14" fillId="0" borderId="17" xfId="0" applyNumberFormat="1" applyFont="1" applyFill="1" applyBorder="1" applyAlignment="1">
      <alignment vertical="top"/>
    </xf>
    <xf numFmtId="166" fontId="14" fillId="0" borderId="25" xfId="0" applyNumberFormat="1" applyFont="1" applyFill="1" applyBorder="1" applyAlignment="1">
      <alignment vertical="top"/>
    </xf>
    <xf numFmtId="166" fontId="15" fillId="0" borderId="25" xfId="0" applyNumberFormat="1" applyFont="1" applyFill="1" applyBorder="1" applyAlignment="1">
      <alignment vertical="top"/>
    </xf>
    <xf numFmtId="3" fontId="15" fillId="0" borderId="2" xfId="0" applyNumberFormat="1" applyFont="1" applyFill="1" applyBorder="1" applyAlignment="1">
      <alignment vertical="top"/>
    </xf>
    <xf numFmtId="49" fontId="10" fillId="0" borderId="2" xfId="0" applyNumberFormat="1" applyFont="1" applyFill="1" applyBorder="1" applyAlignment="1">
      <alignment horizontal="left" vertical="center"/>
    </xf>
    <xf numFmtId="49" fontId="10" fillId="0" borderId="14" xfId="3" applyNumberFormat="1" applyFont="1" applyBorder="1" applyAlignment="1">
      <alignment horizontal="left" vertical="top"/>
    </xf>
    <xf numFmtId="3" fontId="15" fillId="0" borderId="0" xfId="3" applyFont="1" applyAlignment="1">
      <alignment wrapText="1"/>
    </xf>
    <xf numFmtId="1" fontId="22" fillId="0" borderId="17" xfId="0" applyNumberFormat="1" applyFont="1" applyFill="1" applyBorder="1" applyAlignment="1">
      <alignment horizontal="right" vertical="center" wrapText="1"/>
    </xf>
    <xf numFmtId="0" fontId="12" fillId="0" borderId="2" xfId="0" applyFont="1" applyFill="1" applyBorder="1" applyAlignment="1">
      <alignment vertical="top"/>
    </xf>
    <xf numFmtId="0" fontId="35" fillId="0" borderId="2" xfId="0" applyFont="1" applyFill="1" applyBorder="1" applyAlignment="1">
      <alignment horizontal="center" vertical="center"/>
    </xf>
    <xf numFmtId="3" fontId="15" fillId="0" borderId="0" xfId="0" applyNumberFormat="1" applyFont="1" applyBorder="1" applyAlignment="1">
      <alignment horizontal="right"/>
    </xf>
    <xf numFmtId="3" fontId="83" fillId="0" borderId="0" xfId="0" applyNumberFormat="1" applyFont="1" applyFill="1" applyBorder="1" applyAlignment="1">
      <alignment horizontal="center" vertical="center"/>
    </xf>
    <xf numFmtId="3" fontId="84" fillId="0" borderId="0" xfId="0" applyNumberFormat="1" applyFont="1" applyFill="1" applyBorder="1" applyAlignment="1">
      <alignment horizontal="center" vertical="center"/>
    </xf>
    <xf numFmtId="4" fontId="85" fillId="0" borderId="0" xfId="0" applyNumberFormat="1" applyFont="1" applyFill="1" applyBorder="1"/>
    <xf numFmtId="4" fontId="86" fillId="0" borderId="0" xfId="0" applyNumberFormat="1" applyFont="1" applyFill="1" applyBorder="1"/>
    <xf numFmtId="4" fontId="87" fillId="0" borderId="0" xfId="0" applyNumberFormat="1" applyFont="1" applyFill="1"/>
    <xf numFmtId="4" fontId="88" fillId="0" borderId="0" xfId="0" applyNumberFormat="1" applyFont="1" applyFill="1"/>
    <xf numFmtId="0" fontId="83" fillId="0" borderId="0" xfId="0" applyFont="1" applyFill="1"/>
    <xf numFmtId="0" fontId="22" fillId="0" borderId="12" xfId="0" applyFont="1" applyFill="1" applyBorder="1" applyAlignment="1">
      <alignment vertical="top"/>
    </xf>
    <xf numFmtId="0" fontId="24" fillId="0" borderId="17" xfId="0" applyFont="1" applyFill="1" applyBorder="1" applyAlignment="1">
      <alignment vertical="center" wrapText="1"/>
    </xf>
    <xf numFmtId="4" fontId="85" fillId="0" borderId="0" xfId="0" applyNumberFormat="1" applyFont="1" applyFill="1" applyBorder="1" applyAlignment="1">
      <alignment vertical="center" wrapText="1"/>
    </xf>
    <xf numFmtId="3" fontId="9" fillId="0" borderId="27" xfId="0" applyNumberFormat="1" applyFont="1" applyFill="1" applyBorder="1" applyAlignment="1">
      <alignment horizontal="right"/>
    </xf>
    <xf numFmtId="1" fontId="35" fillId="0" borderId="0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Border="1" applyAlignment="1">
      <alignment horizontal="left" vertical="top"/>
    </xf>
    <xf numFmtId="167" fontId="9" fillId="0" borderId="35" xfId="0" applyNumberFormat="1" applyFont="1" applyBorder="1" applyAlignment="1">
      <alignment horizontal="right"/>
    </xf>
    <xf numFmtId="3" fontId="12" fillId="0" borderId="2" xfId="0" applyNumberFormat="1" applyFont="1" applyFill="1" applyBorder="1" applyAlignment="1">
      <alignment horizontal="right" vertical="top"/>
    </xf>
    <xf numFmtId="3" fontId="12" fillId="0" borderId="0" xfId="0" applyNumberFormat="1" applyFont="1" applyFill="1" applyBorder="1" applyAlignment="1">
      <alignment horizontal="right" vertical="top"/>
    </xf>
    <xf numFmtId="167" fontId="9" fillId="0" borderId="30" xfId="0" applyNumberFormat="1" applyFont="1" applyBorder="1" applyAlignment="1">
      <alignment horizontal="right"/>
    </xf>
    <xf numFmtId="167" fontId="14" fillId="0" borderId="30" xfId="0" applyNumberFormat="1" applyFont="1" applyBorder="1" applyAlignment="1">
      <alignment horizontal="right"/>
    </xf>
    <xf numFmtId="167" fontId="12" fillId="0" borderId="35" xfId="0" applyNumberFormat="1" applyFont="1" applyBorder="1" applyAlignment="1">
      <alignment horizontal="right"/>
    </xf>
    <xf numFmtId="167" fontId="14" fillId="0" borderId="35" xfId="0" applyNumberFormat="1" applyFont="1" applyBorder="1" applyAlignment="1">
      <alignment horizontal="right"/>
    </xf>
    <xf numFmtId="1" fontId="10" fillId="0" borderId="9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1" fontId="5" fillId="0" borderId="0" xfId="0" applyNumberFormat="1" applyFont="1" applyBorder="1" applyAlignment="1">
      <alignment horizontal="left" vertical="top"/>
    </xf>
    <xf numFmtId="3" fontId="9" fillId="0" borderId="0" xfId="0" applyNumberFormat="1" applyFont="1" applyFill="1" applyBorder="1" applyAlignment="1">
      <alignment horizontal="right" vertical="top"/>
    </xf>
    <xf numFmtId="167" fontId="9" fillId="0" borderId="25" xfId="0" applyNumberFormat="1" applyFont="1" applyBorder="1" applyAlignment="1">
      <alignment horizontal="right" vertical="top"/>
    </xf>
    <xf numFmtId="1" fontId="5" fillId="0" borderId="6" xfId="0" applyNumberFormat="1" applyFont="1" applyBorder="1" applyAlignment="1">
      <alignment horizontal="left" vertical="top"/>
    </xf>
    <xf numFmtId="1" fontId="9" fillId="0" borderId="17" xfId="0" applyNumberFormat="1" applyFont="1" applyBorder="1" applyAlignment="1">
      <alignment horizontal="left"/>
    </xf>
    <xf numFmtId="1" fontId="14" fillId="0" borderId="17" xfId="0" applyNumberFormat="1" applyFont="1" applyBorder="1" applyAlignment="1">
      <alignment horizontal="left"/>
    </xf>
    <xf numFmtId="0" fontId="14" fillId="0" borderId="17" xfId="0" applyFont="1" applyBorder="1" applyAlignment="1"/>
    <xf numFmtId="1" fontId="27" fillId="0" borderId="2" xfId="0" applyNumberFormat="1" applyFont="1" applyBorder="1" applyAlignment="1">
      <alignment horizontal="left"/>
    </xf>
    <xf numFmtId="166" fontId="12" fillId="0" borderId="25" xfId="0" applyNumberFormat="1" applyFont="1" applyBorder="1" applyAlignment="1">
      <alignment horizontal="right" vertical="top"/>
    </xf>
    <xf numFmtId="167" fontId="12" fillId="0" borderId="25" xfId="0" applyNumberFormat="1" applyFont="1" applyBorder="1" applyAlignment="1">
      <alignment horizontal="right" vertical="top"/>
    </xf>
    <xf numFmtId="168" fontId="10" fillId="3" borderId="0" xfId="0" applyNumberFormat="1" applyFont="1" applyFill="1" applyBorder="1" applyAlignment="1">
      <alignment horizontal="left"/>
    </xf>
    <xf numFmtId="0" fontId="9" fillId="0" borderId="0" xfId="0" applyFont="1" applyAlignment="1">
      <alignment horizontal="right"/>
    </xf>
    <xf numFmtId="0" fontId="12" fillId="0" borderId="0" xfId="0" applyFont="1" applyFill="1" applyAlignment="1">
      <alignment horizontal="right"/>
    </xf>
    <xf numFmtId="0" fontId="9" fillId="0" borderId="2" xfId="0" applyFont="1" applyBorder="1"/>
    <xf numFmtId="0" fontId="14" fillId="0" borderId="2" xfId="0" applyFont="1" applyBorder="1" applyAlignment="1">
      <alignment vertical="top"/>
    </xf>
    <xf numFmtId="0" fontId="13" fillId="0" borderId="14" xfId="0" applyFont="1" applyBorder="1" applyAlignment="1"/>
    <xf numFmtId="1" fontId="5" fillId="0" borderId="12" xfId="0" applyNumberFormat="1" applyFont="1" applyFill="1" applyBorder="1" applyAlignment="1">
      <alignment horizontal="left"/>
    </xf>
    <xf numFmtId="0" fontId="8" fillId="3" borderId="2" xfId="0" applyFont="1" applyFill="1" applyBorder="1"/>
    <xf numFmtId="49" fontId="27" fillId="0" borderId="0" xfId="0" applyNumberFormat="1" applyFont="1" applyBorder="1" applyAlignment="1">
      <alignment horizontal="left"/>
    </xf>
    <xf numFmtId="1" fontId="13" fillId="0" borderId="12" xfId="0" applyNumberFormat="1" applyFont="1" applyBorder="1" applyAlignment="1">
      <alignment horizontal="left"/>
    </xf>
    <xf numFmtId="3" fontId="12" fillId="0" borderId="2" xfId="0" applyNumberFormat="1" applyFont="1" applyFill="1" applyBorder="1" applyAlignment="1">
      <alignment vertical="top"/>
    </xf>
    <xf numFmtId="3" fontId="55" fillId="0" borderId="5" xfId="0" applyNumberFormat="1" applyFont="1" applyFill="1" applyBorder="1"/>
    <xf numFmtId="3" fontId="39" fillId="0" borderId="5" xfId="0" applyNumberFormat="1" applyFont="1" applyFill="1" applyBorder="1" applyAlignment="1"/>
    <xf numFmtId="3" fontId="55" fillId="0" borderId="14" xfId="0" applyNumberFormat="1" applyFont="1" applyFill="1" applyBorder="1"/>
    <xf numFmtId="3" fontId="12" fillId="0" borderId="14" xfId="0" applyNumberFormat="1" applyFont="1" applyFill="1" applyBorder="1" applyAlignment="1">
      <alignment horizontal="right" vertical="top"/>
    </xf>
    <xf numFmtId="3" fontId="24" fillId="0" borderId="2" xfId="0" applyNumberFormat="1" applyFont="1" applyFill="1" applyBorder="1" applyAlignment="1">
      <alignment horizontal="right" vertical="center" wrapText="1"/>
    </xf>
    <xf numFmtId="167" fontId="9" fillId="0" borderId="25" xfId="0" applyNumberFormat="1" applyFont="1" applyFill="1" applyBorder="1" applyAlignment="1">
      <alignment horizontal="right"/>
    </xf>
    <xf numFmtId="0" fontId="4" fillId="0" borderId="1" xfId="0" applyFont="1" applyFill="1" applyBorder="1"/>
    <xf numFmtId="166" fontId="4" fillId="0" borderId="0" xfId="0" applyNumberFormat="1" applyFont="1" applyFill="1"/>
    <xf numFmtId="0" fontId="4" fillId="0" borderId="38" xfId="0" applyFont="1" applyFill="1" applyBorder="1"/>
    <xf numFmtId="0" fontId="4" fillId="0" borderId="2" xfId="0" applyFont="1" applyFill="1" applyBorder="1"/>
    <xf numFmtId="0" fontId="4" fillId="0" borderId="17" xfId="0" applyFont="1" applyFill="1" applyBorder="1"/>
    <xf numFmtId="0" fontId="4" fillId="0" borderId="50" xfId="0" applyFont="1" applyFill="1" applyBorder="1"/>
    <xf numFmtId="1" fontId="12" fillId="0" borderId="48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4" fillId="0" borderId="15" xfId="0" applyFont="1" applyFill="1" applyBorder="1"/>
    <xf numFmtId="0" fontId="4" fillId="0" borderId="6" xfId="0" applyFont="1" applyFill="1" applyBorder="1" applyAlignment="1">
      <alignment horizontal="center" vertical="center"/>
    </xf>
    <xf numFmtId="0" fontId="4" fillId="0" borderId="14" xfId="0" applyFont="1" applyFill="1" applyBorder="1"/>
    <xf numFmtId="0" fontId="24" fillId="0" borderId="2" xfId="0" applyFont="1" applyBorder="1"/>
    <xf numFmtId="0" fontId="4" fillId="0" borderId="47" xfId="0" applyFont="1" applyFill="1" applyBorder="1"/>
    <xf numFmtId="49" fontId="10" fillId="0" borderId="2" xfId="0" applyNumberFormat="1" applyFont="1" applyBorder="1" applyAlignment="1">
      <alignment horizontal="left" vertical="center"/>
    </xf>
    <xf numFmtId="49" fontId="10" fillId="3" borderId="2" xfId="0" applyNumberFormat="1" applyFont="1" applyFill="1" applyBorder="1" applyAlignment="1">
      <alignment horizontal="left" vertical="top"/>
    </xf>
    <xf numFmtId="0" fontId="24" fillId="3" borderId="2" xfId="0" applyFont="1" applyFill="1" applyBorder="1" applyAlignment="1">
      <alignment wrapText="1"/>
    </xf>
    <xf numFmtId="3" fontId="24" fillId="0" borderId="17" xfId="0" applyNumberFormat="1" applyFont="1" applyFill="1" applyBorder="1" applyAlignment="1">
      <alignment horizontal="right" vertical="center" wrapText="1"/>
    </xf>
    <xf numFmtId="166" fontId="14" fillId="0" borderId="0" xfId="0" applyNumberFormat="1" applyFont="1" applyFill="1" applyBorder="1"/>
    <xf numFmtId="1" fontId="22" fillId="0" borderId="2" xfId="0" applyNumberFormat="1" applyFont="1" applyFill="1" applyBorder="1" applyAlignment="1">
      <alignment horizontal="right" vertical="center" wrapText="1"/>
    </xf>
    <xf numFmtId="0" fontId="4" fillId="0" borderId="11" xfId="0" applyFont="1" applyFill="1" applyBorder="1"/>
    <xf numFmtId="0" fontId="4" fillId="0" borderId="8" xfId="0" applyFont="1" applyBorder="1"/>
    <xf numFmtId="0" fontId="4" fillId="0" borderId="56" xfId="0" applyFont="1" applyBorder="1"/>
    <xf numFmtId="0" fontId="4" fillId="0" borderId="0" xfId="0" applyFont="1" applyBorder="1"/>
    <xf numFmtId="3" fontId="31" fillId="0" borderId="10" xfId="0" applyNumberFormat="1" applyFont="1" applyFill="1" applyBorder="1" applyAlignment="1">
      <alignment shrinkToFit="1"/>
    </xf>
    <xf numFmtId="0" fontId="14" fillId="0" borderId="17" xfId="0" applyFont="1" applyBorder="1"/>
    <xf numFmtId="166" fontId="14" fillId="0" borderId="30" xfId="7" applyNumberFormat="1" applyFont="1" applyBorder="1" applyAlignment="1">
      <alignment horizontal="right"/>
    </xf>
    <xf numFmtId="166" fontId="12" fillId="0" borderId="25" xfId="7" applyNumberFormat="1" applyFont="1" applyBorder="1" applyAlignment="1">
      <alignment horizontal="right"/>
    </xf>
    <xf numFmtId="166" fontId="14" fillId="0" borderId="25" xfId="7" applyNumberFormat="1" applyFont="1" applyBorder="1" applyAlignment="1">
      <alignment horizontal="right"/>
    </xf>
    <xf numFmtId="166" fontId="9" fillId="3" borderId="25" xfId="7" applyNumberFormat="1" applyFont="1" applyFill="1" applyBorder="1" applyAlignment="1">
      <alignment horizontal="right"/>
    </xf>
    <xf numFmtId="166" fontId="12" fillId="3" borderId="35" xfId="7" applyNumberFormat="1" applyFont="1" applyFill="1" applyBorder="1" applyAlignment="1">
      <alignment horizontal="right"/>
    </xf>
    <xf numFmtId="3" fontId="12" fillId="0" borderId="27" xfId="0" applyNumberFormat="1" applyFont="1" applyFill="1" applyBorder="1" applyAlignment="1">
      <alignment horizontal="right"/>
    </xf>
    <xf numFmtId="1" fontId="13" fillId="0" borderId="17" xfId="0" applyNumberFormat="1" applyFont="1" applyBorder="1" applyAlignment="1">
      <alignment horizontal="left"/>
    </xf>
    <xf numFmtId="166" fontId="12" fillId="0" borderId="21" xfId="0" applyNumberFormat="1" applyFont="1" applyBorder="1" applyAlignment="1">
      <alignment horizontal="right"/>
    </xf>
    <xf numFmtId="3" fontId="5" fillId="0" borderId="0" xfId="0" applyNumberFormat="1" applyFont="1" applyFill="1" applyBorder="1"/>
    <xf numFmtId="3" fontId="24" fillId="0" borderId="1" xfId="0" applyNumberFormat="1" applyFont="1" applyFill="1" applyBorder="1"/>
    <xf numFmtId="168" fontId="53" fillId="0" borderId="0" xfId="0" applyNumberFormat="1" applyFont="1" applyFill="1" applyAlignment="1">
      <alignment horizontal="center"/>
    </xf>
    <xf numFmtId="1" fontId="53" fillId="0" borderId="0" xfId="0" applyNumberFormat="1" applyFont="1" applyFill="1" applyAlignment="1">
      <alignment horizontal="left"/>
    </xf>
    <xf numFmtId="0" fontId="53" fillId="0" borderId="0" xfId="0" applyFont="1" applyFill="1" applyAlignment="1">
      <alignment horizontal="left"/>
    </xf>
    <xf numFmtId="0" fontId="24" fillId="0" borderId="2" xfId="0" applyFont="1" applyFill="1" applyBorder="1"/>
    <xf numFmtId="1" fontId="24" fillId="0" borderId="17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vertical="top"/>
    </xf>
    <xf numFmtId="0" fontId="4" fillId="0" borderId="0" xfId="0" applyFont="1" applyFill="1" applyAlignment="1">
      <alignment vertical="top"/>
    </xf>
    <xf numFmtId="0" fontId="4" fillId="0" borderId="38" xfId="0" applyFont="1" applyFill="1" applyBorder="1" applyAlignment="1">
      <alignment vertical="top"/>
    </xf>
    <xf numFmtId="1" fontId="5" fillId="0" borderId="9" xfId="0" applyNumberFormat="1" applyFont="1" applyFill="1" applyBorder="1" applyAlignment="1">
      <alignment horizontal="left" vertical="top"/>
    </xf>
    <xf numFmtId="3" fontId="10" fillId="0" borderId="9" xfId="0" applyNumberFormat="1" applyFont="1" applyFill="1" applyBorder="1" applyAlignment="1">
      <alignment horizontal="left" vertical="top"/>
    </xf>
    <xf numFmtId="0" fontId="9" fillId="0" borderId="9" xfId="0" applyFont="1" applyFill="1" applyBorder="1" applyAlignment="1">
      <alignment vertical="top"/>
    </xf>
    <xf numFmtId="3" fontId="9" fillId="0" borderId="9" xfId="0" applyNumberFormat="1" applyFont="1" applyFill="1" applyBorder="1" applyAlignment="1">
      <alignment vertical="top"/>
    </xf>
    <xf numFmtId="166" fontId="9" fillId="0" borderId="23" xfId="0" applyNumberFormat="1" applyFont="1" applyFill="1" applyBorder="1" applyAlignment="1">
      <alignment vertical="top"/>
    </xf>
    <xf numFmtId="3" fontId="24" fillId="0" borderId="15" xfId="0" applyNumberFormat="1" applyFont="1" applyFill="1" applyBorder="1" applyAlignment="1">
      <alignment horizontal="right" vertical="center" wrapText="1"/>
    </xf>
    <xf numFmtId="1" fontId="24" fillId="0" borderId="2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vertical="top" wrapText="1"/>
    </xf>
    <xf numFmtId="3" fontId="9" fillId="0" borderId="5" xfId="0" applyNumberFormat="1" applyFont="1" applyFill="1" applyBorder="1" applyAlignment="1">
      <alignment vertical="top"/>
    </xf>
    <xf numFmtId="166" fontId="9" fillId="0" borderId="24" xfId="0" applyNumberFormat="1" applyFont="1" applyFill="1" applyBorder="1" applyAlignment="1">
      <alignment vertical="top"/>
    </xf>
    <xf numFmtId="3" fontId="4" fillId="0" borderId="0" xfId="0" applyNumberFormat="1" applyFont="1" applyFill="1" applyAlignment="1">
      <alignment vertical="top"/>
    </xf>
    <xf numFmtId="1" fontId="5" fillId="0" borderId="0" xfId="0" applyNumberFormat="1" applyFont="1" applyFill="1" applyAlignment="1">
      <alignment horizontal="left" vertical="top"/>
    </xf>
    <xf numFmtId="3" fontId="28" fillId="0" borderId="0" xfId="0" applyNumberFormat="1" applyFont="1" applyFill="1" applyAlignment="1">
      <alignment vertical="top"/>
    </xf>
    <xf numFmtId="166" fontId="4" fillId="0" borderId="0" xfId="0" applyNumberFormat="1" applyFont="1" applyFill="1" applyAlignment="1">
      <alignment vertical="top"/>
    </xf>
    <xf numFmtId="0" fontId="35" fillId="0" borderId="4" xfId="0" applyFont="1" applyFill="1" applyBorder="1" applyAlignment="1">
      <alignment horizontal="center" vertical="top"/>
    </xf>
    <xf numFmtId="0" fontId="35" fillId="0" borderId="5" xfId="0" applyFont="1" applyFill="1" applyBorder="1" applyAlignment="1">
      <alignment horizontal="center" vertical="top"/>
    </xf>
    <xf numFmtId="1" fontId="35" fillId="0" borderId="5" xfId="0" applyNumberFormat="1" applyFont="1" applyFill="1" applyBorder="1" applyAlignment="1">
      <alignment horizontal="center" vertical="top" wrapText="1"/>
    </xf>
    <xf numFmtId="1" fontId="35" fillId="0" borderId="37" xfId="0" applyNumberFormat="1" applyFont="1" applyFill="1" applyBorder="1" applyAlignment="1">
      <alignment horizontal="center" vertical="top" wrapText="1"/>
    </xf>
    <xf numFmtId="1" fontId="35" fillId="0" borderId="24" xfId="0" applyNumberFormat="1" applyFont="1" applyFill="1" applyBorder="1" applyAlignment="1">
      <alignment horizontal="center" vertical="top" wrapText="1"/>
    </xf>
    <xf numFmtId="0" fontId="28" fillId="0" borderId="0" xfId="0" applyFont="1" applyFill="1" applyAlignment="1">
      <alignment vertical="top"/>
    </xf>
    <xf numFmtId="0" fontId="4" fillId="0" borderId="6" xfId="0" applyFont="1" applyFill="1" applyBorder="1" applyAlignment="1">
      <alignment vertical="top"/>
    </xf>
    <xf numFmtId="1" fontId="5" fillId="0" borderId="2" xfId="0" applyNumberFormat="1" applyFont="1" applyFill="1" applyBorder="1" applyAlignment="1">
      <alignment horizontal="left" vertical="top"/>
    </xf>
    <xf numFmtId="0" fontId="24" fillId="0" borderId="2" xfId="0" applyFont="1" applyFill="1" applyBorder="1" applyAlignment="1">
      <alignment vertical="top"/>
    </xf>
    <xf numFmtId="0" fontId="37" fillId="0" borderId="0" xfId="0" applyFont="1" applyFill="1" applyAlignment="1">
      <alignment vertical="top"/>
    </xf>
    <xf numFmtId="166" fontId="15" fillId="0" borderId="62" xfId="0" applyNumberFormat="1" applyFont="1" applyFill="1" applyBorder="1"/>
    <xf numFmtId="0" fontId="4" fillId="0" borderId="63" xfId="0" applyFont="1" applyFill="1" applyBorder="1"/>
    <xf numFmtId="166" fontId="14" fillId="0" borderId="62" xfId="0" applyNumberFormat="1" applyFont="1" applyFill="1" applyBorder="1"/>
    <xf numFmtId="0" fontId="4" fillId="3" borderId="2" xfId="0" applyFont="1" applyFill="1" applyBorder="1" applyAlignment="1">
      <alignment wrapText="1"/>
    </xf>
    <xf numFmtId="3" fontId="9" fillId="0" borderId="0" xfId="0" applyNumberFormat="1" applyFont="1" applyFill="1" applyBorder="1" applyAlignment="1">
      <alignment vertical="top"/>
    </xf>
    <xf numFmtId="166" fontId="9" fillId="0" borderId="0" xfId="0" applyNumberFormat="1" applyFont="1" applyFill="1" applyBorder="1" applyAlignment="1">
      <alignment vertical="top"/>
    </xf>
    <xf numFmtId="1" fontId="5" fillId="0" borderId="17" xfId="0" applyNumberFormat="1" applyFont="1" applyFill="1" applyBorder="1" applyAlignment="1">
      <alignment horizontal="left" vertical="top"/>
    </xf>
    <xf numFmtId="0" fontId="4" fillId="0" borderId="17" xfId="0" applyFont="1" applyFill="1" applyBorder="1" applyAlignment="1">
      <alignment vertical="top"/>
    </xf>
    <xf numFmtId="1" fontId="12" fillId="0" borderId="2" xfId="0" applyNumberFormat="1" applyFont="1" applyFill="1" applyBorder="1" applyAlignment="1">
      <alignment horizontal="left" vertical="top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Alignment="1">
      <alignment vertical="top" wrapText="1"/>
    </xf>
    <xf numFmtId="3" fontId="61" fillId="0" borderId="0" xfId="0" applyNumberFormat="1" applyFont="1" applyFill="1"/>
    <xf numFmtId="166" fontId="24" fillId="0" borderId="0" xfId="0" applyNumberFormat="1" applyFont="1" applyFill="1"/>
    <xf numFmtId="3" fontId="24" fillId="0" borderId="0" xfId="0" applyNumberFormat="1" applyFont="1" applyFill="1" applyAlignment="1">
      <alignment horizontal="right"/>
    </xf>
    <xf numFmtId="3" fontId="24" fillId="0" borderId="0" xfId="0" applyNumberFormat="1" applyFont="1" applyFill="1" applyAlignment="1">
      <alignment vertical="top"/>
    </xf>
    <xf numFmtId="166" fontId="24" fillId="0" borderId="0" xfId="0" applyNumberFormat="1" applyFont="1" applyFill="1" applyAlignment="1">
      <alignment vertical="top"/>
    </xf>
    <xf numFmtId="166" fontId="28" fillId="0" borderId="0" xfId="0" applyNumberFormat="1" applyFont="1" applyFill="1" applyAlignment="1">
      <alignment vertical="top"/>
    </xf>
    <xf numFmtId="0" fontId="7" fillId="0" borderId="4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1" fontId="7" fillId="0" borderId="5" xfId="0" applyNumberFormat="1" applyFont="1" applyFill="1" applyBorder="1" applyAlignment="1">
      <alignment horizontal="center" vertical="top"/>
    </xf>
    <xf numFmtId="3" fontId="7" fillId="0" borderId="5" xfId="0" applyNumberFormat="1" applyFont="1" applyFill="1" applyBorder="1" applyAlignment="1">
      <alignment horizontal="center" vertical="top"/>
    </xf>
    <xf numFmtId="166" fontId="7" fillId="0" borderId="24" xfId="0" applyNumberFormat="1" applyFont="1" applyFill="1" applyBorder="1" applyAlignment="1">
      <alignment horizontal="center" vertical="top"/>
    </xf>
    <xf numFmtId="0" fontId="7" fillId="0" borderId="0" xfId="0" applyFont="1" applyFill="1" applyAlignment="1">
      <alignment vertical="top"/>
    </xf>
    <xf numFmtId="0" fontId="4" fillId="0" borderId="2" xfId="0" applyFont="1" applyFill="1" applyBorder="1" applyAlignment="1">
      <alignment vertical="top"/>
    </xf>
    <xf numFmtId="3" fontId="27" fillId="0" borderId="2" xfId="0" applyNumberFormat="1" applyFont="1" applyFill="1" applyBorder="1" applyAlignment="1">
      <alignment horizontal="left" vertical="top"/>
    </xf>
    <xf numFmtId="0" fontId="9" fillId="0" borderId="2" xfId="0" applyFont="1" applyFill="1" applyBorder="1" applyAlignment="1">
      <alignment vertical="top"/>
    </xf>
    <xf numFmtId="3" fontId="9" fillId="0" borderId="2" xfId="0" applyNumberFormat="1" applyFont="1" applyFill="1" applyBorder="1" applyAlignment="1">
      <alignment vertical="top"/>
    </xf>
    <xf numFmtId="166" fontId="9" fillId="0" borderId="21" xfId="0" applyNumberFormat="1" applyFont="1" applyFill="1" applyBorder="1" applyAlignment="1">
      <alignment vertical="top"/>
    </xf>
    <xf numFmtId="3" fontId="10" fillId="0" borderId="2" xfId="0" applyNumberFormat="1" applyFont="1" applyFill="1" applyBorder="1" applyAlignment="1">
      <alignment horizontal="left" vertical="top"/>
    </xf>
    <xf numFmtId="0" fontId="9" fillId="0" borderId="17" xfId="0" applyFont="1" applyFill="1" applyBorder="1" applyAlignment="1">
      <alignment vertical="top"/>
    </xf>
    <xf numFmtId="3" fontId="9" fillId="0" borderId="17" xfId="0" applyNumberFormat="1" applyFont="1" applyFill="1" applyBorder="1" applyAlignment="1">
      <alignment vertical="top"/>
    </xf>
    <xf numFmtId="166" fontId="9" fillId="0" borderId="25" xfId="0" applyNumberFormat="1" applyFont="1" applyFill="1" applyBorder="1" applyAlignment="1">
      <alignment vertical="top"/>
    </xf>
    <xf numFmtId="3" fontId="9" fillId="0" borderId="41" xfId="0" applyNumberFormat="1" applyFont="1" applyFill="1" applyBorder="1" applyAlignment="1">
      <alignment vertical="top"/>
    </xf>
    <xf numFmtId="3" fontId="12" fillId="0" borderId="17" xfId="0" applyNumberFormat="1" applyFont="1" applyFill="1" applyBorder="1" applyAlignment="1">
      <alignment vertical="top"/>
    </xf>
    <xf numFmtId="0" fontId="4" fillId="0" borderId="47" xfId="0" applyFont="1" applyFill="1" applyBorder="1" applyAlignment="1">
      <alignment vertical="top"/>
    </xf>
    <xf numFmtId="1" fontId="5" fillId="0" borderId="41" xfId="0" applyNumberFormat="1" applyFont="1" applyFill="1" applyBorder="1" applyAlignment="1">
      <alignment horizontal="left" vertical="top"/>
    </xf>
    <xf numFmtId="3" fontId="10" fillId="0" borderId="41" xfId="0" applyNumberFormat="1" applyFont="1" applyFill="1" applyBorder="1" applyAlignment="1">
      <alignment horizontal="left" vertical="top"/>
    </xf>
    <xf numFmtId="166" fontId="9" fillId="0" borderId="43" xfId="0" applyNumberFormat="1" applyFont="1" applyFill="1" applyBorder="1" applyAlignment="1">
      <alignment vertical="top"/>
    </xf>
    <xf numFmtId="166" fontId="12" fillId="0" borderId="21" xfId="0" applyNumberFormat="1" applyFont="1" applyFill="1" applyBorder="1" applyAlignment="1">
      <alignment vertical="top"/>
    </xf>
    <xf numFmtId="3" fontId="10" fillId="0" borderId="17" xfId="0" applyNumberFormat="1" applyFont="1" applyFill="1" applyBorder="1" applyAlignment="1">
      <alignment horizontal="left" vertical="top"/>
    </xf>
    <xf numFmtId="168" fontId="10" fillId="0" borderId="2" xfId="0" applyNumberFormat="1" applyFont="1" applyFill="1" applyBorder="1" applyAlignment="1">
      <alignment horizontal="left" vertical="top"/>
    </xf>
    <xf numFmtId="3" fontId="14" fillId="0" borderId="2" xfId="0" applyNumberFormat="1" applyFont="1" applyFill="1" applyBorder="1" applyAlignment="1">
      <alignment vertical="top"/>
    </xf>
    <xf numFmtId="166" fontId="14" fillId="0" borderId="21" xfId="0" applyNumberFormat="1" applyFont="1" applyFill="1" applyBorder="1" applyAlignment="1">
      <alignment vertical="top"/>
    </xf>
    <xf numFmtId="166" fontId="12" fillId="0" borderId="25" xfId="0" applyNumberFormat="1" applyFont="1" applyFill="1" applyBorder="1" applyAlignment="1">
      <alignment vertical="top"/>
    </xf>
    <xf numFmtId="3" fontId="9" fillId="0" borderId="0" xfId="0" applyNumberFormat="1" applyFont="1" applyFill="1" applyBorder="1" applyAlignment="1">
      <alignment horizontal="right" vertical="center"/>
    </xf>
    <xf numFmtId="3" fontId="14" fillId="0" borderId="64" xfId="0" applyNumberFormat="1" applyFont="1" applyBorder="1" applyAlignment="1">
      <alignment horizontal="left" vertical="center" wrapText="1"/>
    </xf>
    <xf numFmtId="3" fontId="14" fillId="0" borderId="15" xfId="0" applyNumberFormat="1" applyFont="1" applyBorder="1" applyAlignment="1">
      <alignment horizontal="left" vertical="center" wrapText="1"/>
    </xf>
    <xf numFmtId="3" fontId="14" fillId="0" borderId="53" xfId="0" applyNumberFormat="1" applyFont="1" applyBorder="1" applyAlignment="1">
      <alignment horizontal="left" vertical="center" wrapText="1"/>
    </xf>
    <xf numFmtId="0" fontId="13" fillId="0" borderId="6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3" fontId="9" fillId="0" borderId="34" xfId="0" applyNumberFormat="1" applyFont="1" applyFill="1" applyBorder="1" applyAlignment="1">
      <alignment horizontal="right" vertical="center"/>
    </xf>
    <xf numFmtId="3" fontId="14" fillId="0" borderId="9" xfId="0" applyNumberFormat="1" applyFont="1" applyBorder="1" applyAlignment="1">
      <alignment horizontal="right" vertical="center" wrapText="1"/>
    </xf>
    <xf numFmtId="3" fontId="14" fillId="0" borderId="2" xfId="0" applyNumberFormat="1" applyFont="1" applyBorder="1" applyAlignment="1">
      <alignment horizontal="right" vertical="center" wrapText="1"/>
    </xf>
    <xf numFmtId="3" fontId="14" fillId="0" borderId="14" xfId="0" applyNumberFormat="1" applyFont="1" applyBorder="1" applyAlignment="1">
      <alignment horizontal="right" vertical="center" wrapText="1"/>
    </xf>
    <xf numFmtId="3" fontId="14" fillId="0" borderId="14" xfId="0" applyNumberFormat="1" applyFont="1" applyFill="1" applyBorder="1" applyAlignment="1">
      <alignment horizontal="right" vertical="center"/>
    </xf>
    <xf numFmtId="167" fontId="9" fillId="0" borderId="25" xfId="0" applyNumberFormat="1" applyFont="1" applyBorder="1" applyAlignment="1">
      <alignment horizontal="right" vertical="center"/>
    </xf>
    <xf numFmtId="167" fontId="9" fillId="0" borderId="42" xfId="0" applyNumberFormat="1" applyFont="1" applyBorder="1" applyAlignment="1">
      <alignment horizontal="right" vertical="center"/>
    </xf>
    <xf numFmtId="0" fontId="4" fillId="0" borderId="0" xfId="9" applyFont="1" applyFill="1"/>
    <xf numFmtId="0" fontId="13" fillId="0" borderId="6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1" fontId="4" fillId="0" borderId="0" xfId="9" applyNumberFormat="1" applyFont="1" applyFill="1" applyAlignment="1">
      <alignment horizontal="right"/>
    </xf>
    <xf numFmtId="3" fontId="4" fillId="0" borderId="0" xfId="9" applyNumberFormat="1" applyFont="1" applyFill="1"/>
    <xf numFmtId="0" fontId="4" fillId="0" borderId="0" xfId="9" applyFont="1" applyFill="1" applyAlignment="1">
      <alignment horizontal="center"/>
    </xf>
    <xf numFmtId="0" fontId="33" fillId="0" borderId="0" xfId="9" applyFont="1" applyFill="1"/>
    <xf numFmtId="167" fontId="31" fillId="0" borderId="10" xfId="9" applyNumberFormat="1" applyFont="1" applyFill="1" applyBorder="1" applyAlignment="1">
      <alignment horizontal="right" shrinkToFit="1"/>
    </xf>
    <xf numFmtId="3" fontId="31" fillId="0" borderId="10" xfId="9" applyNumberFormat="1" applyFont="1" applyFill="1" applyBorder="1"/>
    <xf numFmtId="167" fontId="6" fillId="0" borderId="0" xfId="9" applyNumberFormat="1" applyFont="1" applyFill="1" applyBorder="1" applyAlignment="1">
      <alignment horizontal="right"/>
    </xf>
    <xf numFmtId="3" fontId="53" fillId="0" borderId="0" xfId="9" applyNumberFormat="1" applyFont="1" applyFill="1" applyAlignment="1">
      <alignment horizontal="right"/>
    </xf>
    <xf numFmtId="168" fontId="53" fillId="0" borderId="0" xfId="9" applyNumberFormat="1" applyFont="1" applyFill="1" applyAlignment="1">
      <alignment horizontal="center"/>
    </xf>
    <xf numFmtId="1" fontId="53" fillId="0" borderId="0" xfId="9" applyNumberFormat="1" applyFont="1" applyFill="1" applyAlignment="1">
      <alignment horizontal="left"/>
    </xf>
    <xf numFmtId="0" fontId="66" fillId="0" borderId="0" xfId="9" applyFont="1" applyFill="1"/>
    <xf numFmtId="3" fontId="53" fillId="0" borderId="0" xfId="9" applyNumberFormat="1" applyFont="1" applyFill="1"/>
    <xf numFmtId="1" fontId="53" fillId="0" borderId="0" xfId="9" applyNumberFormat="1" applyFont="1" applyFill="1" applyAlignment="1">
      <alignment horizontal="center"/>
    </xf>
    <xf numFmtId="0" fontId="6" fillId="0" borderId="0" xfId="9" applyFont="1" applyFill="1"/>
    <xf numFmtId="167" fontId="8" fillId="0" borderId="22" xfId="9" applyNumberFormat="1" applyFont="1" applyFill="1" applyBorder="1" applyAlignment="1">
      <alignment horizontal="right"/>
    </xf>
    <xf numFmtId="3" fontId="8" fillId="0" borderId="5" xfId="9" applyNumberFormat="1" applyFont="1" applyFill="1" applyBorder="1"/>
    <xf numFmtId="0" fontId="4" fillId="0" borderId="48" xfId="9" applyFont="1" applyFill="1" applyBorder="1"/>
    <xf numFmtId="3" fontId="21" fillId="0" borderId="8" xfId="9" applyNumberFormat="1" applyFont="1" applyFill="1" applyBorder="1" applyAlignment="1">
      <alignment horizontal="center"/>
    </xf>
    <xf numFmtId="0" fontId="6" fillId="0" borderId="8" xfId="9" applyFont="1" applyFill="1" applyBorder="1"/>
    <xf numFmtId="0" fontId="26" fillId="0" borderId="7" xfId="9" applyFont="1" applyFill="1" applyBorder="1" applyAlignment="1">
      <alignment horizontal="left"/>
    </xf>
    <xf numFmtId="167" fontId="12" fillId="0" borderId="25" xfId="9" applyNumberFormat="1" applyFont="1" applyBorder="1" applyAlignment="1">
      <alignment horizontal="right"/>
    </xf>
    <xf numFmtId="3" fontId="12" fillId="0" borderId="2" xfId="9" applyNumberFormat="1" applyFont="1" applyFill="1" applyBorder="1" applyAlignment="1">
      <alignment horizontal="right"/>
    </xf>
    <xf numFmtId="3" fontId="12" fillId="0" borderId="0" xfId="9" applyNumberFormat="1" applyFont="1" applyFill="1" applyBorder="1" applyAlignment="1">
      <alignment horizontal="right"/>
    </xf>
    <xf numFmtId="3" fontId="12" fillId="0" borderId="2" xfId="9" applyNumberFormat="1" applyFont="1" applyBorder="1" applyAlignment="1">
      <alignment horizontal="right"/>
    </xf>
    <xf numFmtId="49" fontId="10" fillId="0" borderId="2" xfId="9" applyNumberFormat="1" applyFont="1" applyBorder="1" applyAlignment="1">
      <alignment horizontal="left" vertical="top"/>
    </xf>
    <xf numFmtId="1" fontId="5" fillId="0" borderId="2" xfId="9" applyNumberFormat="1" applyFont="1" applyBorder="1" applyAlignment="1">
      <alignment horizontal="left"/>
    </xf>
    <xf numFmtId="1" fontId="5" fillId="0" borderId="12" xfId="9" applyNumberFormat="1" applyFont="1" applyBorder="1" applyAlignment="1">
      <alignment horizontal="left"/>
    </xf>
    <xf numFmtId="1" fontId="13" fillId="0" borderId="0" xfId="9" applyNumberFormat="1" applyFont="1" applyBorder="1" applyAlignment="1">
      <alignment horizontal="left"/>
    </xf>
    <xf numFmtId="49" fontId="10" fillId="0" borderId="2" xfId="9" applyNumberFormat="1" applyFont="1" applyBorder="1" applyAlignment="1">
      <alignment horizontal="left"/>
    </xf>
    <xf numFmtId="167" fontId="14" fillId="0" borderId="25" xfId="9" applyNumberFormat="1" applyFont="1" applyBorder="1" applyAlignment="1">
      <alignment horizontal="right"/>
    </xf>
    <xf numFmtId="3" fontId="14" fillId="0" borderId="2" xfId="9" applyNumberFormat="1" applyFont="1" applyFill="1" applyBorder="1" applyAlignment="1">
      <alignment horizontal="right"/>
    </xf>
    <xf numFmtId="3" fontId="14" fillId="0" borderId="0" xfId="9" applyNumberFormat="1" applyFont="1" applyFill="1" applyBorder="1" applyAlignment="1">
      <alignment horizontal="right"/>
    </xf>
    <xf numFmtId="0" fontId="14" fillId="0" borderId="0" xfId="9" applyFont="1" applyBorder="1"/>
    <xf numFmtId="49" fontId="27" fillId="0" borderId="2" xfId="9" applyNumberFormat="1" applyFont="1" applyBorder="1" applyAlignment="1">
      <alignment horizontal="left"/>
    </xf>
    <xf numFmtId="0" fontId="13" fillId="0" borderId="0" xfId="9" applyFont="1" applyBorder="1"/>
    <xf numFmtId="3" fontId="14" fillId="0" borderId="2" xfId="9" applyNumberFormat="1" applyFont="1" applyBorder="1" applyAlignment="1">
      <alignment horizontal="right"/>
    </xf>
    <xf numFmtId="0" fontId="14" fillId="0" borderId="0" xfId="9" applyFont="1" applyBorder="1" applyAlignment="1"/>
    <xf numFmtId="167" fontId="9" fillId="0" borderId="25" xfId="9" applyNumberFormat="1" applyFont="1" applyBorder="1" applyAlignment="1">
      <alignment horizontal="right"/>
    </xf>
    <xf numFmtId="0" fontId="9" fillId="0" borderId="0" xfId="9" applyFont="1" applyBorder="1" applyAlignment="1"/>
    <xf numFmtId="0" fontId="28" fillId="0" borderId="0" xfId="9" applyFont="1" applyFill="1" applyAlignment="1">
      <alignment vertical="center"/>
    </xf>
    <xf numFmtId="0" fontId="7" fillId="0" borderId="0" xfId="9" applyFont="1" applyFill="1" applyBorder="1"/>
    <xf numFmtId="1" fontId="35" fillId="0" borderId="24" xfId="9" applyNumberFormat="1" applyFont="1" applyFill="1" applyBorder="1" applyAlignment="1">
      <alignment horizontal="center" vertical="center" wrapText="1"/>
    </xf>
    <xf numFmtId="1" fontId="35" fillId="0" borderId="5" xfId="9" applyNumberFormat="1" applyFont="1" applyFill="1" applyBorder="1" applyAlignment="1">
      <alignment horizontal="center" vertical="center" wrapText="1"/>
    </xf>
    <xf numFmtId="0" fontId="35" fillId="0" borderId="5" xfId="9" applyFont="1" applyFill="1" applyBorder="1" applyAlignment="1">
      <alignment horizontal="center" vertical="center"/>
    </xf>
    <xf numFmtId="0" fontId="35" fillId="0" borderId="4" xfId="9" applyFont="1" applyFill="1" applyBorder="1" applyAlignment="1">
      <alignment horizontal="center" vertical="center"/>
    </xf>
    <xf numFmtId="0" fontId="7" fillId="0" borderId="0" xfId="9" applyFont="1" applyFill="1"/>
    <xf numFmtId="0" fontId="7" fillId="0" borderId="5" xfId="9" applyFont="1" applyFill="1" applyBorder="1" applyAlignment="1">
      <alignment horizontal="center" vertical="center"/>
    </xf>
    <xf numFmtId="165" fontId="7" fillId="0" borderId="5" xfId="9" applyNumberFormat="1" applyFont="1" applyFill="1" applyBorder="1" applyAlignment="1">
      <alignment horizontal="center" vertical="center"/>
    </xf>
    <xf numFmtId="1" fontId="7" fillId="0" borderId="5" xfId="9" applyNumberFormat="1" applyFont="1" applyFill="1" applyBorder="1" applyAlignment="1">
      <alignment horizontal="center" vertical="center"/>
    </xf>
    <xf numFmtId="0" fontId="7" fillId="0" borderId="4" xfId="9" applyFont="1" applyFill="1" applyBorder="1" applyAlignment="1">
      <alignment horizontal="center" vertical="center"/>
    </xf>
    <xf numFmtId="3" fontId="4" fillId="0" borderId="0" xfId="9" applyNumberFormat="1" applyFont="1" applyFill="1" applyAlignment="1">
      <alignment horizontal="right"/>
    </xf>
    <xf numFmtId="165" fontId="7" fillId="0" borderId="0" xfId="9" applyNumberFormat="1" applyFont="1" applyFill="1" applyAlignment="1">
      <alignment horizontal="center"/>
    </xf>
    <xf numFmtId="1" fontId="5" fillId="0" borderId="0" xfId="9" applyNumberFormat="1" applyFont="1" applyFill="1" applyAlignment="1">
      <alignment horizontal="center"/>
    </xf>
    <xf numFmtId="1" fontId="8" fillId="0" borderId="0" xfId="9" applyNumberFormat="1" applyFont="1" applyFill="1" applyBorder="1" applyAlignment="1">
      <alignment horizontal="right"/>
    </xf>
    <xf numFmtId="3" fontId="8" fillId="0" borderId="0" xfId="9" applyNumberFormat="1" applyFont="1" applyFill="1" applyBorder="1"/>
    <xf numFmtId="3" fontId="4" fillId="0" borderId="0" xfId="9" applyNumberFormat="1" applyFont="1" applyFill="1" applyBorder="1"/>
    <xf numFmtId="0" fontId="4" fillId="0" borderId="0" xfId="9" applyFont="1" applyFill="1" applyBorder="1"/>
    <xf numFmtId="165" fontId="46" fillId="0" borderId="0" xfId="9" applyNumberFormat="1" applyFont="1" applyFill="1" applyBorder="1" applyAlignment="1">
      <alignment horizontal="center"/>
    </xf>
    <xf numFmtId="0" fontId="19" fillId="0" borderId="0" xfId="9" applyFont="1" applyFill="1" applyBorder="1" applyAlignment="1">
      <alignment horizontal="center"/>
    </xf>
    <xf numFmtId="1" fontId="30" fillId="0" borderId="0" xfId="9" applyNumberFormat="1" applyFont="1" applyFill="1" applyBorder="1" applyAlignment="1">
      <alignment horizontal="left"/>
    </xf>
    <xf numFmtId="166" fontId="14" fillId="0" borderId="25" xfId="9" applyNumberFormat="1" applyFont="1" applyBorder="1" applyAlignment="1">
      <alignment horizontal="right"/>
    </xf>
    <xf numFmtId="3" fontId="9" fillId="0" borderId="0" xfId="9" applyNumberFormat="1" applyFont="1" applyFill="1" applyBorder="1" applyAlignment="1">
      <alignment horizontal="right"/>
    </xf>
    <xf numFmtId="0" fontId="9" fillId="0" borderId="0" xfId="9" applyFont="1" applyBorder="1"/>
    <xf numFmtId="166" fontId="12" fillId="0" borderId="25" xfId="9" applyNumberFormat="1" applyFont="1" applyBorder="1" applyAlignment="1">
      <alignment horizontal="right"/>
    </xf>
    <xf numFmtId="3" fontId="15" fillId="0" borderId="2" xfId="9" applyNumberFormat="1" applyFont="1" applyFill="1" applyBorder="1" applyAlignment="1">
      <alignment horizontal="right"/>
    </xf>
    <xf numFmtId="3" fontId="15" fillId="0" borderId="0" xfId="9" applyNumberFormat="1" applyFont="1" applyFill="1" applyBorder="1" applyAlignment="1">
      <alignment horizontal="right"/>
    </xf>
    <xf numFmtId="166" fontId="9" fillId="0" borderId="25" xfId="9" applyNumberFormat="1" applyFont="1" applyBorder="1" applyAlignment="1">
      <alignment horizontal="right"/>
    </xf>
    <xf numFmtId="3" fontId="9" fillId="0" borderId="2" xfId="9" applyNumberFormat="1" applyFont="1" applyFill="1" applyBorder="1" applyAlignment="1">
      <alignment horizontal="right"/>
    </xf>
    <xf numFmtId="3" fontId="9" fillId="0" borderId="2" xfId="9" applyNumberFormat="1" applyFont="1" applyBorder="1" applyAlignment="1">
      <alignment horizontal="right"/>
    </xf>
    <xf numFmtId="168" fontId="10" fillId="0" borderId="2" xfId="9" applyNumberFormat="1" applyFont="1" applyBorder="1" applyAlignment="1">
      <alignment horizontal="left"/>
    </xf>
    <xf numFmtId="0" fontId="22" fillId="0" borderId="0" xfId="9" applyFont="1" applyBorder="1" applyAlignment="1"/>
    <xf numFmtId="3" fontId="7" fillId="0" borderId="5" xfId="9" applyNumberFormat="1" applyFont="1" applyFill="1" applyBorder="1" applyAlignment="1">
      <alignment horizontal="center" vertical="center"/>
    </xf>
    <xf numFmtId="1" fontId="10" fillId="0" borderId="0" xfId="9" applyNumberFormat="1" applyFont="1" applyFill="1" applyAlignment="1">
      <alignment horizontal="left"/>
    </xf>
    <xf numFmtId="0" fontId="13" fillId="0" borderId="0" xfId="9" applyFont="1" applyBorder="1" applyAlignment="1">
      <alignment wrapText="1"/>
    </xf>
    <xf numFmtId="0" fontId="14" fillId="0" borderId="0" xfId="9" applyFont="1" applyFill="1" applyBorder="1"/>
    <xf numFmtId="0" fontId="13" fillId="0" borderId="17" xfId="9" applyFont="1" applyBorder="1" applyAlignment="1"/>
    <xf numFmtId="49" fontId="27" fillId="0" borderId="2" xfId="9" applyNumberFormat="1" applyFont="1" applyBorder="1" applyAlignment="1">
      <alignment horizontal="left" vertical="top"/>
    </xf>
    <xf numFmtId="1" fontId="5" fillId="0" borderId="0" xfId="9" applyNumberFormat="1" applyFont="1" applyBorder="1" applyAlignment="1">
      <alignment horizontal="left"/>
    </xf>
    <xf numFmtId="1" fontId="5" fillId="0" borderId="6" xfId="9" applyNumberFormat="1" applyFont="1" applyBorder="1" applyAlignment="1">
      <alignment horizontal="left"/>
    </xf>
    <xf numFmtId="3" fontId="14" fillId="0" borderId="2" xfId="9" applyNumberFormat="1" applyFont="1" applyFill="1" applyBorder="1" applyAlignment="1">
      <alignment horizontal="right" vertical="top"/>
    </xf>
    <xf numFmtId="3" fontId="14" fillId="0" borderId="0" xfId="9" applyNumberFormat="1" applyFont="1" applyFill="1" applyBorder="1" applyAlignment="1">
      <alignment horizontal="right" vertical="top"/>
    </xf>
    <xf numFmtId="0" fontId="21" fillId="0" borderId="0" xfId="9" applyFont="1" applyFill="1" applyBorder="1"/>
    <xf numFmtId="1" fontId="8" fillId="0" borderId="0" xfId="9" applyNumberFormat="1" applyFont="1" applyFill="1" applyBorder="1" applyAlignment="1">
      <alignment horizontal="left"/>
    </xf>
    <xf numFmtId="3" fontId="19" fillId="0" borderId="0" xfId="9" applyNumberFormat="1" applyFont="1" applyFill="1" applyAlignment="1">
      <alignment horizontal="right"/>
    </xf>
    <xf numFmtId="1" fontId="12" fillId="0" borderId="0" xfId="9" applyNumberFormat="1" applyFont="1" applyFill="1" applyBorder="1" applyAlignment="1">
      <alignment horizontal="left"/>
    </xf>
    <xf numFmtId="3" fontId="8" fillId="0" borderId="1" xfId="9" applyNumberFormat="1" applyFont="1" applyFill="1" applyBorder="1"/>
    <xf numFmtId="3" fontId="4" fillId="0" borderId="1" xfId="9" applyNumberFormat="1" applyFont="1" applyFill="1" applyBorder="1"/>
    <xf numFmtId="0" fontId="21" fillId="0" borderId="1" xfId="9" applyFont="1" applyFill="1" applyBorder="1"/>
    <xf numFmtId="0" fontId="19" fillId="0" borderId="1" xfId="9" applyFont="1" applyFill="1" applyBorder="1" applyAlignment="1">
      <alignment horizontal="center"/>
    </xf>
    <xf numFmtId="1" fontId="8" fillId="0" borderId="1" xfId="9" applyNumberFormat="1" applyFont="1" applyFill="1" applyBorder="1" applyAlignment="1">
      <alignment horizontal="left"/>
    </xf>
    <xf numFmtId="171" fontId="28" fillId="0" borderId="2" xfId="1" applyNumberFormat="1" applyFont="1" applyFill="1" applyBorder="1" applyAlignment="1">
      <alignment horizontal="center" vertical="center" wrapText="1"/>
    </xf>
    <xf numFmtId="3" fontId="9" fillId="0" borderId="15" xfId="0" applyNumberFormat="1" applyFont="1" applyFill="1" applyBorder="1" applyAlignment="1">
      <alignment horizontal="right"/>
    </xf>
    <xf numFmtId="3" fontId="90" fillId="0" borderId="0" xfId="0" applyNumberFormat="1" applyFont="1" applyFill="1"/>
    <xf numFmtId="3" fontId="12" fillId="0" borderId="0" xfId="0" applyNumberFormat="1" applyFont="1" applyFill="1" applyAlignment="1">
      <alignment horizontal="right"/>
    </xf>
    <xf numFmtId="0" fontId="91" fillId="0" borderId="0" xfId="0" applyFont="1" applyAlignment="1">
      <alignment vertical="center"/>
    </xf>
    <xf numFmtId="168" fontId="24" fillId="0" borderId="0" xfId="0" applyNumberFormat="1" applyFont="1" applyFill="1"/>
    <xf numFmtId="3" fontId="12" fillId="3" borderId="14" xfId="7" applyFont="1" applyFill="1" applyBorder="1" applyAlignment="1">
      <alignment horizontal="right"/>
    </xf>
    <xf numFmtId="167" fontId="12" fillId="0" borderId="27" xfId="0" applyNumberFormat="1" applyFont="1" applyBorder="1" applyAlignment="1">
      <alignment horizontal="right"/>
    </xf>
    <xf numFmtId="1" fontId="14" fillId="0" borderId="2" xfId="0" applyNumberFormat="1" applyFont="1" applyFill="1" applyBorder="1" applyAlignment="1">
      <alignment horizontal="left"/>
    </xf>
    <xf numFmtId="1" fontId="4" fillId="0" borderId="0" xfId="0" applyNumberFormat="1" applyFont="1" applyFill="1" applyAlignment="1">
      <alignment horizontal="center"/>
    </xf>
    <xf numFmtId="167" fontId="4" fillId="0" borderId="0" xfId="0" applyNumberFormat="1" applyFont="1" applyFill="1"/>
    <xf numFmtId="0" fontId="4" fillId="0" borderId="0" xfId="0" applyFont="1" applyFill="1" applyAlignment="1"/>
    <xf numFmtId="0" fontId="4" fillId="0" borderId="14" xfId="0" applyFont="1" applyBorder="1" applyAlignment="1">
      <alignment vertical="top" wrapText="1"/>
    </xf>
    <xf numFmtId="1" fontId="12" fillId="0" borderId="0" xfId="0" applyNumberFormat="1" applyFont="1" applyBorder="1" applyAlignment="1">
      <alignment horizontal="left"/>
    </xf>
    <xf numFmtId="0" fontId="13" fillId="0" borderId="48" xfId="0" applyFont="1" applyBorder="1"/>
    <xf numFmtId="0" fontId="35" fillId="0" borderId="12" xfId="0" applyFont="1" applyFill="1" applyBorder="1" applyAlignment="1">
      <alignment horizontal="center" vertical="center"/>
    </xf>
    <xf numFmtId="0" fontId="5" fillId="0" borderId="17" xfId="0" applyFont="1" applyBorder="1" applyAlignment="1"/>
    <xf numFmtId="0" fontId="5" fillId="0" borderId="2" xfId="0" applyFont="1" applyBorder="1" applyAlignment="1">
      <alignment horizontal="left"/>
    </xf>
    <xf numFmtId="168" fontId="10" fillId="3" borderId="2" xfId="0" applyNumberFormat="1" applyFont="1" applyFill="1" applyBorder="1" applyAlignment="1">
      <alignment horizontal="left"/>
    </xf>
    <xf numFmtId="3" fontId="13" fillId="0" borderId="34" xfId="0" applyNumberFormat="1" applyFont="1" applyFill="1" applyBorder="1" applyAlignment="1">
      <alignment horizontal="right" vertical="top"/>
    </xf>
    <xf numFmtId="0" fontId="4" fillId="0" borderId="17" xfId="0" applyFont="1" applyBorder="1"/>
    <xf numFmtId="0" fontId="13" fillId="0" borderId="17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2" xfId="0" applyFont="1" applyBorder="1" applyAlignment="1"/>
    <xf numFmtId="168" fontId="21" fillId="0" borderId="1" xfId="9" applyNumberFormat="1" applyFont="1" applyFill="1" applyBorder="1" applyAlignment="1">
      <alignment horizontal="center"/>
    </xf>
    <xf numFmtId="168" fontId="21" fillId="0" borderId="0" xfId="9" applyNumberFormat="1" applyFont="1" applyFill="1" applyBorder="1" applyAlignment="1">
      <alignment horizontal="center"/>
    </xf>
    <xf numFmtId="166" fontId="8" fillId="0" borderId="0" xfId="9" applyNumberFormat="1" applyFont="1" applyFill="1" applyBorder="1" applyAlignment="1">
      <alignment horizontal="right"/>
    </xf>
    <xf numFmtId="168" fontId="24" fillId="0" borderId="0" xfId="9" applyNumberFormat="1" applyFont="1" applyFill="1"/>
    <xf numFmtId="0" fontId="4" fillId="0" borderId="0" xfId="9" applyFill="1" applyAlignment="1">
      <alignment horizontal="center"/>
    </xf>
    <xf numFmtId="0" fontId="4" fillId="0" borderId="0" xfId="9" applyFill="1"/>
    <xf numFmtId="3" fontId="4" fillId="0" borderId="0" xfId="9" applyNumberFormat="1" applyFill="1"/>
    <xf numFmtId="166" fontId="4" fillId="0" borderId="0" xfId="9" applyNumberFormat="1" applyFill="1" applyAlignment="1">
      <alignment horizontal="right"/>
    </xf>
    <xf numFmtId="0" fontId="39" fillId="0" borderId="0" xfId="9" applyFont="1" applyFill="1" applyAlignment="1"/>
    <xf numFmtId="0" fontId="51" fillId="0" borderId="0" xfId="9" applyFont="1" applyFill="1" applyAlignment="1"/>
    <xf numFmtId="0" fontId="74" fillId="0" borderId="0" xfId="9" applyFont="1" applyFill="1" applyAlignment="1">
      <alignment horizontal="left"/>
    </xf>
    <xf numFmtId="0" fontId="28" fillId="0" borderId="4" xfId="9" applyFont="1" applyFill="1" applyBorder="1" applyAlignment="1">
      <alignment horizontal="center" vertical="center"/>
    </xf>
    <xf numFmtId="0" fontId="28" fillId="0" borderId="5" xfId="9" applyFont="1" applyFill="1" applyBorder="1" applyAlignment="1">
      <alignment horizontal="center" vertical="center"/>
    </xf>
    <xf numFmtId="0" fontId="28" fillId="0" borderId="5" xfId="9" applyFont="1" applyFill="1" applyBorder="1" applyAlignment="1">
      <alignment vertical="center"/>
    </xf>
    <xf numFmtId="3" fontId="35" fillId="0" borderId="5" xfId="9" applyNumberFormat="1" applyFont="1" applyFill="1" applyBorder="1" applyAlignment="1">
      <alignment horizontal="center" vertical="center" wrapText="1"/>
    </xf>
    <xf numFmtId="3" fontId="35" fillId="0" borderId="37" xfId="9" applyNumberFormat="1" applyFont="1" applyFill="1" applyBorder="1" applyAlignment="1">
      <alignment horizontal="center" vertical="center" wrapText="1"/>
    </xf>
    <xf numFmtId="166" fontId="35" fillId="0" borderId="24" xfId="9" applyNumberFormat="1" applyFont="1" applyFill="1" applyBorder="1" applyAlignment="1">
      <alignment horizontal="center" vertical="center"/>
    </xf>
    <xf numFmtId="0" fontId="4" fillId="0" borderId="6" xfId="9" applyFill="1" applyBorder="1" applyAlignment="1">
      <alignment horizontal="center"/>
    </xf>
    <xf numFmtId="0" fontId="4" fillId="0" borderId="2" xfId="9" applyFill="1" applyBorder="1" applyAlignment="1">
      <alignment horizontal="center"/>
    </xf>
    <xf numFmtId="0" fontId="4" fillId="0" borderId="9" xfId="9" applyFill="1" applyBorder="1" applyAlignment="1">
      <alignment horizontal="center"/>
    </xf>
    <xf numFmtId="3" fontId="22" fillId="0" borderId="5" xfId="9" applyNumberFormat="1" applyFont="1" applyFill="1" applyBorder="1"/>
    <xf numFmtId="166" fontId="22" fillId="0" borderId="23" xfId="9" applyNumberFormat="1" applyFont="1" applyFill="1" applyBorder="1" applyAlignment="1">
      <alignment horizontal="center" vertical="center"/>
    </xf>
    <xf numFmtId="3" fontId="22" fillId="0" borderId="2" xfId="9" applyNumberFormat="1" applyFont="1" applyFill="1" applyBorder="1"/>
    <xf numFmtId="166" fontId="22" fillId="0" borderId="21" xfId="9" applyNumberFormat="1" applyFont="1" applyFill="1" applyBorder="1" applyAlignment="1">
      <alignment horizontal="center" vertical="center"/>
    </xf>
    <xf numFmtId="166" fontId="22" fillId="0" borderId="24" xfId="9" applyNumberFormat="1" applyFont="1" applyFill="1" applyBorder="1" applyAlignment="1">
      <alignment horizontal="center" vertical="center"/>
    </xf>
    <xf numFmtId="0" fontId="22" fillId="0" borderId="0" xfId="9" applyFont="1" applyFill="1" applyBorder="1" applyAlignment="1">
      <alignment horizontal="left"/>
    </xf>
    <xf numFmtId="3" fontId="22" fillId="0" borderId="0" xfId="9" applyNumberFormat="1" applyFont="1" applyFill="1" applyBorder="1"/>
    <xf numFmtId="0" fontId="4" fillId="0" borderId="0" xfId="9" applyFill="1" applyAlignment="1">
      <alignment horizontal="right"/>
    </xf>
    <xf numFmtId="0" fontId="4" fillId="0" borderId="14" xfId="9" applyFill="1" applyBorder="1" applyAlignment="1">
      <alignment horizontal="center"/>
    </xf>
    <xf numFmtId="166" fontId="22" fillId="0" borderId="42" xfId="9" applyNumberFormat="1" applyFont="1" applyFill="1" applyBorder="1" applyAlignment="1">
      <alignment horizontal="center" vertical="center"/>
    </xf>
    <xf numFmtId="0" fontId="22" fillId="0" borderId="0" xfId="9" applyFont="1" applyFill="1"/>
    <xf numFmtId="4" fontId="4" fillId="0" borderId="0" xfId="9" applyNumberFormat="1" applyFill="1"/>
    <xf numFmtId="0" fontId="4" fillId="0" borderId="38" xfId="9" applyFill="1" applyBorder="1" applyAlignment="1">
      <alignment horizontal="center"/>
    </xf>
    <xf numFmtId="0" fontId="4" fillId="0" borderId="0" xfId="9" applyFill="1" applyAlignment="1"/>
    <xf numFmtId="3" fontId="22" fillId="0" borderId="9" xfId="9" applyNumberFormat="1" applyFont="1" applyFill="1" applyBorder="1" applyAlignment="1">
      <alignment vertical="center"/>
    </xf>
    <xf numFmtId="4" fontId="28" fillId="0" borderId="5" xfId="9" applyNumberFormat="1" applyFont="1" applyFill="1" applyBorder="1" applyAlignment="1">
      <alignment horizontal="center" vertical="center" wrapText="1"/>
    </xf>
    <xf numFmtId="4" fontId="28" fillId="0" borderId="37" xfId="9" applyNumberFormat="1" applyFont="1" applyFill="1" applyBorder="1" applyAlignment="1">
      <alignment horizontal="center" vertical="center" wrapText="1"/>
    </xf>
    <xf numFmtId="3" fontId="4" fillId="0" borderId="24" xfId="9" applyNumberFormat="1" applyFill="1" applyBorder="1" applyAlignment="1">
      <alignment horizontal="center" vertical="center"/>
    </xf>
    <xf numFmtId="0" fontId="22" fillId="0" borderId="2" xfId="9" applyFont="1" applyFill="1" applyBorder="1" applyAlignment="1">
      <alignment vertical="center" wrapText="1"/>
    </xf>
    <xf numFmtId="0" fontId="22" fillId="0" borderId="7" xfId="9" applyFont="1" applyFill="1" applyBorder="1" applyAlignment="1"/>
    <xf numFmtId="0" fontId="22" fillId="0" borderId="8" xfId="9" applyFont="1" applyFill="1" applyBorder="1" applyAlignment="1"/>
    <xf numFmtId="0" fontId="22" fillId="0" borderId="56" xfId="9" applyFont="1" applyFill="1" applyBorder="1" applyAlignment="1"/>
    <xf numFmtId="0" fontId="4" fillId="0" borderId="34" xfId="9" applyFill="1" applyBorder="1" applyAlignment="1">
      <alignment horizontal="center"/>
    </xf>
    <xf numFmtId="0" fontId="22" fillId="0" borderId="14" xfId="9" applyFont="1" applyFill="1" applyBorder="1" applyAlignment="1">
      <alignment vertical="center" wrapText="1"/>
    </xf>
    <xf numFmtId="3" fontId="22" fillId="0" borderId="14" xfId="9" applyNumberFormat="1" applyFont="1" applyFill="1" applyBorder="1" applyAlignment="1">
      <alignment vertical="center"/>
    </xf>
    <xf numFmtId="0" fontId="4" fillId="0" borderId="38" xfId="9" applyFill="1" applyBorder="1" applyAlignment="1">
      <alignment horizontal="center" vertical="center"/>
    </xf>
    <xf numFmtId="0" fontId="4" fillId="0" borderId="9" xfId="9" applyFill="1" applyBorder="1" applyAlignment="1">
      <alignment horizontal="center" vertical="center"/>
    </xf>
    <xf numFmtId="3" fontId="22" fillId="0" borderId="2" xfId="9" applyNumberFormat="1" applyFont="1" applyFill="1" applyBorder="1" applyAlignment="1">
      <alignment vertical="center"/>
    </xf>
    <xf numFmtId="0" fontId="4" fillId="0" borderId="0" xfId="9" applyFill="1" applyAlignment="1">
      <alignment vertical="center"/>
    </xf>
    <xf numFmtId="0" fontId="4" fillId="0" borderId="50" xfId="9" applyFill="1" applyBorder="1" applyAlignment="1">
      <alignment horizontal="center"/>
    </xf>
    <xf numFmtId="0" fontId="22" fillId="0" borderId="0" xfId="9" applyFont="1" applyFill="1" applyBorder="1" applyAlignment="1"/>
    <xf numFmtId="166" fontId="22" fillId="0" borderId="0" xfId="9" applyNumberFormat="1" applyFont="1" applyFill="1" applyBorder="1" applyAlignment="1">
      <alignment horizontal="center" vertical="center"/>
    </xf>
    <xf numFmtId="0" fontId="4" fillId="0" borderId="0" xfId="9" applyFill="1" applyBorder="1"/>
    <xf numFmtId="0" fontId="4" fillId="0" borderId="6" xfId="9" applyFill="1" applyBorder="1" applyAlignment="1">
      <alignment horizontal="left" vertical="center"/>
    </xf>
    <xf numFmtId="3" fontId="22" fillId="0" borderId="9" xfId="9" applyNumberFormat="1" applyFont="1" applyFill="1" applyBorder="1" applyAlignment="1">
      <alignment horizontal="right" vertical="center"/>
    </xf>
    <xf numFmtId="3" fontId="22" fillId="0" borderId="2" xfId="9" applyNumberFormat="1" applyFont="1" applyFill="1" applyBorder="1" applyAlignment="1">
      <alignment horizontal="right" vertical="center"/>
    </xf>
    <xf numFmtId="0" fontId="4" fillId="0" borderId="0" xfId="9" applyAlignment="1"/>
    <xf numFmtId="0" fontId="22" fillId="0" borderId="9" xfId="9" applyFont="1" applyFill="1" applyBorder="1" applyAlignment="1">
      <alignment vertical="center" wrapText="1"/>
    </xf>
    <xf numFmtId="0" fontId="35" fillId="0" borderId="2" xfId="9" applyFont="1" applyFill="1" applyBorder="1" applyAlignment="1">
      <alignment horizontal="center" vertical="center"/>
    </xf>
    <xf numFmtId="0" fontId="4" fillId="0" borderId="12" xfId="9" applyFill="1" applyBorder="1" applyAlignment="1">
      <alignment horizontal="left" vertical="center"/>
    </xf>
    <xf numFmtId="0" fontId="4" fillId="0" borderId="0" xfId="9" applyFill="1" applyBorder="1" applyAlignment="1">
      <alignment horizontal="center"/>
    </xf>
    <xf numFmtId="0" fontId="4" fillId="0" borderId="53" xfId="9" applyFill="1" applyBorder="1" applyAlignment="1">
      <alignment horizontal="center"/>
    </xf>
    <xf numFmtId="1" fontId="78" fillId="0" borderId="0" xfId="9" applyNumberFormat="1" applyFont="1" applyFill="1" applyBorder="1" applyAlignment="1">
      <alignment horizontal="left"/>
    </xf>
    <xf numFmtId="1" fontId="78" fillId="0" borderId="0" xfId="9" applyNumberFormat="1" applyFont="1" applyFill="1" applyBorder="1" applyAlignment="1">
      <alignment horizontal="center"/>
    </xf>
    <xf numFmtId="168" fontId="78" fillId="0" borderId="0" xfId="9" applyNumberFormat="1" applyFont="1" applyFill="1" applyBorder="1" applyAlignment="1">
      <alignment horizontal="center"/>
    </xf>
    <xf numFmtId="0" fontId="78" fillId="0" borderId="0" xfId="9" applyFont="1" applyFill="1" applyBorder="1"/>
    <xf numFmtId="3" fontId="51" fillId="0" borderId="0" xfId="9" applyNumberFormat="1" applyFont="1" applyFill="1"/>
    <xf numFmtId="166" fontId="6" fillId="0" borderId="0" xfId="9" applyNumberFormat="1" applyFont="1" applyFill="1" applyBorder="1" applyAlignment="1">
      <alignment horizontal="right"/>
    </xf>
    <xf numFmtId="4" fontId="51" fillId="0" borderId="0" xfId="9" applyNumberFormat="1" applyFont="1" applyFill="1"/>
    <xf numFmtId="0" fontId="53" fillId="0" borderId="0" xfId="9" applyFont="1" applyFill="1"/>
    <xf numFmtId="4" fontId="53" fillId="0" borderId="0" xfId="9" applyNumberFormat="1" applyFont="1" applyFill="1"/>
    <xf numFmtId="0" fontId="53" fillId="0" borderId="0" xfId="9" applyFont="1" applyFill="1" applyAlignment="1">
      <alignment horizontal="left"/>
    </xf>
    <xf numFmtId="166" fontId="53" fillId="0" borderId="0" xfId="9" applyNumberFormat="1" applyFont="1" applyFill="1" applyAlignment="1">
      <alignment horizontal="right"/>
    </xf>
    <xf numFmtId="166" fontId="17" fillId="0" borderId="10" xfId="9" applyNumberFormat="1" applyFont="1" applyFill="1" applyBorder="1" applyAlignment="1">
      <alignment horizontal="right" shrinkToFit="1"/>
    </xf>
    <xf numFmtId="0" fontId="79" fillId="0" borderId="0" xfId="9" applyFont="1" applyFill="1"/>
    <xf numFmtId="3" fontId="79" fillId="0" borderId="0" xfId="9" applyNumberFormat="1" applyFont="1" applyFill="1"/>
    <xf numFmtId="0" fontId="39" fillId="0" borderId="1" xfId="9" applyFont="1" applyFill="1" applyBorder="1" applyAlignment="1"/>
    <xf numFmtId="0" fontId="4" fillId="0" borderId="1" xfId="9" applyFill="1" applyBorder="1" applyAlignment="1"/>
    <xf numFmtId="0" fontId="39" fillId="0" borderId="0" xfId="9" applyFont="1" applyFill="1" applyAlignment="1">
      <alignment horizontal="right"/>
    </xf>
    <xf numFmtId="1" fontId="35" fillId="0" borderId="37" xfId="9" applyNumberFormat="1" applyFont="1" applyFill="1" applyBorder="1" applyAlignment="1">
      <alignment horizontal="center" vertical="center" wrapText="1"/>
    </xf>
    <xf numFmtId="0" fontId="4" fillId="0" borderId="0" xfId="9" applyFont="1" applyFill="1" applyAlignment="1">
      <alignment vertical="center"/>
    </xf>
    <xf numFmtId="167" fontId="18" fillId="0" borderId="0" xfId="9" applyNumberFormat="1" applyFont="1" applyFill="1" applyBorder="1" applyAlignment="1">
      <alignment horizontal="right"/>
    </xf>
    <xf numFmtId="4" fontId="51" fillId="0" borderId="0" xfId="9" applyNumberFormat="1" applyFont="1" applyFill="1" applyAlignment="1">
      <alignment vertical="center"/>
    </xf>
    <xf numFmtId="4" fontId="53" fillId="0" borderId="0" xfId="9" applyNumberFormat="1" applyFont="1" applyFill="1" applyAlignment="1">
      <alignment vertical="center"/>
    </xf>
    <xf numFmtId="167" fontId="12" fillId="0" borderId="0" xfId="9" applyNumberFormat="1" applyFont="1" applyFill="1" applyBorder="1" applyAlignment="1">
      <alignment horizontal="right"/>
    </xf>
    <xf numFmtId="167" fontId="14" fillId="0" borderId="0" xfId="9" applyNumberFormat="1" applyFont="1" applyFill="1" applyBorder="1" applyAlignment="1">
      <alignment horizontal="right"/>
    </xf>
    <xf numFmtId="3" fontId="22" fillId="0" borderId="15" xfId="9" applyNumberFormat="1" applyFont="1" applyFill="1" applyBorder="1" applyAlignment="1">
      <alignment vertical="center"/>
    </xf>
    <xf numFmtId="0" fontId="22" fillId="0" borderId="2" xfId="9" applyFont="1" applyFill="1" applyBorder="1"/>
    <xf numFmtId="169" fontId="4" fillId="0" borderId="2" xfId="9" applyNumberFormat="1" applyFill="1" applyBorder="1" applyAlignment="1">
      <alignment horizontal="center"/>
    </xf>
    <xf numFmtId="3" fontId="22" fillId="0" borderId="46" xfId="9" applyNumberFormat="1" applyFont="1" applyFill="1" applyBorder="1" applyAlignment="1">
      <alignment vertical="center"/>
    </xf>
    <xf numFmtId="0" fontId="4" fillId="0" borderId="12" xfId="9" applyFill="1" applyBorder="1" applyAlignment="1">
      <alignment horizontal="center"/>
    </xf>
    <xf numFmtId="3" fontId="4" fillId="0" borderId="0" xfId="9" applyNumberFormat="1" applyFill="1" applyBorder="1" applyAlignment="1">
      <alignment horizontal="center" vertical="center"/>
    </xf>
    <xf numFmtId="4" fontId="4" fillId="0" borderId="0" xfId="9" applyNumberFormat="1" applyFill="1" applyAlignment="1">
      <alignment horizontal="right"/>
    </xf>
    <xf numFmtId="0" fontId="28" fillId="0" borderId="0" xfId="9" applyFont="1" applyFill="1" applyBorder="1" applyAlignment="1">
      <alignment horizontal="center" vertical="center"/>
    </xf>
    <xf numFmtId="4" fontId="28" fillId="0" borderId="0" xfId="9" applyNumberFormat="1" applyFont="1" applyFill="1" applyBorder="1" applyAlignment="1">
      <alignment horizontal="center" vertical="center" wrapText="1"/>
    </xf>
    <xf numFmtId="0" fontId="28" fillId="0" borderId="0" xfId="9" applyFont="1" applyFill="1" applyBorder="1" applyAlignment="1">
      <alignment vertical="center"/>
    </xf>
    <xf numFmtId="0" fontId="4" fillId="0" borderId="6" xfId="9" applyFill="1" applyBorder="1" applyAlignment="1">
      <alignment horizontal="center" vertical="center"/>
    </xf>
    <xf numFmtId="0" fontId="4" fillId="0" borderId="17" xfId="9" applyFill="1" applyBorder="1" applyAlignment="1">
      <alignment horizontal="center"/>
    </xf>
    <xf numFmtId="0" fontId="51" fillId="0" borderId="0" xfId="9" applyFont="1" applyFill="1"/>
    <xf numFmtId="0" fontId="4" fillId="0" borderId="0" xfId="9" applyFill="1" applyAlignment="1">
      <alignment horizontal="left"/>
    </xf>
    <xf numFmtId="3" fontId="4" fillId="0" borderId="1" xfId="9" applyNumberFormat="1" applyFont="1" applyFill="1" applyBorder="1" applyAlignment="1">
      <alignment horizontal="right"/>
    </xf>
    <xf numFmtId="3" fontId="35" fillId="0" borderId="24" xfId="9" applyNumberFormat="1" applyFont="1" applyFill="1" applyBorder="1" applyAlignment="1">
      <alignment horizontal="center" vertical="center"/>
    </xf>
    <xf numFmtId="0" fontId="4" fillId="0" borderId="2" xfId="9" applyFill="1" applyBorder="1" applyAlignment="1">
      <alignment horizontal="center" vertical="center"/>
    </xf>
    <xf numFmtId="171" fontId="4" fillId="0" borderId="2" xfId="9" applyNumberFormat="1" applyFill="1" applyBorder="1" applyAlignment="1">
      <alignment horizontal="center" vertical="center"/>
    </xf>
    <xf numFmtId="0" fontId="4" fillId="0" borderId="2" xfId="9" applyFill="1" applyBorder="1" applyAlignment="1">
      <alignment horizontal="center" vertical="center" wrapText="1"/>
    </xf>
    <xf numFmtId="171" fontId="4" fillId="0" borderId="2" xfId="9" applyNumberFormat="1" applyFill="1" applyBorder="1" applyAlignment="1">
      <alignment horizontal="center" vertical="center" wrapText="1"/>
    </xf>
    <xf numFmtId="0" fontId="4" fillId="0" borderId="0" xfId="9" applyFill="1" applyAlignment="1">
      <alignment vertical="center" wrapText="1"/>
    </xf>
    <xf numFmtId="3" fontId="22" fillId="0" borderId="0" xfId="9" applyNumberFormat="1" applyFont="1" applyFill="1" applyBorder="1" applyAlignment="1">
      <alignment vertical="center"/>
    </xf>
    <xf numFmtId="0" fontId="22" fillId="0" borderId="2" xfId="9" applyFont="1" applyFill="1" applyBorder="1" applyAlignment="1">
      <alignment vertical="justify" wrapText="1"/>
    </xf>
    <xf numFmtId="4" fontId="22" fillId="0" borderId="0" xfId="9" applyNumberFormat="1" applyFont="1" applyFill="1"/>
    <xf numFmtId="0" fontId="4" fillId="0" borderId="34" xfId="9" applyFill="1" applyBorder="1"/>
    <xf numFmtId="4" fontId="4" fillId="0" borderId="34" xfId="9" applyNumberFormat="1" applyFill="1" applyBorder="1"/>
    <xf numFmtId="4" fontId="4" fillId="0" borderId="0" xfId="9" applyNumberFormat="1" applyFill="1" applyBorder="1"/>
    <xf numFmtId="4" fontId="4" fillId="0" borderId="0" xfId="9" applyNumberFormat="1" applyFill="1" applyBorder="1" applyAlignment="1">
      <alignment vertical="center"/>
    </xf>
    <xf numFmtId="0" fontId="22" fillId="0" borderId="17" xfId="9" applyFont="1" applyFill="1" applyBorder="1" applyAlignment="1">
      <alignment vertical="center" wrapText="1"/>
    </xf>
    <xf numFmtId="0" fontId="4" fillId="0" borderId="50" xfId="9" applyFill="1" applyBorder="1" applyAlignment="1">
      <alignment horizontal="center" vertical="center"/>
    </xf>
    <xf numFmtId="0" fontId="4" fillId="0" borderId="14" xfId="9" applyFill="1" applyBorder="1" applyAlignment="1">
      <alignment horizontal="center" vertical="center"/>
    </xf>
    <xf numFmtId="0" fontId="4" fillId="0" borderId="2" xfId="9" applyFont="1" applyBorder="1" applyAlignment="1">
      <alignment horizontal="center" vertical="center"/>
    </xf>
    <xf numFmtId="0" fontId="22" fillId="0" borderId="2" xfId="9" applyFont="1" applyBorder="1" applyAlignment="1">
      <alignment vertical="center" wrapText="1"/>
    </xf>
    <xf numFmtId="0" fontId="22" fillId="0" borderId="9" xfId="9" applyFont="1" applyBorder="1" applyAlignment="1">
      <alignment vertical="center" wrapText="1"/>
    </xf>
    <xf numFmtId="0" fontId="22" fillId="0" borderId="14" xfId="9" applyFont="1" applyBorder="1" applyAlignment="1">
      <alignment vertical="center" wrapText="1"/>
    </xf>
    <xf numFmtId="0" fontId="22" fillId="0" borderId="2" xfId="9" applyFont="1" applyFill="1" applyBorder="1" applyAlignment="1">
      <alignment wrapText="1"/>
    </xf>
    <xf numFmtId="0" fontId="4" fillId="0" borderId="2" xfId="9" applyBorder="1" applyAlignment="1">
      <alignment horizontal="center" vertical="center"/>
    </xf>
    <xf numFmtId="0" fontId="74" fillId="0" borderId="0" xfId="9" applyFont="1" applyAlignment="1">
      <alignment horizontal="left"/>
    </xf>
    <xf numFmtId="4" fontId="4" fillId="0" borderId="0" xfId="9" applyNumberFormat="1"/>
    <xf numFmtId="0" fontId="4" fillId="0" borderId="0" xfId="9" applyAlignment="1">
      <alignment horizontal="center"/>
    </xf>
    <xf numFmtId="0" fontId="4" fillId="0" borderId="0" xfId="9"/>
    <xf numFmtId="4" fontId="4" fillId="0" borderId="0" xfId="9" applyNumberFormat="1" applyAlignment="1">
      <alignment horizontal="right"/>
    </xf>
    <xf numFmtId="0" fontId="28" fillId="0" borderId="4" xfId="9" applyFont="1" applyBorder="1" applyAlignment="1">
      <alignment horizontal="center" vertical="center"/>
    </xf>
    <xf numFmtId="0" fontId="28" fillId="0" borderId="56" xfId="9" applyFont="1" applyBorder="1" applyAlignment="1">
      <alignment horizontal="center" vertical="center"/>
    </xf>
    <xf numFmtId="0" fontId="28" fillId="0" borderId="56" xfId="9" applyFont="1" applyBorder="1" applyAlignment="1">
      <alignment vertical="center"/>
    </xf>
    <xf numFmtId="4" fontId="28" fillId="0" borderId="56" xfId="9" applyNumberFormat="1" applyFont="1" applyBorder="1" applyAlignment="1">
      <alignment horizontal="center" vertical="center" wrapText="1"/>
    </xf>
    <xf numFmtId="4" fontId="28" fillId="0" borderId="8" xfId="9" applyNumberFormat="1" applyFont="1" applyBorder="1" applyAlignment="1">
      <alignment horizontal="center" vertical="center" wrapText="1"/>
    </xf>
    <xf numFmtId="3" fontId="4" fillId="0" borderId="24" xfId="9" applyNumberFormat="1" applyBorder="1" applyAlignment="1">
      <alignment horizontal="center" vertical="center"/>
    </xf>
    <xf numFmtId="0" fontId="35" fillId="0" borderId="50" xfId="9" applyFont="1" applyBorder="1" applyAlignment="1">
      <alignment horizontal="center" vertical="center"/>
    </xf>
    <xf numFmtId="0" fontId="35" fillId="0" borderId="48" xfId="9" applyFont="1" applyBorder="1" applyAlignment="1">
      <alignment horizontal="center" vertical="center"/>
    </xf>
    <xf numFmtId="1" fontId="35" fillId="0" borderId="48" xfId="9" applyNumberFormat="1" applyFont="1" applyBorder="1" applyAlignment="1">
      <alignment horizontal="center" vertical="center" wrapText="1"/>
    </xf>
    <xf numFmtId="1" fontId="35" fillId="0" borderId="34" xfId="9" applyNumberFormat="1" applyFont="1" applyBorder="1" applyAlignment="1">
      <alignment horizontal="center" vertical="center" wrapText="1"/>
    </xf>
    <xf numFmtId="166" fontId="35" fillId="0" borderId="42" xfId="9" applyNumberFormat="1" applyFont="1" applyBorder="1" applyAlignment="1">
      <alignment horizontal="center" vertical="center"/>
    </xf>
    <xf numFmtId="0" fontId="4" fillId="0" borderId="6" xfId="9" applyBorder="1" applyAlignment="1">
      <alignment horizontal="center" vertical="center"/>
    </xf>
    <xf numFmtId="0" fontId="4" fillId="0" borderId="17" xfId="9" applyBorder="1" applyAlignment="1">
      <alignment horizontal="center" vertical="center"/>
    </xf>
    <xf numFmtId="3" fontId="22" fillId="0" borderId="17" xfId="9" applyNumberFormat="1" applyFont="1" applyBorder="1" applyAlignment="1">
      <alignment vertical="center"/>
    </xf>
    <xf numFmtId="3" fontId="22" fillId="0" borderId="0" xfId="9" applyNumberFormat="1" applyFont="1" applyAlignment="1">
      <alignment vertical="center"/>
    </xf>
    <xf numFmtId="166" fontId="22" fillId="0" borderId="21" xfId="9" applyNumberFormat="1" applyFont="1" applyBorder="1" applyAlignment="1">
      <alignment horizontal="center" vertical="center"/>
    </xf>
    <xf numFmtId="0" fontId="22" fillId="0" borderId="7" xfId="9" applyFont="1" applyBorder="1"/>
    <xf numFmtId="0" fontId="22" fillId="0" borderId="8" xfId="9" applyFont="1" applyBorder="1"/>
    <xf numFmtId="0" fontId="22" fillId="0" borderId="56" xfId="9" applyFont="1" applyBorder="1"/>
    <xf numFmtId="3" fontId="22" fillId="0" borderId="56" xfId="9" applyNumberFormat="1" applyFont="1" applyBorder="1"/>
    <xf numFmtId="166" fontId="22" fillId="0" borderId="22" xfId="9" applyNumberFormat="1" applyFont="1" applyBorder="1" applyAlignment="1">
      <alignment horizontal="center" vertical="center"/>
    </xf>
    <xf numFmtId="0" fontId="22" fillId="0" borderId="17" xfId="9" applyFont="1" applyBorder="1" applyAlignment="1">
      <alignment vertical="center" wrapText="1"/>
    </xf>
    <xf numFmtId="0" fontId="4" fillId="0" borderId="12" xfId="9" applyFill="1" applyBorder="1" applyAlignment="1">
      <alignment horizontal="center" vertical="center"/>
    </xf>
    <xf numFmtId="0" fontId="4" fillId="0" borderId="15" xfId="9" applyFill="1" applyBorder="1" applyAlignment="1">
      <alignment horizontal="center" vertical="center"/>
    </xf>
    <xf numFmtId="0" fontId="4" fillId="0" borderId="0" xfId="9" applyFill="1" applyBorder="1" applyAlignment="1">
      <alignment horizontal="center" vertical="center"/>
    </xf>
    <xf numFmtId="0" fontId="22" fillId="0" borderId="17" xfId="9" applyFont="1" applyFill="1" applyBorder="1"/>
    <xf numFmtId="0" fontId="4" fillId="0" borderId="15" xfId="9" applyFill="1" applyBorder="1" applyAlignment="1">
      <alignment horizontal="center"/>
    </xf>
    <xf numFmtId="0" fontId="4" fillId="0" borderId="0" xfId="9" applyBorder="1" applyAlignment="1">
      <alignment horizontal="center" vertical="center"/>
    </xf>
    <xf numFmtId="3" fontId="22" fillId="0" borderId="2" xfId="9" applyNumberFormat="1" applyFont="1" applyBorder="1" applyAlignment="1">
      <alignment vertical="center"/>
    </xf>
    <xf numFmtId="0" fontId="4" fillId="0" borderId="50" xfId="9" applyBorder="1" applyAlignment="1">
      <alignment horizontal="center" vertical="center"/>
    </xf>
    <xf numFmtId="0" fontId="4" fillId="0" borderId="14" xfId="9" applyBorder="1" applyAlignment="1">
      <alignment horizontal="center" vertical="center"/>
    </xf>
    <xf numFmtId="3" fontId="22" fillId="0" borderId="14" xfId="9" applyNumberFormat="1" applyFont="1" applyBorder="1" applyAlignment="1">
      <alignment vertical="center"/>
    </xf>
    <xf numFmtId="4" fontId="22" fillId="0" borderId="0" xfId="9" applyNumberFormat="1" applyFont="1" applyFill="1" applyBorder="1"/>
    <xf numFmtId="49" fontId="4" fillId="0" borderId="2" xfId="9" applyNumberFormat="1" applyFont="1" applyFill="1" applyBorder="1" applyAlignment="1">
      <alignment horizontal="center" vertical="center"/>
    </xf>
    <xf numFmtId="49" fontId="4" fillId="0" borderId="2" xfId="9" applyNumberFormat="1" applyFill="1" applyBorder="1" applyAlignment="1">
      <alignment horizontal="center" vertical="center"/>
    </xf>
    <xf numFmtId="49" fontId="4" fillId="0" borderId="6" xfId="9" applyNumberFormat="1" applyFill="1" applyBorder="1" applyAlignment="1">
      <alignment horizontal="center" vertical="center"/>
    </xf>
    <xf numFmtId="49" fontId="4" fillId="0" borderId="2" xfId="9" applyNumberFormat="1" applyFill="1" applyBorder="1" applyAlignment="1">
      <alignment horizontal="center"/>
    </xf>
    <xf numFmtId="166" fontId="22" fillId="0" borderId="27" xfId="9" applyNumberFormat="1" applyFont="1" applyFill="1" applyBorder="1" applyAlignment="1">
      <alignment horizontal="center" vertical="center"/>
    </xf>
    <xf numFmtId="4" fontId="4" fillId="0" borderId="0" xfId="9" applyNumberFormat="1" applyFont="1" applyFill="1"/>
    <xf numFmtId="4" fontId="4" fillId="0" borderId="0" xfId="9" applyNumberFormat="1" applyFont="1" applyFill="1" applyAlignment="1">
      <alignment horizontal="right"/>
    </xf>
    <xf numFmtId="0" fontId="22" fillId="0" borderId="2" xfId="9" applyFont="1" applyFill="1" applyBorder="1" applyAlignment="1">
      <alignment horizontal="left" vertical="center" wrapText="1"/>
    </xf>
    <xf numFmtId="0" fontId="28" fillId="0" borderId="0" xfId="9" applyFont="1" applyFill="1" applyAlignment="1">
      <alignment horizontal="center" vertical="center"/>
    </xf>
    <xf numFmtId="49" fontId="4" fillId="0" borderId="2" xfId="9" applyNumberFormat="1" applyFont="1" applyFill="1" applyBorder="1" applyAlignment="1">
      <alignment horizontal="center"/>
    </xf>
    <xf numFmtId="0" fontId="4" fillId="0" borderId="2" xfId="9" applyNumberFormat="1" applyFill="1" applyBorder="1" applyAlignment="1">
      <alignment horizontal="center" vertical="center"/>
    </xf>
    <xf numFmtId="0" fontId="39" fillId="0" borderId="0" xfId="9" applyFont="1" applyFill="1" applyAlignment="1">
      <alignment horizontal="left" wrapText="1"/>
    </xf>
    <xf numFmtId="171" fontId="4" fillId="0" borderId="14" xfId="9" applyNumberFormat="1" applyFill="1" applyBorder="1" applyAlignment="1">
      <alignment horizontal="center" vertical="center"/>
    </xf>
    <xf numFmtId="0" fontId="74" fillId="0" borderId="0" xfId="9" applyFont="1" applyFill="1" applyAlignment="1"/>
    <xf numFmtId="0" fontId="22" fillId="0" borderId="0" xfId="9" applyFont="1" applyFill="1" applyAlignment="1"/>
    <xf numFmtId="0" fontId="24" fillId="0" borderId="0" xfId="9" applyFont="1" applyFill="1" applyAlignment="1">
      <alignment horizontal="center"/>
    </xf>
    <xf numFmtId="0" fontId="74" fillId="4" borderId="0" xfId="9" applyFont="1" applyFill="1" applyAlignment="1">
      <alignment horizontal="left"/>
    </xf>
    <xf numFmtId="1" fontId="8" fillId="4" borderId="1" xfId="9" applyNumberFormat="1" applyFont="1" applyFill="1" applyBorder="1" applyAlignment="1">
      <alignment horizontal="left"/>
    </xf>
    <xf numFmtId="0" fontId="19" fillId="4" borderId="1" xfId="9" applyFont="1" applyFill="1" applyBorder="1" applyAlignment="1">
      <alignment horizontal="center"/>
    </xf>
    <xf numFmtId="168" fontId="21" fillId="4" borderId="1" xfId="9" applyNumberFormat="1" applyFont="1" applyFill="1" applyBorder="1" applyAlignment="1">
      <alignment horizontal="center"/>
    </xf>
    <xf numFmtId="3" fontId="4" fillId="4" borderId="1" xfId="9" applyNumberFormat="1" applyFont="1" applyFill="1" applyBorder="1"/>
    <xf numFmtId="3" fontId="8" fillId="4" borderId="1" xfId="9" applyNumberFormat="1" applyFont="1" applyFill="1" applyBorder="1"/>
    <xf numFmtId="3" fontId="4" fillId="4" borderId="1" xfId="9" applyNumberFormat="1" applyFont="1" applyFill="1" applyBorder="1" applyAlignment="1">
      <alignment horizontal="right"/>
    </xf>
    <xf numFmtId="0" fontId="4" fillId="4" borderId="0" xfId="9" applyFill="1"/>
    <xf numFmtId="0" fontId="51" fillId="4" borderId="0" xfId="9" applyFont="1" applyFill="1" applyAlignment="1"/>
    <xf numFmtId="0" fontId="4" fillId="4" borderId="0" xfId="9" applyFill="1" applyAlignment="1"/>
    <xf numFmtId="0" fontId="39" fillId="4" borderId="0" xfId="9" applyFont="1" applyFill="1" applyAlignment="1">
      <alignment horizontal="right"/>
    </xf>
    <xf numFmtId="1" fontId="12" fillId="4" borderId="0" xfId="9" applyNumberFormat="1" applyFont="1" applyFill="1" applyBorder="1" applyAlignment="1">
      <alignment horizontal="left"/>
    </xf>
    <xf numFmtId="168" fontId="24" fillId="4" borderId="0" xfId="9" applyNumberFormat="1" applyFont="1" applyFill="1"/>
    <xf numFmtId="0" fontId="39" fillId="4" borderId="0" xfId="9" applyFont="1" applyFill="1" applyAlignment="1"/>
    <xf numFmtId="0" fontId="4" fillId="4" borderId="0" xfId="9" applyFill="1" applyAlignment="1">
      <alignment horizontal="center"/>
    </xf>
    <xf numFmtId="4" fontId="4" fillId="4" borderId="0" xfId="9" applyNumberFormat="1" applyFill="1"/>
    <xf numFmtId="4" fontId="4" fillId="4" borderId="0" xfId="9" applyNumberFormat="1" applyFill="1" applyAlignment="1">
      <alignment horizontal="right"/>
    </xf>
    <xf numFmtId="0" fontId="28" fillId="4" borderId="4" xfId="9" applyFont="1" applyFill="1" applyBorder="1" applyAlignment="1">
      <alignment horizontal="center" vertical="center"/>
    </xf>
    <xf numFmtId="0" fontId="28" fillId="4" borderId="5" xfId="9" applyFont="1" applyFill="1" applyBorder="1" applyAlignment="1">
      <alignment horizontal="center" vertical="center"/>
    </xf>
    <xf numFmtId="0" fontId="28" fillId="4" borderId="5" xfId="9" applyFont="1" applyFill="1" applyBorder="1" applyAlignment="1">
      <alignment vertical="center"/>
    </xf>
    <xf numFmtId="4" fontId="28" fillId="4" borderId="5" xfId="9" applyNumberFormat="1" applyFont="1" applyFill="1" applyBorder="1" applyAlignment="1">
      <alignment horizontal="center" vertical="center" wrapText="1"/>
    </xf>
    <xf numFmtId="4" fontId="28" fillId="4" borderId="37" xfId="9" applyNumberFormat="1" applyFont="1" applyFill="1" applyBorder="1" applyAlignment="1">
      <alignment horizontal="center" vertical="center" wrapText="1"/>
    </xf>
    <xf numFmtId="3" fontId="4" fillId="4" borderId="24" xfId="9" applyNumberFormat="1" applyFill="1" applyBorder="1" applyAlignment="1">
      <alignment horizontal="center" vertical="center"/>
    </xf>
    <xf numFmtId="0" fontId="35" fillId="4" borderId="4" xfId="9" applyFont="1" applyFill="1" applyBorder="1" applyAlignment="1">
      <alignment horizontal="center" vertical="center"/>
    </xf>
    <xf numFmtId="0" fontId="35" fillId="4" borderId="5" xfId="9" applyFont="1" applyFill="1" applyBorder="1" applyAlignment="1">
      <alignment horizontal="center" vertical="center"/>
    </xf>
    <xf numFmtId="1" fontId="35" fillId="4" borderId="5" xfId="9" applyNumberFormat="1" applyFont="1" applyFill="1" applyBorder="1" applyAlignment="1">
      <alignment horizontal="center" vertical="center" wrapText="1"/>
    </xf>
    <xf numFmtId="1" fontId="35" fillId="4" borderId="37" xfId="9" applyNumberFormat="1" applyFont="1" applyFill="1" applyBorder="1" applyAlignment="1">
      <alignment horizontal="center" vertical="center" wrapText="1"/>
    </xf>
    <xf numFmtId="3" fontId="35" fillId="4" borderId="24" xfId="9" applyNumberFormat="1" applyFont="1" applyFill="1" applyBorder="1" applyAlignment="1">
      <alignment horizontal="center" vertical="center"/>
    </xf>
    <xf numFmtId="0" fontId="4" fillId="4" borderId="38" xfId="9" applyFill="1" applyBorder="1" applyAlignment="1">
      <alignment horizontal="center" vertical="center"/>
    </xf>
    <xf numFmtId="0" fontId="4" fillId="4" borderId="9" xfId="9" applyFill="1" applyBorder="1" applyAlignment="1">
      <alignment horizontal="center" vertical="center"/>
    </xf>
    <xf numFmtId="0" fontId="22" fillId="4" borderId="9" xfId="9" applyFont="1" applyFill="1" applyBorder="1" applyAlignment="1">
      <alignment vertical="center" wrapText="1"/>
    </xf>
    <xf numFmtId="3" fontId="22" fillId="4" borderId="9" xfId="9" applyNumberFormat="1" applyFont="1" applyFill="1" applyBorder="1" applyAlignment="1">
      <alignment vertical="center"/>
    </xf>
    <xf numFmtId="166" fontId="22" fillId="4" borderId="23" xfId="9" applyNumberFormat="1" applyFont="1" applyFill="1" applyBorder="1" applyAlignment="1">
      <alignment horizontal="center" vertical="center"/>
    </xf>
    <xf numFmtId="0" fontId="4" fillId="4" borderId="6" xfId="9" applyFill="1" applyBorder="1" applyAlignment="1">
      <alignment horizontal="center" vertical="center"/>
    </xf>
    <xf numFmtId="0" fontId="4" fillId="4" borderId="2" xfId="9" applyFill="1" applyBorder="1" applyAlignment="1">
      <alignment horizontal="center" vertical="center"/>
    </xf>
    <xf numFmtId="0" fontId="22" fillId="4" borderId="2" xfId="9" applyFont="1" applyFill="1" applyBorder="1" applyAlignment="1">
      <alignment vertical="center" wrapText="1"/>
    </xf>
    <xf numFmtId="3" fontId="22" fillId="4" borderId="2" xfId="9" applyNumberFormat="1" applyFont="1" applyFill="1" applyBorder="1" applyAlignment="1">
      <alignment vertical="center"/>
    </xf>
    <xf numFmtId="166" fontId="22" fillId="4" borderId="21" xfId="9" applyNumberFormat="1" applyFont="1" applyFill="1" applyBorder="1" applyAlignment="1">
      <alignment horizontal="center" vertical="center"/>
    </xf>
    <xf numFmtId="171" fontId="4" fillId="4" borderId="2" xfId="9" applyNumberFormat="1" applyFill="1" applyBorder="1" applyAlignment="1">
      <alignment horizontal="center" vertical="center" wrapText="1"/>
    </xf>
    <xf numFmtId="166" fontId="22" fillId="4" borderId="42" xfId="9" applyNumberFormat="1" applyFont="1" applyFill="1" applyBorder="1" applyAlignment="1">
      <alignment horizontal="center" vertical="center"/>
    </xf>
    <xf numFmtId="3" fontId="22" fillId="4" borderId="5" xfId="9" applyNumberFormat="1" applyFont="1" applyFill="1" applyBorder="1"/>
    <xf numFmtId="166" fontId="22" fillId="4" borderId="24" xfId="9" applyNumberFormat="1" applyFont="1" applyFill="1" applyBorder="1" applyAlignment="1">
      <alignment horizontal="center" vertical="center"/>
    </xf>
    <xf numFmtId="166" fontId="35" fillId="4" borderId="24" xfId="9" applyNumberFormat="1" applyFont="1" applyFill="1" applyBorder="1" applyAlignment="1">
      <alignment horizontal="center" vertical="center"/>
    </xf>
    <xf numFmtId="3" fontId="22" fillId="4" borderId="46" xfId="9" applyNumberFormat="1" applyFont="1" applyFill="1" applyBorder="1" applyAlignment="1">
      <alignment vertical="center"/>
    </xf>
    <xf numFmtId="3" fontId="22" fillId="4" borderId="15" xfId="9" applyNumberFormat="1" applyFont="1" applyFill="1" applyBorder="1" applyAlignment="1">
      <alignment vertical="center"/>
    </xf>
    <xf numFmtId="0" fontId="22" fillId="4" borderId="7" xfId="9" applyFont="1" applyFill="1" applyBorder="1" applyAlignment="1"/>
    <xf numFmtId="0" fontId="22" fillId="4" borderId="8" xfId="9" applyFont="1" applyFill="1" applyBorder="1" applyAlignment="1"/>
    <xf numFmtId="0" fontId="22" fillId="4" borderId="56" xfId="9" applyFont="1" applyFill="1" applyBorder="1" applyAlignment="1"/>
    <xf numFmtId="0" fontId="4" fillId="4" borderId="12" xfId="9" applyFill="1" applyBorder="1" applyAlignment="1">
      <alignment horizontal="center" vertical="center"/>
    </xf>
    <xf numFmtId="0" fontId="4" fillId="4" borderId="15" xfId="9" applyFill="1" applyBorder="1" applyAlignment="1">
      <alignment horizontal="center" vertical="center"/>
    </xf>
    <xf numFmtId="0" fontId="22" fillId="4" borderId="17" xfId="9" applyFont="1" applyFill="1" applyBorder="1" applyAlignment="1">
      <alignment vertical="center" wrapText="1"/>
    </xf>
    <xf numFmtId="0" fontId="4" fillId="4" borderId="14" xfId="9" applyFill="1" applyBorder="1" applyAlignment="1">
      <alignment horizontal="center" vertical="center"/>
    </xf>
    <xf numFmtId="0" fontId="4" fillId="4" borderId="0" xfId="9" applyFill="1" applyBorder="1" applyAlignment="1">
      <alignment horizontal="center" vertical="center"/>
    </xf>
    <xf numFmtId="0" fontId="22" fillId="4" borderId="14" xfId="9" applyFont="1" applyFill="1" applyBorder="1" applyAlignment="1">
      <alignment vertical="center" wrapText="1"/>
    </xf>
    <xf numFmtId="0" fontId="4" fillId="4" borderId="6" xfId="9" applyFill="1" applyBorder="1" applyAlignment="1">
      <alignment horizontal="center"/>
    </xf>
    <xf numFmtId="0" fontId="4" fillId="4" borderId="2" xfId="9" applyFill="1" applyBorder="1" applyAlignment="1">
      <alignment horizontal="center"/>
    </xf>
    <xf numFmtId="0" fontId="22" fillId="4" borderId="2" xfId="9" applyFont="1" applyFill="1" applyBorder="1"/>
    <xf numFmtId="0" fontId="22" fillId="4" borderId="17" xfId="9" applyFont="1" applyFill="1" applyBorder="1"/>
    <xf numFmtId="0" fontId="4" fillId="4" borderId="50" xfId="9" applyFill="1" applyBorder="1" applyAlignment="1">
      <alignment horizontal="center"/>
    </xf>
    <xf numFmtId="0" fontId="4" fillId="4" borderId="14" xfId="9" applyFill="1" applyBorder="1" applyAlignment="1">
      <alignment horizontal="center"/>
    </xf>
    <xf numFmtId="0" fontId="22" fillId="4" borderId="2" xfId="9" applyFont="1" applyFill="1" applyBorder="1" applyAlignment="1">
      <alignment wrapText="1"/>
    </xf>
    <xf numFmtId="1" fontId="78" fillId="4" borderId="0" xfId="9" applyNumberFormat="1" applyFont="1" applyFill="1" applyBorder="1" applyAlignment="1">
      <alignment horizontal="left"/>
    </xf>
    <xf numFmtId="1" fontId="78" fillId="4" borderId="0" xfId="9" applyNumberFormat="1" applyFont="1" applyFill="1" applyBorder="1" applyAlignment="1">
      <alignment horizontal="center"/>
    </xf>
    <xf numFmtId="168" fontId="78" fillId="4" borderId="0" xfId="9" applyNumberFormat="1" applyFont="1" applyFill="1" applyBorder="1" applyAlignment="1">
      <alignment horizontal="center"/>
    </xf>
    <xf numFmtId="0" fontId="78" fillId="4" borderId="0" xfId="9" applyFont="1" applyFill="1" applyBorder="1"/>
    <xf numFmtId="3" fontId="51" fillId="4" borderId="0" xfId="9" applyNumberFormat="1" applyFont="1" applyFill="1"/>
    <xf numFmtId="167" fontId="14" fillId="4" borderId="0" xfId="9" applyNumberFormat="1" applyFont="1" applyFill="1" applyBorder="1" applyAlignment="1">
      <alignment horizontal="right"/>
    </xf>
    <xf numFmtId="4" fontId="51" fillId="4" borderId="0" xfId="9" applyNumberFormat="1" applyFont="1" applyFill="1"/>
    <xf numFmtId="0" fontId="66" fillId="4" borderId="0" xfId="9" applyFont="1" applyFill="1"/>
    <xf numFmtId="1" fontId="53" fillId="4" borderId="0" xfId="9" applyNumberFormat="1" applyFont="1" applyFill="1" applyAlignment="1">
      <alignment horizontal="center"/>
    </xf>
    <xf numFmtId="168" fontId="53" fillId="4" borderId="0" xfId="9" applyNumberFormat="1" applyFont="1" applyFill="1" applyAlignment="1">
      <alignment horizontal="center"/>
    </xf>
    <xf numFmtId="0" fontId="53" fillId="4" borderId="0" xfId="9" applyFont="1" applyFill="1"/>
    <xf numFmtId="3" fontId="53" fillId="4" borderId="0" xfId="9" applyNumberFormat="1" applyFont="1" applyFill="1"/>
    <xf numFmtId="167" fontId="12" fillId="4" borderId="0" xfId="9" applyNumberFormat="1" applyFont="1" applyFill="1" applyBorder="1" applyAlignment="1">
      <alignment horizontal="right"/>
    </xf>
    <xf numFmtId="4" fontId="53" fillId="4" borderId="0" xfId="9" applyNumberFormat="1" applyFont="1" applyFill="1"/>
    <xf numFmtId="1" fontId="53" fillId="4" borderId="0" xfId="9" applyNumberFormat="1" applyFont="1" applyFill="1" applyAlignment="1">
      <alignment horizontal="left"/>
    </xf>
    <xf numFmtId="0" fontId="53" fillId="4" borderId="0" xfId="9" applyFont="1" applyFill="1" applyAlignment="1">
      <alignment horizontal="left"/>
    </xf>
    <xf numFmtId="3" fontId="53" fillId="4" borderId="0" xfId="9" applyNumberFormat="1" applyFont="1" applyFill="1" applyAlignment="1">
      <alignment horizontal="right"/>
    </xf>
    <xf numFmtId="3" fontId="31" fillId="4" borderId="10" xfId="9" applyNumberFormat="1" applyFont="1" applyFill="1" applyBorder="1"/>
    <xf numFmtId="167" fontId="31" fillId="4" borderId="10" xfId="9" applyNumberFormat="1" applyFont="1" applyFill="1" applyBorder="1" applyAlignment="1">
      <alignment horizontal="right" shrinkToFit="1"/>
    </xf>
    <xf numFmtId="0" fontId="22" fillId="4" borderId="0" xfId="9" applyFont="1" applyFill="1" applyBorder="1" applyAlignment="1">
      <alignment horizontal="left"/>
    </xf>
    <xf numFmtId="3" fontId="22" fillId="4" borderId="0" xfId="9" applyNumberFormat="1" applyFont="1" applyFill="1" applyBorder="1"/>
    <xf numFmtId="166" fontId="22" fillId="4" borderId="0" xfId="9" applyNumberFormat="1" applyFont="1" applyFill="1" applyBorder="1" applyAlignment="1">
      <alignment horizontal="center" vertical="center"/>
    </xf>
    <xf numFmtId="0" fontId="22" fillId="4" borderId="2" xfId="9" applyFont="1" applyFill="1" applyBorder="1" applyAlignment="1">
      <alignment vertical="justify" wrapText="1"/>
    </xf>
    <xf numFmtId="0" fontId="4" fillId="4" borderId="12" xfId="9" applyFill="1" applyBorder="1" applyAlignment="1">
      <alignment horizontal="center"/>
    </xf>
    <xf numFmtId="49" fontId="4" fillId="4" borderId="2" xfId="9" applyNumberFormat="1" applyFill="1" applyBorder="1" applyAlignment="1">
      <alignment horizontal="center" vertical="center"/>
    </xf>
    <xf numFmtId="3" fontId="22" fillId="4" borderId="14" xfId="9" applyNumberFormat="1" applyFont="1" applyFill="1" applyBorder="1" applyAlignment="1">
      <alignment vertical="center"/>
    </xf>
    <xf numFmtId="3" fontId="4" fillId="4" borderId="0" xfId="9" applyNumberFormat="1" applyFill="1" applyBorder="1" applyAlignment="1">
      <alignment horizontal="center" vertical="center"/>
    </xf>
    <xf numFmtId="0" fontId="74" fillId="4" borderId="0" xfId="9" applyFont="1" applyFill="1" applyAlignment="1"/>
    <xf numFmtId="0" fontId="22" fillId="4" borderId="0" xfId="9" applyFont="1" applyFill="1" applyAlignment="1"/>
    <xf numFmtId="0" fontId="24" fillId="4" borderId="0" xfId="9" applyFont="1" applyFill="1" applyAlignment="1">
      <alignment horizontal="center"/>
    </xf>
    <xf numFmtId="0" fontId="28" fillId="4" borderId="0" xfId="9" applyFont="1" applyFill="1" applyAlignment="1">
      <alignment vertical="center"/>
    </xf>
    <xf numFmtId="171" fontId="4" fillId="4" borderId="2" xfId="9" applyNumberFormat="1" applyFill="1" applyBorder="1" applyAlignment="1">
      <alignment horizontal="center" vertical="center"/>
    </xf>
    <xf numFmtId="0" fontId="4" fillId="4" borderId="0" xfId="9" applyFill="1" applyAlignment="1">
      <alignment vertical="center" wrapText="1"/>
    </xf>
    <xf numFmtId="0" fontId="4" fillId="4" borderId="2" xfId="9" applyFill="1" applyBorder="1" applyAlignment="1">
      <alignment horizontal="center" vertical="center" wrapText="1"/>
    </xf>
    <xf numFmtId="0" fontId="4" fillId="4" borderId="0" xfId="9" applyFill="1" applyAlignment="1">
      <alignment vertical="center"/>
    </xf>
    <xf numFmtId="4" fontId="22" fillId="4" borderId="0" xfId="9" applyNumberFormat="1" applyFont="1" applyFill="1"/>
    <xf numFmtId="0" fontId="22" fillId="4" borderId="0" xfId="9" applyFont="1" applyFill="1"/>
    <xf numFmtId="0" fontId="4" fillId="4" borderId="34" xfId="9" applyFill="1" applyBorder="1" applyAlignment="1">
      <alignment horizontal="center"/>
    </xf>
    <xf numFmtId="0" fontId="4" fillId="4" borderId="34" xfId="9" applyFill="1" applyBorder="1"/>
    <xf numFmtId="4" fontId="4" fillId="4" borderId="34" xfId="9" applyNumberFormat="1" applyFill="1" applyBorder="1"/>
    <xf numFmtId="0" fontId="4" fillId="4" borderId="0" xfId="9" applyFill="1" applyBorder="1" applyAlignment="1">
      <alignment horizontal="center"/>
    </xf>
    <xf numFmtId="0" fontId="4" fillId="4" borderId="0" xfId="9" applyFill="1" applyBorder="1"/>
    <xf numFmtId="4" fontId="4" fillId="4" borderId="0" xfId="9" applyNumberFormat="1" applyFill="1" applyBorder="1"/>
    <xf numFmtId="0" fontId="19" fillId="4" borderId="0" xfId="9" applyFont="1" applyFill="1" applyBorder="1" applyAlignment="1">
      <alignment horizontal="center"/>
    </xf>
    <xf numFmtId="0" fontId="4" fillId="4" borderId="0" xfId="9" applyFont="1" applyFill="1"/>
    <xf numFmtId="1" fontId="8" fillId="4" borderId="0" xfId="9" applyNumberFormat="1" applyFont="1" applyFill="1" applyBorder="1" applyAlignment="1">
      <alignment horizontal="left"/>
    </xf>
    <xf numFmtId="0" fontId="4" fillId="4" borderId="0" xfId="9" applyFill="1" applyAlignment="1">
      <alignment horizontal="right"/>
    </xf>
    <xf numFmtId="0" fontId="22" fillId="4" borderId="2" xfId="9" applyFont="1" applyFill="1" applyBorder="1" applyAlignment="1">
      <alignment horizontal="left" vertical="center" wrapText="1"/>
    </xf>
    <xf numFmtId="3" fontId="22" fillId="4" borderId="2" xfId="9" applyNumberFormat="1" applyFont="1" applyFill="1" applyBorder="1" applyAlignment="1">
      <alignment horizontal="center" vertical="center"/>
    </xf>
    <xf numFmtId="0" fontId="4" fillId="4" borderId="0" xfId="9" applyFont="1" applyFill="1" applyAlignment="1">
      <alignment vertical="center"/>
    </xf>
    <xf numFmtId="167" fontId="18" fillId="4" borderId="0" xfId="9" applyNumberFormat="1" applyFont="1" applyFill="1" applyBorder="1" applyAlignment="1">
      <alignment horizontal="right"/>
    </xf>
    <xf numFmtId="4" fontId="51" fillId="4" borderId="0" xfId="9" applyNumberFormat="1" applyFont="1" applyFill="1" applyAlignment="1">
      <alignment vertical="center"/>
    </xf>
    <xf numFmtId="167" fontId="6" fillId="4" borderId="0" xfId="9" applyNumberFormat="1" applyFont="1" applyFill="1" applyBorder="1" applyAlignment="1">
      <alignment horizontal="right"/>
    </xf>
    <xf numFmtId="4" fontId="53" fillId="4" borderId="0" xfId="9" applyNumberFormat="1" applyFont="1" applyFill="1" applyAlignment="1">
      <alignment vertical="center"/>
    </xf>
    <xf numFmtId="167" fontId="17" fillId="4" borderId="10" xfId="9" applyNumberFormat="1" applyFont="1" applyFill="1" applyBorder="1" applyAlignment="1">
      <alignment horizontal="right" shrinkToFit="1"/>
    </xf>
    <xf numFmtId="3" fontId="14" fillId="4" borderId="0" xfId="0" applyNumberFormat="1" applyFont="1" applyFill="1" applyBorder="1"/>
    <xf numFmtId="0" fontId="98" fillId="0" borderId="0" xfId="0" applyFont="1" applyFill="1"/>
    <xf numFmtId="0" fontId="4" fillId="0" borderId="2" xfId="0" applyFont="1" applyBorder="1" applyAlignment="1">
      <alignment horizontal="left" vertical="center" wrapText="1"/>
    </xf>
    <xf numFmtId="4" fontId="99" fillId="0" borderId="0" xfId="0" applyNumberFormat="1" applyFont="1" applyFill="1"/>
    <xf numFmtId="3" fontId="22" fillId="0" borderId="0" xfId="0" applyNumberFormat="1" applyFont="1" applyFill="1" applyAlignment="1">
      <alignment vertical="center" wrapText="1"/>
    </xf>
    <xf numFmtId="0" fontId="98" fillId="0" borderId="0" xfId="0" applyFont="1" applyFill="1" applyAlignment="1">
      <alignment horizontal="center" vertical="center"/>
    </xf>
    <xf numFmtId="0" fontId="100" fillId="0" borderId="0" xfId="0" applyFont="1" applyFill="1" applyAlignment="1">
      <alignment horizontal="center" vertical="center"/>
    </xf>
    <xf numFmtId="3" fontId="98" fillId="0" borderId="0" xfId="0" applyNumberFormat="1" applyFont="1" applyFill="1"/>
    <xf numFmtId="4" fontId="99" fillId="0" borderId="0" xfId="0" applyNumberFormat="1" applyFont="1" applyFill="1" applyAlignment="1">
      <alignment vertical="center" wrapText="1"/>
    </xf>
    <xf numFmtId="4" fontId="98" fillId="0" borderId="0" xfId="0" applyNumberFormat="1" applyFont="1" applyFill="1"/>
    <xf numFmtId="4" fontId="101" fillId="0" borderId="0" xfId="0" applyNumberFormat="1" applyFont="1" applyFill="1"/>
    <xf numFmtId="1" fontId="14" fillId="0" borderId="2" xfId="0" applyNumberFormat="1" applyFont="1" applyFill="1" applyBorder="1" applyAlignment="1">
      <alignment horizontal="right"/>
    </xf>
    <xf numFmtId="0" fontId="4" fillId="0" borderId="17" xfId="0" applyFont="1" applyFill="1" applyBorder="1" applyAlignment="1">
      <alignment horizontal="center" vertical="center"/>
    </xf>
    <xf numFmtId="3" fontId="14" fillId="0" borderId="15" xfId="0" applyNumberFormat="1" applyFont="1" applyFill="1" applyBorder="1"/>
    <xf numFmtId="0" fontId="24" fillId="0" borderId="17" xfId="0" applyFont="1" applyBorder="1"/>
    <xf numFmtId="0" fontId="4" fillId="0" borderId="6" xfId="0" applyFont="1" applyFill="1" applyBorder="1" applyAlignment="1"/>
    <xf numFmtId="0" fontId="24" fillId="0" borderId="2" xfId="0" applyFont="1" applyBorder="1" applyAlignment="1">
      <alignment vertical="top"/>
    </xf>
    <xf numFmtId="0" fontId="12" fillId="3" borderId="2" xfId="0" applyFont="1" applyFill="1" applyBorder="1"/>
    <xf numFmtId="49" fontId="10" fillId="3" borderId="17" xfId="0" applyNumberFormat="1" applyFont="1" applyFill="1" applyBorder="1" applyAlignment="1">
      <alignment horizontal="left" vertical="top"/>
    </xf>
    <xf numFmtId="0" fontId="24" fillId="0" borderId="2" xfId="0" applyFont="1" applyBorder="1" applyAlignment="1"/>
    <xf numFmtId="3" fontId="12" fillId="0" borderId="12" xfId="0" applyNumberFormat="1" applyFont="1" applyFill="1" applyBorder="1"/>
    <xf numFmtId="0" fontId="4" fillId="0" borderId="17" xfId="0" applyFont="1" applyBorder="1" applyAlignment="1">
      <alignment horizontal="left" vertical="top" wrapText="1"/>
    </xf>
    <xf numFmtId="3" fontId="22" fillId="4" borderId="2" xfId="9" applyNumberFormat="1" applyFont="1" applyFill="1" applyBorder="1" applyAlignment="1">
      <alignment horizontal="right" vertical="center"/>
    </xf>
    <xf numFmtId="171" fontId="4" fillId="4" borderId="0" xfId="9" applyNumberFormat="1" applyFill="1" applyBorder="1" applyAlignment="1">
      <alignment horizontal="center"/>
    </xf>
    <xf numFmtId="3" fontId="12" fillId="0" borderId="2" xfId="7" applyFont="1" applyBorder="1" applyAlignment="1">
      <alignment horizontal="right"/>
    </xf>
    <xf numFmtId="3" fontId="14" fillId="0" borderId="9" xfId="7" applyFont="1" applyBorder="1" applyAlignment="1">
      <alignment horizontal="right"/>
    </xf>
    <xf numFmtId="3" fontId="14" fillId="0" borderId="2" xfId="7" applyFont="1" applyBorder="1" applyAlignment="1">
      <alignment horizontal="right"/>
    </xf>
    <xf numFmtId="1" fontId="13" fillId="3" borderId="9" xfId="7" applyNumberFormat="1" applyFont="1" applyFill="1" applyBorder="1" applyAlignment="1">
      <alignment horizontal="center" vertical="center"/>
    </xf>
    <xf numFmtId="1" fontId="13" fillId="3" borderId="2" xfId="7" applyNumberFormat="1" applyFont="1" applyFill="1" applyBorder="1" applyAlignment="1">
      <alignment horizontal="center" vertical="center"/>
    </xf>
    <xf numFmtId="1" fontId="13" fillId="3" borderId="14" xfId="7" applyNumberFormat="1" applyFont="1" applyFill="1" applyBorder="1" applyAlignment="1">
      <alignment horizontal="center" vertical="center"/>
    </xf>
    <xf numFmtId="1" fontId="13" fillId="3" borderId="26" xfId="7" applyNumberFormat="1" applyFont="1" applyFill="1" applyBorder="1" applyAlignment="1">
      <alignment horizontal="center" vertical="center"/>
    </xf>
    <xf numFmtId="1" fontId="13" fillId="3" borderId="12" xfId="7" applyNumberFormat="1" applyFont="1" applyFill="1" applyBorder="1" applyAlignment="1">
      <alignment horizontal="center" vertical="center"/>
    </xf>
    <xf numFmtId="1" fontId="13" fillId="3" borderId="33" xfId="7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68" fontId="24" fillId="0" borderId="0" xfId="0" applyNumberFormat="1" applyFont="1" applyFill="1" applyAlignment="1">
      <alignment horizontal="left"/>
    </xf>
    <xf numFmtId="167" fontId="14" fillId="0" borderId="21" xfId="0" applyNumberFormat="1" applyFont="1" applyBorder="1" applyAlignment="1">
      <alignment horizontal="right"/>
    </xf>
    <xf numFmtId="167" fontId="12" fillId="0" borderId="21" xfId="0" applyNumberFormat="1" applyFont="1" applyBorder="1" applyAlignment="1">
      <alignment horizontal="right"/>
    </xf>
    <xf numFmtId="0" fontId="4" fillId="0" borderId="0" xfId="9" applyFont="1" applyFill="1" applyAlignment="1">
      <alignment horizontal="right"/>
    </xf>
    <xf numFmtId="0" fontId="22" fillId="4" borderId="4" xfId="9" applyFont="1" applyFill="1" applyBorder="1" applyAlignment="1">
      <alignment horizontal="left"/>
    </xf>
    <xf numFmtId="0" fontId="22" fillId="4" borderId="5" xfId="9" applyFont="1" applyFill="1" applyBorder="1" applyAlignment="1">
      <alignment horizontal="left"/>
    </xf>
    <xf numFmtId="0" fontId="35" fillId="0" borderId="6" xfId="9" applyFont="1" applyFill="1" applyBorder="1" applyAlignment="1">
      <alignment horizontal="center" vertical="center"/>
    </xf>
    <xf numFmtId="1" fontId="35" fillId="0" borderId="2" xfId="9" applyNumberFormat="1" applyFont="1" applyFill="1" applyBorder="1" applyAlignment="1">
      <alignment horizontal="center" vertical="center" wrapText="1"/>
    </xf>
    <xf numFmtId="1" fontId="35" fillId="0" borderId="15" xfId="9" applyNumberFormat="1" applyFont="1" applyFill="1" applyBorder="1" applyAlignment="1">
      <alignment horizontal="center" vertical="center" wrapText="1"/>
    </xf>
    <xf numFmtId="3" fontId="35" fillId="0" borderId="21" xfId="9" applyNumberFormat="1" applyFont="1" applyFill="1" applyBorder="1" applyAlignment="1">
      <alignment horizontal="center" vertical="center"/>
    </xf>
    <xf numFmtId="3" fontId="28" fillId="0" borderId="0" xfId="9" applyNumberFormat="1" applyFont="1" applyFill="1" applyAlignment="1">
      <alignment vertical="center"/>
    </xf>
    <xf numFmtId="3" fontId="22" fillId="0" borderId="17" xfId="9" applyNumberFormat="1" applyFont="1" applyFill="1" applyBorder="1" applyAlignment="1">
      <alignment vertical="center"/>
    </xf>
    <xf numFmtId="166" fontId="22" fillId="0" borderId="25" xfId="9" applyNumberFormat="1" applyFont="1" applyFill="1" applyBorder="1" applyAlignment="1">
      <alignment horizontal="center" vertical="center"/>
    </xf>
    <xf numFmtId="0" fontId="22" fillId="4" borderId="0" xfId="9" applyFont="1" applyFill="1" applyBorder="1" applyAlignment="1"/>
    <xf numFmtId="0" fontId="91" fillId="4" borderId="0" xfId="9" applyFont="1" applyFill="1" applyBorder="1" applyAlignment="1">
      <alignment vertical="center"/>
    </xf>
    <xf numFmtId="0" fontId="4" fillId="5" borderId="2" xfId="9" applyFont="1" applyFill="1" applyBorder="1" applyAlignment="1">
      <alignment horizontal="center" vertical="center"/>
    </xf>
    <xf numFmtId="0" fontId="22" fillId="5" borderId="17" xfId="9" applyFont="1" applyFill="1" applyBorder="1" applyAlignment="1">
      <alignment vertical="center" wrapText="1"/>
    </xf>
    <xf numFmtId="0" fontId="39" fillId="0" borderId="0" xfId="9" applyFont="1" applyFill="1" applyBorder="1" applyAlignment="1">
      <alignment horizontal="left"/>
    </xf>
    <xf numFmtId="0" fontId="4" fillId="0" borderId="0" xfId="9" applyFill="1" applyBorder="1" applyAlignment="1"/>
    <xf numFmtId="0" fontId="39" fillId="0" borderId="19" xfId="9" applyFont="1" applyFill="1" applyBorder="1" applyAlignment="1"/>
    <xf numFmtId="0" fontId="4" fillId="0" borderId="19" xfId="9" applyFill="1" applyBorder="1" applyAlignment="1"/>
    <xf numFmtId="3" fontId="22" fillId="0" borderId="0" xfId="9" applyNumberFormat="1" applyFont="1" applyFill="1" applyAlignment="1">
      <alignment horizontal="right" vertical="center"/>
    </xf>
    <xf numFmtId="166" fontId="22" fillId="0" borderId="24" xfId="9" applyNumberFormat="1" applyFont="1" applyFill="1" applyBorder="1" applyAlignment="1">
      <alignment horizontal="right" vertical="center"/>
    </xf>
    <xf numFmtId="3" fontId="22" fillId="0" borderId="5" xfId="9" applyNumberFormat="1" applyFont="1" applyFill="1" applyBorder="1" applyAlignment="1">
      <alignment horizontal="right"/>
    </xf>
    <xf numFmtId="3" fontId="22" fillId="0" borderId="37" xfId="9" applyNumberFormat="1" applyFont="1" applyFill="1" applyBorder="1" applyAlignment="1">
      <alignment horizontal="right"/>
    </xf>
    <xf numFmtId="166" fontId="22" fillId="0" borderId="42" xfId="9" applyNumberFormat="1" applyFont="1" applyFill="1" applyBorder="1" applyAlignment="1">
      <alignment horizontal="right" vertical="center"/>
    </xf>
    <xf numFmtId="4" fontId="73" fillId="4" borderId="0" xfId="9" applyNumberFormat="1" applyFont="1" applyFill="1" applyAlignment="1">
      <alignment vertical="center"/>
    </xf>
    <xf numFmtId="4" fontId="73" fillId="4" borderId="0" xfId="9" applyNumberFormat="1" applyFont="1" applyFill="1"/>
    <xf numFmtId="4" fontId="73" fillId="4" borderId="28" xfId="9" applyNumberFormat="1" applyFont="1" applyFill="1" applyBorder="1"/>
    <xf numFmtId="4" fontId="73" fillId="4" borderId="19" xfId="9" applyNumberFormat="1" applyFont="1" applyFill="1" applyBorder="1"/>
    <xf numFmtId="4" fontId="73" fillId="4" borderId="12" xfId="9" applyNumberFormat="1" applyFont="1" applyFill="1" applyBorder="1"/>
    <xf numFmtId="4" fontId="73" fillId="4" borderId="0" xfId="9" applyNumberFormat="1" applyFont="1" applyFill="1" applyBorder="1"/>
    <xf numFmtId="49" fontId="27" fillId="0" borderId="2" xfId="4" applyNumberFormat="1" applyFont="1" applyBorder="1" applyAlignment="1">
      <alignment horizontal="left" vertical="top"/>
    </xf>
    <xf numFmtId="3" fontId="15" fillId="0" borderId="2" xfId="4" applyFont="1" applyBorder="1" applyAlignment="1">
      <alignment vertical="top"/>
    </xf>
    <xf numFmtId="0" fontId="4" fillId="4" borderId="0" xfId="0" applyFont="1" applyFill="1"/>
    <xf numFmtId="0" fontId="22" fillId="4" borderId="0" xfId="0" applyFont="1" applyFill="1"/>
    <xf numFmtId="164" fontId="4" fillId="4" borderId="0" xfId="0" applyNumberFormat="1" applyFont="1" applyFill="1" applyAlignment="1">
      <alignment horizontal="center"/>
    </xf>
    <xf numFmtId="3" fontId="24" fillId="4" borderId="0" xfId="0" applyNumberFormat="1" applyFont="1" applyFill="1"/>
    <xf numFmtId="0" fontId="24" fillId="4" borderId="0" xfId="0" applyFont="1" applyFill="1"/>
    <xf numFmtId="3" fontId="4" fillId="4" borderId="0" xfId="0" applyNumberFormat="1" applyFont="1" applyFill="1"/>
    <xf numFmtId="0" fontId="4" fillId="4" borderId="4" xfId="0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3" fontId="4" fillId="4" borderId="5" xfId="0" applyNumberFormat="1" applyFont="1" applyFill="1" applyBorder="1" applyAlignment="1">
      <alignment horizontal="center" vertical="center" wrapText="1"/>
    </xf>
    <xf numFmtId="3" fontId="4" fillId="4" borderId="24" xfId="0" applyNumberFormat="1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35" fillId="4" borderId="38" xfId="0" applyFont="1" applyFill="1" applyBorder="1" applyAlignment="1">
      <alignment horizontal="center" vertical="center"/>
    </xf>
    <xf numFmtId="1" fontId="35" fillId="4" borderId="9" xfId="0" applyNumberFormat="1" applyFont="1" applyFill="1" applyBorder="1" applyAlignment="1">
      <alignment horizontal="center" vertical="center"/>
    </xf>
    <xf numFmtId="3" fontId="35" fillId="4" borderId="9" xfId="0" applyNumberFormat="1" applyFont="1" applyFill="1" applyBorder="1" applyAlignment="1">
      <alignment horizontal="center" vertical="center" wrapText="1"/>
    </xf>
    <xf numFmtId="3" fontId="35" fillId="4" borderId="23" xfId="0" applyNumberFormat="1" applyFont="1" applyFill="1" applyBorder="1" applyAlignment="1">
      <alignment horizontal="center" vertical="center"/>
    </xf>
    <xf numFmtId="0" fontId="35" fillId="4" borderId="0" xfId="0" applyFont="1" applyFill="1" applyAlignment="1">
      <alignment vertical="center"/>
    </xf>
    <xf numFmtId="0" fontId="22" fillId="4" borderId="38" xfId="0" applyFont="1" applyFill="1" applyBorder="1"/>
    <xf numFmtId="164" fontId="37" fillId="4" borderId="9" xfId="0" applyNumberFormat="1" applyFont="1" applyFill="1" applyBorder="1" applyAlignment="1">
      <alignment horizontal="center"/>
    </xf>
    <xf numFmtId="4" fontId="95" fillId="4" borderId="0" xfId="0" applyNumberFormat="1" applyFont="1" applyFill="1" applyBorder="1"/>
    <xf numFmtId="0" fontId="4" fillId="4" borderId="6" xfId="0" applyFont="1" applyFill="1" applyBorder="1"/>
    <xf numFmtId="164" fontId="4" fillId="4" borderId="2" xfId="0" applyNumberFormat="1" applyFont="1" applyFill="1" applyBorder="1" applyAlignment="1">
      <alignment horizontal="center"/>
    </xf>
    <xf numFmtId="3" fontId="24" fillId="4" borderId="2" xfId="0" applyNumberFormat="1" applyFont="1" applyFill="1" applyBorder="1"/>
    <xf numFmtId="166" fontId="24" fillId="4" borderId="21" xfId="0" applyNumberFormat="1" applyFont="1" applyFill="1" applyBorder="1"/>
    <xf numFmtId="4" fontId="73" fillId="4" borderId="0" xfId="0" applyNumberFormat="1" applyFont="1" applyFill="1" applyBorder="1"/>
    <xf numFmtId="164" fontId="4" fillId="4" borderId="17" xfId="0" applyNumberFormat="1" applyFont="1" applyFill="1" applyBorder="1" applyAlignment="1">
      <alignment horizontal="center"/>
    </xf>
    <xf numFmtId="0" fontId="13" fillId="4" borderId="12" xfId="0" applyFont="1" applyFill="1" applyBorder="1"/>
    <xf numFmtId="0" fontId="4" fillId="4" borderId="11" xfId="0" applyFont="1" applyFill="1" applyBorder="1"/>
    <xf numFmtId="164" fontId="4" fillId="4" borderId="3" xfId="0" applyNumberFormat="1" applyFont="1" applyFill="1" applyBorder="1" applyAlignment="1">
      <alignment horizontal="center"/>
    </xf>
    <xf numFmtId="3" fontId="24" fillId="4" borderId="3" xfId="0" applyNumberFormat="1" applyFont="1" applyFill="1" applyBorder="1"/>
    <xf numFmtId="166" fontId="24" fillId="4" borderId="49" xfId="0" applyNumberFormat="1" applyFont="1" applyFill="1" applyBorder="1"/>
    <xf numFmtId="4" fontId="73" fillId="4" borderId="28" xfId="0" applyNumberFormat="1" applyFont="1" applyFill="1" applyBorder="1"/>
    <xf numFmtId="4" fontId="73" fillId="4" borderId="19" xfId="0" applyNumberFormat="1" applyFont="1" applyFill="1" applyBorder="1"/>
    <xf numFmtId="0" fontId="22" fillId="4" borderId="47" xfId="0" applyFont="1" applyFill="1" applyBorder="1"/>
    <xf numFmtId="164" fontId="37" fillId="4" borderId="41" xfId="0" applyNumberFormat="1" applyFont="1" applyFill="1" applyBorder="1" applyAlignment="1">
      <alignment horizontal="center"/>
    </xf>
    <xf numFmtId="3" fontId="22" fillId="4" borderId="41" xfId="0" applyNumberFormat="1" applyFont="1" applyFill="1" applyBorder="1"/>
    <xf numFmtId="166" fontId="22" fillId="4" borderId="43" xfId="0" applyNumberFormat="1" applyFont="1" applyFill="1" applyBorder="1"/>
    <xf numFmtId="0" fontId="37" fillId="4" borderId="0" xfId="0" applyFont="1" applyFill="1"/>
    <xf numFmtId="4" fontId="73" fillId="4" borderId="12" xfId="0" applyNumberFormat="1" applyFont="1" applyFill="1" applyBorder="1"/>
    <xf numFmtId="0" fontId="13" fillId="4" borderId="28" xfId="0" applyFont="1" applyFill="1" applyBorder="1"/>
    <xf numFmtId="164" fontId="37" fillId="4" borderId="2" xfId="0" applyNumberFormat="1" applyFont="1" applyFill="1" applyBorder="1" applyAlignment="1">
      <alignment horizontal="center"/>
    </xf>
    <xf numFmtId="166" fontId="22" fillId="4" borderId="21" xfId="0" applyNumberFormat="1" applyFont="1" applyFill="1" applyBorder="1"/>
    <xf numFmtId="0" fontId="13" fillId="4" borderId="11" xfId="0" applyFont="1" applyFill="1" applyBorder="1"/>
    <xf numFmtId="0" fontId="22" fillId="4" borderId="12" xfId="0" applyFont="1" applyFill="1" applyBorder="1"/>
    <xf numFmtId="0" fontId="4" fillId="4" borderId="12" xfId="0" applyFont="1" applyFill="1" applyBorder="1"/>
    <xf numFmtId="164" fontId="37" fillId="4" borderId="3" xfId="0" applyNumberFormat="1" applyFont="1" applyFill="1" applyBorder="1" applyAlignment="1">
      <alignment horizontal="center"/>
    </xf>
    <xf numFmtId="3" fontId="22" fillId="4" borderId="2" xfId="0" applyNumberFormat="1" applyFont="1" applyFill="1" applyBorder="1"/>
    <xf numFmtId="4" fontId="71" fillId="4" borderId="0" xfId="0" applyNumberFormat="1" applyFont="1" applyFill="1" applyBorder="1"/>
    <xf numFmtId="0" fontId="71" fillId="4" borderId="0" xfId="0" applyFont="1" applyFill="1"/>
    <xf numFmtId="0" fontId="13" fillId="4" borderId="33" xfId="0" applyFont="1" applyFill="1" applyBorder="1"/>
    <xf numFmtId="164" fontId="4" fillId="4" borderId="14" xfId="0" applyNumberFormat="1" applyFont="1" applyFill="1" applyBorder="1" applyAlignment="1">
      <alignment horizontal="center"/>
    </xf>
    <xf numFmtId="3" fontId="24" fillId="4" borderId="14" xfId="0" applyNumberFormat="1" applyFont="1" applyFill="1" applyBorder="1"/>
    <xf numFmtId="166" fontId="24" fillId="4" borderId="42" xfId="0" applyNumberFormat="1" applyFont="1" applyFill="1" applyBorder="1"/>
    <xf numFmtId="0" fontId="13" fillId="4" borderId="0" xfId="0" applyFont="1" applyFill="1" applyBorder="1"/>
    <xf numFmtId="164" fontId="4" fillId="4" borderId="0" xfId="0" applyNumberFormat="1" applyFont="1" applyFill="1" applyBorder="1" applyAlignment="1">
      <alignment horizontal="center"/>
    </xf>
    <xf numFmtId="0" fontId="103" fillId="4" borderId="0" xfId="0" applyFont="1" applyFill="1"/>
    <xf numFmtId="0" fontId="35" fillId="4" borderId="4" xfId="0" applyFont="1" applyFill="1" applyBorder="1" applyAlignment="1">
      <alignment horizontal="center" vertical="center"/>
    </xf>
    <xf numFmtId="1" fontId="35" fillId="4" borderId="5" xfId="0" applyNumberFormat="1" applyFont="1" applyFill="1" applyBorder="1" applyAlignment="1">
      <alignment horizontal="center" vertical="center"/>
    </xf>
    <xf numFmtId="3" fontId="35" fillId="4" borderId="5" xfId="0" applyNumberFormat="1" applyFont="1" applyFill="1" applyBorder="1" applyAlignment="1">
      <alignment horizontal="center" vertical="center" wrapText="1"/>
    </xf>
    <xf numFmtId="3" fontId="35" fillId="4" borderId="24" xfId="0" applyNumberFormat="1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left"/>
    </xf>
    <xf numFmtId="3" fontId="37" fillId="4" borderId="2" xfId="0" applyNumberFormat="1" applyFont="1" applyFill="1" applyBorder="1" applyAlignment="1">
      <alignment horizontal="center"/>
    </xf>
    <xf numFmtId="4" fontId="74" fillId="4" borderId="0" xfId="0" applyNumberFormat="1" applyFont="1" applyFill="1" applyBorder="1"/>
    <xf numFmtId="0" fontId="73" fillId="4" borderId="6" xfId="0" applyFont="1" applyFill="1" applyBorder="1" applyAlignment="1">
      <alignment wrapText="1"/>
    </xf>
    <xf numFmtId="3" fontId="73" fillId="4" borderId="2" xfId="0" applyNumberFormat="1" applyFont="1" applyFill="1" applyBorder="1"/>
    <xf numFmtId="3" fontId="4" fillId="4" borderId="2" xfId="0" applyNumberFormat="1" applyFont="1" applyFill="1" applyBorder="1" applyAlignment="1">
      <alignment horizontal="center"/>
    </xf>
    <xf numFmtId="4" fontId="24" fillId="4" borderId="0" xfId="0" applyNumberFormat="1" applyFont="1" applyFill="1" applyBorder="1"/>
    <xf numFmtId="3" fontId="4" fillId="4" borderId="17" xfId="0" applyNumberFormat="1" applyFont="1" applyFill="1" applyBorder="1" applyAlignment="1">
      <alignment horizontal="center"/>
    </xf>
    <xf numFmtId="0" fontId="13" fillId="4" borderId="6" xfId="0" applyFont="1" applyFill="1" applyBorder="1"/>
    <xf numFmtId="0" fontId="62" fillId="4" borderId="6" xfId="0" applyFont="1" applyFill="1" applyBorder="1"/>
    <xf numFmtId="0" fontId="73" fillId="4" borderId="6" xfId="0" applyFont="1" applyFill="1" applyBorder="1"/>
    <xf numFmtId="3" fontId="37" fillId="4" borderId="41" xfId="0" applyNumberFormat="1" applyFont="1" applyFill="1" applyBorder="1" applyAlignment="1">
      <alignment horizontal="center"/>
    </xf>
    <xf numFmtId="166" fontId="73" fillId="4" borderId="21" xfId="0" applyNumberFormat="1" applyFont="1" applyFill="1" applyBorder="1"/>
    <xf numFmtId="3" fontId="37" fillId="4" borderId="0" xfId="0" applyNumberFormat="1" applyFont="1" applyFill="1"/>
    <xf numFmtId="0" fontId="13" fillId="4" borderId="50" xfId="0" applyFont="1" applyFill="1" applyBorder="1"/>
    <xf numFmtId="0" fontId="22" fillId="4" borderId="6" xfId="0" applyFont="1" applyFill="1" applyBorder="1"/>
    <xf numFmtId="0" fontId="22" fillId="4" borderId="57" xfId="0" applyFont="1" applyFill="1" applyBorder="1"/>
    <xf numFmtId="3" fontId="37" fillId="4" borderId="13" xfId="0" applyNumberFormat="1" applyFont="1" applyFill="1" applyBorder="1" applyAlignment="1">
      <alignment horizontal="center"/>
    </xf>
    <xf numFmtId="1" fontId="37" fillId="4" borderId="2" xfId="0" applyNumberFormat="1" applyFont="1" applyFill="1" applyBorder="1" applyAlignment="1">
      <alignment horizontal="center"/>
    </xf>
    <xf numFmtId="0" fontId="14" fillId="4" borderId="12" xfId="0" applyFont="1" applyFill="1" applyBorder="1"/>
    <xf numFmtId="3" fontId="37" fillId="4" borderId="3" xfId="0" applyNumberFormat="1" applyFont="1" applyFill="1" applyBorder="1" applyAlignment="1">
      <alignment horizontal="center"/>
    </xf>
    <xf numFmtId="3" fontId="24" fillId="4" borderId="2" xfId="0" applyNumberFormat="1" applyFont="1" applyFill="1" applyBorder="1" applyAlignment="1"/>
    <xf numFmtId="166" fontId="24" fillId="4" borderId="43" xfId="0" applyNumberFormat="1" applyFont="1" applyFill="1" applyBorder="1"/>
    <xf numFmtId="0" fontId="22" fillId="4" borderId="47" xfId="0" applyFont="1" applyFill="1" applyBorder="1" applyAlignment="1"/>
    <xf numFmtId="4" fontId="95" fillId="4" borderId="0" xfId="0" applyNumberFormat="1" applyFont="1" applyFill="1"/>
    <xf numFmtId="0" fontId="4" fillId="4" borderId="0" xfId="0" applyFont="1" applyFill="1" applyBorder="1"/>
    <xf numFmtId="3" fontId="24" fillId="4" borderId="0" xfId="0" applyNumberFormat="1" applyFont="1" applyFill="1" applyBorder="1"/>
    <xf numFmtId="166" fontId="24" fillId="4" borderId="0" xfId="0" applyNumberFormat="1" applyFont="1" applyFill="1" applyBorder="1"/>
    <xf numFmtId="0" fontId="16" fillId="4" borderId="0" xfId="0" applyFont="1" applyFill="1" applyBorder="1"/>
    <xf numFmtId="0" fontId="55" fillId="4" borderId="0" xfId="0" applyFont="1" applyFill="1" applyBorder="1"/>
    <xf numFmtId="3" fontId="12" fillId="4" borderId="0" xfId="0" applyNumberFormat="1" applyFont="1" applyFill="1" applyBorder="1"/>
    <xf numFmtId="3" fontId="13" fillId="4" borderId="0" xfId="0" applyNumberFormat="1" applyFont="1" applyFill="1" applyBorder="1"/>
    <xf numFmtId="3" fontId="4" fillId="4" borderId="0" xfId="0" applyNumberFormat="1" applyFont="1" applyFill="1" applyAlignment="1">
      <alignment horizontal="right"/>
    </xf>
    <xf numFmtId="4" fontId="95" fillId="4" borderId="10" xfId="0" applyNumberFormat="1" applyFont="1" applyFill="1" applyBorder="1"/>
    <xf numFmtId="3" fontId="39" fillId="4" borderId="5" xfId="0" applyNumberFormat="1" applyFont="1" applyFill="1" applyBorder="1"/>
    <xf numFmtId="166" fontId="39" fillId="4" borderId="24" xfId="0" applyNumberFormat="1" applyFont="1" applyFill="1" applyBorder="1"/>
    <xf numFmtId="4" fontId="22" fillId="4" borderId="37" xfId="0" applyNumberFormat="1" applyFont="1" applyFill="1" applyBorder="1"/>
    <xf numFmtId="1" fontId="12" fillId="4" borderId="0" xfId="0" applyNumberFormat="1" applyFont="1" applyFill="1" applyBorder="1" applyAlignment="1">
      <alignment horizontal="left"/>
    </xf>
    <xf numFmtId="0" fontId="51" fillId="4" borderId="10" xfId="0" applyFont="1" applyFill="1" applyBorder="1" applyAlignment="1">
      <alignment wrapText="1"/>
    </xf>
    <xf numFmtId="164" fontId="39" fillId="4" borderId="10" xfId="0" applyNumberFormat="1" applyFont="1" applyFill="1" applyBorder="1" applyAlignment="1">
      <alignment horizontal="center"/>
    </xf>
    <xf numFmtId="3" fontId="39" fillId="4" borderId="10" xfId="0" applyNumberFormat="1" applyFont="1" applyFill="1" applyBorder="1"/>
    <xf numFmtId="3" fontId="39" fillId="4" borderId="10" xfId="0" applyNumberFormat="1" applyFont="1" applyFill="1" applyBorder="1" applyAlignment="1">
      <alignment shrinkToFit="1"/>
    </xf>
    <xf numFmtId="166" fontId="39" fillId="4" borderId="10" xfId="0" applyNumberFormat="1" applyFont="1" applyFill="1" applyBorder="1"/>
    <xf numFmtId="4" fontId="22" fillId="4" borderId="10" xfId="0" applyNumberFormat="1" applyFont="1" applyFill="1" applyBorder="1"/>
    <xf numFmtId="4" fontId="22" fillId="4" borderId="0" xfId="0" applyNumberFormat="1" applyFont="1" applyFill="1"/>
    <xf numFmtId="3" fontId="28" fillId="4" borderId="0" xfId="0" applyNumberFormat="1" applyFont="1" applyFill="1"/>
    <xf numFmtId="3" fontId="22" fillId="4" borderId="0" xfId="0" applyNumberFormat="1" applyFont="1" applyFill="1"/>
    <xf numFmtId="3" fontId="61" fillId="4" borderId="0" xfId="0" applyNumberFormat="1" applyFont="1" applyFill="1"/>
    <xf numFmtId="0" fontId="14" fillId="4" borderId="0" xfId="0" applyFont="1" applyFill="1" applyBorder="1" applyAlignment="1">
      <alignment horizontal="left"/>
    </xf>
    <xf numFmtId="0" fontId="22" fillId="4" borderId="0" xfId="0" applyFont="1" applyFill="1" applyBorder="1" applyAlignment="1">
      <alignment vertical="center" wrapText="1"/>
    </xf>
    <xf numFmtId="164" fontId="22" fillId="4" borderId="0" xfId="0" applyNumberFormat="1" applyFont="1" applyFill="1" applyAlignment="1">
      <alignment horizontal="center"/>
    </xf>
    <xf numFmtId="0" fontId="22" fillId="4" borderId="0" xfId="0" applyFont="1" applyFill="1" applyBorder="1"/>
    <xf numFmtId="0" fontId="22" fillId="4" borderId="10" xfId="0" applyFont="1" applyFill="1" applyBorder="1"/>
    <xf numFmtId="164" fontId="22" fillId="4" borderId="10" xfId="0" applyNumberFormat="1" applyFont="1" applyFill="1" applyBorder="1" applyAlignment="1">
      <alignment horizontal="center"/>
    </xf>
    <xf numFmtId="3" fontId="22" fillId="4" borderId="10" xfId="0" applyNumberFormat="1" applyFont="1" applyFill="1" applyBorder="1"/>
    <xf numFmtId="164" fontId="37" fillId="4" borderId="0" xfId="0" applyNumberFormat="1" applyFont="1" applyFill="1" applyAlignment="1">
      <alignment horizontal="center"/>
    </xf>
    <xf numFmtId="164" fontId="37" fillId="4" borderId="10" xfId="0" applyNumberFormat="1" applyFont="1" applyFill="1" applyBorder="1" applyAlignment="1">
      <alignment horizontal="center"/>
    </xf>
    <xf numFmtId="3" fontId="22" fillId="4" borderId="0" xfId="0" applyNumberFormat="1" applyFont="1" applyFill="1" applyBorder="1"/>
    <xf numFmtId="4" fontId="24" fillId="4" borderId="0" xfId="0" applyNumberFormat="1" applyFont="1" applyFill="1"/>
    <xf numFmtId="3" fontId="22" fillId="4" borderId="19" xfId="0" applyNumberFormat="1" applyFont="1" applyFill="1" applyBorder="1"/>
    <xf numFmtId="164" fontId="4" fillId="4" borderId="19" xfId="0" applyNumberFormat="1" applyFont="1" applyFill="1" applyBorder="1" applyAlignment="1">
      <alignment horizontal="center"/>
    </xf>
    <xf numFmtId="3" fontId="24" fillId="4" borderId="19" xfId="0" applyNumberFormat="1" applyFont="1" applyFill="1" applyBorder="1"/>
    <xf numFmtId="4" fontId="24" fillId="4" borderId="19" xfId="0" applyNumberFormat="1" applyFont="1" applyFill="1" applyBorder="1"/>
    <xf numFmtId="0" fontId="24" fillId="4" borderId="60" xfId="0" applyFont="1" applyFill="1" applyBorder="1"/>
    <xf numFmtId="164" fontId="4" fillId="4" borderId="60" xfId="0" applyNumberFormat="1" applyFont="1" applyFill="1" applyBorder="1" applyAlignment="1">
      <alignment horizontal="center"/>
    </xf>
    <xf numFmtId="3" fontId="22" fillId="4" borderId="60" xfId="0" applyNumberFormat="1" applyFont="1" applyFill="1" applyBorder="1"/>
    <xf numFmtId="0" fontId="24" fillId="4" borderId="34" xfId="0" applyFont="1" applyFill="1" applyBorder="1"/>
    <xf numFmtId="164" fontId="4" fillId="4" borderId="34" xfId="0" applyNumberFormat="1" applyFont="1" applyFill="1" applyBorder="1" applyAlignment="1">
      <alignment horizontal="center"/>
    </xf>
    <xf numFmtId="3" fontId="24" fillId="4" borderId="34" xfId="0" applyNumberFormat="1" applyFont="1" applyFill="1" applyBorder="1"/>
    <xf numFmtId="4" fontId="22" fillId="4" borderId="34" xfId="0" applyNumberFormat="1" applyFont="1" applyFill="1" applyBorder="1"/>
    <xf numFmtId="0" fontId="24" fillId="4" borderId="0" xfId="0" applyFont="1" applyFill="1" applyBorder="1"/>
    <xf numFmtId="4" fontId="4" fillId="4" borderId="0" xfId="0" applyNumberFormat="1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4" fontId="4" fillId="4" borderId="0" xfId="0" applyNumberFormat="1" applyFont="1" applyFill="1"/>
    <xf numFmtId="4" fontId="4" fillId="4" borderId="28" xfId="0" applyNumberFormat="1" applyFont="1" applyFill="1" applyBorder="1" applyAlignment="1">
      <alignment horizontal="center" vertical="center"/>
    </xf>
    <xf numFmtId="4" fontId="4" fillId="4" borderId="19" xfId="0" applyNumberFormat="1" applyFont="1" applyFill="1" applyBorder="1" applyAlignment="1">
      <alignment horizontal="center" vertical="center"/>
    </xf>
    <xf numFmtId="4" fontId="4" fillId="4" borderId="0" xfId="0" applyNumberFormat="1" applyFont="1" applyFill="1" applyBorder="1" applyAlignment="1">
      <alignment horizontal="center" vertical="center"/>
    </xf>
    <xf numFmtId="4" fontId="35" fillId="4" borderId="0" xfId="0" applyNumberFormat="1" applyFont="1" applyFill="1" applyBorder="1" applyAlignment="1">
      <alignment horizontal="center" vertical="center"/>
    </xf>
    <xf numFmtId="0" fontId="37" fillId="4" borderId="0" xfId="0" applyFont="1" applyFill="1" applyBorder="1"/>
    <xf numFmtId="4" fontId="37" fillId="4" borderId="0" xfId="0" applyNumberFormat="1" applyFont="1" applyFill="1"/>
    <xf numFmtId="4" fontId="73" fillId="4" borderId="0" xfId="0" applyNumberFormat="1" applyFont="1" applyFill="1"/>
    <xf numFmtId="3" fontId="16" fillId="4" borderId="0" xfId="0" applyNumberFormat="1" applyFont="1" applyFill="1" applyBorder="1"/>
    <xf numFmtId="0" fontId="58" fillId="4" borderId="0" xfId="0" applyFont="1" applyFill="1" applyBorder="1"/>
    <xf numFmtId="4" fontId="22" fillId="4" borderId="0" xfId="0" applyNumberFormat="1" applyFont="1" applyFill="1" applyBorder="1"/>
    <xf numFmtId="4" fontId="58" fillId="4" borderId="0" xfId="0" applyNumberFormat="1" applyFont="1" applyFill="1" applyBorder="1" applyAlignment="1">
      <alignment horizontal="right"/>
    </xf>
    <xf numFmtId="4" fontId="13" fillId="4" borderId="0" xfId="0" applyNumberFormat="1" applyFont="1" applyFill="1" applyBorder="1" applyAlignment="1">
      <alignment horizontal="justify"/>
    </xf>
    <xf numFmtId="1" fontId="13" fillId="4" borderId="0" xfId="0" applyNumberFormat="1" applyFont="1" applyFill="1" applyBorder="1" applyAlignment="1">
      <alignment horizontal="left"/>
    </xf>
    <xf numFmtId="0" fontId="13" fillId="4" borderId="0" xfId="0" applyFont="1" applyFill="1" applyBorder="1" applyAlignment="1">
      <alignment horizontal="right"/>
    </xf>
    <xf numFmtId="0" fontId="0" fillId="4" borderId="0" xfId="0" applyFill="1"/>
    <xf numFmtId="0" fontId="0" fillId="4" borderId="0" xfId="0" applyFill="1" applyBorder="1"/>
    <xf numFmtId="3" fontId="0" fillId="4" borderId="0" xfId="0" applyNumberFormat="1" applyFill="1" applyBorder="1"/>
    <xf numFmtId="0" fontId="51" fillId="4" borderId="0" xfId="0" applyFont="1" applyFill="1"/>
    <xf numFmtId="0" fontId="36" fillId="4" borderId="0" xfId="0" applyFont="1" applyFill="1"/>
    <xf numFmtId="164" fontId="0" fillId="4" borderId="0" xfId="0" applyNumberFormat="1" applyFill="1" applyAlignment="1">
      <alignment horizontal="center"/>
    </xf>
    <xf numFmtId="3" fontId="36" fillId="4" borderId="0" xfId="0" applyNumberFormat="1" applyFont="1" applyFill="1"/>
    <xf numFmtId="3" fontId="36" fillId="4" borderId="2" xfId="0" applyNumberFormat="1" applyFont="1" applyFill="1" applyBorder="1"/>
    <xf numFmtId="166" fontId="24" fillId="4" borderId="25" xfId="0" applyNumberFormat="1" applyFont="1" applyFill="1" applyBorder="1"/>
    <xf numFmtId="3" fontId="36" fillId="4" borderId="3" xfId="0" applyNumberFormat="1" applyFont="1" applyFill="1" applyBorder="1"/>
    <xf numFmtId="164" fontId="51" fillId="4" borderId="14" xfId="0" applyNumberFormat="1" applyFont="1" applyFill="1" applyBorder="1" applyAlignment="1"/>
    <xf numFmtId="166" fontId="51" fillId="4" borderId="44" xfId="0" applyNumberFormat="1" applyFont="1" applyFill="1" applyBorder="1"/>
    <xf numFmtId="3" fontId="12" fillId="4" borderId="2" xfId="0" applyNumberFormat="1" applyFont="1" applyFill="1" applyBorder="1"/>
    <xf numFmtId="166" fontId="12" fillId="4" borderId="25" xfId="0" applyNumberFormat="1" applyFont="1" applyFill="1" applyBorder="1"/>
    <xf numFmtId="3" fontId="18" fillId="4" borderId="45" xfId="0" applyNumberFormat="1" applyFont="1" applyFill="1" applyBorder="1"/>
    <xf numFmtId="166" fontId="18" fillId="4" borderId="36" xfId="0" applyNumberFormat="1" applyFont="1" applyFill="1" applyBorder="1"/>
    <xf numFmtId="164" fontId="0" fillId="4" borderId="0" xfId="0" applyNumberFormat="1" applyFill="1"/>
    <xf numFmtId="3" fontId="37" fillId="4" borderId="14" xfId="0" applyNumberFormat="1" applyFont="1" applyFill="1" applyBorder="1" applyAlignment="1">
      <alignment horizontal="center"/>
    </xf>
    <xf numFmtId="3" fontId="9" fillId="0" borderId="17" xfId="0" applyNumberFormat="1" applyFont="1" applyFill="1" applyBorder="1" applyAlignment="1">
      <alignment horizontal="right"/>
    </xf>
    <xf numFmtId="1" fontId="24" fillId="0" borderId="0" xfId="0" applyNumberFormat="1" applyFont="1" applyFill="1" applyBorder="1" applyAlignment="1">
      <alignment horizontal="right" vertical="center" wrapText="1"/>
    </xf>
    <xf numFmtId="1" fontId="22" fillId="0" borderId="0" xfId="0" applyNumberFormat="1" applyFont="1" applyFill="1" applyBorder="1" applyAlignment="1">
      <alignment horizontal="right" vertical="center" wrapText="1"/>
    </xf>
    <xf numFmtId="1" fontId="5" fillId="0" borderId="2" xfId="9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5" fillId="0" borderId="14" xfId="0" applyNumberFormat="1" applyFont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4" fontId="120" fillId="4" borderId="0" xfId="0" applyNumberFormat="1" applyFont="1" applyFill="1" applyBorder="1"/>
    <xf numFmtId="3" fontId="14" fillId="0" borderId="0" xfId="0" applyNumberFormat="1" applyFont="1" applyFill="1" applyBorder="1" applyAlignment="1">
      <alignment horizontal="right" vertical="top"/>
    </xf>
    <xf numFmtId="167" fontId="14" fillId="0" borderId="25" xfId="0" applyNumberFormat="1" applyFont="1" applyBorder="1" applyAlignment="1">
      <alignment horizontal="right" vertical="top"/>
    </xf>
    <xf numFmtId="0" fontId="9" fillId="0" borderId="15" xfId="0" applyFont="1" applyFill="1" applyBorder="1"/>
    <xf numFmtId="3" fontId="14" fillId="0" borderId="2" xfId="5" applyFont="1" applyFill="1" applyBorder="1" applyAlignment="1">
      <alignment horizontal="right"/>
    </xf>
    <xf numFmtId="166" fontId="14" fillId="0" borderId="25" xfId="0" applyNumberFormat="1" applyFont="1" applyBorder="1" applyAlignment="1">
      <alignment horizontal="right" vertical="top"/>
    </xf>
    <xf numFmtId="0" fontId="4" fillId="0" borderId="17" xfId="0" applyFont="1" applyBorder="1" applyAlignment="1">
      <alignment vertical="top"/>
    </xf>
    <xf numFmtId="166" fontId="12" fillId="0" borderId="42" xfId="0" applyNumberFormat="1" applyFont="1" applyBorder="1" applyAlignment="1">
      <alignment horizontal="right"/>
    </xf>
    <xf numFmtId="0" fontId="13" fillId="0" borderId="14" xfId="0" applyFont="1" applyFill="1" applyBorder="1" applyAlignment="1">
      <alignment horizontal="center"/>
    </xf>
    <xf numFmtId="0" fontId="26" fillId="0" borderId="4" xfId="0" applyFont="1" applyFill="1" applyBorder="1" applyAlignment="1">
      <alignment horizontal="left"/>
    </xf>
    <xf numFmtId="3" fontId="4" fillId="0" borderId="19" xfId="0" applyNumberFormat="1" applyFont="1" applyFill="1" applyBorder="1"/>
    <xf numFmtId="0" fontId="4" fillId="0" borderId="19" xfId="0" applyFont="1" applyFill="1" applyBorder="1"/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168" fontId="24" fillId="0" borderId="0" xfId="0" applyNumberFormat="1" applyFont="1" applyFill="1" applyAlignment="1">
      <alignment horizontal="left"/>
    </xf>
    <xf numFmtId="49" fontId="10" fillId="0" borderId="27" xfId="0" applyNumberFormat="1" applyFont="1" applyBorder="1" applyAlignment="1">
      <alignment horizontal="left"/>
    </xf>
    <xf numFmtId="0" fontId="4" fillId="0" borderId="0" xfId="9" applyFill="1" applyAlignment="1">
      <alignment wrapText="1"/>
    </xf>
    <xf numFmtId="1" fontId="4" fillId="0" borderId="0" xfId="0" applyNumberFormat="1" applyFont="1" applyFill="1" applyAlignment="1">
      <alignment horizontal="right"/>
    </xf>
    <xf numFmtId="0" fontId="4" fillId="0" borderId="2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7" fontId="4" fillId="0" borderId="0" xfId="0" applyNumberFormat="1" applyFont="1" applyFill="1" applyAlignment="1">
      <alignment horizontal="right"/>
    </xf>
    <xf numFmtId="0" fontId="4" fillId="0" borderId="0" xfId="9" applyFont="1" applyBorder="1" applyAlignment="1"/>
    <xf numFmtId="0" fontId="4" fillId="0" borderId="2" xfId="9" applyFont="1" applyBorder="1" applyAlignment="1"/>
    <xf numFmtId="171" fontId="4" fillId="0" borderId="0" xfId="1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/>
    <xf numFmtId="3" fontId="14" fillId="0" borderId="0" xfId="0" applyNumberFormat="1" applyFont="1" applyBorder="1" applyAlignment="1">
      <alignment horizontal="left" vertical="center"/>
    </xf>
    <xf numFmtId="168" fontId="53" fillId="0" borderId="0" xfId="0" applyNumberFormat="1" applyFont="1" applyFill="1" applyAlignment="1">
      <alignment horizontal="right"/>
    </xf>
    <xf numFmtId="166" fontId="53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/>
    <xf numFmtId="3" fontId="22" fillId="0" borderId="18" xfId="9" applyNumberFormat="1" applyFont="1" applyFill="1" applyBorder="1" applyAlignment="1">
      <alignment vertical="center"/>
    </xf>
    <xf numFmtId="3" fontId="4" fillId="0" borderId="0" xfId="9" applyNumberFormat="1" applyFill="1" applyAlignment="1">
      <alignment vertical="center"/>
    </xf>
    <xf numFmtId="0" fontId="4" fillId="4" borderId="50" xfId="0" applyFont="1" applyFill="1" applyBorder="1"/>
    <xf numFmtId="4" fontId="71" fillId="4" borderId="0" xfId="0" applyNumberFormat="1" applyFont="1" applyFill="1"/>
    <xf numFmtId="4" fontId="4" fillId="4" borderId="0" xfId="0" applyNumberFormat="1" applyFont="1" applyFill="1" applyAlignment="1">
      <alignment vertical="center"/>
    </xf>
    <xf numFmtId="3" fontId="37" fillId="4" borderId="19" xfId="0" applyNumberFormat="1" applyFont="1" applyFill="1" applyBorder="1"/>
    <xf numFmtId="3" fontId="24" fillId="4" borderId="17" xfId="0" applyNumberFormat="1" applyFont="1" applyFill="1" applyBorder="1"/>
    <xf numFmtId="3" fontId="22" fillId="4" borderId="17" xfId="0" applyNumberFormat="1" applyFont="1" applyFill="1" applyBorder="1"/>
    <xf numFmtId="3" fontId="22" fillId="4" borderId="40" xfId="0" applyNumberFormat="1" applyFont="1" applyFill="1" applyBorder="1"/>
    <xf numFmtId="4" fontId="22" fillId="4" borderId="16" xfId="0" applyNumberFormat="1" applyFont="1" applyFill="1" applyBorder="1"/>
    <xf numFmtId="4" fontId="22" fillId="4" borderId="52" xfId="0" applyNumberFormat="1" applyFont="1" applyFill="1" applyBorder="1"/>
    <xf numFmtId="4" fontId="22" fillId="4" borderId="48" xfId="0" applyNumberFormat="1" applyFont="1" applyFill="1" applyBorder="1"/>
    <xf numFmtId="0" fontId="22" fillId="4" borderId="47" xfId="0" applyFont="1" applyFill="1" applyBorder="1" applyAlignment="1">
      <alignment wrapText="1"/>
    </xf>
    <xf numFmtId="0" fontId="22" fillId="4" borderId="6" xfId="0" applyFont="1" applyFill="1" applyBorder="1" applyAlignment="1">
      <alignment wrapText="1"/>
    </xf>
    <xf numFmtId="4" fontId="22" fillId="4" borderId="19" xfId="0" applyNumberFormat="1" applyFont="1" applyFill="1" applyBorder="1"/>
    <xf numFmtId="4" fontId="22" fillId="4" borderId="17" xfId="0" applyNumberFormat="1" applyFont="1" applyFill="1" applyBorder="1"/>
    <xf numFmtId="168" fontId="24" fillId="0" borderId="0" xfId="0" applyNumberFormat="1" applyFont="1" applyFill="1" applyAlignment="1">
      <alignment horizontal="left"/>
    </xf>
    <xf numFmtId="3" fontId="22" fillId="4" borderId="9" xfId="0" applyNumberFormat="1" applyFont="1" applyFill="1" applyBorder="1"/>
    <xf numFmtId="166" fontId="22" fillId="4" borderId="23" xfId="0" applyNumberFormat="1" applyFont="1" applyFill="1" applyBorder="1"/>
    <xf numFmtId="3" fontId="22" fillId="4" borderId="13" xfId="0" applyNumberFormat="1" applyFont="1" applyFill="1" applyBorder="1"/>
    <xf numFmtId="166" fontId="22" fillId="4" borderId="49" xfId="0" applyNumberFormat="1" applyFont="1" applyFill="1" applyBorder="1"/>
    <xf numFmtId="166" fontId="22" fillId="4" borderId="58" xfId="0" applyNumberFormat="1" applyFont="1" applyFill="1" applyBorder="1"/>
    <xf numFmtId="4" fontId="95" fillId="4" borderId="20" xfId="0" applyNumberFormat="1" applyFont="1" applyFill="1" applyBorder="1"/>
    <xf numFmtId="3" fontId="22" fillId="4" borderId="2" xfId="0" applyNumberFormat="1" applyFont="1" applyFill="1" applyBorder="1" applyAlignment="1"/>
    <xf numFmtId="3" fontId="22" fillId="4" borderId="2" xfId="0" applyNumberFormat="1" applyFont="1" applyFill="1" applyBorder="1" applyAlignment="1">
      <alignment vertical="center"/>
    </xf>
    <xf numFmtId="166" fontId="22" fillId="4" borderId="21" xfId="0" applyNumberFormat="1" applyFont="1" applyFill="1" applyBorder="1" applyAlignment="1">
      <alignment vertical="center"/>
    </xf>
    <xf numFmtId="4" fontId="95" fillId="4" borderId="0" xfId="0" applyNumberFormat="1" applyFont="1" applyFill="1" applyBorder="1" applyAlignment="1">
      <alignment vertical="center"/>
    </xf>
    <xf numFmtId="4" fontId="95" fillId="4" borderId="12" xfId="0" applyNumberFormat="1" applyFont="1" applyFill="1" applyBorder="1"/>
    <xf numFmtId="4" fontId="4" fillId="0" borderId="0" xfId="0" applyNumberFormat="1" applyFont="1" applyFill="1" applyAlignment="1">
      <alignment vertical="top"/>
    </xf>
    <xf numFmtId="4" fontId="4" fillId="0" borderId="19" xfId="0" applyNumberFormat="1" applyFont="1" applyFill="1" applyBorder="1" applyAlignment="1">
      <alignment vertical="top"/>
    </xf>
    <xf numFmtId="4" fontId="37" fillId="0" borderId="0" xfId="0" applyNumberFormat="1" applyFont="1" applyFill="1"/>
    <xf numFmtId="0" fontId="24" fillId="0" borderId="17" xfId="0" applyFont="1" applyBorder="1" applyAlignment="1">
      <alignment vertical="top"/>
    </xf>
    <xf numFmtId="3" fontId="14" fillId="0" borderId="17" xfId="0" applyNumberFormat="1" applyFont="1" applyFill="1" applyBorder="1" applyAlignment="1">
      <alignment horizontal="right" vertical="center"/>
    </xf>
    <xf numFmtId="3" fontId="12" fillId="0" borderId="17" xfId="0" applyNumberFormat="1" applyFont="1" applyFill="1" applyBorder="1" applyAlignment="1">
      <alignment horizontal="right" vertical="center"/>
    </xf>
    <xf numFmtId="0" fontId="12" fillId="0" borderId="17" xfId="0" applyFont="1" applyBorder="1" applyAlignment="1">
      <alignment vertical="top" wrapText="1"/>
    </xf>
    <xf numFmtId="49" fontId="10" fillId="3" borderId="2" xfId="0" applyNumberFormat="1" applyFont="1" applyFill="1" applyBorder="1" applyAlignment="1">
      <alignment horizontal="left" vertical="center"/>
    </xf>
    <xf numFmtId="0" fontId="24" fillId="3" borderId="2" xfId="0" applyFont="1" applyFill="1" applyBorder="1" applyAlignment="1">
      <alignment vertical="center" wrapText="1"/>
    </xf>
    <xf numFmtId="3" fontId="15" fillId="0" borderId="17" xfId="0" applyNumberFormat="1" applyFont="1" applyFill="1" applyBorder="1" applyAlignment="1">
      <alignment vertical="center"/>
    </xf>
    <xf numFmtId="166" fontId="15" fillId="0" borderId="25" xfId="0" applyNumberFormat="1" applyFont="1" applyFill="1" applyBorder="1" applyAlignment="1">
      <alignment vertical="center"/>
    </xf>
    <xf numFmtId="168" fontId="27" fillId="0" borderId="2" xfId="0" applyNumberFormat="1" applyFont="1" applyFill="1" applyBorder="1" applyAlignment="1">
      <alignment horizontal="center"/>
    </xf>
    <xf numFmtId="49" fontId="10" fillId="0" borderId="2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top" wrapText="1"/>
    </xf>
    <xf numFmtId="0" fontId="24" fillId="0" borderId="2" xfId="0" applyFont="1" applyBorder="1" applyAlignment="1">
      <alignment wrapText="1"/>
    </xf>
    <xf numFmtId="0" fontId="22" fillId="0" borderId="4" xfId="0" applyFont="1" applyFill="1" applyBorder="1" applyAlignment="1">
      <alignment vertical="top"/>
    </xf>
    <xf numFmtId="0" fontId="22" fillId="0" borderId="5" xfId="0" applyFont="1" applyFill="1" applyBorder="1" applyAlignment="1">
      <alignment vertical="top"/>
    </xf>
    <xf numFmtId="0" fontId="22" fillId="0" borderId="7" xfId="0" applyFont="1" applyFill="1" applyBorder="1" applyAlignment="1"/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wrapText="1"/>
    </xf>
    <xf numFmtId="168" fontId="24" fillId="0" borderId="0" xfId="0" applyNumberFormat="1" applyFont="1" applyFill="1" applyAlignment="1">
      <alignment horizontal="left"/>
    </xf>
    <xf numFmtId="0" fontId="4" fillId="0" borderId="34" xfId="0" applyFont="1" applyFill="1" applyBorder="1"/>
    <xf numFmtId="0" fontId="12" fillId="0" borderId="2" xfId="0" applyFont="1" applyBorder="1" applyAlignment="1">
      <alignment wrapText="1"/>
    </xf>
    <xf numFmtId="0" fontId="24" fillId="0" borderId="2" xfId="50" applyFont="1" applyBorder="1"/>
    <xf numFmtId="3" fontId="24" fillId="0" borderId="0" xfId="50" applyNumberFormat="1" applyFont="1"/>
    <xf numFmtId="4" fontId="13" fillId="0" borderId="0" xfId="0" applyNumberFormat="1" applyFont="1"/>
    <xf numFmtId="0" fontId="13" fillId="0" borderId="0" xfId="0" applyFont="1" applyFill="1" applyAlignment="1">
      <alignment wrapText="1"/>
    </xf>
    <xf numFmtId="1" fontId="5" fillId="0" borderId="12" xfId="0" applyNumberFormat="1" applyFont="1" applyBorder="1" applyAlignment="1">
      <alignment horizontal="left" vertical="top"/>
    </xf>
    <xf numFmtId="1" fontId="5" fillId="0" borderId="2" xfId="0" applyNumberFormat="1" applyFont="1" applyBorder="1" applyAlignment="1">
      <alignment horizontal="center" vertical="top"/>
    </xf>
    <xf numFmtId="1" fontId="5" fillId="0" borderId="9" xfId="2" applyNumberFormat="1" applyFont="1" applyFill="1" applyBorder="1" applyAlignment="1">
      <alignment horizontal="left"/>
    </xf>
    <xf numFmtId="1" fontId="10" fillId="0" borderId="9" xfId="2" applyNumberFormat="1" applyFont="1" applyFill="1" applyBorder="1" applyAlignment="1">
      <alignment horizontal="left"/>
    </xf>
    <xf numFmtId="3" fontId="9" fillId="0" borderId="9" xfId="2" applyFont="1" applyFill="1" applyBorder="1"/>
    <xf numFmtId="3" fontId="9" fillId="0" borderId="9" xfId="2" applyFont="1" applyFill="1" applyBorder="1" applyAlignment="1">
      <alignment horizontal="right"/>
    </xf>
    <xf numFmtId="3" fontId="14" fillId="0" borderId="9" xfId="2" applyFont="1" applyFill="1" applyBorder="1" applyAlignment="1">
      <alignment horizontal="right"/>
    </xf>
    <xf numFmtId="166" fontId="9" fillId="0" borderId="23" xfId="0" applyNumberFormat="1" applyFont="1" applyFill="1" applyBorder="1" applyAlignment="1">
      <alignment horizontal="right"/>
    </xf>
    <xf numFmtId="1" fontId="5" fillId="0" borderId="6" xfId="2" applyNumberFormat="1" applyFont="1" applyFill="1" applyBorder="1" applyAlignment="1">
      <alignment horizontal="left"/>
    </xf>
    <xf numFmtId="1" fontId="5" fillId="0" borderId="2" xfId="2" applyNumberFormat="1" applyFont="1" applyFill="1" applyBorder="1" applyAlignment="1">
      <alignment horizontal="left"/>
    </xf>
    <xf numFmtId="1" fontId="10" fillId="0" borderId="2" xfId="2" applyNumberFormat="1" applyFont="1" applyFill="1" applyBorder="1" applyAlignment="1">
      <alignment horizontal="left"/>
    </xf>
    <xf numFmtId="3" fontId="14" fillId="0" borderId="2" xfId="2" applyFont="1" applyFill="1" applyBorder="1"/>
    <xf numFmtId="3" fontId="9" fillId="0" borderId="2" xfId="2" applyFont="1" applyFill="1" applyBorder="1" applyAlignment="1">
      <alignment horizontal="right"/>
    </xf>
    <xf numFmtId="3" fontId="14" fillId="0" borderId="2" xfId="2" applyFont="1" applyFill="1" applyBorder="1" applyAlignment="1">
      <alignment horizontal="right"/>
    </xf>
    <xf numFmtId="166" fontId="9" fillId="0" borderId="21" xfId="0" applyNumberFormat="1" applyFont="1" applyFill="1" applyBorder="1" applyAlignment="1">
      <alignment horizontal="right"/>
    </xf>
    <xf numFmtId="1" fontId="5" fillId="0" borderId="14" xfId="2" applyNumberFormat="1" applyFont="1" applyFill="1" applyBorder="1" applyAlignment="1">
      <alignment horizontal="left"/>
    </xf>
    <xf numFmtId="1" fontId="10" fillId="0" borderId="14" xfId="2" applyNumberFormat="1" applyFont="1" applyFill="1" applyBorder="1" applyAlignment="1">
      <alignment horizontal="left"/>
    </xf>
    <xf numFmtId="3" fontId="9" fillId="0" borderId="14" xfId="2" applyFont="1" applyFill="1" applyBorder="1" applyAlignment="1">
      <alignment horizontal="right"/>
    </xf>
    <xf numFmtId="3" fontId="14" fillId="0" borderId="14" xfId="2" applyFont="1" applyFill="1" applyBorder="1" applyAlignment="1">
      <alignment horizontal="right"/>
    </xf>
    <xf numFmtId="166" fontId="9" fillId="0" borderId="42" xfId="0" applyNumberFormat="1" applyFont="1" applyFill="1" applyBorder="1" applyAlignment="1">
      <alignment horizontal="right"/>
    </xf>
    <xf numFmtId="0" fontId="14" fillId="0" borderId="14" xfId="0" applyFont="1" applyBorder="1" applyAlignment="1">
      <alignment wrapText="1"/>
    </xf>
    <xf numFmtId="0" fontId="49" fillId="0" borderId="0" xfId="0" applyFont="1" applyFill="1" applyBorder="1" applyAlignment="1">
      <alignment horizontal="left"/>
    </xf>
    <xf numFmtId="0" fontId="48" fillId="0" borderId="0" xfId="0" applyFont="1" applyFill="1" applyBorder="1"/>
    <xf numFmtId="3" fontId="47" fillId="0" borderId="0" xfId="0" applyNumberFormat="1" applyFont="1" applyFill="1" applyBorder="1" applyAlignment="1">
      <alignment horizontal="center"/>
    </xf>
    <xf numFmtId="0" fontId="34" fillId="0" borderId="0" xfId="0" applyFont="1" applyFill="1" applyBorder="1"/>
    <xf numFmtId="167" fontId="8" fillId="0" borderId="24" xfId="0" applyNumberFormat="1" applyFont="1" applyFill="1" applyBorder="1" applyAlignment="1">
      <alignment shrinkToFit="1"/>
    </xf>
    <xf numFmtId="0" fontId="24" fillId="0" borderId="2" xfId="0" applyFont="1" applyBorder="1" applyAlignment="1">
      <alignment vertical="top" wrapText="1"/>
    </xf>
    <xf numFmtId="1" fontId="5" fillId="0" borderId="2" xfId="0" applyNumberFormat="1" applyFont="1" applyBorder="1" applyAlignment="1">
      <alignment horizontal="left" vertical="top"/>
    </xf>
    <xf numFmtId="166" fontId="14" fillId="0" borderId="21" xfId="0" applyNumberFormat="1" applyFont="1" applyBorder="1" applyAlignment="1">
      <alignment horizontal="right"/>
    </xf>
    <xf numFmtId="3" fontId="15" fillId="0" borderId="14" xfId="0" applyNumberFormat="1" applyFont="1" applyFill="1" applyBorder="1" applyAlignment="1">
      <alignment horizontal="right"/>
    </xf>
    <xf numFmtId="166" fontId="14" fillId="0" borderId="42" xfId="0" applyNumberFormat="1" applyFont="1" applyBorder="1" applyAlignment="1">
      <alignment horizontal="right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0" fontId="24" fillId="0" borderId="2" xfId="0" applyFont="1" applyBorder="1" applyAlignment="1">
      <alignment vertical="center" wrapText="1"/>
    </xf>
    <xf numFmtId="0" fontId="15" fillId="0" borderId="0" xfId="0" applyFont="1" applyFill="1" applyBorder="1" applyAlignment="1">
      <alignment vertical="top" wrapText="1"/>
    </xf>
    <xf numFmtId="0" fontId="12" fillId="0" borderId="17" xfId="0" applyFont="1" applyFill="1" applyBorder="1" applyAlignment="1">
      <alignment wrapText="1"/>
    </xf>
    <xf numFmtId="1" fontId="35" fillId="0" borderId="2" xfId="0" applyNumberFormat="1" applyFont="1" applyFill="1" applyBorder="1" applyAlignment="1">
      <alignment horizontal="center" vertical="center" wrapText="1"/>
    </xf>
    <xf numFmtId="3" fontId="12" fillId="0" borderId="0" xfId="0" applyNumberFormat="1" applyFont="1" applyFill="1" applyBorder="1" applyAlignment="1">
      <alignment vertical="top"/>
    </xf>
    <xf numFmtId="0" fontId="4" fillId="0" borderId="2" xfId="0" applyFont="1" applyBorder="1" applyAlignment="1">
      <alignment wrapText="1"/>
    </xf>
    <xf numFmtId="0" fontId="13" fillId="0" borderId="2" xfId="0" applyFont="1" applyBorder="1" applyAlignment="1">
      <alignment wrapText="1"/>
    </xf>
    <xf numFmtId="0" fontId="4" fillId="0" borderId="2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24" fillId="0" borderId="2" xfId="0" applyFont="1" applyBorder="1" applyAlignment="1">
      <alignment vertical="center"/>
    </xf>
    <xf numFmtId="3" fontId="12" fillId="0" borderId="17" xfId="0" applyNumberFormat="1" applyFont="1" applyFill="1" applyBorder="1" applyAlignment="1">
      <alignment horizontal="right" vertical="top"/>
    </xf>
    <xf numFmtId="0" fontId="37" fillId="0" borderId="6" xfId="0" applyFont="1" applyFill="1" applyBorder="1"/>
    <xf numFmtId="3" fontId="4" fillId="0" borderId="2" xfId="0" applyNumberFormat="1" applyFont="1" applyFill="1" applyBorder="1"/>
    <xf numFmtId="0" fontId="13" fillId="0" borderId="17" xfId="0" applyFont="1" applyBorder="1" applyAlignment="1">
      <alignment wrapText="1"/>
    </xf>
    <xf numFmtId="3" fontId="15" fillId="0" borderId="2" xfId="0" applyNumberFormat="1" applyFont="1" applyFill="1" applyBorder="1" applyAlignment="1">
      <alignment horizontal="right" vertical="top"/>
    </xf>
    <xf numFmtId="0" fontId="4" fillId="0" borderId="2" xfId="0" applyFont="1" applyFill="1" applyBorder="1" applyAlignment="1">
      <alignment wrapText="1"/>
    </xf>
    <xf numFmtId="166" fontId="12" fillId="0" borderId="21" xfId="0" applyNumberFormat="1" applyFont="1" applyBorder="1" applyAlignment="1">
      <alignment horizontal="right" vertical="top"/>
    </xf>
    <xf numFmtId="1" fontId="5" fillId="0" borderId="50" xfId="0" applyNumberFormat="1" applyFont="1" applyFill="1" applyBorder="1" applyAlignment="1">
      <alignment horizontal="left"/>
    </xf>
    <xf numFmtId="0" fontId="4" fillId="0" borderId="14" xfId="0" applyFont="1" applyBorder="1" applyAlignment="1"/>
    <xf numFmtId="166" fontId="14" fillId="0" borderId="25" xfId="0" applyNumberFormat="1" applyFont="1" applyFill="1" applyBorder="1" applyAlignment="1">
      <alignment horizontal="right"/>
    </xf>
    <xf numFmtId="166" fontId="12" fillId="0" borderId="25" xfId="0" applyNumberFormat="1" applyFont="1" applyFill="1" applyBorder="1" applyAlignment="1">
      <alignment horizontal="right"/>
    </xf>
    <xf numFmtId="0" fontId="13" fillId="0" borderId="2" xfId="0" applyFont="1" applyFill="1" applyBorder="1"/>
    <xf numFmtId="0" fontId="13" fillId="0" borderId="2" xfId="0" applyFont="1" applyFill="1" applyBorder="1" applyAlignment="1">
      <alignment wrapText="1"/>
    </xf>
    <xf numFmtId="49" fontId="10" fillId="0" borderId="0" xfId="0" applyNumberFormat="1" applyFont="1" applyFill="1" applyBorder="1" applyAlignment="1">
      <alignment horizontal="left" vertical="top"/>
    </xf>
    <xf numFmtId="166" fontId="12" fillId="0" borderId="25" xfId="0" applyNumberFormat="1" applyFont="1" applyFill="1" applyBorder="1" applyAlignment="1">
      <alignment horizontal="right" vertical="top"/>
    </xf>
    <xf numFmtId="0" fontId="13" fillId="0" borderId="17" xfId="0" applyFont="1" applyFill="1" applyBorder="1"/>
    <xf numFmtId="49" fontId="27" fillId="0" borderId="0" xfId="0" applyNumberFormat="1" applyFont="1" applyFill="1" applyBorder="1" applyAlignment="1">
      <alignment horizontal="left"/>
    </xf>
    <xf numFmtId="0" fontId="5" fillId="0" borderId="2" xfId="0" applyFont="1" applyBorder="1" applyAlignment="1">
      <alignment wrapText="1"/>
    </xf>
    <xf numFmtId="49" fontId="27" fillId="0" borderId="0" xfId="0" applyNumberFormat="1" applyFont="1" applyBorder="1" applyAlignment="1">
      <alignment horizontal="left" vertical="top"/>
    </xf>
    <xf numFmtId="3" fontId="24" fillId="0" borderId="2" xfId="0" applyNumberFormat="1" applyFont="1" applyFill="1" applyBorder="1" applyAlignment="1">
      <alignment horizontal="right" vertical="top" wrapText="1"/>
    </xf>
    <xf numFmtId="167" fontId="12" fillId="0" borderId="21" xfId="0" applyNumberFormat="1" applyFont="1" applyBorder="1" applyAlignment="1">
      <alignment horizontal="right" vertical="top"/>
    </xf>
    <xf numFmtId="0" fontId="10" fillId="3" borderId="0" xfId="0" applyFont="1" applyFill="1" applyBorder="1" applyAlignment="1">
      <alignment horizontal="left"/>
    </xf>
    <xf numFmtId="1" fontId="12" fillId="0" borderId="2" xfId="0" applyNumberFormat="1" applyFont="1" applyBorder="1" applyAlignment="1">
      <alignment horizontal="left" wrapText="1"/>
    </xf>
    <xf numFmtId="1" fontId="13" fillId="3" borderId="38" xfId="0" applyNumberFormat="1" applyFont="1" applyFill="1" applyBorder="1" applyAlignment="1">
      <alignment horizontal="left"/>
    </xf>
    <xf numFmtId="168" fontId="10" fillId="3" borderId="9" xfId="0" applyNumberFormat="1" applyFont="1" applyFill="1" applyBorder="1" applyAlignment="1">
      <alignment horizontal="left"/>
    </xf>
    <xf numFmtId="167" fontId="14" fillId="0" borderId="23" xfId="0" applyNumberFormat="1" applyFont="1" applyBorder="1" applyAlignment="1">
      <alignment horizontal="right"/>
    </xf>
    <xf numFmtId="1" fontId="8" fillId="3" borderId="6" xfId="0" applyNumberFormat="1" applyFont="1" applyFill="1" applyBorder="1" applyAlignment="1">
      <alignment horizontal="left"/>
    </xf>
    <xf numFmtId="168" fontId="21" fillId="3" borderId="2" xfId="0" applyNumberFormat="1" applyFont="1" applyFill="1" applyBorder="1" applyAlignment="1"/>
    <xf numFmtId="167" fontId="9" fillId="0" borderId="21" xfId="0" applyNumberFormat="1" applyFont="1" applyBorder="1" applyAlignment="1">
      <alignment horizontal="right"/>
    </xf>
    <xf numFmtId="1" fontId="8" fillId="3" borderId="50" xfId="0" applyNumberFormat="1" applyFont="1" applyFill="1" applyBorder="1" applyAlignment="1">
      <alignment horizontal="left"/>
    </xf>
    <xf numFmtId="0" fontId="8" fillId="3" borderId="14" xfId="0" applyFont="1" applyFill="1" applyBorder="1"/>
    <xf numFmtId="1" fontId="12" fillId="0" borderId="14" xfId="0" applyNumberFormat="1" applyFont="1" applyBorder="1" applyAlignment="1">
      <alignment horizontal="left" wrapText="1"/>
    </xf>
    <xf numFmtId="167" fontId="12" fillId="0" borderId="42" xfId="0" applyNumberFormat="1" applyFont="1" applyBorder="1" applyAlignment="1">
      <alignment horizontal="right" vertical="top"/>
    </xf>
    <xf numFmtId="3" fontId="7" fillId="0" borderId="5" xfId="0" applyNumberFormat="1" applyFont="1" applyFill="1" applyBorder="1" applyAlignment="1">
      <alignment horizontal="center" vertical="center" wrapText="1"/>
    </xf>
    <xf numFmtId="1" fontId="13" fillId="0" borderId="12" xfId="0" applyNumberFormat="1" applyFont="1" applyFill="1" applyBorder="1" applyAlignment="1">
      <alignment horizontal="left"/>
    </xf>
    <xf numFmtId="167" fontId="14" fillId="0" borderId="21" xfId="0" applyNumberFormat="1" applyFont="1" applyFill="1" applyBorder="1" applyAlignment="1">
      <alignment horizontal="right"/>
    </xf>
    <xf numFmtId="167" fontId="12" fillId="0" borderId="21" xfId="0" applyNumberFormat="1" applyFont="1" applyFill="1" applyBorder="1" applyAlignment="1">
      <alignment horizontal="right"/>
    </xf>
    <xf numFmtId="167" fontId="9" fillId="0" borderId="21" xfId="0" applyNumberFormat="1" applyFont="1" applyFill="1" applyBorder="1" applyAlignment="1">
      <alignment horizontal="right"/>
    </xf>
    <xf numFmtId="168" fontId="10" fillId="0" borderId="2" xfId="0" applyNumberFormat="1" applyFont="1" applyFill="1" applyBorder="1" applyAlignment="1">
      <alignment horizontal="left"/>
    </xf>
    <xf numFmtId="1" fontId="9" fillId="0" borderId="17" xfId="0" applyNumberFormat="1" applyFont="1" applyFill="1" applyBorder="1" applyAlignment="1">
      <alignment horizontal="left"/>
    </xf>
    <xf numFmtId="0" fontId="14" fillId="0" borderId="2" xfId="0" applyFont="1" applyFill="1" applyBorder="1" applyAlignment="1">
      <alignment vertical="top" wrapText="1"/>
    </xf>
    <xf numFmtId="0" fontId="13" fillId="0" borderId="0" xfId="9" applyFont="1" applyFill="1" applyBorder="1"/>
    <xf numFmtId="0" fontId="14" fillId="0" borderId="17" xfId="0" applyFont="1" applyFill="1" applyBorder="1" applyAlignment="1">
      <alignment vertical="top" wrapText="1"/>
    </xf>
    <xf numFmtId="0" fontId="5" fillId="0" borderId="17" xfId="0" applyFont="1" applyFill="1" applyBorder="1" applyAlignment="1"/>
    <xf numFmtId="168" fontId="10" fillId="0" borderId="0" xfId="0" applyNumberFormat="1" applyFont="1" applyFill="1" applyBorder="1" applyAlignment="1">
      <alignment horizontal="left" vertical="top"/>
    </xf>
    <xf numFmtId="1" fontId="9" fillId="0" borderId="2" xfId="0" applyNumberFormat="1" applyFont="1" applyFill="1" applyBorder="1" applyAlignment="1">
      <alignment horizontal="left"/>
    </xf>
    <xf numFmtId="0" fontId="13" fillId="0" borderId="2" xfId="9" applyFont="1" applyFill="1" applyBorder="1"/>
    <xf numFmtId="0" fontId="14" fillId="0" borderId="2" xfId="0" applyFont="1" applyFill="1" applyBorder="1" applyAlignment="1">
      <alignment vertical="top"/>
    </xf>
    <xf numFmtId="1" fontId="5" fillId="0" borderId="33" xfId="0" applyNumberFormat="1" applyFont="1" applyFill="1" applyBorder="1" applyAlignment="1">
      <alignment horizontal="left"/>
    </xf>
    <xf numFmtId="49" fontId="10" fillId="0" borderId="34" xfId="0" applyNumberFormat="1" applyFont="1" applyFill="1" applyBorder="1" applyAlignment="1">
      <alignment horizontal="left"/>
    </xf>
    <xf numFmtId="0" fontId="13" fillId="0" borderId="14" xfId="0" applyFont="1" applyFill="1" applyBorder="1" applyAlignment="1"/>
    <xf numFmtId="3" fontId="9" fillId="0" borderId="14" xfId="0" applyNumberFormat="1" applyFont="1" applyFill="1" applyBorder="1" applyAlignment="1">
      <alignment horizontal="right"/>
    </xf>
    <xf numFmtId="167" fontId="12" fillId="0" borderId="35" xfId="0" applyNumberFormat="1" applyFont="1" applyFill="1" applyBorder="1" applyAlignment="1">
      <alignment horizontal="right"/>
    </xf>
    <xf numFmtId="1" fontId="5" fillId="0" borderId="38" xfId="0" applyNumberFormat="1" applyFont="1" applyFill="1" applyBorder="1" applyAlignment="1">
      <alignment horizontal="left"/>
    </xf>
    <xf numFmtId="49" fontId="10" fillId="0" borderId="9" xfId="0" applyNumberFormat="1" applyFont="1" applyFill="1" applyBorder="1" applyAlignment="1">
      <alignment horizontal="left"/>
    </xf>
    <xf numFmtId="166" fontId="14" fillId="0" borderId="23" xfId="0" applyNumberFormat="1" applyFont="1" applyFill="1" applyBorder="1" applyAlignment="1">
      <alignment horizontal="right"/>
    </xf>
    <xf numFmtId="166" fontId="12" fillId="0" borderId="21" xfId="0" applyNumberFormat="1" applyFont="1" applyFill="1" applyBorder="1" applyAlignment="1">
      <alignment horizontal="right"/>
    </xf>
    <xf numFmtId="0" fontId="14" fillId="0" borderId="2" xfId="0" applyFont="1" applyFill="1" applyBorder="1" applyAlignment="1"/>
    <xf numFmtId="3" fontId="14" fillId="0" borderId="15" xfId="0" applyNumberFormat="1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center" vertical="top"/>
    </xf>
    <xf numFmtId="0" fontId="13" fillId="0" borderId="15" xfId="0" applyFont="1" applyBorder="1" applyAlignment="1">
      <alignment horizontal="center" vertical="top"/>
    </xf>
    <xf numFmtId="3" fontId="14" fillId="0" borderId="2" xfId="0" applyNumberFormat="1" applyFont="1" applyBorder="1" applyAlignment="1">
      <alignment horizontal="right" vertical="top" wrapText="1"/>
    </xf>
    <xf numFmtId="0" fontId="22" fillId="4" borderId="6" xfId="0" applyFont="1" applyFill="1" applyBorder="1" applyAlignment="1">
      <alignment wrapText="1"/>
    </xf>
    <xf numFmtId="3" fontId="8" fillId="0" borderId="0" xfId="9" applyNumberFormat="1" applyFont="1" applyFill="1" applyBorder="1" applyAlignment="1">
      <alignment horizontal="right"/>
    </xf>
    <xf numFmtId="4" fontId="28" fillId="0" borderId="0" xfId="0" applyNumberFormat="1" applyFont="1" applyFill="1" applyAlignment="1">
      <alignment vertical="center"/>
    </xf>
    <xf numFmtId="4" fontId="7" fillId="0" borderId="0" xfId="0" applyNumberFormat="1" applyFont="1"/>
    <xf numFmtId="4" fontId="6" fillId="0" borderId="0" xfId="0" applyNumberFormat="1" applyFont="1" applyFill="1"/>
    <xf numFmtId="4" fontId="13" fillId="0" borderId="0" xfId="0" applyNumberFormat="1" applyFont="1" applyAlignment="1">
      <alignment vertical="center"/>
    </xf>
    <xf numFmtId="4" fontId="33" fillId="0" borderId="0" xfId="0" applyNumberFormat="1" applyFont="1" applyFill="1"/>
    <xf numFmtId="3" fontId="5" fillId="0" borderId="0" xfId="0" applyNumberFormat="1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wrapText="1"/>
    </xf>
    <xf numFmtId="3" fontId="8" fillId="0" borderId="0" xfId="9" applyNumberFormat="1" applyFont="1" applyFill="1" applyBorder="1" applyAlignment="1">
      <alignment horizontal="right"/>
    </xf>
    <xf numFmtId="0" fontId="4" fillId="0" borderId="0" xfId="9" applyFont="1" applyFill="1" applyAlignment="1">
      <alignment horizontal="right"/>
    </xf>
    <xf numFmtId="0" fontId="22" fillId="0" borderId="4" xfId="9" applyFont="1" applyFill="1" applyBorder="1" applyAlignment="1">
      <alignment horizontal="left"/>
    </xf>
    <xf numFmtId="0" fontId="22" fillId="0" borderId="5" xfId="9" applyFont="1" applyFill="1" applyBorder="1" applyAlignment="1">
      <alignment horizontal="left"/>
    </xf>
    <xf numFmtId="0" fontId="122" fillId="0" borderId="0" xfId="0" applyFont="1" applyFill="1" applyAlignment="1">
      <alignment vertical="center"/>
    </xf>
    <xf numFmtId="4" fontId="122" fillId="0" borderId="0" xfId="0" applyNumberFormat="1" applyFont="1" applyFill="1" applyAlignment="1">
      <alignment vertical="center"/>
    </xf>
    <xf numFmtId="0" fontId="123" fillId="0" borderId="0" xfId="0" applyFont="1"/>
    <xf numFmtId="3" fontId="14" fillId="0" borderId="2" xfId="0" applyNumberFormat="1" applyFont="1" applyFill="1" applyBorder="1" applyAlignment="1">
      <alignment horizontal="right" vertical="center" wrapText="1"/>
    </xf>
    <xf numFmtId="4" fontId="95" fillId="4" borderId="75" xfId="0" applyNumberFormat="1" applyFont="1" applyFill="1" applyBorder="1"/>
    <xf numFmtId="4" fontId="95" fillId="4" borderId="60" xfId="0" applyNumberFormat="1" applyFont="1" applyFill="1" applyBorder="1"/>
    <xf numFmtId="3" fontId="29" fillId="37" borderId="0" xfId="0" applyNumberFormat="1" applyFont="1" applyFill="1"/>
    <xf numFmtId="0" fontId="29" fillId="37" borderId="0" xfId="0" applyFont="1" applyFill="1"/>
    <xf numFmtId="1" fontId="5" fillId="0" borderId="26" xfId="0" applyNumberFormat="1" applyFont="1" applyFill="1" applyBorder="1" applyAlignment="1">
      <alignment horizontal="left"/>
    </xf>
    <xf numFmtId="1" fontId="10" fillId="0" borderId="9" xfId="0" applyNumberFormat="1" applyFont="1" applyFill="1" applyBorder="1" applyAlignment="1">
      <alignment horizontal="left"/>
    </xf>
    <xf numFmtId="166" fontId="9" fillId="0" borderId="3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wrapText="1"/>
    </xf>
    <xf numFmtId="167" fontId="24" fillId="0" borderId="0" xfId="9" applyNumberFormat="1" applyFont="1" applyFill="1"/>
    <xf numFmtId="3" fontId="24" fillId="0" borderId="0" xfId="9" applyNumberFormat="1" applyFont="1" applyFill="1" applyAlignment="1"/>
    <xf numFmtId="168" fontId="28" fillId="0" borderId="0" xfId="9" applyNumberFormat="1" applyFont="1" applyFill="1" applyAlignment="1">
      <alignment horizontal="center"/>
    </xf>
    <xf numFmtId="1" fontId="4" fillId="0" borderId="0" xfId="9" applyNumberFormat="1" applyFont="1" applyFill="1" applyAlignment="1">
      <alignment horizontal="center"/>
    </xf>
    <xf numFmtId="0" fontId="47" fillId="0" borderId="0" xfId="9" applyFont="1" applyFill="1"/>
    <xf numFmtId="4" fontId="16" fillId="0" borderId="0" xfId="9" applyNumberFormat="1" applyFont="1" applyFill="1"/>
    <xf numFmtId="167" fontId="34" fillId="0" borderId="10" xfId="9" applyNumberFormat="1" applyFont="1" applyFill="1" applyBorder="1" applyAlignment="1">
      <alignment shrinkToFit="1"/>
    </xf>
    <xf numFmtId="3" fontId="34" fillId="0" borderId="10" xfId="9" applyNumberFormat="1" applyFont="1" applyFill="1" applyBorder="1" applyAlignment="1"/>
    <xf numFmtId="0" fontId="63" fillId="0" borderId="0" xfId="9" applyFont="1" applyFill="1"/>
    <xf numFmtId="4" fontId="63" fillId="0" borderId="0" xfId="9" applyNumberFormat="1" applyFont="1" applyFill="1"/>
    <xf numFmtId="4" fontId="4" fillId="0" borderId="0" xfId="9" applyNumberFormat="1" applyFont="1" applyFill="1" applyBorder="1" applyAlignment="1"/>
    <xf numFmtId="167" fontId="12" fillId="0" borderId="0" xfId="9" applyNumberFormat="1" applyFont="1" applyFill="1" applyBorder="1"/>
    <xf numFmtId="3" fontId="53" fillId="0" borderId="0" xfId="9" applyNumberFormat="1" applyFont="1" applyFill="1" applyBorder="1" applyAlignment="1"/>
    <xf numFmtId="0" fontId="41" fillId="0" borderId="0" xfId="9" applyFont="1" applyFill="1"/>
    <xf numFmtId="4" fontId="37" fillId="0" borderId="0" xfId="9" applyNumberFormat="1" applyFont="1" applyFill="1"/>
    <xf numFmtId="167" fontId="14" fillId="0" borderId="0" xfId="9" applyNumberFormat="1" applyFont="1" applyFill="1" applyBorder="1"/>
    <xf numFmtId="3" fontId="51" fillId="0" borderId="0" xfId="9" applyNumberFormat="1" applyFont="1" applyFill="1" applyBorder="1" applyAlignment="1"/>
    <xf numFmtId="0" fontId="51" fillId="0" borderId="0" xfId="9" applyFont="1" applyFill="1" applyAlignment="1">
      <alignment horizontal="left"/>
    </xf>
    <xf numFmtId="168" fontId="51" fillId="0" borderId="0" xfId="9" applyNumberFormat="1" applyFont="1" applyFill="1" applyAlignment="1">
      <alignment horizontal="center"/>
    </xf>
    <xf numFmtId="1" fontId="51" fillId="0" borderId="0" xfId="9" applyNumberFormat="1" applyFont="1" applyFill="1" applyAlignment="1">
      <alignment horizontal="left"/>
    </xf>
    <xf numFmtId="0" fontId="49" fillId="0" borderId="0" xfId="9" applyFont="1" applyFill="1"/>
    <xf numFmtId="167" fontId="24" fillId="0" borderId="0" xfId="9" applyNumberFormat="1" applyFont="1" applyFill="1" applyBorder="1"/>
    <xf numFmtId="3" fontId="24" fillId="0" borderId="0" xfId="9" applyNumberFormat="1" applyFont="1" applyFill="1" applyBorder="1" applyAlignment="1"/>
    <xf numFmtId="0" fontId="24" fillId="0" borderId="0" xfId="9" applyFont="1" applyFill="1"/>
    <xf numFmtId="0" fontId="41" fillId="0" borderId="0" xfId="9" applyFont="1" applyFill="1" applyBorder="1"/>
    <xf numFmtId="168" fontId="41" fillId="0" borderId="0" xfId="9" applyNumberFormat="1" applyFont="1" applyFill="1" applyBorder="1" applyAlignment="1">
      <alignment horizontal="center"/>
    </xf>
    <xf numFmtId="1" fontId="41" fillId="0" borderId="0" xfId="9" applyNumberFormat="1" applyFont="1" applyFill="1" applyBorder="1" applyAlignment="1">
      <alignment horizontal="center"/>
    </xf>
    <xf numFmtId="1" fontId="41" fillId="0" borderId="0" xfId="9" applyNumberFormat="1" applyFont="1" applyFill="1" applyBorder="1" applyAlignment="1">
      <alignment horizontal="left"/>
    </xf>
    <xf numFmtId="3" fontId="63" fillId="0" borderId="0" xfId="9" applyNumberFormat="1" applyFont="1" applyFill="1"/>
    <xf numFmtId="167" fontId="63" fillId="0" borderId="0" xfId="9" applyNumberFormat="1" applyFont="1" applyFill="1" applyBorder="1"/>
    <xf numFmtId="0" fontId="63" fillId="0" borderId="0" xfId="9" applyFont="1" applyFill="1" applyBorder="1" applyAlignment="1"/>
    <xf numFmtId="1" fontId="63" fillId="0" borderId="0" xfId="9" applyNumberFormat="1" applyFont="1" applyFill="1" applyBorder="1" applyAlignment="1">
      <alignment horizontal="left"/>
    </xf>
    <xf numFmtId="3" fontId="63" fillId="0" borderId="0" xfId="9" applyNumberFormat="1" applyFont="1" applyFill="1" applyBorder="1" applyAlignment="1"/>
    <xf numFmtId="3" fontId="22" fillId="0" borderId="0" xfId="9" applyNumberFormat="1" applyFont="1" applyFill="1"/>
    <xf numFmtId="167" fontId="41" fillId="0" borderId="10" xfId="9" applyNumberFormat="1" applyFont="1" applyFill="1" applyBorder="1"/>
    <xf numFmtId="3" fontId="41" fillId="0" borderId="10" xfId="9" applyNumberFormat="1" applyFont="1" applyFill="1" applyBorder="1" applyAlignment="1"/>
    <xf numFmtId="0" fontId="41" fillId="0" borderId="10" xfId="9" applyFont="1" applyFill="1" applyBorder="1" applyAlignment="1"/>
    <xf numFmtId="1" fontId="41" fillId="0" borderId="10" xfId="9" applyNumberFormat="1" applyFont="1" applyFill="1" applyBorder="1" applyAlignment="1">
      <alignment horizontal="left"/>
    </xf>
    <xf numFmtId="1" fontId="4" fillId="0" borderId="0" xfId="9" applyNumberFormat="1" applyFont="1" applyFill="1" applyAlignment="1">
      <alignment horizontal="left"/>
    </xf>
    <xf numFmtId="167" fontId="41" fillId="0" borderId="24" xfId="9" applyNumberFormat="1" applyFont="1" applyFill="1" applyBorder="1"/>
    <xf numFmtId="3" fontId="41" fillId="0" borderId="5" xfId="9" applyNumberFormat="1" applyFont="1" applyFill="1" applyBorder="1" applyAlignment="1"/>
    <xf numFmtId="0" fontId="41" fillId="0" borderId="5" xfId="9" applyFont="1" applyFill="1" applyBorder="1"/>
    <xf numFmtId="168" fontId="41" fillId="0" borderId="5" xfId="9" applyNumberFormat="1" applyFont="1" applyFill="1" applyBorder="1" applyAlignment="1">
      <alignment horizontal="center"/>
    </xf>
    <xf numFmtId="1" fontId="41" fillId="0" borderId="5" xfId="9" applyNumberFormat="1" applyFont="1" applyFill="1" applyBorder="1" applyAlignment="1">
      <alignment horizontal="center"/>
    </xf>
    <xf numFmtId="1" fontId="41" fillId="0" borderId="4" xfId="9" applyNumberFormat="1" applyFont="1" applyFill="1" applyBorder="1" applyAlignment="1">
      <alignment horizontal="left"/>
    </xf>
    <xf numFmtId="0" fontId="37" fillId="0" borderId="0" xfId="9" applyFont="1" applyFill="1"/>
    <xf numFmtId="4" fontId="61" fillId="0" borderId="0" xfId="9" applyNumberFormat="1" applyFont="1" applyFill="1"/>
    <xf numFmtId="167" fontId="12" fillId="0" borderId="21" xfId="9" applyNumberFormat="1" applyFont="1" applyFill="1" applyBorder="1"/>
    <xf numFmtId="3" fontId="24" fillId="0" borderId="2" xfId="9" applyNumberFormat="1" applyFont="1" applyFill="1" applyBorder="1" applyAlignment="1"/>
    <xf numFmtId="0" fontId="13" fillId="0" borderId="0" xfId="9" applyFont="1" applyFill="1" applyBorder="1" applyAlignment="1"/>
    <xf numFmtId="49" fontId="27" fillId="0" borderId="2" xfId="9" applyNumberFormat="1" applyFont="1" applyFill="1" applyBorder="1" applyAlignment="1">
      <alignment horizontal="left"/>
    </xf>
    <xf numFmtId="1" fontId="4" fillId="0" borderId="2" xfId="9" applyNumberFormat="1" applyFont="1" applyFill="1" applyBorder="1" applyAlignment="1">
      <alignment horizontal="center"/>
    </xf>
    <xf numFmtId="1" fontId="4" fillId="0" borderId="6" xfId="9" applyNumberFormat="1" applyFont="1" applyFill="1" applyBorder="1" applyAlignment="1">
      <alignment horizontal="center"/>
    </xf>
    <xf numFmtId="3" fontId="37" fillId="0" borderId="0" xfId="9" applyNumberFormat="1" applyFont="1" applyFill="1"/>
    <xf numFmtId="167" fontId="14" fillId="0" borderId="21" xfId="9" applyNumberFormat="1" applyFont="1" applyFill="1" applyBorder="1"/>
    <xf numFmtId="3" fontId="22" fillId="0" borderId="9" xfId="9" applyNumberFormat="1" applyFont="1" applyFill="1" applyBorder="1" applyAlignment="1"/>
    <xf numFmtId="0" fontId="22" fillId="0" borderId="9" xfId="9" applyFont="1" applyFill="1" applyBorder="1"/>
    <xf numFmtId="168" fontId="61" fillId="0" borderId="9" xfId="9" applyNumberFormat="1" applyFont="1" applyFill="1" applyBorder="1" applyAlignment="1">
      <alignment horizontal="center"/>
    </xf>
    <xf numFmtId="1" fontId="4" fillId="0" borderId="9" xfId="9" applyNumberFormat="1" applyFont="1" applyFill="1" applyBorder="1" applyAlignment="1">
      <alignment horizontal="center"/>
    </xf>
    <xf numFmtId="1" fontId="4" fillId="0" borderId="38" xfId="9" applyNumberFormat="1" applyFont="1" applyFill="1" applyBorder="1" applyAlignment="1">
      <alignment horizontal="center"/>
    </xf>
    <xf numFmtId="3" fontId="41" fillId="0" borderId="0" xfId="9" applyNumberFormat="1" applyFont="1" applyFill="1"/>
    <xf numFmtId="0" fontId="41" fillId="0" borderId="14" xfId="9" applyFont="1" applyFill="1" applyBorder="1"/>
    <xf numFmtId="3" fontId="22" fillId="0" borderId="2" xfId="9" applyNumberFormat="1" applyFont="1" applyFill="1" applyBorder="1" applyAlignment="1"/>
    <xf numFmtId="1" fontId="13" fillId="0" borderId="14" xfId="9" applyNumberFormat="1" applyFont="1" applyFill="1" applyBorder="1" applyAlignment="1">
      <alignment horizontal="left"/>
    </xf>
    <xf numFmtId="49" fontId="10" fillId="0" borderId="2" xfId="9" applyNumberFormat="1" applyFont="1" applyFill="1" applyBorder="1" applyAlignment="1">
      <alignment horizontal="left"/>
    </xf>
    <xf numFmtId="0" fontId="9" fillId="0" borderId="17" xfId="9" applyFont="1" applyFill="1" applyBorder="1"/>
    <xf numFmtId="49" fontId="21" fillId="0" borderId="2" xfId="9" applyNumberFormat="1" applyFont="1" applyFill="1" applyBorder="1" applyAlignment="1">
      <alignment horizontal="left"/>
    </xf>
    <xf numFmtId="0" fontId="4" fillId="0" borderId="2" xfId="9" applyFont="1" applyBorder="1" applyAlignment="1">
      <alignment vertical="top" wrapText="1"/>
    </xf>
    <xf numFmtId="49" fontId="10" fillId="0" borderId="2" xfId="9" applyNumberFormat="1" applyFont="1" applyBorder="1" applyAlignment="1">
      <alignment horizontal="left" vertical="center"/>
    </xf>
    <xf numFmtId="0" fontId="4" fillId="0" borderId="0" xfId="9" applyFont="1" applyAlignment="1">
      <alignment vertical="top" wrapText="1"/>
    </xf>
    <xf numFmtId="1" fontId="13" fillId="0" borderId="2" xfId="9" applyNumberFormat="1" applyFont="1" applyFill="1" applyBorder="1" applyAlignment="1">
      <alignment horizontal="left"/>
    </xf>
    <xf numFmtId="0" fontId="13" fillId="0" borderId="2" xfId="9" applyFont="1" applyFill="1" applyBorder="1" applyAlignment="1"/>
    <xf numFmtId="0" fontId="4" fillId="0" borderId="2" xfId="9" applyFont="1" applyFill="1" applyBorder="1"/>
    <xf numFmtId="49" fontId="10" fillId="0" borderId="0" xfId="9" applyNumberFormat="1" applyFont="1" applyFill="1" applyAlignment="1">
      <alignment horizontal="left"/>
    </xf>
    <xf numFmtId="167" fontId="22" fillId="0" borderId="21" xfId="9" applyNumberFormat="1" applyFont="1" applyFill="1" applyBorder="1"/>
    <xf numFmtId="168" fontId="61" fillId="0" borderId="2" xfId="9" applyNumberFormat="1" applyFont="1" applyFill="1" applyBorder="1" applyAlignment="1">
      <alignment horizontal="center"/>
    </xf>
    <xf numFmtId="49" fontId="10" fillId="0" borderId="0" xfId="9" applyNumberFormat="1" applyFont="1" applyFill="1" applyBorder="1" applyAlignment="1">
      <alignment horizontal="left"/>
    </xf>
    <xf numFmtId="167" fontId="22" fillId="0" borderId="23" xfId="9" applyNumberFormat="1" applyFont="1" applyFill="1" applyBorder="1"/>
    <xf numFmtId="0" fontId="35" fillId="0" borderId="0" xfId="9" applyFont="1" applyFill="1"/>
    <xf numFmtId="167" fontId="35" fillId="0" borderId="24" xfId="9" applyNumberFormat="1" applyFont="1" applyFill="1" applyBorder="1" applyAlignment="1">
      <alignment horizontal="center"/>
    </xf>
    <xf numFmtId="3" fontId="35" fillId="0" borderId="5" xfId="9" applyNumberFormat="1" applyFont="1" applyFill="1" applyBorder="1" applyAlignment="1">
      <alignment horizontal="center" vertical="center"/>
    </xf>
    <xf numFmtId="0" fontId="35" fillId="0" borderId="5" xfId="9" applyFont="1" applyFill="1" applyBorder="1"/>
    <xf numFmtId="168" fontId="35" fillId="0" borderId="5" xfId="9" applyNumberFormat="1" applyFont="1" applyFill="1" applyBorder="1" applyAlignment="1">
      <alignment horizontal="center"/>
    </xf>
    <xf numFmtId="1" fontId="35" fillId="0" borderId="5" xfId="9" applyNumberFormat="1" applyFont="1" applyFill="1" applyBorder="1" applyAlignment="1">
      <alignment horizontal="center"/>
    </xf>
    <xf numFmtId="1" fontId="35" fillId="0" borderId="4" xfId="9" applyNumberFormat="1" applyFont="1" applyFill="1" applyBorder="1" applyAlignment="1">
      <alignment horizontal="center"/>
    </xf>
    <xf numFmtId="167" fontId="4" fillId="0" borderId="0" xfId="9" applyNumberFormat="1" applyFont="1" applyFill="1"/>
    <xf numFmtId="167" fontId="22" fillId="0" borderId="0" xfId="9" applyNumberFormat="1" applyFont="1" applyFill="1"/>
    <xf numFmtId="3" fontId="22" fillId="0" borderId="0" xfId="9" applyNumberFormat="1" applyFont="1" applyFill="1" applyAlignment="1"/>
    <xf numFmtId="0" fontId="37" fillId="0" borderId="0" xfId="9" applyFont="1" applyFill="1" applyAlignment="1">
      <alignment vertical="top"/>
    </xf>
    <xf numFmtId="1" fontId="51" fillId="0" borderId="0" xfId="9" applyNumberFormat="1" applyFont="1" applyFill="1" applyAlignment="1">
      <alignment horizontal="left" vertical="top"/>
    </xf>
    <xf numFmtId="0" fontId="63" fillId="0" borderId="0" xfId="9" applyFont="1" applyFill="1" applyBorder="1"/>
    <xf numFmtId="168" fontId="28" fillId="0" borderId="0" xfId="9" applyNumberFormat="1" applyFont="1" applyFill="1" applyBorder="1" applyAlignment="1">
      <alignment horizontal="center"/>
    </xf>
    <xf numFmtId="1" fontId="63" fillId="0" borderId="0" xfId="9" applyNumberFormat="1" applyFont="1" applyFill="1" applyBorder="1" applyAlignment="1">
      <alignment horizontal="center"/>
    </xf>
    <xf numFmtId="168" fontId="61" fillId="0" borderId="0" xfId="9" applyNumberFormat="1" applyFont="1" applyFill="1" applyAlignment="1">
      <alignment horizontal="center"/>
    </xf>
    <xf numFmtId="1" fontId="37" fillId="0" borderId="0" xfId="9" applyNumberFormat="1" applyFont="1" applyFill="1" applyAlignment="1">
      <alignment horizontal="center"/>
    </xf>
    <xf numFmtId="1" fontId="37" fillId="0" borderId="0" xfId="9" applyNumberFormat="1" applyFont="1" applyFill="1" applyAlignment="1">
      <alignment horizontal="left"/>
    </xf>
    <xf numFmtId="3" fontId="24" fillId="0" borderId="17" xfId="9" applyNumberFormat="1" applyFont="1" applyFill="1" applyBorder="1" applyAlignment="1"/>
    <xf numFmtId="0" fontId="41" fillId="0" borderId="10" xfId="9" applyFont="1" applyFill="1" applyBorder="1"/>
    <xf numFmtId="168" fontId="41" fillId="0" borderId="10" xfId="9" applyNumberFormat="1" applyFont="1" applyFill="1" applyBorder="1" applyAlignment="1">
      <alignment horizontal="center"/>
    </xf>
    <xf numFmtId="1" fontId="41" fillId="0" borderId="10" xfId="9" applyNumberFormat="1" applyFont="1" applyFill="1" applyBorder="1" applyAlignment="1">
      <alignment horizontal="center"/>
    </xf>
    <xf numFmtId="1" fontId="51" fillId="0" borderId="0" xfId="9" applyNumberFormat="1" applyFont="1" applyFill="1" applyAlignment="1">
      <alignment horizontal="center"/>
    </xf>
    <xf numFmtId="168" fontId="63" fillId="0" borderId="0" xfId="9" applyNumberFormat="1" applyFont="1" applyFill="1" applyBorder="1" applyAlignment="1">
      <alignment horizontal="center"/>
    </xf>
    <xf numFmtId="167" fontId="41" fillId="0" borderId="0" xfId="9" applyNumberFormat="1" applyFont="1" applyFill="1" applyBorder="1"/>
    <xf numFmtId="3" fontId="41" fillId="0" borderId="0" xfId="9" applyNumberFormat="1" applyFont="1" applyFill="1" applyBorder="1" applyAlignment="1"/>
    <xf numFmtId="167" fontId="41" fillId="0" borderId="34" xfId="9" applyNumberFormat="1" applyFont="1" applyFill="1" applyBorder="1"/>
    <xf numFmtId="3" fontId="41" fillId="0" borderId="34" xfId="9" applyNumberFormat="1" applyFont="1" applyFill="1" applyBorder="1" applyAlignment="1"/>
    <xf numFmtId="0" fontId="41" fillId="0" borderId="34" xfId="9" applyFont="1" applyFill="1" applyBorder="1"/>
    <xf numFmtId="168" fontId="41" fillId="0" borderId="34" xfId="9" applyNumberFormat="1" applyFont="1" applyFill="1" applyBorder="1" applyAlignment="1">
      <alignment horizontal="center"/>
    </xf>
    <xf numFmtId="1" fontId="41" fillId="0" borderId="34" xfId="9" applyNumberFormat="1" applyFont="1" applyFill="1" applyBorder="1" applyAlignment="1">
      <alignment horizontal="center"/>
    </xf>
    <xf numFmtId="1" fontId="41" fillId="0" borderId="34" xfId="9" applyNumberFormat="1" applyFont="1" applyFill="1" applyBorder="1" applyAlignment="1">
      <alignment horizontal="left"/>
    </xf>
    <xf numFmtId="167" fontId="41" fillId="0" borderId="51" xfId="9" applyNumberFormat="1" applyFont="1" applyFill="1" applyBorder="1"/>
    <xf numFmtId="3" fontId="41" fillId="0" borderId="51" xfId="9" applyNumberFormat="1" applyFont="1" applyFill="1" applyBorder="1" applyAlignment="1"/>
    <xf numFmtId="0" fontId="41" fillId="0" borderId="51" xfId="9" applyFont="1" applyFill="1" applyBorder="1"/>
    <xf numFmtId="168" fontId="41" fillId="0" borderId="51" xfId="9" applyNumberFormat="1" applyFont="1" applyFill="1" applyBorder="1" applyAlignment="1">
      <alignment horizontal="center"/>
    </xf>
    <xf numFmtId="1" fontId="41" fillId="0" borderId="51" xfId="9" applyNumberFormat="1" applyFont="1" applyFill="1" applyBorder="1" applyAlignment="1">
      <alignment horizontal="center"/>
    </xf>
    <xf numFmtId="1" fontId="41" fillId="0" borderId="51" xfId="9" applyNumberFormat="1" applyFont="1" applyFill="1" applyBorder="1" applyAlignment="1">
      <alignment horizontal="left"/>
    </xf>
    <xf numFmtId="167" fontId="41" fillId="0" borderId="10" xfId="9" applyNumberFormat="1" applyFont="1" applyFill="1" applyBorder="1" applyAlignment="1">
      <alignment vertical="top"/>
    </xf>
    <xf numFmtId="3" fontId="41" fillId="0" borderId="10" xfId="9" applyNumberFormat="1" applyFont="1" applyFill="1" applyBorder="1" applyAlignment="1">
      <alignment vertical="top"/>
    </xf>
    <xf numFmtId="1" fontId="41" fillId="0" borderId="10" xfId="9" applyNumberFormat="1" applyFont="1" applyFill="1" applyBorder="1" applyAlignment="1">
      <alignment horizontal="left" vertical="top"/>
    </xf>
    <xf numFmtId="1" fontId="13" fillId="0" borderId="0" xfId="9" applyNumberFormat="1" applyFont="1" applyFill="1" applyAlignment="1">
      <alignment horizontal="left"/>
    </xf>
    <xf numFmtId="167" fontId="35" fillId="0" borderId="24" xfId="9" applyNumberFormat="1" applyFont="1" applyFill="1" applyBorder="1" applyAlignment="1">
      <alignment horizontal="center" vertical="center"/>
    </xf>
    <xf numFmtId="1" fontId="14" fillId="0" borderId="0" xfId="9" applyNumberFormat="1" applyFont="1" applyFill="1" applyAlignment="1">
      <alignment horizontal="left"/>
    </xf>
    <xf numFmtId="1" fontId="13" fillId="0" borderId="17" xfId="9" applyNumberFormat="1" applyFont="1" applyFill="1" applyBorder="1" applyAlignment="1">
      <alignment horizontal="left"/>
    </xf>
    <xf numFmtId="1" fontId="4" fillId="0" borderId="15" xfId="9" applyNumberFormat="1" applyFont="1" applyFill="1" applyBorder="1" applyAlignment="1">
      <alignment horizontal="center"/>
    </xf>
    <xf numFmtId="0" fontId="37" fillId="0" borderId="0" xfId="9" applyFont="1" applyFill="1" applyAlignment="1"/>
    <xf numFmtId="1" fontId="14" fillId="0" borderId="2" xfId="9" applyNumberFormat="1" applyFont="1" applyFill="1" applyBorder="1" applyAlignment="1">
      <alignment horizontal="left"/>
    </xf>
    <xf numFmtId="1" fontId="96" fillId="0" borderId="0" xfId="9" applyNumberFormat="1" applyFont="1" applyFill="1" applyAlignment="1">
      <alignment horizontal="left"/>
    </xf>
    <xf numFmtId="1" fontId="38" fillId="0" borderId="0" xfId="9" applyNumberFormat="1" applyFont="1" applyFill="1" applyAlignment="1">
      <alignment horizontal="left"/>
    </xf>
    <xf numFmtId="3" fontId="6" fillId="0" borderId="0" xfId="9" applyNumberFormat="1" applyFont="1" applyFill="1"/>
    <xf numFmtId="167" fontId="52" fillId="0" borderId="22" xfId="9" applyNumberFormat="1" applyFont="1" applyFill="1" applyBorder="1"/>
    <xf numFmtId="3" fontId="8" fillId="0" borderId="5" xfId="9" applyNumberFormat="1" applyFont="1" applyFill="1" applyBorder="1" applyAlignment="1"/>
    <xf numFmtId="168" fontId="21" fillId="0" borderId="8" xfId="9" applyNumberFormat="1" applyFont="1" applyFill="1" applyBorder="1" applyAlignment="1">
      <alignment horizontal="center"/>
    </xf>
    <xf numFmtId="3" fontId="24" fillId="0" borderId="2" xfId="9" applyNumberFormat="1" applyFont="1" applyFill="1" applyBorder="1" applyAlignment="1">
      <alignment horizontal="right" vertical="center" wrapText="1"/>
    </xf>
    <xf numFmtId="3" fontId="24" fillId="0" borderId="0" xfId="9" applyNumberFormat="1" applyFont="1" applyFill="1" applyBorder="1" applyAlignment="1">
      <alignment horizontal="right" vertical="center" wrapText="1"/>
    </xf>
    <xf numFmtId="3" fontId="24" fillId="0" borderId="2" xfId="9" applyNumberFormat="1" applyFont="1" applyFill="1" applyBorder="1" applyAlignment="1">
      <alignment horizontal="right" vertical="center"/>
    </xf>
    <xf numFmtId="49" fontId="27" fillId="3" borderId="0" xfId="9" applyNumberFormat="1" applyFont="1" applyFill="1" applyBorder="1" applyAlignment="1">
      <alignment horizontal="left"/>
    </xf>
    <xf numFmtId="1" fontId="13" fillId="0" borderId="14" xfId="9" applyNumberFormat="1" applyFont="1" applyBorder="1" applyAlignment="1">
      <alignment horizontal="left"/>
    </xf>
    <xf numFmtId="1" fontId="5" fillId="0" borderId="50" xfId="9" applyNumberFormat="1" applyFont="1" applyBorder="1" applyAlignment="1">
      <alignment horizontal="left"/>
    </xf>
    <xf numFmtId="49" fontId="27" fillId="3" borderId="2" xfId="9" applyNumberFormat="1" applyFont="1" applyFill="1" applyBorder="1" applyAlignment="1">
      <alignment horizontal="left"/>
    </xf>
    <xf numFmtId="1" fontId="13" fillId="0" borderId="17" xfId="9" applyNumberFormat="1" applyFont="1" applyBorder="1" applyAlignment="1">
      <alignment horizontal="left"/>
    </xf>
    <xf numFmtId="3" fontId="22" fillId="0" borderId="9" xfId="9" applyNumberFormat="1" applyFont="1" applyFill="1" applyBorder="1" applyAlignment="1">
      <alignment horizontal="right" vertical="center" wrapText="1"/>
    </xf>
    <xf numFmtId="3" fontId="22" fillId="0" borderId="27" xfId="9" applyNumberFormat="1" applyFont="1" applyFill="1" applyBorder="1" applyAlignment="1">
      <alignment horizontal="right" vertical="center" wrapText="1"/>
    </xf>
    <xf numFmtId="0" fontId="14" fillId="0" borderId="9" xfId="9" applyFont="1" applyBorder="1" applyAlignment="1"/>
    <xf numFmtId="1" fontId="13" fillId="0" borderId="2" xfId="9" applyNumberFormat="1" applyFont="1" applyBorder="1" applyAlignment="1">
      <alignment horizontal="left"/>
    </xf>
    <xf numFmtId="167" fontId="7" fillId="0" borderId="24" xfId="9" applyNumberFormat="1" applyFont="1" applyFill="1" applyBorder="1" applyAlignment="1">
      <alignment horizontal="center" vertical="center"/>
    </xf>
    <xf numFmtId="168" fontId="7" fillId="0" borderId="5" xfId="9" applyNumberFormat="1" applyFont="1" applyFill="1" applyBorder="1" applyAlignment="1">
      <alignment horizontal="center" vertical="center"/>
    </xf>
    <xf numFmtId="3" fontId="4" fillId="0" borderId="0" xfId="9" applyNumberFormat="1" applyFont="1" applyFill="1" applyAlignment="1"/>
    <xf numFmtId="0" fontId="18" fillId="0" borderId="0" xfId="9" applyFont="1" applyFill="1"/>
    <xf numFmtId="167" fontId="55" fillId="0" borderId="22" xfId="9" applyNumberFormat="1" applyFont="1" applyFill="1" applyBorder="1"/>
    <xf numFmtId="3" fontId="55" fillId="0" borderId="5" xfId="9" applyNumberFormat="1" applyFont="1" applyFill="1" applyBorder="1" applyAlignment="1"/>
    <xf numFmtId="0" fontId="18" fillId="0" borderId="8" xfId="9" applyFont="1" applyFill="1" applyBorder="1"/>
    <xf numFmtId="168" fontId="69" fillId="0" borderId="8" xfId="9" applyNumberFormat="1" applyFont="1" applyFill="1" applyBorder="1" applyAlignment="1">
      <alignment horizontal="center"/>
    </xf>
    <xf numFmtId="0" fontId="49" fillId="0" borderId="7" xfId="9" applyFont="1" applyFill="1" applyBorder="1" applyAlignment="1">
      <alignment horizontal="left"/>
    </xf>
    <xf numFmtId="0" fontId="16" fillId="3" borderId="0" xfId="9" applyFont="1" applyFill="1"/>
    <xf numFmtId="0" fontId="16" fillId="0" borderId="0" xfId="9" applyFont="1"/>
    <xf numFmtId="166" fontId="14" fillId="0" borderId="35" xfId="9" applyNumberFormat="1" applyFont="1" applyBorder="1" applyAlignment="1">
      <alignment horizontal="right"/>
    </xf>
    <xf numFmtId="3" fontId="14" fillId="0" borderId="14" xfId="9" applyNumberFormat="1" applyFont="1" applyFill="1" applyBorder="1" applyAlignment="1">
      <alignment horizontal="right"/>
    </xf>
    <xf numFmtId="3" fontId="14" fillId="0" borderId="34" xfId="9" applyNumberFormat="1" applyFont="1" applyFill="1" applyBorder="1" applyAlignment="1">
      <alignment horizontal="right"/>
    </xf>
    <xf numFmtId="3" fontId="14" fillId="0" borderId="14" xfId="9" applyNumberFormat="1" applyFont="1" applyBorder="1" applyAlignment="1">
      <alignment horizontal="right"/>
    </xf>
    <xf numFmtId="0" fontId="14" fillId="0" borderId="14" xfId="9" applyFont="1" applyBorder="1"/>
    <xf numFmtId="49" fontId="69" fillId="0" borderId="34" xfId="9" applyNumberFormat="1" applyFont="1" applyBorder="1" applyAlignment="1">
      <alignment horizontal="left"/>
    </xf>
    <xf numFmtId="1" fontId="13" fillId="0" borderId="33" xfId="9" applyNumberFormat="1" applyFont="1" applyBorder="1" applyAlignment="1">
      <alignment horizontal="left"/>
    </xf>
    <xf numFmtId="49" fontId="69" fillId="0" borderId="2" xfId="9" applyNumberFormat="1" applyFont="1" applyBorder="1" applyAlignment="1">
      <alignment horizontal="left"/>
    </xf>
    <xf numFmtId="1" fontId="13" fillId="0" borderId="6" xfId="9" applyNumberFormat="1" applyFont="1" applyBorder="1" applyAlignment="1">
      <alignment horizontal="left"/>
    </xf>
    <xf numFmtId="3" fontId="14" fillId="0" borderId="0" xfId="9" applyNumberFormat="1" applyFont="1" applyBorder="1" applyAlignment="1">
      <alignment horizontal="left" vertical="center"/>
    </xf>
    <xf numFmtId="0" fontId="13" fillId="3" borderId="0" xfId="9" applyFont="1" applyFill="1"/>
    <xf numFmtId="1" fontId="12" fillId="0" borderId="0" xfId="9" applyNumberFormat="1" applyFont="1" applyAlignment="1">
      <alignment horizontal="left"/>
    </xf>
    <xf numFmtId="168" fontId="10" fillId="0" borderId="0" xfId="9" applyNumberFormat="1" applyFont="1" applyAlignment="1">
      <alignment horizontal="left"/>
    </xf>
    <xf numFmtId="3" fontId="12" fillId="3" borderId="2" xfId="9" applyNumberFormat="1" applyFont="1" applyFill="1" applyBorder="1" applyAlignment="1">
      <alignment horizontal="right"/>
    </xf>
    <xf numFmtId="1" fontId="13" fillId="3" borderId="0" xfId="9" applyNumberFormat="1" applyFont="1" applyFill="1" applyBorder="1" applyAlignment="1">
      <alignment horizontal="left"/>
    </xf>
    <xf numFmtId="1" fontId="13" fillId="3" borderId="6" xfId="9" applyNumberFormat="1" applyFont="1" applyFill="1" applyBorder="1" applyAlignment="1">
      <alignment horizontal="left"/>
    </xf>
    <xf numFmtId="1" fontId="16" fillId="0" borderId="0" xfId="9" applyNumberFormat="1" applyFont="1" applyFill="1" applyAlignment="1">
      <alignment horizontal="left"/>
    </xf>
    <xf numFmtId="3" fontId="12" fillId="0" borderId="17" xfId="9" applyNumberFormat="1" applyFont="1" applyFill="1" applyBorder="1" applyAlignment="1">
      <alignment horizontal="right"/>
    </xf>
    <xf numFmtId="1" fontId="14" fillId="0" borderId="0" xfId="9" applyNumberFormat="1" applyFont="1" applyAlignment="1">
      <alignment horizontal="left"/>
    </xf>
    <xf numFmtId="168" fontId="69" fillId="0" borderId="0" xfId="9" applyNumberFormat="1" applyFont="1" applyAlignment="1">
      <alignment horizontal="left"/>
    </xf>
    <xf numFmtId="3" fontId="14" fillId="3" borderId="2" xfId="9" applyNumberFormat="1" applyFont="1" applyFill="1" applyBorder="1" applyAlignment="1">
      <alignment horizontal="right"/>
    </xf>
    <xf numFmtId="0" fontId="14" fillId="0" borderId="0" xfId="9" applyFont="1" applyBorder="1" applyAlignment="1">
      <alignment vertical="top" wrapText="1"/>
    </xf>
    <xf numFmtId="1" fontId="13" fillId="3" borderId="15" xfId="9" applyNumberFormat="1" applyFont="1" applyFill="1" applyBorder="1" applyAlignment="1">
      <alignment horizontal="left"/>
    </xf>
    <xf numFmtId="166" fontId="12" fillId="0" borderId="25" xfId="9" applyNumberFormat="1" applyFont="1" applyBorder="1" applyAlignment="1">
      <alignment horizontal="right" vertical="top"/>
    </xf>
    <xf numFmtId="1" fontId="14" fillId="0" borderId="0" xfId="9" applyNumberFormat="1" applyFont="1" applyBorder="1" applyAlignment="1">
      <alignment horizontal="left"/>
    </xf>
    <xf numFmtId="166" fontId="14" fillId="0" borderId="25" xfId="9" applyNumberFormat="1" applyFont="1" applyBorder="1" applyAlignment="1">
      <alignment horizontal="right" vertical="top"/>
    </xf>
    <xf numFmtId="0" fontId="22" fillId="0" borderId="0" xfId="9" applyFont="1" applyBorder="1" applyAlignment="1">
      <alignment vertical="top"/>
    </xf>
    <xf numFmtId="0" fontId="13" fillId="3" borderId="0" xfId="9" applyFont="1" applyFill="1" applyBorder="1"/>
    <xf numFmtId="0" fontId="22" fillId="0" borderId="0" xfId="9" applyFont="1" applyBorder="1" applyAlignment="1">
      <alignment vertical="top" wrapText="1"/>
    </xf>
    <xf numFmtId="3" fontId="14" fillId="0" borderId="9" xfId="9" applyNumberFormat="1" applyFont="1" applyFill="1" applyBorder="1" applyAlignment="1">
      <alignment horizontal="right"/>
    </xf>
    <xf numFmtId="3" fontId="12" fillId="0" borderId="14" xfId="9" applyNumberFormat="1" applyFont="1" applyFill="1" applyBorder="1" applyAlignment="1">
      <alignment horizontal="right"/>
    </xf>
    <xf numFmtId="3" fontId="12" fillId="0" borderId="34" xfId="9" applyNumberFormat="1" applyFont="1" applyFill="1" applyBorder="1" applyAlignment="1">
      <alignment horizontal="right"/>
    </xf>
    <xf numFmtId="3" fontId="12" fillId="3" borderId="14" xfId="9" applyNumberFormat="1" applyFont="1" applyFill="1" applyBorder="1" applyAlignment="1">
      <alignment horizontal="right"/>
    </xf>
    <xf numFmtId="49" fontId="10" fillId="0" borderId="14" xfId="9" applyNumberFormat="1" applyFont="1" applyFill="1" applyBorder="1" applyAlignment="1">
      <alignment horizontal="left"/>
    </xf>
    <xf numFmtId="1" fontId="13" fillId="3" borderId="34" xfId="9" applyNumberFormat="1" applyFont="1" applyFill="1" applyBorder="1" applyAlignment="1">
      <alignment horizontal="left"/>
    </xf>
    <xf numFmtId="1" fontId="13" fillId="3" borderId="50" xfId="9" applyNumberFormat="1" applyFont="1" applyFill="1" applyBorder="1" applyAlignment="1">
      <alignment horizontal="left"/>
    </xf>
    <xf numFmtId="0" fontId="14" fillId="3" borderId="0" xfId="9" applyFont="1" applyFill="1" applyBorder="1"/>
    <xf numFmtId="49" fontId="69" fillId="0" borderId="2" xfId="9" applyNumberFormat="1" applyFont="1" applyBorder="1" applyAlignment="1">
      <alignment horizontal="left" vertical="top"/>
    </xf>
    <xf numFmtId="3" fontId="14" fillId="0" borderId="17" xfId="9" applyNumberFormat="1" applyFont="1" applyFill="1" applyBorder="1" applyAlignment="1">
      <alignment horizontal="right"/>
    </xf>
    <xf numFmtId="0" fontId="13" fillId="0" borderId="0" xfId="9" applyFont="1"/>
    <xf numFmtId="49" fontId="69" fillId="3" borderId="2" xfId="9" applyNumberFormat="1" applyFont="1" applyFill="1" applyBorder="1" applyAlignment="1">
      <alignment horizontal="left"/>
    </xf>
    <xf numFmtId="168" fontId="4" fillId="0" borderId="0" xfId="9" applyNumberFormat="1" applyFont="1" applyFill="1" applyAlignment="1">
      <alignment horizontal="left"/>
    </xf>
    <xf numFmtId="168" fontId="24" fillId="0" borderId="0" xfId="9" applyNumberFormat="1" applyFont="1" applyFill="1" applyAlignment="1">
      <alignment horizontal="left"/>
    </xf>
    <xf numFmtId="1" fontId="24" fillId="0" borderId="0" xfId="9" applyNumberFormat="1" applyFont="1" applyFill="1" applyAlignment="1">
      <alignment horizontal="center"/>
    </xf>
    <xf numFmtId="1" fontId="24" fillId="0" borderId="0" xfId="9" applyNumberFormat="1" applyFont="1" applyFill="1" applyAlignment="1">
      <alignment horizontal="left"/>
    </xf>
    <xf numFmtId="0" fontId="39" fillId="0" borderId="0" xfId="9" applyFont="1" applyFill="1"/>
    <xf numFmtId="3" fontId="39" fillId="0" borderId="1" xfId="9" applyNumberFormat="1" applyFont="1" applyFill="1" applyBorder="1" applyAlignment="1"/>
    <xf numFmtId="3" fontId="22" fillId="0" borderId="1" xfId="9" applyNumberFormat="1" applyFont="1" applyFill="1" applyBorder="1" applyAlignment="1"/>
    <xf numFmtId="0" fontId="39" fillId="0" borderId="1" xfId="9" applyFont="1" applyFill="1" applyBorder="1"/>
    <xf numFmtId="168" fontId="61" fillId="0" borderId="1" xfId="9" applyNumberFormat="1" applyFont="1" applyFill="1" applyBorder="1" applyAlignment="1">
      <alignment horizontal="center"/>
    </xf>
    <xf numFmtId="1" fontId="39" fillId="0" borderId="1" xfId="9" applyNumberFormat="1" applyFont="1" applyFill="1" applyBorder="1" applyAlignment="1">
      <alignment horizontal="center"/>
    </xf>
    <xf numFmtId="1" fontId="39" fillId="0" borderId="1" xfId="9" applyNumberFormat="1" applyFont="1" applyFill="1" applyBorder="1" applyAlignment="1">
      <alignment horizontal="left"/>
    </xf>
    <xf numFmtId="168" fontId="4" fillId="0" borderId="0" xfId="9" applyNumberFormat="1" applyFont="1" applyFill="1"/>
    <xf numFmtId="1" fontId="5" fillId="0" borderId="0" xfId="9" applyNumberFormat="1" applyFont="1" applyFill="1" applyAlignment="1">
      <alignment horizontal="left"/>
    </xf>
    <xf numFmtId="4" fontId="69" fillId="0" borderId="0" xfId="9" applyNumberFormat="1" applyFont="1" applyFill="1"/>
    <xf numFmtId="167" fontId="67" fillId="0" borderId="10" xfId="9" applyNumberFormat="1" applyFont="1" applyFill="1" applyBorder="1" applyAlignment="1"/>
    <xf numFmtId="3" fontId="67" fillId="0" borderId="10" xfId="9" applyNumberFormat="1" applyFont="1" applyFill="1" applyBorder="1"/>
    <xf numFmtId="167" fontId="6" fillId="0" borderId="0" xfId="9" applyNumberFormat="1" applyFont="1" applyFill="1" applyBorder="1"/>
    <xf numFmtId="167" fontId="52" fillId="0" borderId="0" xfId="9" applyNumberFormat="1" applyFont="1" applyFill="1" applyBorder="1"/>
    <xf numFmtId="167" fontId="53" fillId="0" borderId="0" xfId="9" applyNumberFormat="1" applyFont="1" applyFill="1" applyBorder="1"/>
    <xf numFmtId="4" fontId="28" fillId="0" borderId="0" xfId="9" applyNumberFormat="1" applyFont="1" applyFill="1"/>
    <xf numFmtId="167" fontId="17" fillId="0" borderId="0" xfId="9" applyNumberFormat="1" applyFont="1" applyFill="1" applyBorder="1"/>
    <xf numFmtId="3" fontId="17" fillId="0" borderId="0" xfId="9" applyNumberFormat="1" applyFont="1" applyFill="1" applyBorder="1"/>
    <xf numFmtId="0" fontId="18" fillId="0" borderId="0" xfId="9" applyFont="1" applyFill="1" applyBorder="1"/>
    <xf numFmtId="168" fontId="18" fillId="0" borderId="0" xfId="9" applyNumberFormat="1" applyFont="1" applyFill="1" applyBorder="1" applyAlignment="1">
      <alignment horizontal="left"/>
    </xf>
    <xf numFmtId="1" fontId="18" fillId="0" borderId="0" xfId="9" applyNumberFormat="1" applyFont="1" applyFill="1" applyBorder="1" applyAlignment="1">
      <alignment horizontal="left"/>
    </xf>
    <xf numFmtId="0" fontId="17" fillId="0" borderId="0" xfId="9" applyFont="1" applyFill="1" applyBorder="1"/>
    <xf numFmtId="167" fontId="9" fillId="0" borderId="34" xfId="9" applyNumberFormat="1" applyFont="1" applyFill="1" applyBorder="1"/>
    <xf numFmtId="3" fontId="41" fillId="0" borderId="34" xfId="9" applyNumberFormat="1" applyFont="1" applyFill="1" applyBorder="1"/>
    <xf numFmtId="167" fontId="22" fillId="0" borderId="51" xfId="9" applyNumberFormat="1" applyFont="1" applyFill="1" applyBorder="1"/>
    <xf numFmtId="3" fontId="41" fillId="0" borderId="51" xfId="9" applyNumberFormat="1" applyFont="1" applyFill="1" applyBorder="1"/>
    <xf numFmtId="3" fontId="28" fillId="0" borderId="0" xfId="9" applyNumberFormat="1" applyFont="1" applyFill="1"/>
    <xf numFmtId="167" fontId="22" fillId="0" borderId="24" xfId="9" applyNumberFormat="1" applyFont="1" applyFill="1" applyBorder="1"/>
    <xf numFmtId="3" fontId="41" fillId="0" borderId="5" xfId="9" applyNumberFormat="1" applyFont="1" applyFill="1" applyBorder="1"/>
    <xf numFmtId="0" fontId="65" fillId="0" borderId="0" xfId="9" applyFont="1"/>
    <xf numFmtId="4" fontId="27" fillId="0" borderId="0" xfId="9" applyNumberFormat="1" applyFont="1"/>
    <xf numFmtId="0" fontId="15" fillId="0" borderId="0" xfId="9" applyFont="1"/>
    <xf numFmtId="3" fontId="12" fillId="0" borderId="0" xfId="9" applyNumberFormat="1" applyFont="1" applyBorder="1" applyAlignment="1">
      <alignment horizontal="right"/>
    </xf>
    <xf numFmtId="49" fontId="27" fillId="3" borderId="2" xfId="9" applyNumberFormat="1" applyFont="1" applyFill="1" applyBorder="1"/>
    <xf numFmtId="3" fontId="14" fillId="0" borderId="0" xfId="9" applyNumberFormat="1" applyFont="1" applyBorder="1" applyAlignment="1">
      <alignment horizontal="right"/>
    </xf>
    <xf numFmtId="1" fontId="14" fillId="0" borderId="2" xfId="9" applyNumberFormat="1" applyFont="1" applyBorder="1" applyAlignment="1">
      <alignment horizontal="left"/>
    </xf>
    <xf numFmtId="167" fontId="9" fillId="0" borderId="22" xfId="9" applyNumberFormat="1" applyFont="1" applyFill="1" applyBorder="1"/>
    <xf numFmtId="3" fontId="26" fillId="0" borderId="5" xfId="9" applyNumberFormat="1" applyFont="1" applyFill="1" applyBorder="1"/>
    <xf numFmtId="0" fontId="6" fillId="0" borderId="5" xfId="9" applyFont="1" applyFill="1" applyBorder="1"/>
    <xf numFmtId="168" fontId="21" fillId="0" borderId="5" xfId="9" applyNumberFormat="1" applyFont="1" applyFill="1" applyBorder="1" applyAlignment="1">
      <alignment horizontal="center"/>
    </xf>
    <xf numFmtId="3" fontId="15" fillId="0" borderId="2" xfId="9" applyNumberFormat="1" applyFont="1" applyBorder="1" applyAlignment="1">
      <alignment horizontal="right"/>
    </xf>
    <xf numFmtId="166" fontId="12" fillId="0" borderId="21" xfId="9" applyNumberFormat="1" applyFont="1" applyBorder="1" applyAlignment="1">
      <alignment horizontal="right"/>
    </xf>
    <xf numFmtId="0" fontId="13" fillId="0" borderId="2" xfId="9" applyFont="1" applyBorder="1"/>
    <xf numFmtId="1" fontId="45" fillId="0" borderId="12" xfId="9" applyNumberFormat="1" applyFont="1" applyBorder="1" applyAlignment="1">
      <alignment horizontal="left"/>
    </xf>
    <xf numFmtId="166" fontId="9" fillId="0" borderId="30" xfId="9" applyNumberFormat="1" applyFont="1" applyBorder="1" applyAlignment="1">
      <alignment horizontal="right"/>
    </xf>
    <xf numFmtId="3" fontId="9" fillId="0" borderId="9" xfId="9" applyNumberFormat="1" applyFont="1" applyBorder="1" applyAlignment="1">
      <alignment horizontal="right"/>
    </xf>
    <xf numFmtId="0" fontId="9" fillId="0" borderId="9" xfId="9" applyFont="1" applyBorder="1"/>
    <xf numFmtId="49" fontId="10" fillId="0" borderId="9" xfId="9" applyNumberFormat="1" applyFont="1" applyBorder="1" applyAlignment="1">
      <alignment horizontal="left"/>
    </xf>
    <xf numFmtId="1" fontId="5" fillId="0" borderId="9" xfId="9" applyNumberFormat="1" applyFont="1" applyBorder="1" applyAlignment="1">
      <alignment horizontal="left"/>
    </xf>
    <xf numFmtId="1" fontId="13" fillId="0" borderId="26" xfId="9" applyNumberFormat="1" applyFont="1" applyBorder="1" applyAlignment="1">
      <alignment horizontal="left"/>
    </xf>
    <xf numFmtId="3" fontId="9" fillId="0" borderId="0" xfId="9" applyNumberFormat="1" applyFont="1" applyFill="1"/>
    <xf numFmtId="3" fontId="12" fillId="0" borderId="0" xfId="9" applyNumberFormat="1" applyFont="1" applyFill="1"/>
    <xf numFmtId="168" fontId="13" fillId="0" borderId="0" xfId="9" applyNumberFormat="1" applyFont="1" applyFill="1" applyAlignment="1">
      <alignment horizontal="left"/>
    </xf>
    <xf numFmtId="1" fontId="19" fillId="0" borderId="0" xfId="9" applyNumberFormat="1" applyFont="1" applyFill="1" applyBorder="1" applyAlignment="1">
      <alignment horizontal="left"/>
    </xf>
    <xf numFmtId="1" fontId="52" fillId="0" borderId="0" xfId="9" applyNumberFormat="1" applyFont="1" applyFill="1" applyBorder="1" applyAlignment="1">
      <alignment horizontal="left"/>
    </xf>
    <xf numFmtId="167" fontId="4" fillId="0" borderId="34" xfId="9" applyNumberFormat="1" applyFont="1" applyFill="1" applyBorder="1"/>
    <xf numFmtId="3" fontId="9" fillId="0" borderId="34" xfId="9" applyNumberFormat="1" applyFont="1" applyFill="1" applyBorder="1"/>
    <xf numFmtId="3" fontId="12" fillId="0" borderId="34" xfId="9" applyNumberFormat="1" applyFont="1" applyFill="1" applyBorder="1"/>
    <xf numFmtId="167" fontId="9" fillId="0" borderId="60" xfId="9" applyNumberFormat="1" applyFont="1" applyFill="1" applyBorder="1"/>
    <xf numFmtId="3" fontId="41" fillId="0" borderId="60" xfId="9" applyNumberFormat="1" applyFont="1" applyFill="1" applyBorder="1"/>
    <xf numFmtId="1" fontId="35" fillId="0" borderId="25" xfId="9" applyNumberFormat="1" applyFont="1" applyFill="1" applyBorder="1" applyAlignment="1">
      <alignment horizontal="center" vertical="center" wrapText="1"/>
    </xf>
    <xf numFmtId="3" fontId="35" fillId="0" borderId="2" xfId="9" applyNumberFormat="1" applyFont="1" applyFill="1" applyBorder="1" applyAlignment="1">
      <alignment horizontal="center" vertical="center" wrapText="1"/>
    </xf>
    <xf numFmtId="0" fontId="9" fillId="0" borderId="2" xfId="9" applyFont="1" applyBorder="1"/>
    <xf numFmtId="1" fontId="13" fillId="0" borderId="12" xfId="9" applyNumberFormat="1" applyFont="1" applyBorder="1" applyAlignment="1">
      <alignment horizontal="left"/>
    </xf>
    <xf numFmtId="0" fontId="35" fillId="0" borderId="12" xfId="9" applyFont="1" applyFill="1" applyBorder="1" applyAlignment="1">
      <alignment horizontal="center" vertical="center"/>
    </xf>
    <xf numFmtId="166" fontId="14" fillId="0" borderId="21" xfId="9" applyNumberFormat="1" applyFont="1" applyBorder="1" applyAlignment="1">
      <alignment horizontal="right"/>
    </xf>
    <xf numFmtId="167" fontId="8" fillId="0" borderId="0" xfId="9" applyNumberFormat="1" applyFont="1" applyFill="1" applyBorder="1"/>
    <xf numFmtId="0" fontId="6" fillId="0" borderId="0" xfId="9" applyFont="1" applyFill="1" applyBorder="1"/>
    <xf numFmtId="0" fontId="26" fillId="0" borderId="0" xfId="9" applyFont="1" applyFill="1" applyBorder="1" applyAlignment="1">
      <alignment horizontal="left"/>
    </xf>
    <xf numFmtId="0" fontId="16" fillId="3" borderId="0" xfId="9" applyFont="1" applyFill="1" applyBorder="1"/>
    <xf numFmtId="0" fontId="14" fillId="0" borderId="2" xfId="9" applyFont="1" applyFill="1" applyBorder="1"/>
    <xf numFmtId="3" fontId="12" fillId="0" borderId="15" xfId="9" applyNumberFormat="1" applyFont="1" applyFill="1" applyBorder="1" applyAlignment="1">
      <alignment horizontal="right"/>
    </xf>
    <xf numFmtId="167" fontId="8" fillId="0" borderId="22" xfId="9" applyNumberFormat="1" applyFont="1" applyFill="1" applyBorder="1"/>
    <xf numFmtId="0" fontId="9" fillId="0" borderId="14" xfId="9" applyFont="1" applyBorder="1"/>
    <xf numFmtId="49" fontId="27" fillId="0" borderId="14" xfId="9" applyNumberFormat="1" applyFont="1" applyBorder="1" applyAlignment="1">
      <alignment horizontal="left"/>
    </xf>
    <xf numFmtId="1" fontId="13" fillId="0" borderId="50" xfId="9" applyNumberFormat="1" applyFont="1" applyBorder="1" applyAlignment="1">
      <alignment horizontal="left"/>
    </xf>
    <xf numFmtId="168" fontId="5" fillId="0" borderId="0" xfId="9" applyNumberFormat="1" applyFont="1" applyFill="1" applyAlignment="1">
      <alignment horizontal="center"/>
    </xf>
    <xf numFmtId="168" fontId="19" fillId="0" borderId="0" xfId="9" applyNumberFormat="1" applyFont="1" applyFill="1" applyBorder="1" applyAlignment="1">
      <alignment horizontal="center"/>
    </xf>
    <xf numFmtId="168" fontId="19" fillId="0" borderId="1" xfId="9" applyNumberFormat="1" applyFont="1" applyFill="1" applyBorder="1" applyAlignment="1">
      <alignment horizontal="center"/>
    </xf>
    <xf numFmtId="0" fontId="13" fillId="0" borderId="0" xfId="9" applyFont="1" applyFill="1"/>
    <xf numFmtId="3" fontId="34" fillId="0" borderId="10" xfId="9" applyNumberFormat="1" applyFont="1" applyFill="1" applyBorder="1"/>
    <xf numFmtId="167" fontId="53" fillId="0" borderId="0" xfId="9" applyNumberFormat="1" applyFont="1" applyFill="1"/>
    <xf numFmtId="3" fontId="24" fillId="0" borderId="0" xfId="9" applyNumberFormat="1" applyFont="1" applyFill="1"/>
    <xf numFmtId="3" fontId="9" fillId="0" borderId="0" xfId="9" applyNumberFormat="1" applyFont="1" applyBorder="1" applyAlignment="1">
      <alignment horizontal="right"/>
    </xf>
    <xf numFmtId="0" fontId="4" fillId="0" borderId="0" xfId="9" applyFont="1" applyFill="1" applyAlignment="1">
      <alignment vertical="top"/>
    </xf>
    <xf numFmtId="167" fontId="22" fillId="0" borderId="10" xfId="9" applyNumberFormat="1" applyFont="1" applyFill="1" applyBorder="1"/>
    <xf numFmtId="3" fontId="41" fillId="0" borderId="10" xfId="9" applyNumberFormat="1" applyFont="1" applyFill="1" applyBorder="1"/>
    <xf numFmtId="167" fontId="15" fillId="0" borderId="25" xfId="9" applyNumberFormat="1" applyFont="1" applyFill="1" applyBorder="1" applyAlignment="1">
      <alignment horizontal="right"/>
    </xf>
    <xf numFmtId="3" fontId="24" fillId="0" borderId="2" xfId="9" applyNumberFormat="1" applyFont="1" applyFill="1" applyBorder="1"/>
    <xf numFmtId="49" fontId="10" fillId="0" borderId="14" xfId="9" applyNumberFormat="1" applyFont="1" applyBorder="1" applyAlignment="1">
      <alignment horizontal="left" vertical="top"/>
    </xf>
    <xf numFmtId="3" fontId="22" fillId="0" borderId="9" xfId="9" applyNumberFormat="1" applyFont="1" applyFill="1" applyBorder="1"/>
    <xf numFmtId="168" fontId="28" fillId="0" borderId="9" xfId="9" applyNumberFormat="1" applyFont="1" applyFill="1" applyBorder="1" applyAlignment="1">
      <alignment horizontal="center"/>
    </xf>
    <xf numFmtId="167" fontId="51" fillId="0" borderId="0" xfId="9" applyNumberFormat="1" applyFont="1" applyFill="1"/>
    <xf numFmtId="167" fontId="22" fillId="0" borderId="0" xfId="9" applyNumberFormat="1" applyFont="1" applyFill="1" applyBorder="1"/>
    <xf numFmtId="3" fontId="41" fillId="0" borderId="0" xfId="9" applyNumberFormat="1" applyFont="1" applyFill="1" applyBorder="1"/>
    <xf numFmtId="167" fontId="14" fillId="0" borderId="24" xfId="9" applyNumberFormat="1" applyFont="1" applyFill="1" applyBorder="1" applyAlignment="1">
      <alignment horizontal="right"/>
    </xf>
    <xf numFmtId="167" fontId="14" fillId="0" borderId="25" xfId="9" applyNumberFormat="1" applyFont="1" applyFill="1" applyBorder="1" applyAlignment="1">
      <alignment horizontal="right"/>
    </xf>
    <xf numFmtId="167" fontId="14" fillId="0" borderId="10" xfId="9" applyNumberFormat="1" applyFont="1" applyFill="1" applyBorder="1" applyAlignment="1">
      <alignment horizontal="right"/>
    </xf>
    <xf numFmtId="3" fontId="24" fillId="0" borderId="0" xfId="9" applyNumberFormat="1" applyFont="1" applyFill="1" applyBorder="1"/>
    <xf numFmtId="167" fontId="9" fillId="0" borderId="25" xfId="9" applyNumberFormat="1" applyFont="1" applyFill="1" applyBorder="1" applyAlignment="1">
      <alignment horizontal="right"/>
    </xf>
    <xf numFmtId="167" fontId="15" fillId="0" borderId="21" xfId="9" applyNumberFormat="1" applyFont="1" applyFill="1" applyBorder="1" applyAlignment="1">
      <alignment horizontal="right"/>
    </xf>
    <xf numFmtId="0" fontId="13" fillId="0" borderId="2" xfId="9" applyFont="1" applyBorder="1" applyAlignment="1"/>
    <xf numFmtId="49" fontId="10" fillId="0" borderId="0" xfId="9" applyNumberFormat="1" applyFont="1" applyBorder="1" applyAlignment="1">
      <alignment horizontal="left"/>
    </xf>
    <xf numFmtId="0" fontId="4" fillId="0" borderId="2" xfId="9" applyFont="1" applyFill="1" applyBorder="1" applyAlignment="1"/>
    <xf numFmtId="3" fontId="24" fillId="0" borderId="17" xfId="9" applyNumberFormat="1" applyFont="1" applyFill="1" applyBorder="1"/>
    <xf numFmtId="3" fontId="22" fillId="0" borderId="18" xfId="9" applyNumberFormat="1" applyFont="1" applyFill="1" applyBorder="1"/>
    <xf numFmtId="168" fontId="28" fillId="0" borderId="46" xfId="9" applyNumberFormat="1" applyFont="1" applyFill="1" applyBorder="1" applyAlignment="1">
      <alignment horizontal="center"/>
    </xf>
    <xf numFmtId="0" fontId="4" fillId="0" borderId="0" xfId="9" applyFont="1" applyFill="1" applyAlignment="1"/>
    <xf numFmtId="167" fontId="22" fillId="0" borderId="30" xfId="9" applyNumberFormat="1" applyFont="1" applyFill="1" applyBorder="1"/>
    <xf numFmtId="166" fontId="52" fillId="0" borderId="0" xfId="9" applyNumberFormat="1" applyFont="1" applyFill="1" applyBorder="1"/>
    <xf numFmtId="166" fontId="52" fillId="0" borderId="35" xfId="9" applyNumberFormat="1" applyFont="1" applyFill="1" applyBorder="1"/>
    <xf numFmtId="3" fontId="8" fillId="0" borderId="14" xfId="9" applyNumberFormat="1" applyFont="1" applyFill="1" applyBorder="1"/>
    <xf numFmtId="0" fontId="6" fillId="0" borderId="34" xfId="9" applyFont="1" applyFill="1" applyBorder="1"/>
    <xf numFmtId="168" fontId="21" fillId="0" borderId="34" xfId="9" applyNumberFormat="1" applyFont="1" applyFill="1" applyBorder="1" applyAlignment="1">
      <alignment horizontal="center"/>
    </xf>
    <xf numFmtId="0" fontId="26" fillId="0" borderId="33" xfId="9" applyFont="1" applyFill="1" applyBorder="1" applyAlignment="1">
      <alignment horizontal="left"/>
    </xf>
    <xf numFmtId="167" fontId="12" fillId="0" borderId="35" xfId="9" applyNumberFormat="1" applyFont="1" applyBorder="1" applyAlignment="1">
      <alignment horizontal="right"/>
    </xf>
    <xf numFmtId="3" fontId="12" fillId="0" borderId="34" xfId="9" applyNumberFormat="1" applyFont="1" applyBorder="1" applyAlignment="1">
      <alignment horizontal="right"/>
    </xf>
    <xf numFmtId="0" fontId="13" fillId="0" borderId="48" xfId="9" applyFont="1" applyBorder="1"/>
    <xf numFmtId="1" fontId="5" fillId="0" borderId="48" xfId="9" applyNumberFormat="1" applyFont="1" applyBorder="1" applyAlignment="1">
      <alignment horizontal="left"/>
    </xf>
    <xf numFmtId="0" fontId="14" fillId="0" borderId="17" xfId="9" applyFont="1" applyBorder="1"/>
    <xf numFmtId="1" fontId="5" fillId="0" borderId="17" xfId="9" applyNumberFormat="1" applyFont="1" applyBorder="1" applyAlignment="1">
      <alignment horizontal="left"/>
    </xf>
    <xf numFmtId="0" fontId="13" fillId="0" borderId="17" xfId="9" applyFont="1" applyBorder="1"/>
    <xf numFmtId="166" fontId="7" fillId="0" borderId="23" xfId="9" applyNumberFormat="1" applyFont="1" applyFill="1" applyBorder="1" applyAlignment="1">
      <alignment horizontal="center" vertical="center"/>
    </xf>
    <xf numFmtId="0" fontId="7" fillId="0" borderId="9" xfId="9" applyFont="1" applyFill="1" applyBorder="1" applyAlignment="1">
      <alignment horizontal="center" vertical="center"/>
    </xf>
    <xf numFmtId="168" fontId="7" fillId="0" borderId="9" xfId="9" applyNumberFormat="1" applyFont="1" applyFill="1" applyBorder="1" applyAlignment="1">
      <alignment horizontal="center" vertical="center"/>
    </xf>
    <xf numFmtId="1" fontId="7" fillId="0" borderId="9" xfId="9" applyNumberFormat="1" applyFont="1" applyFill="1" applyBorder="1" applyAlignment="1">
      <alignment horizontal="center" vertical="center"/>
    </xf>
    <xf numFmtId="0" fontId="7" fillId="0" borderId="38" xfId="9" applyFont="1" applyFill="1" applyBorder="1" applyAlignment="1">
      <alignment horizontal="center" vertical="center"/>
    </xf>
    <xf numFmtId="3" fontId="25" fillId="0" borderId="0" xfId="9" applyNumberFormat="1" applyFont="1" applyFill="1"/>
    <xf numFmtId="3" fontId="15" fillId="0" borderId="0" xfId="9" applyNumberFormat="1" applyFont="1" applyFill="1"/>
    <xf numFmtId="0" fontId="5" fillId="0" borderId="0" xfId="9" applyFont="1" applyFill="1" applyBorder="1"/>
    <xf numFmtId="168" fontId="10" fillId="0" borderId="0" xfId="9" applyNumberFormat="1" applyFont="1" applyFill="1" applyAlignment="1">
      <alignment horizontal="center"/>
    </xf>
    <xf numFmtId="166" fontId="9" fillId="0" borderId="0" xfId="9" applyNumberFormat="1" applyFont="1" applyFill="1"/>
    <xf numFmtId="167" fontId="52" fillId="0" borderId="24" xfId="9" applyNumberFormat="1" applyFont="1" applyFill="1" applyBorder="1"/>
    <xf numFmtId="3" fontId="12" fillId="0" borderId="14" xfId="9" applyNumberFormat="1" applyFont="1" applyBorder="1" applyAlignment="1">
      <alignment horizontal="right"/>
    </xf>
    <xf numFmtId="0" fontId="13" fillId="0" borderId="14" xfId="9" applyFont="1" applyFill="1" applyBorder="1"/>
    <xf numFmtId="3" fontId="13" fillId="0" borderId="0" xfId="9" applyNumberFormat="1" applyFont="1"/>
    <xf numFmtId="1" fontId="9" fillId="0" borderId="0" xfId="9" applyNumberFormat="1" applyFont="1" applyBorder="1" applyAlignment="1">
      <alignment horizontal="left"/>
    </xf>
    <xf numFmtId="0" fontId="9" fillId="0" borderId="0" xfId="9" applyFont="1" applyFill="1" applyBorder="1"/>
    <xf numFmtId="3" fontId="14" fillId="0" borderId="27" xfId="9" applyNumberFormat="1" applyFont="1" applyFill="1" applyBorder="1" applyAlignment="1">
      <alignment horizontal="right"/>
    </xf>
    <xf numFmtId="166" fontId="14" fillId="0" borderId="30" xfId="9" applyNumberFormat="1" applyFont="1" applyBorder="1" applyAlignment="1">
      <alignment horizontal="right"/>
    </xf>
    <xf numFmtId="0" fontId="9" fillId="0" borderId="27" xfId="9" applyFont="1" applyFill="1" applyBorder="1"/>
    <xf numFmtId="168" fontId="10" fillId="0" borderId="9" xfId="9" applyNumberFormat="1" applyFont="1" applyBorder="1" applyAlignment="1">
      <alignment horizontal="left"/>
    </xf>
    <xf numFmtId="1" fontId="5" fillId="0" borderId="26" xfId="9" applyNumberFormat="1" applyFont="1" applyBorder="1" applyAlignment="1">
      <alignment horizontal="left"/>
    </xf>
    <xf numFmtId="167" fontId="39" fillId="0" borderId="0" xfId="9" applyNumberFormat="1" applyFont="1" applyFill="1"/>
    <xf numFmtId="3" fontId="39" fillId="0" borderId="0" xfId="9" applyNumberFormat="1" applyFont="1" applyFill="1"/>
    <xf numFmtId="3" fontId="39" fillId="0" borderId="1" xfId="9" applyNumberFormat="1" applyFont="1" applyFill="1" applyBorder="1"/>
    <xf numFmtId="168" fontId="39" fillId="0" borderId="1" xfId="9" applyNumberFormat="1" applyFont="1" applyFill="1" applyBorder="1" applyAlignment="1">
      <alignment horizontal="center"/>
    </xf>
    <xf numFmtId="167" fontId="4" fillId="0" borderId="0" xfId="9" applyNumberFormat="1" applyFont="1" applyFill="1" applyAlignment="1">
      <alignment horizontal="right"/>
    </xf>
    <xf numFmtId="0" fontId="12" fillId="0" borderId="0" xfId="9" applyFont="1" applyFill="1"/>
    <xf numFmtId="0" fontId="4" fillId="0" borderId="10" xfId="9" applyFont="1" applyFill="1" applyBorder="1" applyAlignment="1">
      <alignment wrapText="1"/>
    </xf>
    <xf numFmtId="0" fontId="31" fillId="0" borderId="34" xfId="9" applyFont="1" applyFill="1" applyBorder="1" applyAlignment="1">
      <alignment horizontal="left"/>
    </xf>
    <xf numFmtId="1" fontId="4" fillId="0" borderId="19" xfId="9" applyNumberFormat="1" applyFont="1" applyFill="1" applyBorder="1" applyAlignment="1">
      <alignment horizontal="center"/>
    </xf>
    <xf numFmtId="167" fontId="53" fillId="0" borderId="0" xfId="9" applyNumberFormat="1" applyFont="1" applyFill="1" applyAlignment="1">
      <alignment horizontal="right"/>
    </xf>
    <xf numFmtId="0" fontId="53" fillId="0" borderId="0" xfId="9" applyNumberFormat="1" applyFont="1" applyFill="1" applyAlignment="1">
      <alignment horizontal="left"/>
    </xf>
    <xf numFmtId="167" fontId="51" fillId="0" borderId="0" xfId="9" applyNumberFormat="1" applyFont="1" applyFill="1" applyAlignment="1">
      <alignment horizontal="right"/>
    </xf>
    <xf numFmtId="1" fontId="53" fillId="0" borderId="0" xfId="9" applyNumberFormat="1" applyFont="1" applyFill="1" applyAlignment="1">
      <alignment horizontal="left" vertical="top"/>
    </xf>
    <xf numFmtId="0" fontId="51" fillId="0" borderId="0" xfId="9" applyFont="1" applyFill="1" applyAlignment="1">
      <alignment vertical="top"/>
    </xf>
    <xf numFmtId="0" fontId="24" fillId="0" borderId="0" xfId="9" applyFont="1" applyFill="1" applyAlignment="1">
      <alignment vertical="top"/>
    </xf>
    <xf numFmtId="4" fontId="4" fillId="0" borderId="0" xfId="9" applyNumberFormat="1" applyFont="1" applyFill="1" applyAlignment="1">
      <alignment vertical="top"/>
    </xf>
    <xf numFmtId="167" fontId="53" fillId="0" borderId="0" xfId="9" applyNumberFormat="1" applyFont="1" applyFill="1" applyAlignment="1">
      <alignment horizontal="right" vertical="top"/>
    </xf>
    <xf numFmtId="3" fontId="53" fillId="0" borderId="0" xfId="9" applyNumberFormat="1" applyFont="1" applyFill="1" applyAlignment="1">
      <alignment vertical="top"/>
    </xf>
    <xf numFmtId="0" fontId="53" fillId="0" borderId="0" xfId="9" applyFont="1" applyFill="1" applyAlignment="1">
      <alignment horizontal="left" vertical="top"/>
    </xf>
    <xf numFmtId="168" fontId="53" fillId="0" borderId="0" xfId="9" applyNumberFormat="1" applyFont="1" applyFill="1" applyAlignment="1">
      <alignment horizontal="center" vertical="top"/>
    </xf>
    <xf numFmtId="3" fontId="63" fillId="0" borderId="0" xfId="9" applyNumberFormat="1" applyFont="1" applyFill="1" applyBorder="1"/>
    <xf numFmtId="167" fontId="51" fillId="0" borderId="0" xfId="9" applyNumberFormat="1" applyFont="1" applyFill="1" applyBorder="1" applyAlignment="1">
      <alignment horizontal="right"/>
    </xf>
    <xf numFmtId="167" fontId="51" fillId="0" borderId="10" xfId="9" applyNumberFormat="1" applyFont="1" applyFill="1" applyBorder="1" applyAlignment="1">
      <alignment horizontal="right"/>
    </xf>
    <xf numFmtId="167" fontId="51" fillId="0" borderId="24" xfId="9" applyNumberFormat="1" applyFont="1" applyFill="1" applyBorder="1" applyAlignment="1">
      <alignment horizontal="right"/>
    </xf>
    <xf numFmtId="167" fontId="22" fillId="0" borderId="23" xfId="9" applyNumberFormat="1" applyFont="1" applyFill="1" applyBorder="1" applyAlignment="1">
      <alignment horizontal="right"/>
    </xf>
    <xf numFmtId="1" fontId="35" fillId="0" borderId="24" xfId="9" applyNumberFormat="1" applyFont="1" applyFill="1" applyBorder="1" applyAlignment="1">
      <alignment horizontal="right" vertical="center" wrapText="1"/>
    </xf>
    <xf numFmtId="1" fontId="35" fillId="0" borderId="50" xfId="9" applyNumberFormat="1" applyFont="1" applyFill="1" applyBorder="1" applyAlignment="1">
      <alignment horizontal="center"/>
    </xf>
    <xf numFmtId="1" fontId="37" fillId="0" borderId="34" xfId="9" applyNumberFormat="1" applyFont="1" applyFill="1" applyBorder="1" applyAlignment="1">
      <alignment horizontal="left"/>
    </xf>
    <xf numFmtId="167" fontId="41" fillId="0" borderId="0" xfId="9" applyNumberFormat="1" applyFont="1" applyFill="1" applyBorder="1" applyAlignment="1">
      <alignment horizontal="right"/>
    </xf>
    <xf numFmtId="1" fontId="41" fillId="0" borderId="19" xfId="9" applyNumberFormat="1" applyFont="1" applyFill="1" applyBorder="1" applyAlignment="1">
      <alignment horizontal="left"/>
    </xf>
    <xf numFmtId="3" fontId="24" fillId="0" borderId="2" xfId="9" applyNumberFormat="1" applyFont="1" applyBorder="1" applyAlignment="1"/>
    <xf numFmtId="0" fontId="4" fillId="0" borderId="76" xfId="9" applyFont="1" applyFill="1" applyBorder="1" applyAlignment="1"/>
    <xf numFmtId="167" fontId="18" fillId="0" borderId="24" xfId="9" applyNumberFormat="1" applyFont="1" applyFill="1" applyBorder="1" applyAlignment="1">
      <alignment horizontal="right"/>
    </xf>
    <xf numFmtId="1" fontId="35" fillId="0" borderId="34" xfId="9" applyNumberFormat="1" applyFont="1" applyFill="1" applyBorder="1" applyAlignment="1">
      <alignment horizontal="center"/>
    </xf>
    <xf numFmtId="166" fontId="52" fillId="0" borderId="0" xfId="9" applyNumberFormat="1" applyFont="1" applyFill="1" applyBorder="1" applyAlignment="1">
      <alignment horizontal="right"/>
    </xf>
    <xf numFmtId="166" fontId="52" fillId="0" borderId="35" xfId="9" applyNumberFormat="1" applyFont="1" applyFill="1" applyBorder="1" applyAlignment="1">
      <alignment horizontal="right"/>
    </xf>
    <xf numFmtId="166" fontId="12" fillId="0" borderId="35" xfId="9" applyNumberFormat="1" applyFont="1" applyBorder="1" applyAlignment="1">
      <alignment horizontal="right"/>
    </xf>
    <xf numFmtId="3" fontId="14" fillId="0" borderId="48" xfId="9" applyNumberFormat="1" applyFont="1" applyBorder="1" applyAlignment="1">
      <alignment horizontal="right"/>
    </xf>
    <xf numFmtId="49" fontId="27" fillId="0" borderId="48" xfId="9" applyNumberFormat="1" applyFont="1" applyBorder="1" applyAlignment="1">
      <alignment horizontal="left"/>
    </xf>
    <xf numFmtId="3" fontId="14" fillId="0" borderId="17" xfId="9" applyNumberFormat="1" applyFont="1" applyBorder="1" applyAlignment="1">
      <alignment horizontal="right"/>
    </xf>
    <xf numFmtId="0" fontId="14" fillId="0" borderId="2" xfId="9" applyFont="1" applyBorder="1"/>
    <xf numFmtId="166" fontId="9" fillId="0" borderId="0" xfId="9" applyNumberFormat="1" applyFont="1" applyFill="1" applyAlignment="1">
      <alignment horizontal="right"/>
    </xf>
    <xf numFmtId="0" fontId="15" fillId="0" borderId="0" xfId="9" applyFont="1" applyFill="1"/>
    <xf numFmtId="167" fontId="8" fillId="0" borderId="0" xfId="9" applyNumberFormat="1" applyFont="1" applyFill="1" applyBorder="1" applyAlignment="1">
      <alignment horizontal="right"/>
    </xf>
    <xf numFmtId="0" fontId="14" fillId="0" borderId="34" xfId="9" applyFont="1" applyBorder="1"/>
    <xf numFmtId="168" fontId="27" fillId="0" borderId="14" xfId="9" applyNumberFormat="1" applyFont="1" applyBorder="1" applyAlignment="1">
      <alignment horizontal="left"/>
    </xf>
    <xf numFmtId="1" fontId="5" fillId="0" borderId="14" xfId="9" applyNumberFormat="1" applyFont="1" applyBorder="1" applyAlignment="1">
      <alignment horizontal="left"/>
    </xf>
    <xf numFmtId="1" fontId="5" fillId="0" borderId="33" xfId="9" applyNumberFormat="1" applyFont="1" applyBorder="1" applyAlignment="1">
      <alignment horizontal="left"/>
    </xf>
    <xf numFmtId="0" fontId="5" fillId="0" borderId="0" xfId="9" applyFont="1" applyBorder="1" applyAlignment="1">
      <alignment vertical="center"/>
    </xf>
    <xf numFmtId="0" fontId="5" fillId="0" borderId="0" xfId="9" applyFont="1" applyBorder="1" applyAlignment="1"/>
    <xf numFmtId="172" fontId="27" fillId="0" borderId="2" xfId="9" applyNumberFormat="1" applyFont="1" applyBorder="1" applyAlignment="1">
      <alignment horizontal="left"/>
    </xf>
    <xf numFmtId="168" fontId="27" fillId="0" borderId="2" xfId="9" applyNumberFormat="1" applyFont="1" applyBorder="1" applyAlignment="1">
      <alignment horizontal="left"/>
    </xf>
    <xf numFmtId="0" fontId="13" fillId="0" borderId="0" xfId="9" applyFont="1" applyBorder="1" applyAlignment="1"/>
    <xf numFmtId="3" fontId="14" fillId="0" borderId="9" xfId="9" applyNumberFormat="1" applyFont="1" applyBorder="1" applyAlignment="1">
      <alignment horizontal="right"/>
    </xf>
    <xf numFmtId="0" fontId="14" fillId="0" borderId="27" xfId="9" applyFont="1" applyBorder="1"/>
    <xf numFmtId="168" fontId="27" fillId="0" borderId="9" xfId="9" applyNumberFormat="1" applyFont="1" applyBorder="1" applyAlignment="1">
      <alignment horizontal="left"/>
    </xf>
    <xf numFmtId="1" fontId="13" fillId="0" borderId="9" xfId="9" applyNumberFormat="1" applyFont="1" applyBorder="1" applyAlignment="1">
      <alignment horizontal="left"/>
    </xf>
    <xf numFmtId="168" fontId="24" fillId="0" borderId="0" xfId="9" applyNumberFormat="1" applyFont="1" applyFill="1" applyAlignment="1">
      <alignment horizontal="center"/>
    </xf>
    <xf numFmtId="167" fontId="24" fillId="0" borderId="0" xfId="9" applyNumberFormat="1" applyFont="1" applyFill="1" applyAlignment="1">
      <alignment horizontal="right"/>
    </xf>
    <xf numFmtId="168" fontId="24" fillId="0" borderId="0" xfId="9" applyNumberFormat="1" applyFont="1" applyFill="1" applyAlignment="1">
      <alignment horizontal="left"/>
    </xf>
    <xf numFmtId="167" fontId="39" fillId="0" borderId="0" xfId="9" applyNumberFormat="1" applyFont="1" applyFill="1" applyAlignment="1">
      <alignment horizontal="right"/>
    </xf>
    <xf numFmtId="167" fontId="4" fillId="0" borderId="0" xfId="9" applyNumberFormat="1" applyFill="1"/>
    <xf numFmtId="4" fontId="13" fillId="0" borderId="0" xfId="9" applyNumberFormat="1" applyFont="1" applyFill="1"/>
    <xf numFmtId="0" fontId="44" fillId="0" borderId="0" xfId="9" applyFont="1" applyFill="1"/>
    <xf numFmtId="0" fontId="32" fillId="0" borderId="10" xfId="9" applyFont="1" applyFill="1" applyBorder="1"/>
    <xf numFmtId="1" fontId="32" fillId="0" borderId="10" xfId="9" applyNumberFormat="1" applyFont="1" applyFill="1" applyBorder="1" applyAlignment="1">
      <alignment horizontal="left"/>
    </xf>
    <xf numFmtId="1" fontId="32" fillId="0" borderId="10" xfId="9" applyNumberFormat="1" applyFont="1" applyFill="1" applyBorder="1" applyAlignment="1">
      <alignment horizontal="center"/>
    </xf>
    <xf numFmtId="0" fontId="31" fillId="0" borderId="10" xfId="9" applyFont="1" applyFill="1" applyBorder="1" applyAlignment="1">
      <alignment horizontal="left"/>
    </xf>
    <xf numFmtId="167" fontId="4" fillId="0" borderId="0" xfId="9" applyNumberFormat="1" applyFill="1" applyAlignment="1">
      <alignment shrinkToFit="1"/>
    </xf>
    <xf numFmtId="167" fontId="9" fillId="0" borderId="0" xfId="9" applyNumberFormat="1" applyFont="1" applyFill="1" applyAlignment="1">
      <alignment shrinkToFit="1"/>
    </xf>
    <xf numFmtId="0" fontId="9" fillId="0" borderId="0" xfId="9" applyFont="1" applyFill="1"/>
    <xf numFmtId="0" fontId="5" fillId="0" borderId="0" xfId="9" applyFont="1" applyFill="1" applyAlignment="1">
      <alignment horizontal="right"/>
    </xf>
    <xf numFmtId="0" fontId="5" fillId="0" borderId="0" xfId="9" applyFont="1" applyFill="1"/>
    <xf numFmtId="167" fontId="8" fillId="0" borderId="35" xfId="9" applyNumberFormat="1" applyFont="1" applyFill="1" applyBorder="1" applyAlignment="1">
      <alignment shrinkToFit="1"/>
    </xf>
    <xf numFmtId="0" fontId="6" fillId="0" borderId="7" xfId="9" applyFont="1" applyFill="1" applyBorder="1"/>
    <xf numFmtId="0" fontId="12" fillId="0" borderId="0" xfId="9" applyFont="1"/>
    <xf numFmtId="167" fontId="9" fillId="0" borderId="35" xfId="9" applyNumberFormat="1" applyFont="1" applyFill="1" applyBorder="1" applyAlignment="1">
      <alignment shrinkToFit="1"/>
    </xf>
    <xf numFmtId="0" fontId="9" fillId="0" borderId="14" xfId="9" applyFont="1" applyFill="1" applyBorder="1" applyAlignment="1">
      <alignment horizontal="right"/>
    </xf>
    <xf numFmtId="0" fontId="9" fillId="0" borderId="34" xfId="9" applyFont="1" applyFill="1" applyBorder="1" applyAlignment="1">
      <alignment horizontal="right"/>
    </xf>
    <xf numFmtId="0" fontId="9" fillId="0" borderId="14" xfId="9" applyFont="1" applyBorder="1" applyAlignment="1">
      <alignment wrapText="1"/>
    </xf>
    <xf numFmtId="0" fontId="14" fillId="0" borderId="34" xfId="9" applyFont="1" applyBorder="1" applyAlignment="1"/>
    <xf numFmtId="168" fontId="27" fillId="0" borderId="14" xfId="9" applyNumberFormat="1" applyFont="1" applyBorder="1" applyAlignment="1"/>
    <xf numFmtId="3" fontId="4" fillId="0" borderId="0" xfId="9" applyNumberFormat="1" applyFill="1" applyAlignment="1">
      <alignment horizontal="right"/>
    </xf>
    <xf numFmtId="3" fontId="4" fillId="0" borderId="0" xfId="9" applyNumberFormat="1" applyFill="1" applyBorder="1"/>
    <xf numFmtId="3" fontId="4" fillId="0" borderId="1" xfId="9" applyNumberFormat="1" applyFill="1" applyBorder="1"/>
    <xf numFmtId="4" fontId="16" fillId="0" borderId="0" xfId="9" applyNumberFormat="1" applyFont="1" applyFill="1" applyAlignment="1">
      <alignment horizontal="center"/>
    </xf>
    <xf numFmtId="167" fontId="31" fillId="0" borderId="10" xfId="9" applyNumberFormat="1" applyFont="1" applyFill="1" applyBorder="1" applyAlignment="1"/>
    <xf numFmtId="167" fontId="9" fillId="0" borderId="0" xfId="9" applyNumberFormat="1" applyFont="1" applyFill="1"/>
    <xf numFmtId="0" fontId="8" fillId="3" borderId="22" xfId="9" applyFont="1" applyFill="1" applyBorder="1" applyAlignment="1">
      <alignment horizontal="right"/>
    </xf>
    <xf numFmtId="0" fontId="55" fillId="0" borderId="5" xfId="9" applyFont="1" applyFill="1" applyBorder="1" applyAlignment="1">
      <alignment horizontal="right"/>
    </xf>
    <xf numFmtId="0" fontId="14" fillId="0" borderId="8" xfId="9" applyFont="1" applyFill="1" applyBorder="1" applyAlignment="1">
      <alignment horizontal="right"/>
    </xf>
    <xf numFmtId="0" fontId="14" fillId="3" borderId="5" xfId="9" applyFont="1" applyFill="1" applyBorder="1" applyAlignment="1">
      <alignment horizontal="right"/>
    </xf>
    <xf numFmtId="0" fontId="14" fillId="3" borderId="8" xfId="9" applyFont="1" applyFill="1" applyBorder="1"/>
    <xf numFmtId="168" fontId="27" fillId="3" borderId="5" xfId="9" applyNumberFormat="1" applyFont="1" applyFill="1" applyBorder="1" applyAlignment="1">
      <alignment horizontal="left"/>
    </xf>
    <xf numFmtId="1" fontId="13" fillId="3" borderId="8" xfId="9" applyNumberFormat="1" applyFont="1" applyFill="1" applyBorder="1" applyAlignment="1">
      <alignment horizontal="left"/>
    </xf>
    <xf numFmtId="1" fontId="13" fillId="3" borderId="4" xfId="9" applyNumberFormat="1" applyFont="1" applyFill="1" applyBorder="1" applyAlignment="1">
      <alignment horizontal="left"/>
    </xf>
    <xf numFmtId="3" fontId="10" fillId="0" borderId="5" xfId="9" applyNumberFormat="1" applyFont="1" applyFill="1" applyBorder="1" applyAlignment="1">
      <alignment horizontal="center" vertical="center"/>
    </xf>
    <xf numFmtId="167" fontId="4" fillId="0" borderId="0" xfId="9" applyNumberFormat="1" applyFill="1" applyAlignment="1">
      <alignment horizontal="right"/>
    </xf>
    <xf numFmtId="3" fontId="28" fillId="0" borderId="0" xfId="9" applyNumberFormat="1" applyFont="1" applyFill="1" applyAlignment="1">
      <alignment horizontal="left"/>
    </xf>
    <xf numFmtId="0" fontId="4" fillId="0" borderId="0" xfId="9" applyFont="1" applyAlignment="1"/>
    <xf numFmtId="0" fontId="43" fillId="0" borderId="0" xfId="9" applyFont="1" applyFill="1" applyAlignment="1">
      <alignment wrapText="1"/>
    </xf>
    <xf numFmtId="4" fontId="43" fillId="0" borderId="0" xfId="9" applyNumberFormat="1" applyFont="1" applyFill="1" applyAlignment="1">
      <alignment wrapText="1"/>
    </xf>
    <xf numFmtId="3" fontId="43" fillId="0" borderId="0" xfId="9" applyNumberFormat="1" applyFont="1" applyFill="1" applyBorder="1" applyAlignment="1">
      <alignment wrapText="1"/>
    </xf>
    <xf numFmtId="167" fontId="34" fillId="0" borderId="34" xfId="9" applyNumberFormat="1" applyFont="1" applyFill="1" applyBorder="1" applyAlignment="1">
      <alignment horizontal="right"/>
    </xf>
    <xf numFmtId="3" fontId="72" fillId="0" borderId="34" xfId="9" applyNumberFormat="1" applyFont="1" applyFill="1" applyBorder="1" applyAlignment="1"/>
    <xf numFmtId="167" fontId="9" fillId="0" borderId="19" xfId="9" applyNumberFormat="1" applyFont="1" applyFill="1" applyBorder="1" applyAlignment="1">
      <alignment horizontal="right"/>
    </xf>
    <xf numFmtId="3" fontId="58" fillId="0" borderId="19" xfId="9" applyNumberFormat="1" applyFont="1" applyFill="1" applyBorder="1" applyAlignment="1">
      <alignment horizontal="right"/>
    </xf>
    <xf numFmtId="3" fontId="12" fillId="0" borderId="19" xfId="9" applyNumberFormat="1" applyFont="1" applyFill="1" applyBorder="1" applyAlignment="1">
      <alignment horizontal="right"/>
    </xf>
    <xf numFmtId="3" fontId="13" fillId="0" borderId="19" xfId="9" applyNumberFormat="1" applyFont="1" applyFill="1" applyBorder="1" applyAlignment="1">
      <alignment horizontal="right"/>
    </xf>
    <xf numFmtId="0" fontId="13" fillId="0" borderId="19" xfId="9" applyFont="1" applyFill="1" applyBorder="1" applyAlignment="1"/>
    <xf numFmtId="168" fontId="27" fillId="0" borderId="19" xfId="9" applyNumberFormat="1" applyFont="1" applyFill="1" applyBorder="1"/>
    <xf numFmtId="1" fontId="5" fillId="0" borderId="19" xfId="9" applyNumberFormat="1" applyFont="1" applyFill="1" applyBorder="1" applyAlignment="1">
      <alignment horizontal="left"/>
    </xf>
    <xf numFmtId="167" fontId="9" fillId="0" borderId="0" xfId="9" applyNumberFormat="1" applyFont="1" applyFill="1" applyBorder="1" applyAlignment="1">
      <alignment horizontal="right"/>
    </xf>
    <xf numFmtId="3" fontId="13" fillId="0" borderId="0" xfId="9" applyNumberFormat="1" applyFont="1" applyFill="1" applyBorder="1" applyAlignment="1">
      <alignment horizontal="right"/>
    </xf>
    <xf numFmtId="168" fontId="27" fillId="0" borderId="0" xfId="9" applyNumberFormat="1" applyFont="1" applyFill="1" applyBorder="1"/>
    <xf numFmtId="1" fontId="5" fillId="0" borderId="0" xfId="9" applyNumberFormat="1" applyFont="1" applyFill="1" applyBorder="1" applyAlignment="1">
      <alignment horizontal="left"/>
    </xf>
    <xf numFmtId="167" fontId="66" fillId="0" borderId="0" xfId="9" applyNumberFormat="1" applyFont="1" applyFill="1" applyBorder="1" applyAlignment="1">
      <alignment horizontal="right" vertical="center"/>
    </xf>
    <xf numFmtId="3" fontId="66" fillId="0" borderId="0" xfId="9" applyNumberFormat="1" applyFont="1" applyFill="1" applyBorder="1"/>
    <xf numFmtId="167" fontId="52" fillId="0" borderId="0" xfId="9" applyNumberFormat="1" applyFont="1" applyFill="1" applyBorder="1" applyAlignment="1">
      <alignment horizontal="right" vertical="center"/>
    </xf>
    <xf numFmtId="3" fontId="51" fillId="0" borderId="0" xfId="9" applyNumberFormat="1" applyFont="1" applyFill="1" applyBorder="1" applyAlignment="1">
      <alignment horizontal="right"/>
    </xf>
    <xf numFmtId="3" fontId="93" fillId="0" borderId="0" xfId="9" applyNumberFormat="1" applyFont="1" applyFill="1" applyBorder="1" applyAlignment="1">
      <alignment horizontal="right"/>
    </xf>
    <xf numFmtId="3" fontId="92" fillId="0" borderId="0" xfId="9" applyNumberFormat="1" applyFont="1" applyFill="1" applyBorder="1" applyAlignment="1">
      <alignment horizontal="right"/>
    </xf>
    <xf numFmtId="0" fontId="94" fillId="0" borderId="0" xfId="9" applyFont="1" applyFill="1"/>
    <xf numFmtId="3" fontId="13" fillId="0" borderId="0" xfId="9" applyNumberFormat="1" applyFont="1" applyFill="1"/>
    <xf numFmtId="4" fontId="5" fillId="0" borderId="0" xfId="9" applyNumberFormat="1" applyFont="1" applyFill="1"/>
    <xf numFmtId="0" fontId="34" fillId="0" borderId="56" xfId="9" applyFont="1" applyFill="1" applyBorder="1"/>
    <xf numFmtId="3" fontId="47" fillId="0" borderId="8" xfId="9" applyNumberFormat="1" applyFont="1" applyFill="1" applyBorder="1" applyAlignment="1">
      <alignment horizontal="left"/>
    </xf>
    <xf numFmtId="0" fontId="48" fillId="0" borderId="8" xfId="9" applyFont="1" applyFill="1" applyBorder="1"/>
    <xf numFmtId="3" fontId="13" fillId="3" borderId="0" xfId="9" applyNumberFormat="1" applyFont="1" applyFill="1" applyBorder="1"/>
    <xf numFmtId="1" fontId="13" fillId="3" borderId="2" xfId="9" applyNumberFormat="1" applyFont="1" applyFill="1" applyBorder="1" applyAlignment="1">
      <alignment horizontal="left"/>
    </xf>
    <xf numFmtId="1" fontId="13" fillId="3" borderId="12" xfId="9" applyNumberFormat="1" applyFont="1" applyFill="1" applyBorder="1" applyAlignment="1">
      <alignment horizontal="left"/>
    </xf>
    <xf numFmtId="3" fontId="12" fillId="3" borderId="0" xfId="9" applyNumberFormat="1" applyFont="1" applyFill="1" applyBorder="1" applyAlignment="1">
      <alignment horizontal="right"/>
    </xf>
    <xf numFmtId="0" fontId="16" fillId="0" borderId="0" xfId="9" applyFont="1" applyBorder="1"/>
    <xf numFmtId="167" fontId="14" fillId="3" borderId="25" xfId="9" applyNumberFormat="1" applyFont="1" applyFill="1" applyBorder="1" applyAlignment="1">
      <alignment horizontal="right"/>
    </xf>
    <xf numFmtId="168" fontId="27" fillId="3" borderId="2" xfId="9" applyNumberFormat="1" applyFont="1" applyFill="1" applyBorder="1" applyAlignment="1">
      <alignment horizontal="left"/>
    </xf>
    <xf numFmtId="167" fontId="14" fillId="0" borderId="30" xfId="9" applyNumberFormat="1" applyFont="1" applyBorder="1" applyAlignment="1">
      <alignment horizontal="right"/>
    </xf>
    <xf numFmtId="3" fontId="14" fillId="3" borderId="9" xfId="9" applyNumberFormat="1" applyFont="1" applyFill="1" applyBorder="1" applyAlignment="1">
      <alignment horizontal="right"/>
    </xf>
    <xf numFmtId="0" fontId="14" fillId="3" borderId="27" xfId="9" applyFont="1" applyFill="1" applyBorder="1"/>
    <xf numFmtId="168" fontId="27" fillId="3" borderId="9" xfId="9" applyNumberFormat="1" applyFont="1" applyFill="1" applyBorder="1" applyAlignment="1">
      <alignment horizontal="left"/>
    </xf>
    <xf numFmtId="1" fontId="13" fillId="3" borderId="9" xfId="9" applyNumberFormat="1" applyFont="1" applyFill="1" applyBorder="1" applyAlignment="1">
      <alignment horizontal="left"/>
    </xf>
    <xf numFmtId="1" fontId="13" fillId="3" borderId="26" xfId="9" applyNumberFormat="1" applyFont="1" applyFill="1" applyBorder="1" applyAlignment="1">
      <alignment horizontal="left"/>
    </xf>
    <xf numFmtId="0" fontId="56" fillId="0" borderId="0" xfId="9" applyFont="1" applyFill="1"/>
    <xf numFmtId="3" fontId="56" fillId="0" borderId="0" xfId="9" applyNumberFormat="1" applyFont="1" applyFill="1"/>
    <xf numFmtId="3" fontId="56" fillId="0" borderId="5" xfId="9" applyNumberFormat="1" applyFont="1" applyFill="1" applyBorder="1" applyAlignment="1">
      <alignment horizontal="center" vertical="center"/>
    </xf>
    <xf numFmtId="1" fontId="56" fillId="0" borderId="5" xfId="9" applyNumberFormat="1" applyFont="1" applyFill="1" applyBorder="1" applyAlignment="1">
      <alignment horizontal="center" vertical="center"/>
    </xf>
    <xf numFmtId="0" fontId="56" fillId="0" borderId="4" xfId="9" applyFont="1" applyFill="1" applyBorder="1" applyAlignment="1">
      <alignment horizontal="center" vertical="center"/>
    </xf>
    <xf numFmtId="0" fontId="21" fillId="0" borderId="0" xfId="9" applyFont="1" applyFill="1" applyBorder="1" applyAlignment="1">
      <alignment horizontal="left"/>
    </xf>
    <xf numFmtId="3" fontId="90" fillId="0" borderId="0" xfId="9" applyNumberFormat="1" applyFont="1" applyFill="1"/>
    <xf numFmtId="3" fontId="5" fillId="0" borderId="0" xfId="9" applyNumberFormat="1" applyFont="1" applyFill="1"/>
    <xf numFmtId="4" fontId="5" fillId="0" borderId="0" xfId="9" applyNumberFormat="1" applyFont="1" applyFill="1" applyAlignment="1">
      <alignment horizontal="left"/>
    </xf>
    <xf numFmtId="3" fontId="47" fillId="0" borderId="8" xfId="9" applyNumberFormat="1" applyFont="1" applyFill="1" applyBorder="1" applyAlignment="1">
      <alignment horizontal="center"/>
    </xf>
    <xf numFmtId="167" fontId="14" fillId="0" borderId="35" xfId="9" applyNumberFormat="1" applyFont="1" applyBorder="1" applyAlignment="1">
      <alignment horizontal="right"/>
    </xf>
    <xf numFmtId="3" fontId="14" fillId="3" borderId="14" xfId="9" applyNumberFormat="1" applyFont="1" applyFill="1" applyBorder="1" applyAlignment="1">
      <alignment horizontal="right"/>
    </xf>
    <xf numFmtId="168" fontId="27" fillId="3" borderId="14" xfId="9" applyNumberFormat="1" applyFont="1" applyFill="1" applyBorder="1" applyAlignment="1">
      <alignment horizontal="left"/>
    </xf>
    <xf numFmtId="1" fontId="13" fillId="3" borderId="14" xfId="9" applyNumberFormat="1" applyFont="1" applyFill="1" applyBorder="1" applyAlignment="1">
      <alignment horizontal="left"/>
    </xf>
    <xf numFmtId="167" fontId="14" fillId="0" borderId="21" xfId="9" applyNumberFormat="1" applyFont="1" applyBorder="1" applyAlignment="1">
      <alignment horizontal="right"/>
    </xf>
    <xf numFmtId="0" fontId="14" fillId="3" borderId="2" xfId="9" applyFont="1" applyFill="1" applyBorder="1"/>
    <xf numFmtId="167" fontId="12" fillId="3" borderId="25" xfId="9" applyNumberFormat="1" applyFont="1" applyFill="1" applyBorder="1" applyAlignment="1">
      <alignment horizontal="right"/>
    </xf>
    <xf numFmtId="0" fontId="24" fillId="0" borderId="0" xfId="9" applyFont="1" applyFill="1" applyAlignment="1">
      <alignment horizontal="left"/>
    </xf>
    <xf numFmtId="3" fontId="39" fillId="0" borderId="0" xfId="9" applyNumberFormat="1" applyFont="1" applyFill="1" applyBorder="1"/>
    <xf numFmtId="0" fontId="4" fillId="0" borderId="0" xfId="9" applyFont="1" applyFill="1" applyBorder="1" applyAlignment="1">
      <alignment horizontal="left"/>
    </xf>
    <xf numFmtId="1" fontId="4" fillId="0" borderId="0" xfId="9" applyNumberFormat="1" applyFont="1" applyFill="1" applyBorder="1"/>
    <xf numFmtId="1" fontId="39" fillId="0" borderId="0" xfId="9" applyNumberFormat="1" applyFont="1" applyFill="1" applyBorder="1"/>
    <xf numFmtId="0" fontId="4" fillId="0" borderId="1" xfId="9" applyFont="1" applyFill="1" applyBorder="1"/>
    <xf numFmtId="0" fontId="4" fillId="0" borderId="1" xfId="9" applyFont="1" applyFill="1" applyBorder="1" applyAlignment="1">
      <alignment horizontal="left"/>
    </xf>
    <xf numFmtId="1" fontId="4" fillId="0" borderId="1" xfId="9" applyNumberFormat="1" applyFont="1" applyFill="1" applyBorder="1"/>
    <xf numFmtId="1" fontId="39" fillId="0" borderId="1" xfId="9" applyNumberFormat="1" applyFont="1" applyFill="1" applyBorder="1"/>
    <xf numFmtId="4" fontId="124" fillId="0" borderId="0" xfId="9" applyNumberFormat="1" applyFont="1" applyFill="1" applyAlignment="1">
      <alignment wrapText="1"/>
    </xf>
    <xf numFmtId="0" fontId="13" fillId="0" borderId="14" xfId="9" applyFont="1" applyBorder="1"/>
    <xf numFmtId="167" fontId="12" fillId="0" borderId="21" xfId="9" applyNumberFormat="1" applyFont="1" applyBorder="1" applyAlignment="1">
      <alignment horizontal="right"/>
    </xf>
    <xf numFmtId="0" fontId="14" fillId="0" borderId="17" xfId="9" applyFont="1" applyBorder="1" applyAlignment="1"/>
    <xf numFmtId="167" fontId="22" fillId="0" borderId="25" xfId="9" applyNumberFormat="1" applyFont="1" applyFill="1" applyBorder="1" applyAlignment="1">
      <alignment horizontal="right" vertical="center" wrapText="1"/>
    </xf>
    <xf numFmtId="0" fontId="14" fillId="4" borderId="12" xfId="0" applyFont="1" applyFill="1" applyBorder="1" applyAlignment="1">
      <alignment wrapText="1"/>
    </xf>
    <xf numFmtId="3" fontId="37" fillId="4" borderId="2" xfId="0" applyNumberFormat="1" applyFont="1" applyFill="1" applyBorder="1" applyAlignment="1">
      <alignment horizontal="center" vertical="center"/>
    </xf>
    <xf numFmtId="167" fontId="66" fillId="0" borderId="0" xfId="9" applyNumberFormat="1" applyFont="1" applyFill="1" applyBorder="1"/>
    <xf numFmtId="167" fontId="8" fillId="0" borderId="22" xfId="9" applyNumberFormat="1" applyFont="1" applyFill="1" applyBorder="1" applyAlignment="1">
      <alignment shrinkToFit="1"/>
    </xf>
    <xf numFmtId="3" fontId="55" fillId="0" borderId="5" xfId="9" applyNumberFormat="1" applyFont="1" applyFill="1" applyBorder="1"/>
    <xf numFmtId="1" fontId="12" fillId="0" borderId="2" xfId="9" applyNumberFormat="1" applyFont="1" applyBorder="1" applyAlignment="1">
      <alignment horizontal="left"/>
    </xf>
    <xf numFmtId="3" fontId="14" fillId="0" borderId="27" xfId="9" applyNumberFormat="1" applyFont="1" applyBorder="1" applyAlignment="1">
      <alignment horizontal="right"/>
    </xf>
    <xf numFmtId="168" fontId="10" fillId="0" borderId="27" xfId="9" applyNumberFormat="1" applyFont="1" applyBorder="1" applyAlignment="1">
      <alignment horizontal="left" vertical="top"/>
    </xf>
    <xf numFmtId="168" fontId="27" fillId="0" borderId="0" xfId="9" applyNumberFormat="1" applyFont="1" applyFill="1" applyAlignment="1">
      <alignment horizontal="center"/>
    </xf>
    <xf numFmtId="167" fontId="8" fillId="0" borderId="0" xfId="9" applyNumberFormat="1" applyFont="1" applyFill="1" applyBorder="1" applyAlignment="1">
      <alignment shrinkToFit="1"/>
    </xf>
    <xf numFmtId="0" fontId="4" fillId="3" borderId="14" xfId="9" applyFont="1" applyFill="1" applyBorder="1" applyAlignment="1">
      <alignment wrapText="1"/>
    </xf>
    <xf numFmtId="49" fontId="10" fillId="3" borderId="34" xfId="9" applyNumberFormat="1" applyFont="1" applyFill="1" applyBorder="1" applyAlignment="1">
      <alignment horizontal="left" vertical="top"/>
    </xf>
    <xf numFmtId="0" fontId="13" fillId="0" borderId="14" xfId="9" applyFont="1" applyFill="1" applyBorder="1" applyAlignment="1">
      <alignment horizontal="center"/>
    </xf>
    <xf numFmtId="1" fontId="5" fillId="0" borderId="33" xfId="9" applyNumberFormat="1" applyFont="1" applyFill="1" applyBorder="1" applyAlignment="1">
      <alignment horizontal="left"/>
    </xf>
    <xf numFmtId="3" fontId="15" fillId="0" borderId="0" xfId="9" applyNumberFormat="1" applyFont="1" applyBorder="1" applyAlignment="1">
      <alignment horizontal="right"/>
    </xf>
    <xf numFmtId="0" fontId="76" fillId="0" borderId="0" xfId="9" applyFont="1" applyFill="1" applyAlignment="1">
      <alignment horizontal="right"/>
    </xf>
    <xf numFmtId="0" fontId="76" fillId="0" borderId="0" xfId="9" applyFont="1" applyFill="1"/>
    <xf numFmtId="0" fontId="75" fillId="0" borderId="0" xfId="9" applyFont="1" applyFill="1" applyAlignment="1">
      <alignment horizontal="right"/>
    </xf>
    <xf numFmtId="0" fontId="75" fillId="0" borderId="0" xfId="9" applyFont="1" applyFill="1"/>
    <xf numFmtId="0" fontId="4" fillId="0" borderId="34" xfId="9" applyFill="1" applyBorder="1" applyAlignment="1">
      <alignment horizontal="right"/>
    </xf>
    <xf numFmtId="3" fontId="4" fillId="0" borderId="34" xfId="9" applyNumberFormat="1" applyFill="1" applyBorder="1"/>
    <xf numFmtId="3" fontId="43" fillId="0" borderId="34" xfId="9" applyNumberFormat="1" applyFont="1" applyFill="1" applyBorder="1" applyAlignment="1"/>
    <xf numFmtId="0" fontId="89" fillId="0" borderId="0" xfId="9" applyFont="1" applyFill="1"/>
    <xf numFmtId="166" fontId="43" fillId="0" borderId="0" xfId="9" applyNumberFormat="1" applyFont="1" applyFill="1" applyBorder="1" applyAlignment="1">
      <alignment horizontal="right" vertical="center" shrinkToFit="1"/>
    </xf>
    <xf numFmtId="3" fontId="43" fillId="0" borderId="0" xfId="9" applyNumberFormat="1" applyFont="1" applyFill="1" applyBorder="1" applyAlignment="1">
      <alignment horizontal="right"/>
    </xf>
    <xf numFmtId="3" fontId="43" fillId="0" borderId="0" xfId="9" applyNumberFormat="1" applyFont="1" applyFill="1" applyBorder="1" applyAlignment="1"/>
    <xf numFmtId="4" fontId="124" fillId="0" borderId="0" xfId="9" applyNumberFormat="1" applyFont="1" applyFill="1"/>
    <xf numFmtId="166" fontId="43" fillId="0" borderId="60" xfId="9" applyNumberFormat="1" applyFont="1" applyFill="1" applyBorder="1" applyAlignment="1">
      <alignment horizontal="right" vertical="center" shrinkToFit="1"/>
    </xf>
    <xf numFmtId="3" fontId="43" fillId="0" borderId="60" xfId="9" applyNumberFormat="1" applyFont="1" applyFill="1" applyBorder="1" applyAlignment="1">
      <alignment horizontal="right"/>
    </xf>
    <xf numFmtId="3" fontId="43" fillId="0" borderId="60" xfId="9" applyNumberFormat="1" applyFont="1" applyFill="1" applyBorder="1" applyAlignment="1"/>
    <xf numFmtId="0" fontId="53" fillId="0" borderId="0" xfId="9" applyFont="1" applyFill="1" applyBorder="1"/>
    <xf numFmtId="4" fontId="28" fillId="0" borderId="0" xfId="9" applyNumberFormat="1" applyFont="1" applyFill="1" applyBorder="1"/>
    <xf numFmtId="166" fontId="53" fillId="0" borderId="0" xfId="9" applyNumberFormat="1" applyFont="1" applyFill="1" applyBorder="1" applyAlignment="1">
      <alignment horizontal="right" vertical="center"/>
    </xf>
    <xf numFmtId="3" fontId="53" fillId="0" borderId="0" xfId="9" applyNumberFormat="1" applyFont="1" applyFill="1" applyBorder="1" applyAlignment="1">
      <alignment horizontal="right"/>
    </xf>
    <xf numFmtId="0" fontId="53" fillId="0" borderId="0" xfId="9" applyFont="1" applyFill="1" applyBorder="1" applyAlignment="1">
      <alignment horizontal="left"/>
    </xf>
    <xf numFmtId="0" fontId="51" fillId="0" borderId="0" xfId="9" applyFont="1" applyFill="1" applyBorder="1"/>
    <xf numFmtId="4" fontId="51" fillId="0" borderId="0" xfId="9" applyNumberFormat="1" applyFont="1" applyFill="1" applyBorder="1"/>
    <xf numFmtId="166" fontId="51" fillId="0" borderId="0" xfId="9" applyNumberFormat="1" applyFont="1" applyFill="1" applyBorder="1" applyAlignment="1">
      <alignment horizontal="right" vertical="center"/>
    </xf>
    <xf numFmtId="4" fontId="37" fillId="0" borderId="0" xfId="9" applyNumberFormat="1" applyFont="1" applyFill="1" applyBorder="1"/>
    <xf numFmtId="0" fontId="22" fillId="0" borderId="0" xfId="9" applyFont="1" applyFill="1" applyAlignment="1">
      <alignment horizontal="left"/>
    </xf>
    <xf numFmtId="166" fontId="22" fillId="0" borderId="22" xfId="9" applyNumberFormat="1" applyFont="1" applyFill="1" applyBorder="1" applyAlignment="1">
      <alignment horizontal="right"/>
    </xf>
    <xf numFmtId="166" fontId="35" fillId="0" borderId="24" xfId="9" applyNumberFormat="1" applyFont="1" applyFill="1" applyBorder="1" applyAlignment="1">
      <alignment horizontal="right" vertical="center"/>
    </xf>
    <xf numFmtId="0" fontId="4" fillId="0" borderId="0" xfId="9" applyFill="1" applyAlignment="1">
      <alignment horizontal="justify" wrapText="1"/>
    </xf>
    <xf numFmtId="166" fontId="43" fillId="0" borderId="34" xfId="9" applyNumberFormat="1" applyFont="1" applyFill="1" applyBorder="1" applyAlignment="1">
      <alignment horizontal="right" vertical="center" shrinkToFit="1"/>
    </xf>
    <xf numFmtId="3" fontId="43" fillId="0" borderId="34" xfId="9" applyNumberFormat="1" applyFont="1" applyFill="1" applyBorder="1" applyAlignment="1">
      <alignment horizontal="right"/>
    </xf>
    <xf numFmtId="4" fontId="103" fillId="0" borderId="0" xfId="9" applyNumberFormat="1" applyFont="1" applyFill="1"/>
    <xf numFmtId="4" fontId="53" fillId="0" borderId="0" xfId="9" applyNumberFormat="1" applyFont="1" applyFill="1" applyBorder="1"/>
    <xf numFmtId="0" fontId="51" fillId="0" borderId="0" xfId="9" applyFont="1" applyFill="1" applyBorder="1" applyAlignment="1">
      <alignment horizontal="left"/>
    </xf>
    <xf numFmtId="3" fontId="22" fillId="0" borderId="14" xfId="9" applyNumberFormat="1" applyFont="1" applyFill="1" applyBorder="1"/>
    <xf numFmtId="167" fontId="14" fillId="0" borderId="35" xfId="9" applyNumberFormat="1" applyFont="1" applyFill="1" applyBorder="1" applyAlignment="1">
      <alignment horizontal="right"/>
    </xf>
    <xf numFmtId="0" fontId="14" fillId="0" borderId="53" xfId="9" applyFont="1" applyFill="1" applyBorder="1"/>
    <xf numFmtId="168" fontId="27" fillId="0" borderId="14" xfId="9" applyNumberFormat="1" applyFont="1" applyFill="1" applyBorder="1" applyAlignment="1">
      <alignment horizontal="left"/>
    </xf>
    <xf numFmtId="1" fontId="13" fillId="0" borderId="14" xfId="9" applyNumberFormat="1" applyFont="1" applyFill="1" applyBorder="1" applyAlignment="1">
      <alignment horizontal="center" vertical="center"/>
    </xf>
    <xf numFmtId="1" fontId="13" fillId="0" borderId="33" xfId="9" applyNumberFormat="1" applyFont="1" applyFill="1" applyBorder="1" applyAlignment="1">
      <alignment horizontal="center" vertical="center"/>
    </xf>
    <xf numFmtId="0" fontId="14" fillId="0" borderId="15" xfId="9" applyFont="1" applyFill="1" applyBorder="1"/>
    <xf numFmtId="168" fontId="27" fillId="0" borderId="2" xfId="9" applyNumberFormat="1" applyFont="1" applyFill="1" applyBorder="1" applyAlignment="1">
      <alignment horizontal="left"/>
    </xf>
    <xf numFmtId="1" fontId="13" fillId="0" borderId="2" xfId="9" applyNumberFormat="1" applyFont="1" applyFill="1" applyBorder="1" applyAlignment="1">
      <alignment horizontal="center" vertical="center"/>
    </xf>
    <xf numFmtId="1" fontId="13" fillId="0" borderId="12" xfId="9" applyNumberFormat="1" applyFont="1" applyFill="1" applyBorder="1" applyAlignment="1">
      <alignment horizontal="center" vertical="center"/>
    </xf>
    <xf numFmtId="167" fontId="12" fillId="0" borderId="25" xfId="9" applyNumberFormat="1" applyFont="1" applyFill="1" applyBorder="1" applyAlignment="1">
      <alignment horizontal="right"/>
    </xf>
    <xf numFmtId="0" fontId="13" fillId="0" borderId="15" xfId="9" applyFont="1" applyFill="1" applyBorder="1"/>
    <xf numFmtId="167" fontId="14" fillId="0" borderId="30" xfId="9" applyNumberFormat="1" applyFont="1" applyFill="1" applyBorder="1" applyAlignment="1">
      <alignment horizontal="right"/>
    </xf>
    <xf numFmtId="0" fontId="14" fillId="0" borderId="46" xfId="9" applyFont="1" applyFill="1" applyBorder="1"/>
    <xf numFmtId="168" fontId="27" fillId="0" borderId="9" xfId="9" applyNumberFormat="1" applyFont="1" applyFill="1" applyBorder="1" applyAlignment="1">
      <alignment horizontal="left"/>
    </xf>
    <xf numFmtId="1" fontId="13" fillId="0" borderId="9" xfId="9" applyNumberFormat="1" applyFont="1" applyFill="1" applyBorder="1" applyAlignment="1">
      <alignment horizontal="center" vertical="center"/>
    </xf>
    <xf numFmtId="1" fontId="13" fillId="0" borderId="26" xfId="9" applyNumberFormat="1" applyFont="1" applyFill="1" applyBorder="1" applyAlignment="1">
      <alignment horizontal="center" vertical="center"/>
    </xf>
    <xf numFmtId="0" fontId="51" fillId="0" borderId="0" xfId="9" applyFont="1" applyFill="1" applyAlignment="1">
      <alignment wrapText="1"/>
    </xf>
    <xf numFmtId="166" fontId="4" fillId="0" borderId="0" xfId="9" applyNumberFormat="1" applyFont="1" applyFill="1"/>
    <xf numFmtId="166" fontId="9" fillId="0" borderId="0" xfId="9" applyNumberFormat="1" applyFont="1" applyFill="1" applyBorder="1"/>
    <xf numFmtId="3" fontId="9" fillId="0" borderId="0" xfId="9" applyNumberFormat="1" applyFont="1" applyFill="1" applyBorder="1"/>
    <xf numFmtId="0" fontId="4" fillId="0" borderId="0" xfId="9" applyFont="1" applyBorder="1"/>
    <xf numFmtId="166" fontId="15" fillId="0" borderId="0" xfId="9" applyNumberFormat="1" applyFont="1" applyFill="1" applyBorder="1"/>
    <xf numFmtId="3" fontId="15" fillId="0" borderId="0" xfId="9" applyNumberFormat="1" applyFont="1" applyFill="1" applyBorder="1"/>
    <xf numFmtId="0" fontId="5" fillId="0" borderId="0" xfId="9" applyFont="1" applyBorder="1" applyAlignment="1">
      <alignment vertical="top"/>
    </xf>
    <xf numFmtId="49" fontId="10" fillId="0" borderId="0" xfId="9" applyNumberFormat="1" applyFont="1" applyBorder="1" applyAlignment="1">
      <alignment horizontal="left" vertical="top"/>
    </xf>
    <xf numFmtId="0" fontId="13" fillId="0" borderId="0" xfId="9" applyFont="1" applyBorder="1" applyAlignment="1">
      <alignment vertical="top"/>
    </xf>
    <xf numFmtId="166" fontId="9" fillId="0" borderId="24" xfId="9" applyNumberFormat="1" applyFont="1" applyFill="1" applyBorder="1"/>
    <xf numFmtId="3" fontId="9" fillId="0" borderId="5" xfId="9" applyNumberFormat="1" applyFont="1" applyFill="1" applyBorder="1"/>
    <xf numFmtId="166" fontId="15" fillId="0" borderId="21" xfId="9" applyNumberFormat="1" applyFont="1" applyFill="1" applyBorder="1"/>
    <xf numFmtId="3" fontId="15" fillId="0" borderId="2" xfId="9" applyNumberFormat="1" applyFont="1" applyFill="1" applyBorder="1"/>
    <xf numFmtId="1" fontId="12" fillId="0" borderId="2" xfId="9" applyNumberFormat="1" applyFont="1" applyFill="1" applyBorder="1" applyAlignment="1">
      <alignment horizontal="left"/>
    </xf>
    <xf numFmtId="1" fontId="5" fillId="0" borderId="2" xfId="9" applyNumberFormat="1" applyFont="1" applyFill="1" applyBorder="1" applyAlignment="1">
      <alignment horizontal="left"/>
    </xf>
    <xf numFmtId="0" fontId="4" fillId="0" borderId="6" xfId="9" applyFont="1" applyFill="1" applyBorder="1"/>
    <xf numFmtId="3" fontId="12" fillId="0" borderId="2" xfId="9" applyNumberFormat="1" applyFont="1" applyFill="1" applyBorder="1"/>
    <xf numFmtId="0" fontId="24" fillId="0" borderId="2" xfId="9" applyFont="1" applyFill="1" applyBorder="1"/>
    <xf numFmtId="166" fontId="9" fillId="0" borderId="43" xfId="9" applyNumberFormat="1" applyFont="1" applyFill="1" applyBorder="1"/>
    <xf numFmtId="3" fontId="9" fillId="0" borderId="41" xfId="9" applyNumberFormat="1" applyFont="1" applyFill="1" applyBorder="1"/>
    <xf numFmtId="0" fontId="9" fillId="0" borderId="41" xfId="9" applyFont="1" applyFill="1" applyBorder="1"/>
    <xf numFmtId="3" fontId="10" fillId="0" borderId="41" xfId="9" applyNumberFormat="1" applyFont="1" applyFill="1" applyBorder="1" applyAlignment="1">
      <alignment horizontal="left"/>
    </xf>
    <xf numFmtId="1" fontId="5" fillId="0" borderId="41" xfId="9" applyNumberFormat="1" applyFont="1" applyFill="1" applyBorder="1" applyAlignment="1">
      <alignment horizontal="left"/>
    </xf>
    <xf numFmtId="0" fontId="4" fillId="0" borderId="47" xfId="9" applyFont="1" applyFill="1" applyBorder="1"/>
    <xf numFmtId="166" fontId="7" fillId="0" borderId="24" xfId="9" applyNumberFormat="1" applyFont="1" applyFill="1" applyBorder="1" applyAlignment="1">
      <alignment horizontal="center" vertical="center"/>
    </xf>
    <xf numFmtId="166" fontId="15" fillId="0" borderId="25" xfId="9" applyNumberFormat="1" applyFont="1" applyFill="1" applyBorder="1"/>
    <xf numFmtId="3" fontId="15" fillId="0" borderId="17" xfId="9" applyNumberFormat="1" applyFont="1" applyFill="1" applyBorder="1"/>
    <xf numFmtId="0" fontId="4" fillId="0" borderId="17" xfId="9" applyFont="1" applyFill="1" applyBorder="1"/>
    <xf numFmtId="1" fontId="5" fillId="0" borderId="17" xfId="9" applyNumberFormat="1" applyFont="1" applyFill="1" applyBorder="1" applyAlignment="1">
      <alignment horizontal="left"/>
    </xf>
    <xf numFmtId="166" fontId="14" fillId="0" borderId="21" xfId="9" applyNumberFormat="1" applyFont="1" applyFill="1" applyBorder="1"/>
    <xf numFmtId="3" fontId="9" fillId="0" borderId="2" xfId="9" applyNumberFormat="1" applyFont="1" applyFill="1" applyBorder="1"/>
    <xf numFmtId="0" fontId="9" fillId="0" borderId="2" xfId="9" applyFont="1" applyFill="1" applyBorder="1"/>
    <xf numFmtId="3" fontId="10" fillId="0" borderId="0" xfId="9" applyNumberFormat="1" applyFont="1" applyFill="1" applyBorder="1" applyAlignment="1">
      <alignment horizontal="left"/>
    </xf>
    <xf numFmtId="166" fontId="9" fillId="0" borderId="21" xfId="9" applyNumberFormat="1" applyFont="1" applyFill="1" applyBorder="1"/>
    <xf numFmtId="3" fontId="10" fillId="0" borderId="2" xfId="9" applyNumberFormat="1" applyFont="1" applyFill="1" applyBorder="1" applyAlignment="1">
      <alignment horizontal="left"/>
    </xf>
    <xf numFmtId="0" fontId="12" fillId="0" borderId="2" xfId="9" applyFont="1" applyBorder="1"/>
    <xf numFmtId="3" fontId="61" fillId="0" borderId="0" xfId="9" applyNumberFormat="1" applyFont="1" applyFill="1"/>
    <xf numFmtId="1" fontId="19" fillId="0" borderId="0" xfId="9" applyNumberFormat="1" applyFont="1" applyFill="1" applyAlignment="1">
      <alignment horizontal="left"/>
    </xf>
    <xf numFmtId="1" fontId="5" fillId="0" borderId="14" xfId="9" applyNumberFormat="1" applyFont="1" applyFill="1" applyBorder="1" applyAlignment="1">
      <alignment horizontal="left"/>
    </xf>
    <xf numFmtId="0" fontId="4" fillId="0" borderId="33" xfId="9" applyFont="1" applyFill="1" applyBorder="1"/>
    <xf numFmtId="166" fontId="9" fillId="0" borderId="25" xfId="9" applyNumberFormat="1" applyFont="1" applyFill="1" applyBorder="1"/>
    <xf numFmtId="3" fontId="9" fillId="0" borderId="17" xfId="9" applyNumberFormat="1" applyFont="1" applyFill="1" applyBorder="1"/>
    <xf numFmtId="3" fontId="10" fillId="0" borderId="17" xfId="9" applyNumberFormat="1" applyFont="1" applyFill="1" applyBorder="1" applyAlignment="1">
      <alignment horizontal="left"/>
    </xf>
    <xf numFmtId="0" fontId="4" fillId="0" borderId="12" xfId="9" applyFont="1" applyFill="1" applyBorder="1"/>
    <xf numFmtId="1" fontId="5" fillId="0" borderId="15" xfId="9" applyNumberFormat="1" applyFont="1" applyFill="1" applyBorder="1" applyAlignment="1">
      <alignment horizontal="left"/>
    </xf>
    <xf numFmtId="3" fontId="14" fillId="0" borderId="2" xfId="9" applyNumberFormat="1" applyFont="1" applyFill="1" applyBorder="1"/>
    <xf numFmtId="3" fontId="27" fillId="0" borderId="17" xfId="9" applyNumberFormat="1" applyFont="1" applyFill="1" applyBorder="1" applyAlignment="1">
      <alignment horizontal="left"/>
    </xf>
    <xf numFmtId="1" fontId="12" fillId="0" borderId="14" xfId="9" applyNumberFormat="1" applyFont="1" applyFill="1" applyBorder="1" applyAlignment="1">
      <alignment horizontal="left"/>
    </xf>
    <xf numFmtId="166" fontId="14" fillId="0" borderId="24" xfId="9" applyNumberFormat="1" applyFont="1" applyFill="1" applyBorder="1"/>
    <xf numFmtId="3" fontId="14" fillId="0" borderId="5" xfId="9" applyNumberFormat="1" applyFont="1" applyFill="1" applyBorder="1"/>
    <xf numFmtId="166" fontId="12" fillId="0" borderId="21" xfId="9" applyNumberFormat="1" applyFont="1" applyFill="1" applyBorder="1"/>
    <xf numFmtId="166" fontId="14" fillId="0" borderId="43" xfId="9" applyNumberFormat="1" applyFont="1" applyFill="1" applyBorder="1"/>
    <xf numFmtId="3" fontId="14" fillId="0" borderId="41" xfId="9" applyNumberFormat="1" applyFont="1" applyFill="1" applyBorder="1"/>
    <xf numFmtId="166" fontId="4" fillId="0" borderId="0" xfId="9" applyNumberFormat="1" applyFont="1" applyFill="1" applyAlignment="1">
      <alignment vertical="top"/>
    </xf>
    <xf numFmtId="3" fontId="4" fillId="0" borderId="0" xfId="9" applyNumberFormat="1" applyFont="1" applyFill="1" applyAlignment="1">
      <alignment vertical="top"/>
    </xf>
    <xf numFmtId="3" fontId="28" fillId="0" borderId="0" xfId="9" applyNumberFormat="1" applyFont="1" applyFill="1" applyAlignment="1">
      <alignment vertical="top"/>
    </xf>
    <xf numFmtId="1" fontId="5" fillId="0" borderId="0" xfId="9" applyNumberFormat="1" applyFont="1" applyFill="1" applyAlignment="1">
      <alignment horizontal="left" vertical="top"/>
    </xf>
    <xf numFmtId="3" fontId="12" fillId="0" borderId="17" xfId="9" applyNumberFormat="1" applyFont="1" applyFill="1" applyBorder="1"/>
    <xf numFmtId="3" fontId="14" fillId="0" borderId="17" xfId="9" applyNumberFormat="1" applyFont="1" applyFill="1" applyBorder="1"/>
    <xf numFmtId="49" fontId="10" fillId="0" borderId="17" xfId="9" applyNumberFormat="1" applyFont="1" applyFill="1" applyBorder="1" applyAlignment="1">
      <alignment horizontal="left"/>
    </xf>
    <xf numFmtId="166" fontId="14" fillId="0" borderId="0" xfId="9" applyNumberFormat="1" applyFont="1" applyFill="1" applyBorder="1"/>
    <xf numFmtId="3" fontId="14" fillId="0" borderId="0" xfId="9" applyNumberFormat="1" applyFont="1" applyFill="1" applyBorder="1"/>
    <xf numFmtId="166" fontId="12" fillId="0" borderId="25" xfId="9" applyNumberFormat="1" applyFont="1" applyFill="1" applyBorder="1"/>
    <xf numFmtId="166" fontId="14" fillId="0" borderId="25" xfId="9" applyNumberFormat="1" applyFont="1" applyFill="1" applyBorder="1"/>
    <xf numFmtId="166" fontId="19" fillId="0" borderId="0" xfId="9" applyNumberFormat="1" applyFont="1" applyFill="1" applyBorder="1"/>
    <xf numFmtId="3" fontId="19" fillId="0" borderId="0" xfId="9" applyNumberFormat="1" applyFont="1" applyFill="1" applyBorder="1"/>
    <xf numFmtId="166" fontId="15" fillId="0" borderId="35" xfId="9" applyNumberFormat="1" applyFont="1" applyFill="1" applyBorder="1"/>
    <xf numFmtId="3" fontId="15" fillId="0" borderId="48" xfId="9" applyNumberFormat="1" applyFont="1" applyFill="1" applyBorder="1"/>
    <xf numFmtId="166" fontId="9" fillId="0" borderId="23" xfId="9" applyNumberFormat="1" applyFont="1" applyFill="1" applyBorder="1"/>
    <xf numFmtId="3" fontId="9" fillId="0" borderId="9" xfId="9" applyNumberFormat="1" applyFont="1" applyFill="1" applyBorder="1"/>
    <xf numFmtId="0" fontId="9" fillId="0" borderId="9" xfId="9" applyFont="1" applyFill="1" applyBorder="1"/>
    <xf numFmtId="3" fontId="10" fillId="0" borderId="9" xfId="9" applyNumberFormat="1" applyFont="1" applyFill="1" applyBorder="1" applyAlignment="1">
      <alignment horizontal="left"/>
    </xf>
    <xf numFmtId="1" fontId="5" fillId="0" borderId="9" xfId="9" applyNumberFormat="1" applyFont="1" applyFill="1" applyBorder="1" applyAlignment="1">
      <alignment horizontal="left"/>
    </xf>
    <xf numFmtId="0" fontId="4" fillId="0" borderId="38" xfId="9" applyFont="1" applyFill="1" applyBorder="1"/>
    <xf numFmtId="3" fontId="28" fillId="0" borderId="0" xfId="9" applyNumberFormat="1" applyFont="1" applyFill="1" applyBorder="1"/>
    <xf numFmtId="166" fontId="9" fillId="0" borderId="54" xfId="9" applyNumberFormat="1" applyFont="1" applyFill="1" applyBorder="1"/>
    <xf numFmtId="1" fontId="12" fillId="0" borderId="17" xfId="9" applyNumberFormat="1" applyFont="1" applyFill="1" applyBorder="1" applyAlignment="1">
      <alignment horizontal="left"/>
    </xf>
    <xf numFmtId="166" fontId="9" fillId="0" borderId="24" xfId="9" applyNumberFormat="1" applyFont="1" applyFill="1" applyBorder="1" applyAlignment="1">
      <alignment vertical="top"/>
    </xf>
    <xf numFmtId="3" fontId="9" fillId="0" borderId="5" xfId="9" applyNumberFormat="1" applyFont="1" applyFill="1" applyBorder="1" applyAlignment="1">
      <alignment vertical="top"/>
    </xf>
    <xf numFmtId="3" fontId="7" fillId="0" borderId="9" xfId="9" applyNumberFormat="1" applyFont="1" applyFill="1" applyBorder="1" applyAlignment="1">
      <alignment horizontal="center" vertical="center"/>
    </xf>
    <xf numFmtId="3" fontId="13" fillId="0" borderId="0" xfId="9" applyNumberFormat="1" applyFont="1" applyFill="1" applyBorder="1"/>
    <xf numFmtId="166" fontId="15" fillId="0" borderId="42" xfId="9" applyNumberFormat="1" applyFont="1" applyFill="1" applyBorder="1"/>
    <xf numFmtId="3" fontId="15" fillId="0" borderId="14" xfId="9" applyNumberFormat="1" applyFont="1" applyFill="1" applyBorder="1"/>
    <xf numFmtId="0" fontId="4" fillId="0" borderId="50" xfId="9" applyFont="1" applyFill="1" applyBorder="1"/>
    <xf numFmtId="166" fontId="15" fillId="0" borderId="21" xfId="9" applyNumberFormat="1" applyFont="1" applyFill="1" applyBorder="1" applyAlignment="1">
      <alignment vertical="top"/>
    </xf>
    <xf numFmtId="3" fontId="15" fillId="0" borderId="2" xfId="9" applyNumberFormat="1" applyFont="1" applyFill="1" applyBorder="1" applyAlignment="1">
      <alignment vertical="top"/>
    </xf>
    <xf numFmtId="0" fontId="24" fillId="0" borderId="2" xfId="9" applyFont="1" applyFill="1" applyBorder="1" applyAlignment="1">
      <alignment vertical="top"/>
    </xf>
    <xf numFmtId="49" fontId="10" fillId="0" borderId="0" xfId="9" applyNumberFormat="1" applyFont="1" applyFill="1" applyAlignment="1">
      <alignment horizontal="left" vertical="top"/>
    </xf>
    <xf numFmtId="1" fontId="5" fillId="0" borderId="2" xfId="9" applyNumberFormat="1" applyFont="1" applyFill="1" applyBorder="1" applyAlignment="1">
      <alignment horizontal="left" vertical="top"/>
    </xf>
    <xf numFmtId="0" fontId="4" fillId="0" borderId="6" xfId="9" applyFont="1" applyFill="1" applyBorder="1" applyAlignment="1">
      <alignment vertical="top"/>
    </xf>
    <xf numFmtId="166" fontId="9" fillId="0" borderId="23" xfId="9" applyNumberFormat="1" applyFont="1" applyFill="1" applyBorder="1" applyAlignment="1">
      <alignment vertical="top"/>
    </xf>
    <xf numFmtId="3" fontId="9" fillId="0" borderId="9" xfId="9" applyNumberFormat="1" applyFont="1" applyFill="1" applyBorder="1" applyAlignment="1">
      <alignment vertical="top"/>
    </xf>
    <xf numFmtId="0" fontId="9" fillId="0" borderId="9" xfId="9" applyFont="1" applyFill="1" applyBorder="1" applyAlignment="1">
      <alignment vertical="top"/>
    </xf>
    <xf numFmtId="3" fontId="10" fillId="0" borderId="9" xfId="9" applyNumberFormat="1" applyFont="1" applyFill="1" applyBorder="1" applyAlignment="1">
      <alignment horizontal="left" vertical="top"/>
    </xf>
    <xf numFmtId="1" fontId="5" fillId="0" borderId="9" xfId="9" applyNumberFormat="1" applyFont="1" applyFill="1" applyBorder="1" applyAlignment="1">
      <alignment horizontal="left" vertical="top"/>
    </xf>
    <xf numFmtId="0" fontId="4" fillId="0" borderId="38" xfId="9" applyFont="1" applyFill="1" applyBorder="1" applyAlignment="1">
      <alignment vertical="top"/>
    </xf>
    <xf numFmtId="0" fontId="28" fillId="0" borderId="0" xfId="9" applyFont="1" applyFill="1" applyAlignment="1">
      <alignment vertical="top"/>
    </xf>
    <xf numFmtId="1" fontId="35" fillId="0" borderId="24" xfId="9" applyNumberFormat="1" applyFont="1" applyFill="1" applyBorder="1" applyAlignment="1">
      <alignment horizontal="center" vertical="top" wrapText="1"/>
    </xf>
    <xf numFmtId="1" fontId="35" fillId="0" borderId="37" xfId="9" applyNumberFormat="1" applyFont="1" applyFill="1" applyBorder="1" applyAlignment="1">
      <alignment horizontal="center" vertical="top" wrapText="1"/>
    </xf>
    <xf numFmtId="1" fontId="35" fillId="0" borderId="5" xfId="9" applyNumberFormat="1" applyFont="1" applyFill="1" applyBorder="1" applyAlignment="1">
      <alignment horizontal="center" vertical="top" wrapText="1"/>
    </xf>
    <xf numFmtId="0" fontId="35" fillId="0" borderId="5" xfId="9" applyFont="1" applyFill="1" applyBorder="1" applyAlignment="1">
      <alignment horizontal="center" vertical="top"/>
    </xf>
    <xf numFmtId="0" fontId="35" fillId="0" borderId="4" xfId="9" applyFont="1" applyFill="1" applyBorder="1" applyAlignment="1">
      <alignment horizontal="center" vertical="top"/>
    </xf>
    <xf numFmtId="0" fontId="22" fillId="0" borderId="5" xfId="9" applyFont="1" applyFill="1" applyBorder="1" applyAlignment="1">
      <alignment vertical="top"/>
    </xf>
    <xf numFmtId="0" fontId="22" fillId="0" borderId="4" xfId="9" applyFont="1" applyFill="1" applyBorder="1" applyAlignment="1">
      <alignment vertical="top"/>
    </xf>
    <xf numFmtId="3" fontId="27" fillId="0" borderId="2" xfId="9" applyNumberFormat="1" applyFont="1" applyFill="1" applyBorder="1" applyAlignment="1">
      <alignment horizontal="left"/>
    </xf>
    <xf numFmtId="166" fontId="14" fillId="0" borderId="42" xfId="9" applyNumberFormat="1" applyFont="1" applyFill="1" applyBorder="1"/>
    <xf numFmtId="3" fontId="14" fillId="0" borderId="14" xfId="9" applyNumberFormat="1" applyFont="1" applyFill="1" applyBorder="1"/>
    <xf numFmtId="166" fontId="12" fillId="0" borderId="35" xfId="9" applyNumberFormat="1" applyFont="1" applyFill="1" applyBorder="1"/>
    <xf numFmtId="3" fontId="12" fillId="0" borderId="48" xfId="9" applyNumberFormat="1" applyFont="1" applyFill="1" applyBorder="1"/>
    <xf numFmtId="1" fontId="5" fillId="0" borderId="48" xfId="9" applyNumberFormat="1" applyFont="1" applyFill="1" applyBorder="1" applyAlignment="1">
      <alignment horizontal="left"/>
    </xf>
    <xf numFmtId="3" fontId="24" fillId="0" borderId="15" xfId="9" applyNumberFormat="1" applyFont="1" applyFill="1" applyBorder="1" applyAlignment="1">
      <alignment horizontal="right" vertical="center" wrapText="1"/>
    </xf>
    <xf numFmtId="3" fontId="24" fillId="0" borderId="0" xfId="66" applyNumberFormat="1" applyFont="1"/>
    <xf numFmtId="0" fontId="24" fillId="0" borderId="2" xfId="66" applyFont="1" applyBorder="1"/>
    <xf numFmtId="166" fontId="19" fillId="0" borderId="0" xfId="9" applyNumberFormat="1" applyFont="1" applyFill="1" applyBorder="1" applyAlignment="1">
      <alignment vertical="top"/>
    </xf>
    <xf numFmtId="3" fontId="19" fillId="0" borderId="0" xfId="9" applyNumberFormat="1" applyFont="1" applyFill="1" applyBorder="1" applyAlignment="1">
      <alignment vertical="top"/>
    </xf>
    <xf numFmtId="0" fontId="22" fillId="0" borderId="0" xfId="9" applyFont="1" applyFill="1" applyBorder="1" applyAlignment="1">
      <alignment vertical="top"/>
    </xf>
    <xf numFmtId="166" fontId="9" fillId="0" borderId="42" xfId="9" applyNumberFormat="1" applyFont="1" applyFill="1" applyBorder="1"/>
    <xf numFmtId="3" fontId="9" fillId="0" borderId="14" xfId="9" applyNumberFormat="1" applyFont="1" applyFill="1" applyBorder="1"/>
    <xf numFmtId="166" fontId="52" fillId="0" borderId="24" xfId="9" applyNumberFormat="1" applyFont="1" applyFill="1" applyBorder="1"/>
    <xf numFmtId="3" fontId="52" fillId="0" borderId="5" xfId="9" applyNumberFormat="1" applyFont="1" applyFill="1" applyBorder="1"/>
    <xf numFmtId="3" fontId="10" fillId="0" borderId="0" xfId="9" applyNumberFormat="1" applyFont="1" applyFill="1" applyAlignment="1">
      <alignment horizontal="center"/>
    </xf>
    <xf numFmtId="3" fontId="19" fillId="0" borderId="0" xfId="9" applyNumberFormat="1" applyFont="1" applyFill="1" applyBorder="1" applyAlignment="1">
      <alignment horizontal="right"/>
    </xf>
    <xf numFmtId="3" fontId="10" fillId="0" borderId="0" xfId="9" applyNumberFormat="1" applyFont="1" applyFill="1" applyBorder="1" applyAlignment="1">
      <alignment horizontal="center"/>
    </xf>
    <xf numFmtId="0" fontId="10" fillId="0" borderId="1" xfId="9" applyFont="1" applyFill="1" applyBorder="1"/>
    <xf numFmtId="3" fontId="21" fillId="0" borderId="1" xfId="9" applyNumberFormat="1" applyFont="1" applyFill="1" applyBorder="1" applyAlignment="1">
      <alignment horizontal="center"/>
    </xf>
    <xf numFmtId="166" fontId="18" fillId="0" borderId="0" xfId="9" applyNumberFormat="1" applyFont="1" applyFill="1" applyBorder="1" applyAlignment="1">
      <alignment horizontal="right"/>
    </xf>
    <xf numFmtId="0" fontId="39" fillId="0" borderId="77" xfId="9" applyFont="1" applyFill="1" applyBorder="1" applyAlignment="1">
      <alignment horizontal="right" vertical="top"/>
    </xf>
    <xf numFmtId="0" fontId="39" fillId="0" borderId="0" xfId="9" applyFont="1" applyFill="1" applyBorder="1" applyAlignment="1">
      <alignment horizontal="right"/>
    </xf>
    <xf numFmtId="0" fontId="39" fillId="0" borderId="1" xfId="9" applyFont="1" applyFill="1" applyBorder="1" applyAlignment="1">
      <alignment horizontal="right"/>
    </xf>
    <xf numFmtId="4" fontId="73" fillId="4" borderId="28" xfId="9" applyNumberFormat="1" applyFont="1" applyFill="1" applyBorder="1" applyAlignment="1">
      <alignment vertical="center"/>
    </xf>
    <xf numFmtId="4" fontId="73" fillId="4" borderId="19" xfId="9" applyNumberFormat="1" applyFont="1" applyFill="1" applyBorder="1" applyAlignment="1">
      <alignment vertical="center"/>
    </xf>
    <xf numFmtId="49" fontId="4" fillId="0" borderId="0" xfId="9" applyNumberFormat="1" applyFill="1" applyBorder="1" applyAlignment="1">
      <alignment horizontal="center"/>
    </xf>
    <xf numFmtId="49" fontId="4" fillId="0" borderId="17" xfId="9" applyNumberFormat="1" applyFill="1" applyBorder="1" applyAlignment="1">
      <alignment horizontal="center"/>
    </xf>
    <xf numFmtId="49" fontId="4" fillId="0" borderId="2" xfId="9" applyNumberFormat="1" applyFill="1" applyBorder="1" applyAlignment="1">
      <alignment horizontal="center" vertical="center" wrapText="1"/>
    </xf>
    <xf numFmtId="166" fontId="22" fillId="0" borderId="25" xfId="9" applyNumberFormat="1" applyFont="1" applyBorder="1" applyAlignment="1">
      <alignment horizontal="center" vertical="center"/>
    </xf>
    <xf numFmtId="49" fontId="4" fillId="0" borderId="17" xfId="9" applyNumberFormat="1" applyFont="1" applyBorder="1" applyAlignment="1">
      <alignment horizontal="center"/>
    </xf>
    <xf numFmtId="0" fontId="4" fillId="0" borderId="17" xfId="9" applyFont="1" applyBorder="1" applyAlignment="1">
      <alignment horizontal="center"/>
    </xf>
    <xf numFmtId="0" fontId="4" fillId="0" borderId="6" xfId="9" applyFont="1" applyBorder="1" applyAlignment="1">
      <alignment horizontal="center"/>
    </xf>
    <xf numFmtId="3" fontId="4" fillId="0" borderId="24" xfId="9" applyNumberFormat="1" applyFont="1" applyBorder="1" applyAlignment="1">
      <alignment horizontal="center" vertical="center"/>
    </xf>
    <xf numFmtId="4" fontId="4" fillId="0" borderId="0" xfId="9" applyNumberFormat="1" applyFont="1" applyAlignment="1">
      <alignment horizontal="right"/>
    </xf>
    <xf numFmtId="4" fontId="4" fillId="0" borderId="0" xfId="9" applyNumberFormat="1" applyFont="1"/>
    <xf numFmtId="0" fontId="4" fillId="0" borderId="0" xfId="9" applyFont="1"/>
    <xf numFmtId="0" fontId="28" fillId="0" borderId="0" xfId="9" applyFont="1" applyAlignment="1">
      <alignment vertical="center"/>
    </xf>
    <xf numFmtId="166" fontId="22" fillId="0" borderId="21" xfId="9" applyNumberFormat="1" applyFont="1" applyFill="1" applyBorder="1" applyAlignment="1">
      <alignment horizontal="center" vertical="center" wrapText="1"/>
    </xf>
    <xf numFmtId="3" fontId="22" fillId="0" borderId="15" xfId="9" applyNumberFormat="1" applyFont="1" applyFill="1" applyBorder="1" applyAlignment="1">
      <alignment vertical="center" wrapText="1"/>
    </xf>
    <xf numFmtId="3" fontId="22" fillId="0" borderId="2" xfId="9" applyNumberFormat="1" applyFont="1" applyFill="1" applyBorder="1" applyAlignment="1">
      <alignment vertical="center" wrapText="1"/>
    </xf>
    <xf numFmtId="0" fontId="4" fillId="0" borderId="6" xfId="9" applyFill="1" applyBorder="1" applyAlignment="1">
      <alignment horizontal="center" vertical="center" wrapText="1"/>
    </xf>
    <xf numFmtId="49" fontId="4" fillId="0" borderId="14" xfId="9" applyNumberFormat="1" applyFill="1" applyBorder="1" applyAlignment="1">
      <alignment horizontal="center" vertical="center"/>
    </xf>
    <xf numFmtId="49" fontId="4" fillId="0" borderId="9" xfId="9" applyNumberFormat="1" applyFill="1" applyBorder="1" applyAlignment="1">
      <alignment horizontal="center"/>
    </xf>
    <xf numFmtId="49" fontId="4" fillId="4" borderId="2" xfId="9" applyNumberFormat="1" applyFill="1" applyBorder="1" applyAlignment="1">
      <alignment horizontal="center"/>
    </xf>
    <xf numFmtId="49" fontId="4" fillId="4" borderId="0" xfId="9" applyNumberFormat="1" applyFill="1" applyBorder="1" applyAlignment="1">
      <alignment horizontal="center" vertical="center"/>
    </xf>
    <xf numFmtId="49" fontId="4" fillId="4" borderId="2" xfId="9" applyNumberFormat="1" applyFill="1" applyBorder="1" applyAlignment="1">
      <alignment horizontal="center" vertical="center" wrapText="1"/>
    </xf>
    <xf numFmtId="49" fontId="4" fillId="4" borderId="9" xfId="9" applyNumberFormat="1" applyFill="1" applyBorder="1" applyAlignment="1">
      <alignment horizontal="center" vertical="center"/>
    </xf>
    <xf numFmtId="49" fontId="24" fillId="4" borderId="0" xfId="9" applyNumberFormat="1" applyFont="1" applyFill="1" applyBorder="1"/>
    <xf numFmtId="49" fontId="4" fillId="4" borderId="14" xfId="9" applyNumberFormat="1" applyFill="1" applyBorder="1" applyAlignment="1">
      <alignment horizontal="center"/>
    </xf>
    <xf numFmtId="49" fontId="4" fillId="4" borderId="0" xfId="9" applyNumberFormat="1" applyFill="1" applyBorder="1" applyAlignment="1">
      <alignment horizontal="center"/>
    </xf>
    <xf numFmtId="49" fontId="4" fillId="5" borderId="2" xfId="9" applyNumberFormat="1" applyFont="1" applyFill="1" applyBorder="1" applyAlignment="1">
      <alignment horizontal="center" vertical="center" wrapText="1"/>
    </xf>
    <xf numFmtId="49" fontId="4" fillId="5" borderId="17" xfId="9" applyNumberFormat="1" applyFont="1" applyFill="1" applyBorder="1" applyAlignment="1">
      <alignment horizontal="center" vertical="center"/>
    </xf>
    <xf numFmtId="4" fontId="13" fillId="3" borderId="0" xfId="0" applyNumberFormat="1" applyFont="1" applyFill="1"/>
    <xf numFmtId="0" fontId="4" fillId="4" borderId="8" xfId="0" applyFont="1" applyFill="1" applyBorder="1"/>
    <xf numFmtId="3" fontId="37" fillId="4" borderId="8" xfId="0" applyNumberFormat="1" applyFont="1" applyFill="1" applyBorder="1" applyAlignment="1">
      <alignment horizontal="center"/>
    </xf>
    <xf numFmtId="3" fontId="24" fillId="4" borderId="8" xfId="0" applyNumberFormat="1" applyFont="1" applyFill="1" applyBorder="1"/>
    <xf numFmtId="166" fontId="24" fillId="4" borderId="8" xfId="0" applyNumberFormat="1" applyFont="1" applyFill="1" applyBorder="1"/>
    <xf numFmtId="3" fontId="37" fillId="4" borderId="0" xfId="0" applyNumberFormat="1" applyFont="1" applyFill="1" applyBorder="1" applyAlignment="1">
      <alignment horizontal="center"/>
    </xf>
    <xf numFmtId="4" fontId="73" fillId="38" borderId="0" xfId="0" applyNumberFormat="1" applyFont="1" applyFill="1" applyBorder="1"/>
    <xf numFmtId="4" fontId="95" fillId="38" borderId="31" xfId="0" applyNumberFormat="1" applyFont="1" applyFill="1" applyBorder="1"/>
    <xf numFmtId="4" fontId="73" fillId="38" borderId="0" xfId="9" applyNumberFormat="1" applyFont="1" applyFill="1"/>
    <xf numFmtId="49" fontId="10" fillId="0" borderId="2" xfId="0" applyNumberFormat="1" applyFont="1" applyBorder="1" applyAlignment="1">
      <alignment horizontal="left" vertical="center" wrapText="1"/>
    </xf>
    <xf numFmtId="0" fontId="24" fillId="0" borderId="2" xfId="0" applyFont="1" applyBorder="1" applyAlignment="1">
      <alignment vertical="top" wrapText="1"/>
    </xf>
    <xf numFmtId="49" fontId="10" fillId="0" borderId="2" xfId="0" applyNumberFormat="1" applyFont="1" applyBorder="1" applyAlignment="1">
      <alignment horizontal="left" vertical="center" wrapText="1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49" fontId="10" fillId="0" borderId="2" xfId="0" applyNumberFormat="1" applyFont="1" applyBorder="1" applyAlignment="1">
      <alignment horizontal="left" vertical="center" wrapText="1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0" fontId="24" fillId="0" borderId="2" xfId="0" applyFont="1" applyBorder="1" applyAlignment="1">
      <alignment vertical="top" wrapText="1"/>
    </xf>
    <xf numFmtId="3" fontId="15" fillId="0" borderId="14" xfId="0" applyNumberFormat="1" applyFont="1" applyFill="1" applyBorder="1" applyAlignment="1">
      <alignment vertical="top"/>
    </xf>
    <xf numFmtId="1" fontId="5" fillId="0" borderId="41" xfId="9" applyNumberFormat="1" applyFont="1" applyFill="1" applyBorder="1" applyAlignment="1">
      <alignment horizontal="center"/>
    </xf>
    <xf numFmtId="0" fontId="4" fillId="0" borderId="47" xfId="9" applyFont="1" applyFill="1" applyBorder="1" applyAlignment="1">
      <alignment horizontal="center"/>
    </xf>
    <xf numFmtId="49" fontId="10" fillId="0" borderId="2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49" fontId="10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Fill="1" applyBorder="1" applyAlignment="1">
      <alignment horizontal="left" wrapText="1"/>
    </xf>
    <xf numFmtId="0" fontId="24" fillId="0" borderId="2" xfId="0" applyFont="1" applyFill="1" applyBorder="1" applyAlignment="1">
      <alignment wrapText="1"/>
    </xf>
    <xf numFmtId="1" fontId="12" fillId="0" borderId="17" xfId="0" applyNumberFormat="1" applyFont="1" applyFill="1" applyBorder="1" applyAlignment="1">
      <alignment horizontal="left" wrapText="1"/>
    </xf>
    <xf numFmtId="3" fontId="14" fillId="0" borderId="12" xfId="0" applyNumberFormat="1" applyFont="1" applyFill="1" applyBorder="1"/>
    <xf numFmtId="1" fontId="12" fillId="0" borderId="2" xfId="0" applyNumberFormat="1" applyFont="1" applyFill="1" applyBorder="1" applyAlignment="1">
      <alignment horizontal="left" wrapText="1"/>
    </xf>
    <xf numFmtId="0" fontId="24" fillId="0" borderId="2" xfId="0" applyFont="1" applyBorder="1" applyAlignment="1">
      <alignment vertical="top" wrapText="1"/>
    </xf>
    <xf numFmtId="3" fontId="15" fillId="0" borderId="2" xfId="0" applyNumberFormat="1" applyFont="1" applyBorder="1" applyAlignment="1">
      <alignment horizontal="right" vertical="top"/>
    </xf>
    <xf numFmtId="3" fontId="12" fillId="0" borderId="15" xfId="0" applyNumberFormat="1" applyFont="1" applyFill="1" applyBorder="1" applyAlignment="1">
      <alignment vertical="top"/>
    </xf>
    <xf numFmtId="3" fontId="15" fillId="0" borderId="0" xfId="0" applyNumberFormat="1" applyFont="1" applyFill="1" applyBorder="1" applyAlignment="1">
      <alignment vertical="top"/>
    </xf>
    <xf numFmtId="1" fontId="5" fillId="0" borderId="9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/>
    </xf>
    <xf numFmtId="166" fontId="28" fillId="0" borderId="0" xfId="0" applyNumberFormat="1" applyFont="1" applyFill="1" applyAlignment="1"/>
    <xf numFmtId="4" fontId="4" fillId="0" borderId="0" xfId="0" applyNumberFormat="1" applyFont="1" applyFill="1"/>
    <xf numFmtId="0" fontId="12" fillId="0" borderId="2" xfId="0" applyFont="1" applyFill="1" applyBorder="1" applyAlignment="1">
      <alignment wrapText="1"/>
    </xf>
    <xf numFmtId="1" fontId="9" fillId="0" borderId="9" xfId="0" applyNumberFormat="1" applyFont="1" applyFill="1" applyBorder="1" applyAlignment="1">
      <alignment horizontal="left" vertical="top" wrapText="1"/>
    </xf>
    <xf numFmtId="0" fontId="15" fillId="0" borderId="17" xfId="0" applyFont="1" applyFill="1" applyBorder="1" applyAlignment="1"/>
    <xf numFmtId="49" fontId="27" fillId="0" borderId="14" xfId="4" applyNumberFormat="1" applyFont="1" applyFill="1" applyBorder="1" applyAlignment="1">
      <alignment horizontal="left" vertical="top"/>
    </xf>
    <xf numFmtId="3" fontId="15" fillId="0" borderId="14" xfId="4" applyFont="1" applyFill="1" applyBorder="1" applyAlignment="1">
      <alignment vertical="top"/>
    </xf>
    <xf numFmtId="0" fontId="12" fillId="0" borderId="14" xfId="0" applyFont="1" applyFill="1" applyBorder="1" applyAlignment="1"/>
    <xf numFmtId="0" fontId="12" fillId="0" borderId="2" xfId="0" applyFont="1" applyFill="1" applyBorder="1" applyAlignment="1">
      <alignment vertical="center" wrapText="1"/>
    </xf>
    <xf numFmtId="0" fontId="13" fillId="0" borderId="34" xfId="0" applyFont="1" applyBorder="1" applyAlignment="1">
      <alignment horizontal="center"/>
    </xf>
    <xf numFmtId="3" fontId="13" fillId="0" borderId="14" xfId="0" applyNumberFormat="1" applyFont="1" applyBorder="1" applyAlignment="1">
      <alignment horizontal="right"/>
    </xf>
    <xf numFmtId="0" fontId="13" fillId="0" borderId="34" xfId="0" applyFont="1" applyBorder="1" applyAlignment="1"/>
    <xf numFmtId="0" fontId="14" fillId="0" borderId="34" xfId="0" applyFont="1" applyBorder="1" applyAlignment="1">
      <alignment vertical="top" wrapText="1"/>
    </xf>
    <xf numFmtId="167" fontId="14" fillId="0" borderId="42" xfId="0" applyNumberFormat="1" applyFont="1" applyBorder="1" applyAlignment="1">
      <alignment horizontal="right"/>
    </xf>
    <xf numFmtId="0" fontId="5" fillId="0" borderId="0" xfId="0" applyFont="1" applyFill="1" applyBorder="1" applyAlignment="1"/>
    <xf numFmtId="0" fontId="5" fillId="0" borderId="34" xfId="0" applyFont="1" applyFill="1" applyBorder="1" applyAlignment="1"/>
    <xf numFmtId="0" fontId="5" fillId="0" borderId="48" xfId="0" applyFont="1" applyFill="1" applyBorder="1" applyAlignment="1"/>
    <xf numFmtId="1" fontId="8" fillId="3" borderId="27" xfId="0" applyNumberFormat="1" applyFont="1" applyFill="1" applyBorder="1" applyAlignment="1">
      <alignment horizontal="left"/>
    </xf>
    <xf numFmtId="0" fontId="8" fillId="3" borderId="27" xfId="0" applyFont="1" applyFill="1" applyBorder="1"/>
    <xf numFmtId="1" fontId="12" fillId="0" borderId="27" xfId="0" applyNumberFormat="1" applyFont="1" applyBorder="1" applyAlignment="1">
      <alignment horizontal="left"/>
    </xf>
    <xf numFmtId="3" fontId="12" fillId="3" borderId="27" xfId="0" applyNumberFormat="1" applyFont="1" applyFill="1" applyBorder="1" applyAlignment="1">
      <alignment horizontal="right"/>
    </xf>
    <xf numFmtId="1" fontId="8" fillId="3" borderId="0" xfId="0" applyNumberFormat="1" applyFont="1" applyFill="1" applyBorder="1" applyAlignment="1">
      <alignment horizontal="left"/>
    </xf>
    <xf numFmtId="0" fontId="8" fillId="3" borderId="0" xfId="0" applyFont="1" applyFill="1" applyBorder="1"/>
    <xf numFmtId="1" fontId="8" fillId="3" borderId="34" xfId="0" applyNumberFormat="1" applyFont="1" applyFill="1" applyBorder="1" applyAlignment="1">
      <alignment horizontal="left"/>
    </xf>
    <xf numFmtId="0" fontId="8" fillId="3" borderId="34" xfId="0" applyFont="1" applyFill="1" applyBorder="1"/>
    <xf numFmtId="49" fontId="10" fillId="0" borderId="34" xfId="0" applyNumberFormat="1" applyFont="1" applyBorder="1" applyAlignment="1">
      <alignment horizontal="left"/>
    </xf>
    <xf numFmtId="1" fontId="12" fillId="0" borderId="34" xfId="0" applyNumberFormat="1" applyFont="1" applyBorder="1" applyAlignment="1">
      <alignment horizontal="left"/>
    </xf>
    <xf numFmtId="3" fontId="12" fillId="3" borderId="34" xfId="0" applyNumberFormat="1" applyFont="1" applyFill="1" applyBorder="1" applyAlignment="1">
      <alignment horizontal="right"/>
    </xf>
    <xf numFmtId="0" fontId="41" fillId="0" borderId="0" xfId="0" applyFont="1" applyFill="1" applyBorder="1" applyAlignment="1"/>
    <xf numFmtId="0" fontId="39" fillId="0" borderId="0" xfId="0" applyFont="1" applyFill="1" applyBorder="1" applyAlignment="1"/>
    <xf numFmtId="168" fontId="61" fillId="0" borderId="0" xfId="0" applyNumberFormat="1" applyFont="1" applyFill="1" applyBorder="1" applyAlignment="1">
      <alignment horizontal="center"/>
    </xf>
    <xf numFmtId="3" fontId="39" fillId="0" borderId="0" xfId="0" applyNumberFormat="1" applyFont="1" applyFill="1" applyBorder="1" applyAlignment="1"/>
    <xf numFmtId="3" fontId="55" fillId="0" borderId="0" xfId="0" applyNumberFormat="1" applyFont="1" applyFill="1" applyBorder="1"/>
    <xf numFmtId="167" fontId="8" fillId="0" borderId="0" xfId="0" applyNumberFormat="1" applyFont="1" applyFill="1" applyBorder="1" applyAlignment="1"/>
    <xf numFmtId="0" fontId="24" fillId="0" borderId="34" xfId="0" applyFont="1" applyFill="1" applyBorder="1"/>
    <xf numFmtId="3" fontId="9" fillId="0" borderId="34" xfId="0" applyNumberFormat="1" applyFont="1" applyFill="1" applyBorder="1"/>
    <xf numFmtId="3" fontId="15" fillId="0" borderId="34" xfId="0" applyNumberFormat="1" applyFont="1" applyFill="1" applyBorder="1"/>
    <xf numFmtId="166" fontId="4" fillId="0" borderId="34" xfId="0" applyNumberFormat="1" applyFont="1" applyFill="1" applyBorder="1"/>
    <xf numFmtId="0" fontId="22" fillId="4" borderId="47" xfId="0" applyFont="1" applyFill="1" applyBorder="1" applyAlignment="1">
      <alignment wrapText="1"/>
    </xf>
    <xf numFmtId="0" fontId="4" fillId="0" borderId="2" xfId="9" applyFont="1" applyBorder="1" applyAlignment="1">
      <alignment vertical="top" wrapText="1"/>
    </xf>
    <xf numFmtId="166" fontId="4" fillId="0" borderId="0" xfId="0" applyNumberFormat="1" applyFont="1" applyFill="1" applyBorder="1"/>
    <xf numFmtId="1" fontId="5" fillId="4" borderId="0" xfId="0" applyNumberFormat="1" applyFont="1" applyFill="1" applyAlignment="1">
      <alignment horizontal="left"/>
    </xf>
    <xf numFmtId="166" fontId="4" fillId="4" borderId="0" xfId="0" applyNumberFormat="1" applyFont="1" applyFill="1"/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1" fontId="7" fillId="4" borderId="5" xfId="0" applyNumberFormat="1" applyFont="1" applyFill="1" applyBorder="1" applyAlignment="1">
      <alignment horizontal="center" vertical="center"/>
    </xf>
    <xf numFmtId="3" fontId="7" fillId="4" borderId="5" xfId="0" applyNumberFormat="1" applyFont="1" applyFill="1" applyBorder="1" applyAlignment="1">
      <alignment horizontal="center" vertical="center"/>
    </xf>
    <xf numFmtId="166" fontId="7" fillId="4" borderId="24" xfId="0" applyNumberFormat="1" applyFont="1" applyFill="1" applyBorder="1" applyAlignment="1">
      <alignment horizontal="center" vertical="center"/>
    </xf>
    <xf numFmtId="0" fontId="7" fillId="4" borderId="0" xfId="0" applyFont="1" applyFill="1"/>
    <xf numFmtId="0" fontId="35" fillId="4" borderId="5" xfId="0" applyFont="1" applyFill="1" applyBorder="1" applyAlignment="1">
      <alignment horizontal="center" vertical="center"/>
    </xf>
    <xf numFmtId="1" fontId="35" fillId="4" borderId="5" xfId="0" applyNumberFormat="1" applyFont="1" applyFill="1" applyBorder="1" applyAlignment="1">
      <alignment horizontal="center" vertical="center" wrapText="1"/>
    </xf>
    <xf numFmtId="1" fontId="35" fillId="4" borderId="37" xfId="0" applyNumberFormat="1" applyFont="1" applyFill="1" applyBorder="1" applyAlignment="1">
      <alignment horizontal="center" vertical="center" wrapText="1"/>
    </xf>
    <xf numFmtId="1" fontId="35" fillId="4" borderId="24" xfId="0" applyNumberFormat="1" applyFont="1" applyFill="1" applyBorder="1" applyAlignment="1">
      <alignment horizontal="center" vertical="center" wrapText="1"/>
    </xf>
    <xf numFmtId="0" fontId="28" fillId="4" borderId="0" xfId="0" applyFont="1" applyFill="1" applyAlignment="1">
      <alignment vertical="center"/>
    </xf>
    <xf numFmtId="1" fontId="5" fillId="4" borderId="17" xfId="0" applyNumberFormat="1" applyFont="1" applyFill="1" applyBorder="1" applyAlignment="1">
      <alignment horizontal="left"/>
    </xf>
    <xf numFmtId="49" fontId="10" fillId="4" borderId="2" xfId="0" applyNumberFormat="1" applyFont="1" applyFill="1" applyBorder="1" applyAlignment="1">
      <alignment horizontal="left"/>
    </xf>
    <xf numFmtId="0" fontId="9" fillId="4" borderId="17" xfId="0" applyFont="1" applyFill="1" applyBorder="1"/>
    <xf numFmtId="3" fontId="14" fillId="4" borderId="2" xfId="0" applyNumberFormat="1" applyFont="1" applyFill="1" applyBorder="1"/>
    <xf numFmtId="166" fontId="14" fillId="4" borderId="21" xfId="0" applyNumberFormat="1" applyFont="1" applyFill="1" applyBorder="1"/>
    <xf numFmtId="1" fontId="5" fillId="4" borderId="2" xfId="0" applyNumberFormat="1" applyFont="1" applyFill="1" applyBorder="1" applyAlignment="1">
      <alignment horizontal="left"/>
    </xf>
    <xf numFmtId="1" fontId="12" fillId="4" borderId="2" xfId="0" applyNumberFormat="1" applyFont="1" applyFill="1" applyBorder="1" applyAlignment="1">
      <alignment horizontal="left"/>
    </xf>
    <xf numFmtId="3" fontId="9" fillId="4" borderId="2" xfId="0" applyNumberFormat="1" applyFont="1" applyFill="1" applyBorder="1"/>
    <xf numFmtId="3" fontId="15" fillId="4" borderId="2" xfId="0" applyNumberFormat="1" applyFont="1" applyFill="1" applyBorder="1"/>
    <xf numFmtId="166" fontId="15" fillId="4" borderId="21" xfId="0" applyNumberFormat="1" applyFont="1" applyFill="1" applyBorder="1"/>
    <xf numFmtId="3" fontId="10" fillId="4" borderId="2" xfId="0" applyNumberFormat="1" applyFont="1" applyFill="1" applyBorder="1" applyAlignment="1">
      <alignment horizontal="left"/>
    </xf>
    <xf numFmtId="0" fontId="9" fillId="4" borderId="2" xfId="0" applyFont="1" applyFill="1" applyBorder="1"/>
    <xf numFmtId="166" fontId="9" fillId="4" borderId="21" xfId="0" applyNumberFormat="1" applyFont="1" applyFill="1" applyBorder="1"/>
    <xf numFmtId="49" fontId="10" fillId="4" borderId="0" xfId="0" applyNumberFormat="1" applyFont="1" applyFill="1" applyAlignment="1">
      <alignment horizontal="left"/>
    </xf>
    <xf numFmtId="0" fontId="24" fillId="4" borderId="2" xfId="0" applyFont="1" applyFill="1" applyBorder="1"/>
    <xf numFmtId="3" fontId="12" fillId="4" borderId="17" xfId="0" applyNumberFormat="1" applyFont="1" applyFill="1" applyBorder="1"/>
    <xf numFmtId="3" fontId="14" fillId="4" borderId="17" xfId="0" applyNumberFormat="1" applyFont="1" applyFill="1" applyBorder="1"/>
    <xf numFmtId="166" fontId="14" fillId="4" borderId="25" xfId="0" applyNumberFormat="1" applyFont="1" applyFill="1" applyBorder="1"/>
    <xf numFmtId="0" fontId="4" fillId="4" borderId="17" xfId="0" applyFont="1" applyFill="1" applyBorder="1"/>
    <xf numFmtId="3" fontId="9" fillId="4" borderId="17" xfId="0" applyNumberFormat="1" applyFont="1" applyFill="1" applyBorder="1"/>
    <xf numFmtId="3" fontId="15" fillId="4" borderId="17" xfId="0" applyNumberFormat="1" applyFont="1" applyFill="1" applyBorder="1"/>
    <xf numFmtId="166" fontId="15" fillId="4" borderId="25" xfId="0" applyNumberFormat="1" applyFont="1" applyFill="1" applyBorder="1"/>
    <xf numFmtId="49" fontId="10" fillId="4" borderId="17" xfId="0" applyNumberFormat="1" applyFont="1" applyFill="1" applyBorder="1" applyAlignment="1">
      <alignment horizontal="left"/>
    </xf>
    <xf numFmtId="49" fontId="10" fillId="4" borderId="2" xfId="0" applyNumberFormat="1" applyFont="1" applyFill="1" applyBorder="1" applyAlignment="1">
      <alignment horizontal="left" vertical="top"/>
    </xf>
    <xf numFmtId="0" fontId="24" fillId="4" borderId="2" xfId="0" applyFont="1" applyFill="1" applyBorder="1" applyAlignment="1">
      <alignment vertical="top"/>
    </xf>
    <xf numFmtId="49" fontId="10" fillId="4" borderId="17" xfId="0" applyNumberFormat="1" applyFont="1" applyFill="1" applyBorder="1" applyAlignment="1">
      <alignment horizontal="left" vertical="top"/>
    </xf>
    <xf numFmtId="0" fontId="24" fillId="4" borderId="2" xfId="0" applyFont="1" applyFill="1" applyBorder="1" applyAlignment="1">
      <alignment vertical="top" wrapText="1"/>
    </xf>
    <xf numFmtId="3" fontId="12" fillId="4" borderId="17" xfId="0" applyNumberFormat="1" applyFont="1" applyFill="1" applyBorder="1" applyAlignment="1">
      <alignment vertical="top"/>
    </xf>
    <xf numFmtId="166" fontId="12" fillId="4" borderId="25" xfId="0" applyNumberFormat="1" applyFont="1" applyFill="1" applyBorder="1" applyAlignment="1">
      <alignment vertical="top"/>
    </xf>
    <xf numFmtId="3" fontId="10" fillId="4" borderId="17" xfId="0" applyNumberFormat="1" applyFont="1" applyFill="1" applyBorder="1" applyAlignment="1">
      <alignment horizontal="left"/>
    </xf>
    <xf numFmtId="166" fontId="9" fillId="4" borderId="25" xfId="0" applyNumberFormat="1" applyFont="1" applyFill="1" applyBorder="1"/>
    <xf numFmtId="49" fontId="10" fillId="4" borderId="0" xfId="0" applyNumberFormat="1" applyFont="1" applyFill="1" applyBorder="1" applyAlignment="1">
      <alignment horizontal="left"/>
    </xf>
    <xf numFmtId="1" fontId="5" fillId="4" borderId="0" xfId="0" applyNumberFormat="1" applyFont="1" applyFill="1" applyBorder="1" applyAlignment="1">
      <alignment horizontal="left"/>
    </xf>
    <xf numFmtId="3" fontId="9" fillId="4" borderId="0" xfId="0" applyNumberFormat="1" applyFont="1" applyFill="1" applyBorder="1"/>
    <xf numFmtId="3" fontId="15" fillId="4" borderId="0" xfId="0" applyNumberFormat="1" applyFont="1" applyFill="1" applyBorder="1"/>
    <xf numFmtId="166" fontId="15" fillId="4" borderId="0" xfId="0" applyNumberFormat="1" applyFont="1" applyFill="1" applyBorder="1"/>
    <xf numFmtId="0" fontId="4" fillId="4" borderId="38" xfId="0" applyFont="1" applyFill="1" applyBorder="1"/>
    <xf numFmtId="1" fontId="5" fillId="4" borderId="9" xfId="0" applyNumberFormat="1" applyFont="1" applyFill="1" applyBorder="1" applyAlignment="1">
      <alignment horizontal="left"/>
    </xf>
    <xf numFmtId="3" fontId="10" fillId="4" borderId="9" xfId="0" applyNumberFormat="1" applyFont="1" applyFill="1" applyBorder="1" applyAlignment="1">
      <alignment horizontal="left"/>
    </xf>
    <xf numFmtId="0" fontId="9" fillId="4" borderId="9" xfId="0" applyFont="1" applyFill="1" applyBorder="1"/>
    <xf numFmtId="3" fontId="9" fillId="4" borderId="9" xfId="0" applyNumberFormat="1" applyFont="1" applyFill="1" applyBorder="1"/>
    <xf numFmtId="166" fontId="9" fillId="4" borderId="23" xfId="0" applyNumberFormat="1" applyFont="1" applyFill="1" applyBorder="1"/>
    <xf numFmtId="1" fontId="12" fillId="4" borderId="17" xfId="0" applyNumberFormat="1" applyFont="1" applyFill="1" applyBorder="1" applyAlignment="1">
      <alignment horizontal="left"/>
    </xf>
    <xf numFmtId="49" fontId="10" fillId="4" borderId="2" xfId="0" applyNumberFormat="1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vertical="top"/>
    </xf>
    <xf numFmtId="3" fontId="12" fillId="4" borderId="0" xfId="0" applyNumberFormat="1" applyFont="1" applyFill="1" applyBorder="1" applyAlignment="1">
      <alignment horizontal="right"/>
    </xf>
    <xf numFmtId="3" fontId="12" fillId="4" borderId="2" xfId="0" applyNumberFormat="1" applyFont="1" applyFill="1" applyBorder="1" applyAlignment="1">
      <alignment horizontal="right"/>
    </xf>
    <xf numFmtId="166" fontId="12" fillId="4" borderId="25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/>
    </xf>
    <xf numFmtId="3" fontId="14" fillId="4" borderId="17" xfId="0" applyNumberFormat="1" applyFont="1" applyFill="1" applyBorder="1" applyAlignment="1">
      <alignment horizontal="right" vertical="center"/>
    </xf>
    <xf numFmtId="3" fontId="12" fillId="4" borderId="17" xfId="0" applyNumberFormat="1" applyFont="1" applyFill="1" applyBorder="1" applyAlignment="1">
      <alignment horizontal="right" vertical="center"/>
    </xf>
    <xf numFmtId="3" fontId="12" fillId="4" borderId="17" xfId="0" applyNumberFormat="1" applyFont="1" applyFill="1" applyBorder="1" applyAlignment="1">
      <alignment horizontal="right" vertical="top"/>
    </xf>
    <xf numFmtId="3" fontId="9" fillId="4" borderId="5" xfId="0" applyNumberFormat="1" applyFont="1" applyFill="1" applyBorder="1"/>
    <xf numFmtId="166" fontId="9" fillId="4" borderId="24" xfId="0" applyNumberFormat="1" applyFont="1" applyFill="1" applyBorder="1"/>
    <xf numFmtId="0" fontId="4" fillId="4" borderId="47" xfId="0" applyFont="1" applyFill="1" applyBorder="1"/>
    <xf numFmtId="1" fontId="5" fillId="4" borderId="41" xfId="0" applyNumberFormat="1" applyFont="1" applyFill="1" applyBorder="1" applyAlignment="1">
      <alignment horizontal="left"/>
    </xf>
    <xf numFmtId="3" fontId="10" fillId="4" borderId="41" xfId="0" applyNumberFormat="1" applyFont="1" applyFill="1" applyBorder="1" applyAlignment="1">
      <alignment horizontal="left"/>
    </xf>
    <xf numFmtId="0" fontId="9" fillId="4" borderId="41" xfId="0" applyFont="1" applyFill="1" applyBorder="1"/>
    <xf numFmtId="3" fontId="9" fillId="4" borderId="41" xfId="0" applyNumberFormat="1" applyFont="1" applyFill="1" applyBorder="1"/>
    <xf numFmtId="166" fontId="9" fillId="4" borderId="43" xfId="0" applyNumberFormat="1" applyFont="1" applyFill="1" applyBorder="1"/>
    <xf numFmtId="1" fontId="5" fillId="4" borderId="48" xfId="0" applyNumberFormat="1" applyFont="1" applyFill="1" applyBorder="1" applyAlignment="1">
      <alignment horizontal="left"/>
    </xf>
    <xf numFmtId="0" fontId="4" fillId="4" borderId="48" xfId="0" applyFont="1" applyFill="1" applyBorder="1"/>
    <xf numFmtId="49" fontId="10" fillId="4" borderId="48" xfId="0" applyNumberFormat="1" applyFont="1" applyFill="1" applyBorder="1" applyAlignment="1">
      <alignment horizontal="left"/>
    </xf>
    <xf numFmtId="0" fontId="24" fillId="4" borderId="14" xfId="0" applyFont="1" applyFill="1" applyBorder="1"/>
    <xf numFmtId="3" fontId="9" fillId="4" borderId="48" xfId="0" applyNumberFormat="1" applyFont="1" applyFill="1" applyBorder="1"/>
    <xf numFmtId="3" fontId="15" fillId="4" borderId="48" xfId="0" applyNumberFormat="1" applyFont="1" applyFill="1" applyBorder="1"/>
    <xf numFmtId="166" fontId="15" fillId="4" borderId="35" xfId="0" applyNumberFormat="1" applyFont="1" applyFill="1" applyBorder="1"/>
    <xf numFmtId="0" fontId="13" fillId="3" borderId="34" xfId="9" applyFont="1" applyFill="1" applyBorder="1"/>
    <xf numFmtId="1" fontId="13" fillId="3" borderId="38" xfId="9" applyNumberFormat="1" applyFont="1" applyFill="1" applyBorder="1" applyAlignment="1">
      <alignment horizontal="left"/>
    </xf>
    <xf numFmtId="1" fontId="13" fillId="3" borderId="27" xfId="9" applyNumberFormat="1" applyFont="1" applyFill="1" applyBorder="1" applyAlignment="1">
      <alignment horizontal="left"/>
    </xf>
    <xf numFmtId="49" fontId="69" fillId="0" borderId="9" xfId="9" applyNumberFormat="1" applyFont="1" applyBorder="1" applyAlignment="1">
      <alignment horizontal="left" vertical="top"/>
    </xf>
    <xf numFmtId="0" fontId="4" fillId="0" borderId="0" xfId="9" applyFont="1" applyBorder="1" applyAlignment="1">
      <alignment vertical="top" wrapText="1"/>
    </xf>
    <xf numFmtId="0" fontId="13" fillId="0" borderId="34" xfId="9" applyFont="1" applyFill="1" applyBorder="1"/>
    <xf numFmtId="167" fontId="12" fillId="0" borderId="0" xfId="9" applyNumberFormat="1" applyFont="1" applyBorder="1" applyAlignment="1">
      <alignment horizontal="right"/>
    </xf>
    <xf numFmtId="49" fontId="10" fillId="0" borderId="14" xfId="9" applyNumberFormat="1" applyFont="1" applyBorder="1" applyAlignment="1">
      <alignment horizontal="left"/>
    </xf>
    <xf numFmtId="0" fontId="13" fillId="0" borderId="34" xfId="9" applyFont="1" applyBorder="1"/>
    <xf numFmtId="3" fontId="4" fillId="4" borderId="34" xfId="0" applyNumberFormat="1" applyFont="1" applyFill="1" applyBorder="1"/>
    <xf numFmtId="0" fontId="42" fillId="0" borderId="0" xfId="0" applyFont="1" applyFill="1" applyAlignment="1">
      <alignment horizontal="left"/>
    </xf>
    <xf numFmtId="0" fontId="0" fillId="0" borderId="0" xfId="0" applyFill="1" applyAlignment="1"/>
    <xf numFmtId="0" fontId="51" fillId="0" borderId="39" xfId="0" applyFont="1" applyFill="1" applyBorder="1" applyAlignment="1"/>
    <xf numFmtId="0" fontId="0" fillId="0" borderId="40" xfId="0" applyFill="1" applyBorder="1" applyAlignment="1"/>
    <xf numFmtId="1" fontId="18" fillId="0" borderId="39" xfId="0" applyNumberFormat="1" applyFont="1" applyFill="1" applyBorder="1" applyAlignment="1">
      <alignment horizontal="left" wrapText="1"/>
    </xf>
    <xf numFmtId="0" fontId="36" fillId="4" borderId="28" xfId="0" applyFont="1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0" fillId="4" borderId="0" xfId="0" applyFill="1" applyAlignment="1">
      <alignment wrapText="1"/>
    </xf>
    <xf numFmtId="0" fontId="35" fillId="0" borderId="7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/>
    </xf>
    <xf numFmtId="1" fontId="24" fillId="0" borderId="0" xfId="0" applyNumberFormat="1" applyFont="1" applyFill="1" applyAlignment="1">
      <alignment horizontal="justify" wrapText="1"/>
    </xf>
    <xf numFmtId="0" fontId="0" fillId="0" borderId="0" xfId="0" applyFill="1" applyAlignment="1">
      <alignment wrapText="1"/>
    </xf>
    <xf numFmtId="1" fontId="15" fillId="0" borderId="31" xfId="0" applyNumberFormat="1" applyFont="1" applyFill="1" applyBorder="1" applyAlignment="1">
      <alignment horizontal="left"/>
    </xf>
    <xf numFmtId="0" fontId="0" fillId="0" borderId="59" xfId="0" applyFill="1" applyBorder="1" applyAlignment="1"/>
    <xf numFmtId="0" fontId="35" fillId="4" borderId="7" xfId="0" applyFont="1" applyFill="1" applyBorder="1" applyAlignment="1">
      <alignment horizontal="center" vertical="center" wrapText="1"/>
    </xf>
    <xf numFmtId="0" fontId="0" fillId="4" borderId="56" xfId="0" applyFill="1" applyBorder="1" applyAlignment="1">
      <alignment wrapText="1"/>
    </xf>
    <xf numFmtId="0" fontId="36" fillId="4" borderId="26" xfId="0" applyFont="1" applyFill="1" applyBorder="1" applyAlignment="1">
      <alignment wrapText="1"/>
    </xf>
    <xf numFmtId="0" fontId="0" fillId="4" borderId="18" xfId="0" applyFill="1" applyBorder="1" applyAlignment="1">
      <alignment wrapText="1"/>
    </xf>
    <xf numFmtId="1" fontId="15" fillId="4" borderId="31" xfId="0" applyNumberFormat="1" applyFont="1" applyFill="1" applyBorder="1" applyAlignment="1">
      <alignment horizontal="left" wrapText="1"/>
    </xf>
    <xf numFmtId="0" fontId="0" fillId="4" borderId="59" xfId="0" applyFill="1" applyBorder="1" applyAlignment="1">
      <alignment wrapText="1"/>
    </xf>
    <xf numFmtId="0" fontId="51" fillId="4" borderId="39" xfId="0" applyFont="1" applyFill="1" applyBorder="1" applyAlignment="1">
      <alignment wrapText="1"/>
    </xf>
    <xf numFmtId="0" fontId="0" fillId="4" borderId="40" xfId="0" applyFill="1" applyBorder="1" applyAlignment="1">
      <alignment wrapText="1"/>
    </xf>
    <xf numFmtId="1" fontId="18" fillId="4" borderId="39" xfId="0" applyNumberFormat="1" applyFont="1" applyFill="1" applyBorder="1" applyAlignment="1">
      <alignment horizontal="left" wrapText="1"/>
    </xf>
    <xf numFmtId="0" fontId="0" fillId="4" borderId="40" xfId="0" applyFill="1" applyBorder="1" applyAlignment="1"/>
    <xf numFmtId="0" fontId="22" fillId="4" borderId="6" xfId="0" applyFont="1" applyFill="1" applyBorder="1" applyAlignment="1">
      <alignment wrapText="1"/>
    </xf>
    <xf numFmtId="0" fontId="4" fillId="4" borderId="6" xfId="0" applyFont="1" applyFill="1" applyBorder="1" applyAlignment="1">
      <alignment wrapText="1"/>
    </xf>
    <xf numFmtId="0" fontId="22" fillId="4" borderId="47" xfId="0" applyFont="1" applyFill="1" applyBorder="1" applyAlignment="1">
      <alignment wrapText="1"/>
    </xf>
    <xf numFmtId="1" fontId="13" fillId="4" borderId="0" xfId="0" applyNumberFormat="1" applyFont="1" applyFill="1" applyBorder="1" applyAlignment="1">
      <alignment horizontal="justify" wrapText="1"/>
    </xf>
    <xf numFmtId="0" fontId="4" fillId="4" borderId="0" xfId="0" applyFont="1" applyFill="1" applyAlignment="1">
      <alignment horizontal="justify" wrapText="1"/>
    </xf>
    <xf numFmtId="0" fontId="42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42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22" fillId="4" borderId="47" xfId="0" applyFont="1" applyFill="1" applyBorder="1" applyAlignment="1">
      <alignment vertical="top" wrapText="1"/>
    </xf>
    <xf numFmtId="0" fontId="22" fillId="4" borderId="6" xfId="0" applyFont="1" applyFill="1" applyBorder="1" applyAlignment="1">
      <alignment vertical="top" wrapText="1"/>
    </xf>
    <xf numFmtId="0" fontId="41" fillId="4" borderId="7" xfId="0" applyFont="1" applyFill="1" applyBorder="1" applyAlignment="1"/>
    <xf numFmtId="0" fontId="41" fillId="4" borderId="56" xfId="0" applyFont="1" applyFill="1" applyBorder="1" applyAlignment="1"/>
    <xf numFmtId="1" fontId="9" fillId="4" borderId="6" xfId="0" applyNumberFormat="1" applyFont="1" applyFill="1" applyBorder="1" applyAlignment="1">
      <alignment horizontal="left" wrapText="1"/>
    </xf>
    <xf numFmtId="0" fontId="14" fillId="0" borderId="2" xfId="9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9" fillId="0" borderId="2" xfId="0" applyFont="1" applyBorder="1" applyAlignment="1">
      <alignment wrapText="1"/>
    </xf>
    <xf numFmtId="49" fontId="10" fillId="0" borderId="2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2" fontId="13" fillId="0" borderId="2" xfId="0" applyNumberFormat="1" applyFont="1" applyBorder="1" applyAlignment="1">
      <alignment wrapText="1"/>
    </xf>
    <xf numFmtId="2" fontId="4" fillId="0" borderId="2" xfId="0" applyNumberFormat="1" applyFont="1" applyBorder="1" applyAlignment="1">
      <alignment wrapText="1"/>
    </xf>
    <xf numFmtId="0" fontId="4" fillId="0" borderId="14" xfId="0" applyFont="1" applyBorder="1" applyAlignment="1">
      <alignment horizontal="left" vertical="center" wrapText="1"/>
    </xf>
    <xf numFmtId="2" fontId="4" fillId="0" borderId="14" xfId="0" applyNumberFormat="1" applyFont="1" applyBorder="1" applyAlignment="1">
      <alignment wrapText="1"/>
    </xf>
    <xf numFmtId="0" fontId="31" fillId="0" borderId="10" xfId="0" applyFont="1" applyFill="1" applyBorder="1" applyAlignment="1">
      <alignment horizontal="left" wrapText="1"/>
    </xf>
    <xf numFmtId="0" fontId="59" fillId="0" borderId="10" xfId="0" applyFont="1" applyFill="1" applyBorder="1" applyAlignment="1">
      <alignment wrapText="1"/>
    </xf>
    <xf numFmtId="0" fontId="13" fillId="0" borderId="0" xfId="0" applyFont="1" applyBorder="1" applyAlignment="1">
      <alignment wrapText="1"/>
    </xf>
    <xf numFmtId="0" fontId="0" fillId="0" borderId="2" xfId="0" applyBorder="1" applyAlignment="1">
      <alignment horizontal="left" vertical="center" wrapText="1"/>
    </xf>
    <xf numFmtId="0" fontId="59" fillId="0" borderId="10" xfId="0" applyFont="1" applyFill="1" applyBorder="1" applyAlignment="1"/>
    <xf numFmtId="0" fontId="0" fillId="0" borderId="2" xfId="0" applyBorder="1" applyAlignment="1">
      <alignment wrapText="1"/>
    </xf>
    <xf numFmtId="1" fontId="8" fillId="0" borderId="1" xfId="0" applyNumberFormat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67" fontId="67" fillId="2" borderId="60" xfId="0" applyNumberFormat="1" applyFont="1" applyFill="1" applyBorder="1" applyAlignment="1">
      <alignment wrapText="1"/>
    </xf>
    <xf numFmtId="0" fontId="0" fillId="0" borderId="34" xfId="0" applyBorder="1"/>
    <xf numFmtId="0" fontId="50" fillId="2" borderId="60" xfId="0" applyFont="1" applyFill="1" applyBorder="1" applyAlignment="1">
      <alignment horizontal="left" wrapText="1"/>
    </xf>
    <xf numFmtId="0" fontId="0" fillId="0" borderId="60" xfId="0" applyBorder="1"/>
    <xf numFmtId="3" fontId="31" fillId="2" borderId="60" xfId="0" applyNumberFormat="1" applyFont="1" applyFill="1" applyBorder="1" applyAlignment="1">
      <alignment wrapText="1"/>
    </xf>
    <xf numFmtId="0" fontId="22" fillId="2" borderId="4" xfId="0" applyFont="1" applyFill="1" applyBorder="1" applyAlignment="1"/>
    <xf numFmtId="0" fontId="22" fillId="2" borderId="5" xfId="0" applyFont="1" applyFill="1" applyBorder="1" applyAlignment="1"/>
    <xf numFmtId="1" fontId="41" fillId="3" borderId="0" xfId="0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22" fillId="2" borderId="50" xfId="0" applyFont="1" applyFill="1" applyBorder="1" applyAlignment="1"/>
    <xf numFmtId="0" fontId="22" fillId="2" borderId="14" xfId="0" applyFont="1" applyFill="1" applyBorder="1" applyAlignment="1"/>
    <xf numFmtId="0" fontId="31" fillId="2" borderId="10" xfId="0" applyFont="1" applyFill="1" applyBorder="1" applyAlignment="1">
      <alignment horizontal="left" wrapText="1"/>
    </xf>
    <xf numFmtId="0" fontId="59" fillId="0" borderId="10" xfId="0" applyFont="1" applyBorder="1" applyAlignment="1"/>
    <xf numFmtId="0" fontId="13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14" fillId="0" borderId="2" xfId="0" applyFont="1" applyFill="1" applyBorder="1" applyAlignment="1">
      <alignment wrapText="1"/>
    </xf>
    <xf numFmtId="0" fontId="4" fillId="0" borderId="2" xfId="0" applyFont="1" applyFill="1" applyBorder="1" applyAlignment="1">
      <alignment wrapText="1"/>
    </xf>
    <xf numFmtId="0" fontId="13" fillId="0" borderId="17" xfId="0" applyFont="1" applyFill="1" applyBorder="1" applyAlignment="1">
      <alignment wrapText="1"/>
    </xf>
    <xf numFmtId="0" fontId="4" fillId="0" borderId="17" xfId="0" applyFont="1" applyBorder="1" applyAlignment="1">
      <alignment wrapText="1"/>
    </xf>
    <xf numFmtId="0" fontId="4" fillId="0" borderId="0" xfId="0" applyFont="1" applyFill="1" applyAlignment="1">
      <alignment wrapText="1"/>
    </xf>
    <xf numFmtId="0" fontId="14" fillId="3" borderId="9" xfId="0" applyFont="1" applyFill="1" applyBorder="1" applyAlignment="1">
      <alignment wrapText="1"/>
    </xf>
    <xf numFmtId="0" fontId="13" fillId="0" borderId="2" xfId="0" applyFont="1" applyBorder="1" applyAlignment="1">
      <alignment wrapText="1"/>
    </xf>
    <xf numFmtId="49" fontId="10" fillId="0" borderId="2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9" fillId="0" borderId="2" xfId="0" applyFont="1" applyFill="1" applyBorder="1" applyAlignment="1">
      <alignment wrapText="1"/>
    </xf>
    <xf numFmtId="0" fontId="4" fillId="0" borderId="17" xfId="0" applyFont="1" applyBorder="1" applyAlignment="1">
      <alignment vertical="top" wrapText="1"/>
    </xf>
    <xf numFmtId="0" fontId="22" fillId="0" borderId="4" xfId="0" applyFont="1" applyFill="1" applyBorder="1" applyAlignment="1"/>
    <xf numFmtId="0" fontId="22" fillId="0" borderId="5" xfId="0" applyFont="1" applyFill="1" applyBorder="1" applyAlignment="1"/>
    <xf numFmtId="1" fontId="12" fillId="0" borderId="2" xfId="0" applyNumberFormat="1" applyFont="1" applyFill="1" applyBorder="1" applyAlignment="1">
      <alignment horizontal="left" vertical="top" wrapText="1"/>
    </xf>
    <xf numFmtId="1" fontId="12" fillId="0" borderId="2" xfId="0" applyNumberFormat="1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12" fillId="0" borderId="17" xfId="0" applyFont="1" applyFill="1" applyBorder="1" applyAlignment="1">
      <alignment wrapText="1"/>
    </xf>
    <xf numFmtId="0" fontId="24" fillId="0" borderId="17" xfId="0" applyFont="1" applyBorder="1" applyAlignment="1">
      <alignment wrapText="1"/>
    </xf>
    <xf numFmtId="0" fontId="22" fillId="0" borderId="4" xfId="0" applyFont="1" applyFill="1" applyBorder="1" applyAlignment="1">
      <alignment vertical="top"/>
    </xf>
    <xf numFmtId="0" fontId="22" fillId="0" borderId="5" xfId="0" applyFont="1" applyFill="1" applyBorder="1" applyAlignment="1">
      <alignment vertical="top"/>
    </xf>
    <xf numFmtId="0" fontId="22" fillId="0" borderId="7" xfId="0" applyFont="1" applyFill="1" applyBorder="1" applyAlignment="1"/>
    <xf numFmtId="0" fontId="22" fillId="0" borderId="8" xfId="0" applyFont="1" applyFill="1" applyBorder="1" applyAlignment="1"/>
    <xf numFmtId="0" fontId="22" fillId="0" borderId="56" xfId="0" applyFont="1" applyFill="1" applyBorder="1" applyAlignment="1"/>
    <xf numFmtId="0" fontId="22" fillId="0" borderId="61" xfId="0" applyFont="1" applyFill="1" applyBorder="1" applyAlignment="1"/>
    <xf numFmtId="0" fontId="22" fillId="4" borderId="4" xfId="0" applyFont="1" applyFill="1" applyBorder="1" applyAlignment="1"/>
    <xf numFmtId="0" fontId="22" fillId="4" borderId="5" xfId="0" applyFont="1" applyFill="1" applyBorder="1" applyAlignment="1"/>
    <xf numFmtId="0" fontId="24" fillId="0" borderId="2" xfId="0" applyFont="1" applyBorder="1" applyAlignment="1">
      <alignment wrapText="1"/>
    </xf>
    <xf numFmtId="0" fontId="22" fillId="0" borderId="14" xfId="0" applyFont="1" applyFill="1" applyBorder="1" applyAlignment="1"/>
    <xf numFmtId="0" fontId="22" fillId="0" borderId="50" xfId="0" applyFont="1" applyFill="1" applyBorder="1" applyAlignment="1"/>
    <xf numFmtId="0" fontId="24" fillId="0" borderId="17" xfId="0" applyFont="1" applyBorder="1" applyAlignment="1">
      <alignment vertical="top" wrapText="1"/>
    </xf>
    <xf numFmtId="0" fontId="24" fillId="0" borderId="2" xfId="0" applyFont="1" applyBorder="1" applyAlignment="1">
      <alignment vertical="top" wrapText="1"/>
    </xf>
    <xf numFmtId="0" fontId="22" fillId="0" borderId="14" xfId="0" applyFont="1" applyFill="1" applyBorder="1" applyAlignment="1">
      <alignment vertical="top"/>
    </xf>
    <xf numFmtId="0" fontId="4" fillId="0" borderId="2" xfId="0" applyFont="1" applyFill="1" applyBorder="1" applyAlignment="1">
      <alignment vertical="top" wrapText="1"/>
    </xf>
    <xf numFmtId="0" fontId="22" fillId="0" borderId="7" xfId="0" applyFont="1" applyFill="1" applyBorder="1" applyAlignment="1">
      <alignment vertical="top"/>
    </xf>
    <xf numFmtId="0" fontId="22" fillId="0" borderId="8" xfId="0" applyFont="1" applyFill="1" applyBorder="1" applyAlignment="1">
      <alignment vertical="top"/>
    </xf>
    <xf numFmtId="0" fontId="22" fillId="0" borderId="56" xfId="0" applyFont="1" applyFill="1" applyBorder="1" applyAlignment="1">
      <alignment vertical="top"/>
    </xf>
    <xf numFmtId="0" fontId="37" fillId="0" borderId="34" xfId="0" applyFont="1" applyFill="1" applyBorder="1" applyAlignment="1">
      <alignment horizontal="left" vertical="top" wrapText="1"/>
    </xf>
    <xf numFmtId="0" fontId="34" fillId="0" borderId="10" xfId="9" applyFont="1" applyFill="1" applyBorder="1" applyAlignment="1">
      <alignment horizontal="left" wrapText="1"/>
    </xf>
    <xf numFmtId="0" fontId="97" fillId="0" borderId="10" xfId="9" applyFont="1" applyFill="1" applyBorder="1" applyAlignment="1">
      <alignment wrapText="1"/>
    </xf>
    <xf numFmtId="1" fontId="41" fillId="0" borderId="60" xfId="9" applyNumberFormat="1" applyFont="1" applyFill="1" applyBorder="1" applyAlignment="1">
      <alignment horizontal="left" wrapText="1"/>
    </xf>
    <xf numFmtId="0" fontId="37" fillId="0" borderId="60" xfId="9" applyFont="1" applyFill="1" applyBorder="1" applyAlignment="1">
      <alignment wrapText="1"/>
    </xf>
    <xf numFmtId="0" fontId="37" fillId="0" borderId="34" xfId="9" applyFont="1" applyFill="1" applyBorder="1" applyAlignment="1">
      <alignment wrapText="1"/>
    </xf>
    <xf numFmtId="3" fontId="41" fillId="0" borderId="60" xfId="9" applyNumberFormat="1" applyFont="1" applyFill="1" applyBorder="1" applyAlignment="1">
      <alignment wrapText="1"/>
    </xf>
    <xf numFmtId="1" fontId="14" fillId="0" borderId="0" xfId="9" applyNumberFormat="1" applyFont="1" applyBorder="1" applyAlignment="1">
      <alignment horizontal="left" wrapText="1"/>
    </xf>
    <xf numFmtId="0" fontId="13" fillId="0" borderId="17" xfId="9" applyFont="1" applyFill="1" applyBorder="1" applyAlignment="1">
      <alignment wrapText="1"/>
    </xf>
    <xf numFmtId="0" fontId="4" fillId="0" borderId="2" xfId="9" applyFont="1" applyBorder="1" applyAlignment="1">
      <alignment vertical="top" wrapText="1"/>
    </xf>
    <xf numFmtId="0" fontId="13" fillId="0" borderId="2" xfId="9" applyFont="1" applyBorder="1" applyAlignment="1">
      <alignment vertical="top" wrapText="1"/>
    </xf>
    <xf numFmtId="167" fontId="41" fillId="0" borderId="60" xfId="9" applyNumberFormat="1" applyFont="1" applyFill="1" applyBorder="1" applyAlignment="1">
      <alignment wrapText="1"/>
    </xf>
    <xf numFmtId="0" fontId="4" fillId="0" borderId="2" xfId="9" applyFont="1" applyBorder="1" applyAlignment="1">
      <alignment wrapText="1"/>
    </xf>
    <xf numFmtId="0" fontId="31" fillId="0" borderId="10" xfId="9" applyFont="1" applyFill="1" applyBorder="1" applyAlignment="1">
      <alignment horizontal="left" wrapText="1"/>
    </xf>
    <xf numFmtId="0" fontId="4" fillId="0" borderId="10" xfId="9" applyFont="1" applyFill="1" applyBorder="1" applyAlignment="1">
      <alignment wrapText="1"/>
    </xf>
    <xf numFmtId="1" fontId="52" fillId="0" borderId="0" xfId="9" applyNumberFormat="1" applyFont="1" applyFill="1" applyBorder="1" applyAlignment="1">
      <alignment horizontal="left" wrapText="1"/>
    </xf>
    <xf numFmtId="0" fontId="4" fillId="0" borderId="0" xfId="9" applyAlignment="1">
      <alignment wrapText="1"/>
    </xf>
    <xf numFmtId="1" fontId="52" fillId="0" borderId="60" xfId="9" applyNumberFormat="1" applyFont="1" applyFill="1" applyBorder="1" applyAlignment="1">
      <alignment horizontal="left" wrapText="1"/>
    </xf>
    <xf numFmtId="0" fontId="4" fillId="0" borderId="60" xfId="9" applyBorder="1" applyAlignment="1">
      <alignment wrapText="1"/>
    </xf>
    <xf numFmtId="0" fontId="4" fillId="0" borderId="34" xfId="9" applyBorder="1" applyAlignment="1">
      <alignment wrapText="1"/>
    </xf>
    <xf numFmtId="0" fontId="4" fillId="0" borderId="2" xfId="9" applyFont="1" applyFill="1" applyBorder="1" applyAlignment="1">
      <alignment horizontal="left" vertical="center" wrapText="1"/>
    </xf>
    <xf numFmtId="0" fontId="4" fillId="0" borderId="2" xfId="9" applyBorder="1" applyAlignment="1">
      <alignment horizontal="left" vertical="center" wrapText="1"/>
    </xf>
    <xf numFmtId="1" fontId="13" fillId="0" borderId="2" xfId="9" applyNumberFormat="1" applyFont="1" applyBorder="1" applyAlignment="1">
      <alignment horizontal="left" wrapText="1"/>
    </xf>
    <xf numFmtId="0" fontId="4" fillId="0" borderId="2" xfId="9" applyBorder="1" applyAlignment="1">
      <alignment horizontal="left" wrapText="1"/>
    </xf>
    <xf numFmtId="0" fontId="13" fillId="0" borderId="2" xfId="9" applyFont="1" applyBorder="1" applyAlignment="1">
      <alignment wrapText="1"/>
    </xf>
    <xf numFmtId="0" fontId="4" fillId="0" borderId="2" xfId="9" applyBorder="1" applyAlignment="1">
      <alignment wrapText="1"/>
    </xf>
    <xf numFmtId="0" fontId="31" fillId="0" borderId="10" xfId="9" applyFont="1" applyFill="1" applyBorder="1" applyAlignment="1">
      <alignment horizontal="left" vertical="top" wrapText="1"/>
    </xf>
    <xf numFmtId="0" fontId="4" fillId="0" borderId="10" xfId="9" applyFont="1" applyFill="1" applyBorder="1" applyAlignment="1">
      <alignment vertical="top" wrapText="1"/>
    </xf>
    <xf numFmtId="0" fontId="14" fillId="0" borderId="17" xfId="9" applyFont="1" applyFill="1" applyBorder="1" applyAlignment="1">
      <alignment wrapText="1"/>
    </xf>
    <xf numFmtId="0" fontId="4" fillId="0" borderId="17" xfId="9" applyBorder="1" applyAlignment="1">
      <alignment wrapText="1"/>
    </xf>
    <xf numFmtId="0" fontId="14" fillId="0" borderId="17" xfId="9" applyFont="1" applyBorder="1" applyAlignment="1">
      <alignment wrapText="1"/>
    </xf>
    <xf numFmtId="1" fontId="13" fillId="0" borderId="2" xfId="9" applyNumberFormat="1" applyFont="1" applyFill="1" applyBorder="1" applyAlignment="1">
      <alignment horizontal="left" wrapText="1"/>
    </xf>
    <xf numFmtId="0" fontId="4" fillId="0" borderId="14" xfId="9" applyBorder="1" applyAlignment="1">
      <alignment horizontal="left" wrapText="1"/>
    </xf>
    <xf numFmtId="168" fontId="24" fillId="0" borderId="0" xfId="9" applyNumberFormat="1" applyFont="1" applyFill="1" applyAlignment="1">
      <alignment horizontal="left"/>
    </xf>
    <xf numFmtId="0" fontId="4" fillId="0" borderId="0" xfId="9" applyFont="1" applyFill="1" applyAlignment="1">
      <alignment horizontal="left"/>
    </xf>
    <xf numFmtId="167" fontId="4" fillId="0" borderId="0" xfId="9" applyNumberFormat="1" applyFont="1" applyFill="1" applyAlignment="1">
      <alignment horizontal="center"/>
    </xf>
    <xf numFmtId="167" fontId="4" fillId="0" borderId="34" xfId="9" applyNumberFormat="1" applyFont="1" applyFill="1" applyBorder="1" applyAlignment="1">
      <alignment horizontal="center"/>
    </xf>
    <xf numFmtId="0" fontId="4" fillId="0" borderId="14" xfId="9" applyBorder="1" applyAlignment="1">
      <alignment wrapText="1"/>
    </xf>
    <xf numFmtId="0" fontId="4" fillId="0" borderId="14" xfId="9" applyFont="1" applyBorder="1" applyAlignment="1">
      <alignment horizontal="left" wrapText="1"/>
    </xf>
    <xf numFmtId="0" fontId="13" fillId="0" borderId="0" xfId="9" applyFont="1" applyFill="1" applyAlignment="1">
      <alignment wrapText="1"/>
    </xf>
    <xf numFmtId="1" fontId="37" fillId="0" borderId="0" xfId="0" applyNumberFormat="1" applyFont="1" applyFill="1" applyAlignment="1">
      <alignment wrapText="1"/>
    </xf>
    <xf numFmtId="0" fontId="23" fillId="0" borderId="0" xfId="0" applyFont="1" applyAlignment="1">
      <alignment wrapText="1"/>
    </xf>
    <xf numFmtId="0" fontId="23" fillId="0" borderId="34" xfId="0" applyFont="1" applyBorder="1" applyAlignment="1">
      <alignment wrapText="1"/>
    </xf>
    <xf numFmtId="1" fontId="40" fillId="0" borderId="0" xfId="0" applyNumberFormat="1" applyFont="1" applyFill="1" applyAlignment="1">
      <alignment wrapText="1"/>
    </xf>
    <xf numFmtId="1" fontId="28" fillId="0" borderId="0" xfId="9" applyNumberFormat="1" applyFont="1" applyFill="1" applyAlignment="1">
      <alignment wrapText="1"/>
    </xf>
    <xf numFmtId="0" fontId="4" fillId="0" borderId="0" xfId="9" applyFont="1" applyAlignment="1">
      <alignment wrapText="1"/>
    </xf>
    <xf numFmtId="1" fontId="43" fillId="0" borderId="10" xfId="9" applyNumberFormat="1" applyFont="1" applyFill="1" applyBorder="1" applyAlignment="1">
      <alignment wrapText="1"/>
    </xf>
    <xf numFmtId="0" fontId="4" fillId="0" borderId="10" xfId="9" applyBorder="1" applyAlignment="1">
      <alignment wrapText="1"/>
    </xf>
    <xf numFmtId="1" fontId="41" fillId="0" borderId="0" xfId="9" applyNumberFormat="1" applyFont="1" applyFill="1" applyBorder="1" applyAlignment="1">
      <alignment horizontal="left" wrapText="1"/>
    </xf>
    <xf numFmtId="0" fontId="4" fillId="0" borderId="0" xfId="9" applyFont="1" applyFill="1" applyAlignment="1">
      <alignment wrapText="1"/>
    </xf>
    <xf numFmtId="0" fontId="14" fillId="3" borderId="2" xfId="9" applyFont="1" applyFill="1" applyBorder="1" applyAlignment="1">
      <alignment horizontal="left" vertical="top" wrapText="1"/>
    </xf>
    <xf numFmtId="1" fontId="43" fillId="0" borderId="34" xfId="9" applyNumberFormat="1" applyFont="1" applyFill="1" applyBorder="1" applyAlignment="1">
      <alignment wrapText="1"/>
    </xf>
    <xf numFmtId="0" fontId="4" fillId="0" borderId="34" xfId="9" applyFont="1" applyFill="1" applyBorder="1" applyAlignment="1">
      <alignment wrapText="1"/>
    </xf>
    <xf numFmtId="2" fontId="22" fillId="0" borderId="2" xfId="9" applyNumberFormat="1" applyFont="1" applyBorder="1" applyAlignment="1">
      <alignment vertical="center" wrapText="1"/>
    </xf>
    <xf numFmtId="2" fontId="4" fillId="0" borderId="2" xfId="9" applyNumberFormat="1" applyBorder="1" applyAlignment="1">
      <alignment vertical="center" wrapText="1"/>
    </xf>
    <xf numFmtId="0" fontId="13" fillId="0" borderId="2" xfId="9" applyFont="1" applyBorder="1" applyAlignment="1">
      <alignment horizontal="left" vertical="top" wrapText="1"/>
    </xf>
    <xf numFmtId="0" fontId="4" fillId="0" borderId="2" xfId="9" applyBorder="1" applyAlignment="1">
      <alignment horizontal="left" vertical="top" wrapText="1"/>
    </xf>
    <xf numFmtId="0" fontId="14" fillId="3" borderId="2" xfId="9" applyFont="1" applyFill="1" applyBorder="1" applyAlignment="1">
      <alignment wrapText="1"/>
    </xf>
    <xf numFmtId="1" fontId="72" fillId="0" borderId="34" xfId="9" applyNumberFormat="1" applyFont="1" applyFill="1" applyBorder="1" applyAlignment="1">
      <alignment wrapText="1"/>
    </xf>
    <xf numFmtId="0" fontId="64" fillId="0" borderId="34" xfId="9" applyFont="1" applyFill="1" applyBorder="1" applyAlignment="1">
      <alignment wrapText="1"/>
    </xf>
    <xf numFmtId="0" fontId="22" fillId="0" borderId="4" xfId="9" applyFont="1" applyFill="1" applyBorder="1" applyAlignment="1"/>
    <xf numFmtId="0" fontId="22" fillId="0" borderId="5" xfId="9" applyFont="1" applyFill="1" applyBorder="1" applyAlignment="1"/>
    <xf numFmtId="0" fontId="22" fillId="0" borderId="14" xfId="9" applyFont="1" applyFill="1" applyBorder="1" applyAlignment="1"/>
    <xf numFmtId="0" fontId="22" fillId="0" borderId="4" xfId="9" applyFont="1" applyFill="1" applyBorder="1" applyAlignment="1">
      <alignment vertical="top"/>
    </xf>
    <xf numFmtId="0" fontId="22" fillId="0" borderId="5" xfId="9" applyFont="1" applyFill="1" applyBorder="1" applyAlignment="1">
      <alignment vertical="top"/>
    </xf>
    <xf numFmtId="0" fontId="22" fillId="0" borderId="50" xfId="9" applyFont="1" applyFill="1" applyBorder="1" applyAlignment="1"/>
    <xf numFmtId="0" fontId="22" fillId="0" borderId="61" xfId="9" applyFont="1" applyFill="1" applyBorder="1" applyAlignment="1"/>
    <xf numFmtId="0" fontId="22" fillId="0" borderId="7" xfId="9" applyFont="1" applyFill="1" applyBorder="1" applyAlignment="1"/>
    <xf numFmtId="0" fontId="22" fillId="0" borderId="8" xfId="9" applyFont="1" applyFill="1" applyBorder="1" applyAlignment="1"/>
    <xf numFmtId="0" fontId="22" fillId="0" borderId="56" xfId="9" applyFont="1" applyFill="1" applyBorder="1" applyAlignment="1"/>
    <xf numFmtId="3" fontId="8" fillId="0" borderId="1" xfId="9" applyNumberFormat="1" applyFont="1" applyFill="1" applyBorder="1" applyAlignment="1">
      <alignment horizontal="right"/>
    </xf>
    <xf numFmtId="0" fontId="4" fillId="0" borderId="1" xfId="9" applyFont="1" applyFill="1" applyBorder="1" applyAlignment="1">
      <alignment horizontal="right"/>
    </xf>
    <xf numFmtId="0" fontId="4" fillId="0" borderId="10" xfId="9" applyFill="1" applyBorder="1" applyAlignment="1">
      <alignment wrapText="1"/>
    </xf>
    <xf numFmtId="3" fontId="8" fillId="0" borderId="77" xfId="9" applyNumberFormat="1" applyFont="1" applyFill="1" applyBorder="1" applyAlignment="1">
      <alignment horizontal="right" vertical="top"/>
    </xf>
    <xf numFmtId="0" fontId="4" fillId="0" borderId="77" xfId="9" applyFont="1" applyFill="1" applyBorder="1" applyAlignment="1">
      <alignment horizontal="right" vertical="top"/>
    </xf>
    <xf numFmtId="0" fontId="22" fillId="0" borderId="4" xfId="0" applyFont="1" applyFill="1" applyBorder="1" applyAlignment="1">
      <alignment horizontal="left"/>
    </xf>
    <xf numFmtId="0" fontId="22" fillId="0" borderId="5" xfId="0" applyFont="1" applyFill="1" applyBorder="1" applyAlignment="1">
      <alignment horizontal="left"/>
    </xf>
    <xf numFmtId="0" fontId="0" fillId="0" borderId="10" xfId="0" applyFill="1" applyBorder="1" applyAlignment="1">
      <alignment wrapText="1"/>
    </xf>
    <xf numFmtId="3" fontId="39" fillId="0" borderId="0" xfId="0" applyNumberFormat="1" applyFont="1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34" fillId="0" borderId="10" xfId="0" applyFont="1" applyFill="1" applyBorder="1" applyAlignment="1">
      <alignment horizontal="left" wrapText="1"/>
    </xf>
    <xf numFmtId="0" fontId="64" fillId="0" borderId="10" xfId="0" applyFont="1" applyFill="1" applyBorder="1" applyAlignment="1">
      <alignment wrapText="1"/>
    </xf>
    <xf numFmtId="0" fontId="39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wrapText="1"/>
    </xf>
    <xf numFmtId="0" fontId="22" fillId="0" borderId="4" xfId="9" applyFont="1" applyFill="1" applyBorder="1" applyAlignment="1">
      <alignment horizontal="left"/>
    </xf>
    <xf numFmtId="0" fontId="22" fillId="0" borderId="5" xfId="9" applyFont="1" applyFill="1" applyBorder="1" applyAlignment="1">
      <alignment horizontal="left"/>
    </xf>
    <xf numFmtId="1" fontId="8" fillId="0" borderId="1" xfId="9" applyNumberFormat="1" applyFont="1" applyFill="1" applyBorder="1" applyAlignment="1">
      <alignment horizontal="left" vertical="justify" wrapText="1"/>
    </xf>
    <xf numFmtId="0" fontId="31" fillId="4" borderId="10" xfId="9" applyFont="1" applyFill="1" applyBorder="1" applyAlignment="1">
      <alignment horizontal="left" wrapText="1"/>
    </xf>
    <xf numFmtId="0" fontId="4" fillId="4" borderId="10" xfId="9" applyFill="1" applyBorder="1" applyAlignment="1">
      <alignment wrapText="1"/>
    </xf>
    <xf numFmtId="0" fontId="4" fillId="0" borderId="10" xfId="9" applyFill="1" applyBorder="1" applyAlignment="1">
      <alignment horizontal="left" wrapText="1"/>
    </xf>
    <xf numFmtId="0" fontId="74" fillId="0" borderId="0" xfId="9" applyFont="1" applyAlignment="1">
      <alignment horizontal="left" wrapText="1"/>
    </xf>
    <xf numFmtId="0" fontId="74" fillId="0" borderId="0" xfId="9" applyFont="1" applyFill="1" applyAlignment="1">
      <alignment horizontal="left" wrapText="1"/>
    </xf>
    <xf numFmtId="0" fontId="4" fillId="0" borderId="0" xfId="9" applyAlignment="1"/>
    <xf numFmtId="0" fontId="22" fillId="0" borderId="7" xfId="9" applyFont="1" applyBorder="1" applyAlignment="1">
      <alignment horizontal="left"/>
    </xf>
    <xf numFmtId="0" fontId="22" fillId="0" borderId="8" xfId="9" applyFont="1" applyBorder="1" applyAlignment="1">
      <alignment horizontal="left"/>
    </xf>
    <xf numFmtId="0" fontId="22" fillId="0" borderId="56" xfId="9" applyFont="1" applyBorder="1" applyAlignment="1">
      <alignment horizontal="left"/>
    </xf>
    <xf numFmtId="0" fontId="22" fillId="4" borderId="4" xfId="9" applyFont="1" applyFill="1" applyBorder="1" applyAlignment="1">
      <alignment horizontal="left"/>
    </xf>
    <xf numFmtId="0" fontId="22" fillId="4" borderId="5" xfId="9" applyFont="1" applyFill="1" applyBorder="1" applyAlignment="1">
      <alignment horizontal="left"/>
    </xf>
    <xf numFmtId="0" fontId="74" fillId="0" borderId="0" xfId="9" applyFont="1" applyFill="1" applyAlignment="1">
      <alignment wrapText="1"/>
    </xf>
    <xf numFmtId="0" fontId="0" fillId="0" borderId="10" xfId="0" applyBorder="1" applyAlignment="1">
      <alignment wrapText="1"/>
    </xf>
    <xf numFmtId="0" fontId="22" fillId="2" borderId="4" xfId="0" applyFont="1" applyFill="1" applyBorder="1" applyAlignment="1">
      <alignment horizontal="left"/>
    </xf>
    <xf numFmtId="0" fontId="22" fillId="2" borderId="5" xfId="0" applyFont="1" applyFill="1" applyBorder="1" applyAlignment="1">
      <alignment horizontal="left"/>
    </xf>
    <xf numFmtId="0" fontId="31" fillId="4" borderId="10" xfId="9" applyFont="1" applyFill="1" applyBorder="1" applyAlignment="1">
      <alignment horizontal="left" vertical="center" wrapText="1"/>
    </xf>
    <xf numFmtId="0" fontId="39" fillId="0" borderId="0" xfId="9" applyFont="1" applyFill="1" applyBorder="1" applyAlignment="1">
      <alignment horizontal="justify" wrapText="1"/>
    </xf>
    <xf numFmtId="0" fontId="4" fillId="0" borderId="0" xfId="9" applyFill="1" applyBorder="1" applyAlignment="1">
      <alignment horizontal="justify" wrapText="1"/>
    </xf>
    <xf numFmtId="0" fontId="4" fillId="0" borderId="0" xfId="9" applyFill="1" applyBorder="1" applyAlignment="1">
      <alignment wrapText="1"/>
    </xf>
    <xf numFmtId="0" fontId="4" fillId="0" borderId="1" xfId="9" applyFill="1" applyBorder="1" applyAlignment="1">
      <alignment horizontal="justify" wrapText="1"/>
    </xf>
    <xf numFmtId="0" fontId="4" fillId="0" borderId="1" xfId="9" applyFill="1" applyBorder="1" applyAlignment="1">
      <alignment wrapText="1"/>
    </xf>
    <xf numFmtId="0" fontId="77" fillId="0" borderId="0" xfId="9" applyFont="1" applyFill="1" applyAlignment="1">
      <alignment horizontal="justify" wrapText="1"/>
    </xf>
    <xf numFmtId="0" fontId="4" fillId="0" borderId="0" xfId="9" applyFill="1" applyAlignment="1">
      <alignment wrapText="1"/>
    </xf>
    <xf numFmtId="0" fontId="51" fillId="0" borderId="0" xfId="9" applyFont="1" applyFill="1" applyBorder="1" applyAlignment="1">
      <alignment horizontal="left" wrapText="1"/>
    </xf>
    <xf numFmtId="0" fontId="4" fillId="0" borderId="0" xfId="9" applyAlignment="1">
      <alignment horizontal="left" wrapText="1"/>
    </xf>
    <xf numFmtId="0" fontId="72" fillId="0" borderId="60" xfId="9" applyFont="1" applyFill="1" applyBorder="1" applyAlignment="1">
      <alignment horizontal="left" wrapText="1"/>
    </xf>
    <xf numFmtId="0" fontId="64" fillId="0" borderId="60" xfId="9" applyFont="1" applyBorder="1" applyAlignment="1">
      <alignment horizontal="left" wrapText="1"/>
    </xf>
    <xf numFmtId="0" fontId="64" fillId="0" borderId="0" xfId="9" applyFont="1" applyBorder="1" applyAlignment="1">
      <alignment horizontal="left" wrapText="1"/>
    </xf>
    <xf numFmtId="3" fontId="14" fillId="0" borderId="2" xfId="7" applyFont="1" applyBorder="1" applyAlignment="1">
      <alignment wrapText="1"/>
    </xf>
    <xf numFmtId="0" fontId="13" fillId="3" borderId="2" xfId="0" applyFont="1" applyFill="1" applyBorder="1" applyAlignment="1">
      <alignment wrapText="1"/>
    </xf>
    <xf numFmtId="0" fontId="13" fillId="3" borderId="3" xfId="0" applyFont="1" applyFill="1" applyBorder="1" applyAlignment="1">
      <alignment wrapText="1"/>
    </xf>
    <xf numFmtId="1" fontId="70" fillId="2" borderId="10" xfId="0" applyNumberFormat="1" applyFont="1" applyFill="1" applyBorder="1" applyAlignment="1">
      <alignment horizontal="left" wrapText="1"/>
    </xf>
    <xf numFmtId="0" fontId="71" fillId="0" borderId="10" xfId="0" applyFont="1" applyBorder="1" applyAlignment="1">
      <alignment wrapText="1"/>
    </xf>
    <xf numFmtId="0" fontId="22" fillId="0" borderId="33" xfId="9" applyFont="1" applyFill="1" applyBorder="1" applyAlignment="1">
      <alignment horizontal="left"/>
    </xf>
    <xf numFmtId="0" fontId="22" fillId="0" borderId="34" xfId="9" applyFont="1" applyFill="1" applyBorder="1" applyAlignment="1">
      <alignment horizontal="left"/>
    </xf>
    <xf numFmtId="0" fontId="22" fillId="0" borderId="48" xfId="9" applyFont="1" applyFill="1" applyBorder="1" applyAlignment="1">
      <alignment horizontal="left"/>
    </xf>
    <xf numFmtId="0" fontId="24" fillId="0" borderId="0" xfId="9" applyFont="1" applyFill="1" applyAlignment="1">
      <alignment horizontal="justify" wrapText="1"/>
    </xf>
    <xf numFmtId="0" fontId="4" fillId="0" borderId="0" xfId="9" applyFill="1" applyAlignment="1">
      <alignment horizontal="justify" wrapText="1"/>
    </xf>
    <xf numFmtId="0" fontId="43" fillId="0" borderId="60" xfId="9" applyFont="1" applyFill="1" applyBorder="1" applyAlignment="1">
      <alignment horizontal="left" wrapText="1"/>
    </xf>
    <xf numFmtId="0" fontId="4" fillId="0" borderId="60" xfId="9" applyBorder="1" applyAlignment="1">
      <alignment horizontal="left" wrapText="1"/>
    </xf>
    <xf numFmtId="0" fontId="4" fillId="0" borderId="34" xfId="9" applyBorder="1" applyAlignment="1">
      <alignment horizontal="left" wrapText="1"/>
    </xf>
  </cellXfs>
  <cellStyles count="67">
    <cellStyle name="20 % – Zvýraznění1" xfId="27" builtinId="30" customBuiltin="1"/>
    <cellStyle name="20 % – Zvýraznění1 2" xfId="54"/>
    <cellStyle name="20 % – Zvýraznění2" xfId="31" builtinId="34" customBuiltin="1"/>
    <cellStyle name="20 % – Zvýraznění2 2" xfId="56"/>
    <cellStyle name="20 % – Zvýraznění3" xfId="35" builtinId="38" customBuiltin="1"/>
    <cellStyle name="20 % – Zvýraznění3 2" xfId="58"/>
    <cellStyle name="20 % – Zvýraznění4" xfId="39" builtinId="42" customBuiltin="1"/>
    <cellStyle name="20 % – Zvýraznění4 2" xfId="60"/>
    <cellStyle name="20 % – Zvýraznění5" xfId="43" builtinId="46" customBuiltin="1"/>
    <cellStyle name="20 % – Zvýraznění5 2" xfId="62"/>
    <cellStyle name="20 % – Zvýraznění6" xfId="47" builtinId="50" customBuiltin="1"/>
    <cellStyle name="20 % – Zvýraznění6 2" xfId="64"/>
    <cellStyle name="40 % – Zvýraznění1" xfId="28" builtinId="31" customBuiltin="1"/>
    <cellStyle name="40 % – Zvýraznění1 2" xfId="55"/>
    <cellStyle name="40 % – Zvýraznění2" xfId="32" builtinId="35" customBuiltin="1"/>
    <cellStyle name="40 % – Zvýraznění2 2" xfId="57"/>
    <cellStyle name="40 % – Zvýraznění3" xfId="36" builtinId="39" customBuiltin="1"/>
    <cellStyle name="40 % – Zvýraznění3 2" xfId="59"/>
    <cellStyle name="40 % – Zvýraznění4" xfId="40" builtinId="43" customBuiltin="1"/>
    <cellStyle name="40 % – Zvýraznění4 2" xfId="61"/>
    <cellStyle name="40 % – Zvýraznění5" xfId="44" builtinId="47" customBuiltin="1"/>
    <cellStyle name="40 % – Zvýraznění5 2" xfId="63"/>
    <cellStyle name="40 % – Zvýraznění6" xfId="48" builtinId="51" customBuiltin="1"/>
    <cellStyle name="40 % – Zvýraznění6 2" xfId="65"/>
    <cellStyle name="60 % – Zvýraznění1" xfId="29" builtinId="32" customBuiltin="1"/>
    <cellStyle name="60 % – Zvýraznění2" xfId="33" builtinId="36" customBuiltin="1"/>
    <cellStyle name="60 % – Zvýraznění3" xfId="37" builtinId="40" customBuiltin="1"/>
    <cellStyle name="60 % – Zvýraznění4" xfId="41" builtinId="44" customBuiltin="1"/>
    <cellStyle name="60 % – Zvýraznění5" xfId="45" builtinId="48" customBuiltin="1"/>
    <cellStyle name="60 % – Zvýraznění6" xfId="49" builtinId="52" customBuiltin="1"/>
    <cellStyle name="Celkem" xfId="25" builtinId="25" customBuiltin="1"/>
    <cellStyle name="Chybně" xfId="16" builtinId="27" customBuiltin="1"/>
    <cellStyle name="Kontrolní buňka" xfId="22" builtinId="23" customBuiltin="1"/>
    <cellStyle name="Nadpis 1" xfId="11" builtinId="16" customBuiltin="1"/>
    <cellStyle name="Nadpis 2" xfId="12" builtinId="17" customBuiltin="1"/>
    <cellStyle name="Nadpis 3" xfId="13" builtinId="18" customBuiltin="1"/>
    <cellStyle name="Nadpis 4" xfId="14" builtinId="19" customBuiltin="1"/>
    <cellStyle name="Název" xfId="10" builtinId="15" customBuiltin="1"/>
    <cellStyle name="Neutrální" xfId="17" builtinId="28" customBuiltin="1"/>
    <cellStyle name="Normální" xfId="0" builtinId="0"/>
    <cellStyle name="Normální 2" xfId="1"/>
    <cellStyle name="Normální 2 2" xfId="9"/>
    <cellStyle name="Normální 3" xfId="8"/>
    <cellStyle name="Normální 4" xfId="50"/>
    <cellStyle name="Normální 4 2" xfId="66"/>
    <cellStyle name="Normální 5" xfId="52"/>
    <cellStyle name="normální_05" xfId="2"/>
    <cellStyle name="normální_10 - PO" xfId="3"/>
    <cellStyle name="normální_10 - soukr.šk." xfId="4"/>
    <cellStyle name="normální_13" xfId="5"/>
    <cellStyle name="normální_14" xfId="6"/>
    <cellStyle name="normální_F - 99" xfId="7"/>
    <cellStyle name="Poznámka 2" xfId="51"/>
    <cellStyle name="Poznámka 3" xfId="53"/>
    <cellStyle name="Propojená buňka" xfId="21" builtinId="24" customBuiltin="1"/>
    <cellStyle name="Správně" xfId="15" builtinId="26" customBuiltin="1"/>
    <cellStyle name="Text upozornění" xfId="23" builtinId="11" customBuiltin="1"/>
    <cellStyle name="Vstup" xfId="18" builtinId="20" customBuiltin="1"/>
    <cellStyle name="Výpočet" xfId="20" builtinId="22" customBuiltin="1"/>
    <cellStyle name="Výstup" xfId="19" builtinId="21" customBuiltin="1"/>
    <cellStyle name="Vysvětlující text" xfId="24" builtinId="53" customBuiltin="1"/>
    <cellStyle name="Zvýraznění 1" xfId="26" builtinId="29" customBuiltin="1"/>
    <cellStyle name="Zvýraznění 2" xfId="30" builtinId="33" customBuiltin="1"/>
    <cellStyle name="Zvýraznění 3" xfId="34" builtinId="37" customBuiltin="1"/>
    <cellStyle name="Zvýraznění 4" xfId="38" builtinId="41" customBuiltin="1"/>
    <cellStyle name="Zvýraznění 5" xfId="42" builtinId="45" customBuiltin="1"/>
    <cellStyle name="Zvýraznění 6" xfId="46" builtinId="49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 enableFormatConditionsCalculation="0">
    <tabColor rgb="FF00B050"/>
  </sheetPr>
  <dimension ref="A1:L37"/>
  <sheetViews>
    <sheetView showGridLines="0" view="pageBreakPreview" zoomScaleNormal="100" zoomScaleSheetLayoutView="100" workbookViewId="0">
      <selection activeCell="E26" sqref="E26"/>
    </sheetView>
  </sheetViews>
  <sheetFormatPr defaultColWidth="9.140625" defaultRowHeight="12.75" x14ac:dyDescent="0.2"/>
  <cols>
    <col min="1" max="1" width="2.5703125" style="345" customWidth="1"/>
    <col min="2" max="2" width="40.5703125" style="345" customWidth="1"/>
    <col min="3" max="3" width="15.85546875" style="345" customWidth="1"/>
    <col min="4" max="4" width="15.5703125" style="345" customWidth="1"/>
    <col min="5" max="5" width="16.7109375" style="345" customWidth="1"/>
    <col min="6" max="6" width="8.85546875" style="345" customWidth="1"/>
    <col min="7" max="7" width="4.28515625" style="345" customWidth="1"/>
    <col min="8" max="8" width="19.28515625" style="1661" customWidth="1"/>
    <col min="9" max="9" width="21" style="1661" customWidth="1"/>
    <col min="10" max="10" width="20.7109375" style="1661" customWidth="1"/>
    <col min="11" max="11" width="9.140625" style="345" customWidth="1"/>
    <col min="12" max="16384" width="9.140625" style="345"/>
  </cols>
  <sheetData>
    <row r="1" spans="1:12" ht="23.25" x14ac:dyDescent="0.35">
      <c r="A1" s="3029" t="s">
        <v>1871</v>
      </c>
      <c r="B1" s="3030"/>
      <c r="C1" s="3030"/>
      <c r="D1" s="3030"/>
      <c r="E1" s="3030"/>
      <c r="F1" s="3030"/>
      <c r="G1" s="3030"/>
    </row>
    <row r="3" spans="1:12" ht="18.75" customHeight="1" x14ac:dyDescent="0.2">
      <c r="A3" s="3039" t="s">
        <v>329</v>
      </c>
      <c r="B3" s="3040"/>
      <c r="C3" s="3040"/>
      <c r="D3" s="3040"/>
      <c r="E3" s="3040"/>
      <c r="F3" s="3040"/>
    </row>
    <row r="4" spans="1:12" x14ac:dyDescent="0.2">
      <c r="A4" s="3040"/>
      <c r="B4" s="3040"/>
      <c r="C4" s="3040"/>
      <c r="D4" s="3040"/>
      <c r="E4" s="3040"/>
      <c r="F4" s="3040"/>
    </row>
    <row r="5" spans="1:12" ht="13.5" customHeight="1" x14ac:dyDescent="0.2">
      <c r="A5" s="3040"/>
      <c r="B5" s="3040"/>
      <c r="C5" s="3040"/>
      <c r="D5" s="3040"/>
      <c r="E5" s="3040"/>
      <c r="F5" s="3040"/>
    </row>
    <row r="6" spans="1:12" ht="21" customHeight="1" x14ac:dyDescent="0.25">
      <c r="A6" s="474" t="s">
        <v>56</v>
      </c>
    </row>
    <row r="7" spans="1:12" ht="15" thickBot="1" x14ac:dyDescent="0.25">
      <c r="B7" s="475"/>
      <c r="C7" s="476"/>
      <c r="D7" s="465"/>
      <c r="E7" s="465"/>
      <c r="F7" s="374" t="s">
        <v>148</v>
      </c>
      <c r="G7" s="374"/>
    </row>
    <row r="8" spans="1:12" s="481" customFormat="1" ht="18.75" customHeight="1" thickTop="1" thickBot="1" x14ac:dyDescent="0.25">
      <c r="A8" s="3037" t="s">
        <v>1161</v>
      </c>
      <c r="B8" s="3038"/>
      <c r="C8" s="477" t="s">
        <v>569</v>
      </c>
      <c r="D8" s="477" t="s">
        <v>570</v>
      </c>
      <c r="E8" s="478" t="s">
        <v>797</v>
      </c>
      <c r="F8" s="479" t="s">
        <v>798</v>
      </c>
      <c r="G8" s="480"/>
      <c r="H8" s="1665"/>
      <c r="I8" s="1665"/>
      <c r="J8" s="1665"/>
    </row>
    <row r="9" spans="1:12" s="484" customFormat="1" ht="14.25" thickTop="1" thickBot="1" x14ac:dyDescent="0.25">
      <c r="A9" s="3037">
        <v>1</v>
      </c>
      <c r="B9" s="3038"/>
      <c r="C9" s="477">
        <v>2</v>
      </c>
      <c r="D9" s="477">
        <v>3</v>
      </c>
      <c r="E9" s="477">
        <v>4</v>
      </c>
      <c r="F9" s="482" t="s">
        <v>59</v>
      </c>
      <c r="G9" s="483"/>
      <c r="H9" s="1666"/>
      <c r="I9" s="1666"/>
      <c r="J9" s="1666"/>
    </row>
    <row r="10" spans="1:12" s="488" customFormat="1" ht="29.25" thickTop="1" x14ac:dyDescent="0.2">
      <c r="A10" s="485" t="s">
        <v>927</v>
      </c>
      <c r="B10" s="486" t="s">
        <v>925</v>
      </c>
      <c r="C10" s="419">
        <f>'Odbor celkem'!C291</f>
        <v>1075724</v>
      </c>
      <c r="D10" s="419">
        <f>'Odbor celkem'!D291</f>
        <v>5219394</v>
      </c>
      <c r="E10" s="419">
        <f>'Odbor celkem'!E291</f>
        <v>4877777</v>
      </c>
      <c r="F10" s="487">
        <f t="shared" ref="F10:F15" si="0">E10/D10*100</f>
        <v>93.454853187937147</v>
      </c>
      <c r="G10" s="1084"/>
      <c r="H10" s="1668"/>
      <c r="I10" s="1668"/>
      <c r="J10" s="1668"/>
      <c r="K10" s="1664"/>
      <c r="L10" s="1664"/>
    </row>
    <row r="11" spans="1:12" s="488" customFormat="1" ht="15" x14ac:dyDescent="0.25">
      <c r="A11" s="422" t="s">
        <v>926</v>
      </c>
      <c r="B11" s="489" t="s">
        <v>564</v>
      </c>
      <c r="C11" s="419">
        <f>'Odbor celkem'!C292</f>
        <v>2326309</v>
      </c>
      <c r="D11" s="419">
        <f>'Odbor celkem'!D292</f>
        <v>5294389</v>
      </c>
      <c r="E11" s="419">
        <f>'Odbor celkem'!E292</f>
        <v>5283539</v>
      </c>
      <c r="F11" s="490">
        <f t="shared" si="0"/>
        <v>99.795066059558522</v>
      </c>
      <c r="G11" s="1084"/>
      <c r="H11" s="1668"/>
      <c r="I11" s="1668"/>
      <c r="J11" s="1668"/>
    </row>
    <row r="12" spans="1:12" s="336" customFormat="1" ht="15" x14ac:dyDescent="0.25">
      <c r="A12" s="422" t="s">
        <v>926</v>
      </c>
      <c r="B12" s="489" t="s">
        <v>1162</v>
      </c>
      <c r="C12" s="419">
        <f>'Odbor celkem'!C293</f>
        <v>595090</v>
      </c>
      <c r="D12" s="419">
        <f>'Odbor celkem'!D293</f>
        <v>1487716</v>
      </c>
      <c r="E12" s="419">
        <f>'Odbor celkem'!E293</f>
        <v>1781512</v>
      </c>
      <c r="F12" s="490">
        <f t="shared" si="0"/>
        <v>119.74812396989749</v>
      </c>
      <c r="G12" s="1077"/>
      <c r="H12" s="1668"/>
      <c r="I12" s="1668"/>
      <c r="J12" s="1668"/>
    </row>
    <row r="13" spans="1:12" s="336" customFormat="1" ht="15" x14ac:dyDescent="0.25">
      <c r="A13" s="422" t="s">
        <v>926</v>
      </c>
      <c r="B13" s="489" t="s">
        <v>124</v>
      </c>
      <c r="C13" s="1122">
        <f>'Odbor celkem'!C294</f>
        <v>6768</v>
      </c>
      <c r="D13" s="1122">
        <f>'Odbor celkem'!D294</f>
        <v>8242</v>
      </c>
      <c r="E13" s="1122">
        <f>'Odbor celkem'!E294</f>
        <v>6748</v>
      </c>
      <c r="F13" s="490">
        <f t="shared" si="0"/>
        <v>81.873331715603001</v>
      </c>
      <c r="G13" s="1077"/>
      <c r="H13" s="1668"/>
      <c r="I13" s="1668"/>
      <c r="J13" s="1668"/>
    </row>
    <row r="14" spans="1:12" s="488" customFormat="1" ht="42.75" x14ac:dyDescent="0.2">
      <c r="A14" s="1082" t="s">
        <v>926</v>
      </c>
      <c r="B14" s="1083" t="s">
        <v>125</v>
      </c>
      <c r="C14" s="419">
        <f>'Odbor celkem'!C295</f>
        <v>40000</v>
      </c>
      <c r="D14" s="419">
        <f>'Odbor celkem'!D295</f>
        <v>77996</v>
      </c>
      <c r="E14" s="419">
        <f>'Odbor celkem'!E295</f>
        <v>76597</v>
      </c>
      <c r="F14" s="491">
        <f t="shared" si="0"/>
        <v>98.206318272731934</v>
      </c>
      <c r="G14" s="1084"/>
      <c r="H14" s="1668"/>
      <c r="I14" s="1668"/>
      <c r="J14" s="1668"/>
    </row>
    <row r="15" spans="1:12" ht="18.75" customHeight="1" thickBot="1" x14ac:dyDescent="0.3">
      <c r="A15" s="3031" t="s">
        <v>57</v>
      </c>
      <c r="B15" s="3032"/>
      <c r="C15" s="492">
        <f>SUM(C10:C14)</f>
        <v>4043891</v>
      </c>
      <c r="D15" s="492">
        <f>SUM(D10:D14)</f>
        <v>12087737</v>
      </c>
      <c r="E15" s="492">
        <f>SUM(E10:E14)</f>
        <v>12026173</v>
      </c>
      <c r="F15" s="493">
        <f t="shared" si="0"/>
        <v>99.490690441064373</v>
      </c>
      <c r="G15" s="1078"/>
      <c r="H15" s="1669"/>
      <c r="I15" s="1669"/>
      <c r="J15" s="1669"/>
      <c r="K15" s="424"/>
      <c r="L15" s="424"/>
    </row>
    <row r="16" spans="1:12" s="356" customFormat="1" ht="15.75" thickTop="1" x14ac:dyDescent="0.2">
      <c r="A16" s="3041" t="s">
        <v>1199</v>
      </c>
      <c r="B16" s="3042"/>
      <c r="C16" s="352">
        <f>'Odbor celkem'!C297</f>
        <v>6766</v>
      </c>
      <c r="D16" s="352">
        <f>'Odbor celkem'!D297</f>
        <v>6881</v>
      </c>
      <c r="E16" s="352">
        <f>'Odbor celkem'!E297</f>
        <v>467848</v>
      </c>
      <c r="F16" s="368">
        <f>(E16/D16)*100</f>
        <v>6799.1280337160288</v>
      </c>
      <c r="G16" s="1079"/>
      <c r="H16" s="1670"/>
      <c r="I16" s="1670"/>
      <c r="J16" s="1670"/>
    </row>
    <row r="17" spans="1:12" s="356" customFormat="1" ht="33.75" customHeight="1" thickBot="1" x14ac:dyDescent="0.3">
      <c r="A17" s="3033" t="s">
        <v>113</v>
      </c>
      <c r="B17" s="3032"/>
      <c r="C17" s="494">
        <f>C15-C16</f>
        <v>4037125</v>
      </c>
      <c r="D17" s="494">
        <f>D15-D16</f>
        <v>12080856</v>
      </c>
      <c r="E17" s="494">
        <f>E15-E16</f>
        <v>11558325</v>
      </c>
      <c r="F17" s="495">
        <f>(E17/D17)*100</f>
        <v>95.674718745095547</v>
      </c>
      <c r="G17" s="1080"/>
      <c r="H17" s="1670"/>
      <c r="I17" s="1670"/>
      <c r="J17" s="1670"/>
      <c r="K17" s="1670"/>
    </row>
    <row r="18" spans="1:12" ht="22.5" customHeight="1" thickTop="1" x14ac:dyDescent="0.2">
      <c r="B18" s="67"/>
      <c r="C18" s="498"/>
      <c r="D18" s="499"/>
      <c r="E18" s="499"/>
      <c r="F18" s="500"/>
      <c r="G18" s="185"/>
      <c r="J18" s="1667"/>
      <c r="K18" s="424"/>
      <c r="L18" s="424"/>
    </row>
    <row r="19" spans="1:12" x14ac:dyDescent="0.2">
      <c r="B19" s="7"/>
      <c r="C19" s="501"/>
      <c r="D19" s="501"/>
      <c r="E19" s="501"/>
      <c r="F19" s="7"/>
      <c r="G19" s="7"/>
    </row>
    <row r="20" spans="1:12" x14ac:dyDescent="0.2">
      <c r="B20" s="7"/>
      <c r="C20" s="15"/>
      <c r="D20" s="15"/>
      <c r="E20" s="15"/>
      <c r="F20" s="7"/>
      <c r="G20" s="7"/>
    </row>
    <row r="21" spans="1:12" x14ac:dyDescent="0.2">
      <c r="A21" s="1875"/>
      <c r="B21" s="1876"/>
      <c r="C21" s="1877"/>
      <c r="D21" s="1877"/>
      <c r="E21" s="1877"/>
      <c r="F21" s="1876"/>
      <c r="G21" s="7"/>
    </row>
    <row r="22" spans="1:12" ht="21" customHeight="1" x14ac:dyDescent="0.25">
      <c r="A22" s="1878" t="s">
        <v>58</v>
      </c>
      <c r="B22" s="1875"/>
      <c r="C22" s="1875"/>
      <c r="D22" s="1875"/>
      <c r="E22" s="1875"/>
      <c r="F22" s="1875"/>
    </row>
    <row r="23" spans="1:12" ht="15" thickBot="1" x14ac:dyDescent="0.25">
      <c r="A23" s="1875"/>
      <c r="B23" s="1879"/>
      <c r="C23" s="1880"/>
      <c r="D23" s="1881"/>
      <c r="E23" s="1881"/>
      <c r="F23" s="1733" t="s">
        <v>148</v>
      </c>
      <c r="G23" s="374"/>
    </row>
    <row r="24" spans="1:12" s="481" customFormat="1" ht="18.75" customHeight="1" thickTop="1" thickBot="1" x14ac:dyDescent="0.25">
      <c r="A24" s="3043" t="s">
        <v>1161</v>
      </c>
      <c r="B24" s="3044"/>
      <c r="C24" s="1785" t="s">
        <v>569</v>
      </c>
      <c r="D24" s="1785" t="s">
        <v>570</v>
      </c>
      <c r="E24" s="1736" t="s">
        <v>797</v>
      </c>
      <c r="F24" s="1737" t="s">
        <v>798</v>
      </c>
      <c r="G24" s="1075"/>
      <c r="H24" s="1665"/>
      <c r="I24" s="1665"/>
      <c r="J24" s="1665"/>
    </row>
    <row r="25" spans="1:12" s="484" customFormat="1" ht="14.25" thickTop="1" thickBot="1" x14ac:dyDescent="0.25">
      <c r="A25" s="3043">
        <v>1</v>
      </c>
      <c r="B25" s="3044"/>
      <c r="C25" s="1785">
        <v>2</v>
      </c>
      <c r="D25" s="1785">
        <v>3</v>
      </c>
      <c r="E25" s="1785">
        <v>4</v>
      </c>
      <c r="F25" s="1786" t="s">
        <v>59</v>
      </c>
      <c r="G25" s="1076"/>
      <c r="H25" s="1666"/>
      <c r="I25" s="1666"/>
      <c r="J25" s="1666"/>
    </row>
    <row r="26" spans="1:12" s="336" customFormat="1" ht="15.75" thickTop="1" x14ac:dyDescent="0.25">
      <c r="A26" s="3045" t="s">
        <v>49</v>
      </c>
      <c r="B26" s="3046"/>
      <c r="C26" s="1882">
        <f>'Odbor celkem'!C300</f>
        <v>3162262</v>
      </c>
      <c r="D26" s="1882">
        <f>'Odbor celkem'!D300</f>
        <v>10099679</v>
      </c>
      <c r="E26" s="1882">
        <f>'Odbor celkem'!E300</f>
        <v>10176878</v>
      </c>
      <c r="F26" s="1883">
        <f>E26/D26*100</f>
        <v>100.76437082802335</v>
      </c>
      <c r="G26" s="1077"/>
      <c r="H26" s="1663"/>
      <c r="I26" s="1663"/>
      <c r="J26" s="1663"/>
    </row>
    <row r="27" spans="1:12" s="336" customFormat="1" ht="15" x14ac:dyDescent="0.25">
      <c r="A27" s="3034" t="s">
        <v>50</v>
      </c>
      <c r="B27" s="3035"/>
      <c r="C27" s="1884">
        <f>'Odbor celkem'!C301</f>
        <v>881629</v>
      </c>
      <c r="D27" s="1884">
        <f>'Odbor celkem'!D301</f>
        <v>1988058</v>
      </c>
      <c r="E27" s="1884">
        <f>'Odbor celkem'!E301</f>
        <v>1849295</v>
      </c>
      <c r="F27" s="1883">
        <f>E27/D27*100</f>
        <v>93.020173455704011</v>
      </c>
      <c r="G27" s="1077"/>
      <c r="H27" s="1663"/>
      <c r="I27" s="1663"/>
      <c r="J27" s="1663"/>
    </row>
    <row r="28" spans="1:12" ht="18.75" customHeight="1" thickBot="1" x14ac:dyDescent="0.3">
      <c r="A28" s="3049" t="s">
        <v>126</v>
      </c>
      <c r="B28" s="3050"/>
      <c r="C28" s="1885">
        <f>SUM(C26:C27)</f>
        <v>4043891</v>
      </c>
      <c r="D28" s="1885">
        <f>SUM(D26:D27)</f>
        <v>12087737</v>
      </c>
      <c r="E28" s="1885">
        <f>SUM(E26:E27)</f>
        <v>12026173</v>
      </c>
      <c r="F28" s="1886">
        <f>E28/D28*100</f>
        <v>99.490690441064373</v>
      </c>
      <c r="G28" s="1078"/>
      <c r="H28" s="1669"/>
      <c r="I28" s="1669"/>
      <c r="J28" s="1669"/>
      <c r="K28" s="424"/>
      <c r="L28" s="424"/>
    </row>
    <row r="29" spans="1:12" s="356" customFormat="1" ht="15.75" thickTop="1" x14ac:dyDescent="0.2">
      <c r="A29" s="3047" t="s">
        <v>1199</v>
      </c>
      <c r="B29" s="3048"/>
      <c r="C29" s="1887">
        <f>'Odbor celkem'!C303</f>
        <v>6766</v>
      </c>
      <c r="D29" s="1887">
        <f>'Odbor celkem'!D303</f>
        <v>6881</v>
      </c>
      <c r="E29" s="1887">
        <f>'Odbor celkem'!E303</f>
        <v>467848</v>
      </c>
      <c r="F29" s="1888">
        <f>(E29/D29)*100</f>
        <v>6799.1280337160288</v>
      </c>
      <c r="G29" s="1079"/>
      <c r="H29" s="1670"/>
      <c r="I29" s="1670"/>
      <c r="J29" s="1670"/>
    </row>
    <row r="30" spans="1:12" s="356" customFormat="1" ht="33.75" customHeight="1" thickBot="1" x14ac:dyDescent="0.3">
      <c r="A30" s="3051" t="s">
        <v>113</v>
      </c>
      <c r="B30" s="3052"/>
      <c r="C30" s="1889">
        <f>C28-C29</f>
        <v>4037125</v>
      </c>
      <c r="D30" s="1889">
        <f>D28-D29</f>
        <v>12080856</v>
      </c>
      <c r="E30" s="1889">
        <f>E28-E29</f>
        <v>11558325</v>
      </c>
      <c r="F30" s="1890">
        <f>(E30/D30)*100</f>
        <v>95.674718745095547</v>
      </c>
      <c r="G30" s="1080"/>
      <c r="H30" s="1670"/>
      <c r="I30" s="1670"/>
      <c r="J30" s="1670"/>
    </row>
    <row r="31" spans="1:12" ht="13.5" thickTop="1" x14ac:dyDescent="0.2">
      <c r="A31" s="1875"/>
      <c r="B31" s="1875"/>
      <c r="C31" s="1875"/>
      <c r="D31" s="1875"/>
      <c r="E31" s="1891"/>
      <c r="F31" s="1875"/>
      <c r="G31" s="1081"/>
    </row>
    <row r="32" spans="1:12" x14ac:dyDescent="0.2">
      <c r="A32" s="3036" t="s">
        <v>51</v>
      </c>
      <c r="B32" s="3036"/>
      <c r="C32" s="3036"/>
      <c r="D32" s="3036"/>
      <c r="E32" s="3036"/>
      <c r="F32" s="3036"/>
      <c r="G32" s="1081"/>
    </row>
    <row r="33" spans="1:7" x14ac:dyDescent="0.2">
      <c r="A33" s="3036"/>
      <c r="B33" s="3036"/>
      <c r="C33" s="3036"/>
      <c r="D33" s="3036"/>
      <c r="E33" s="3036"/>
      <c r="F33" s="3036"/>
      <c r="G33" s="1081"/>
    </row>
    <row r="34" spans="1:7" x14ac:dyDescent="0.2">
      <c r="G34" s="1081"/>
    </row>
    <row r="35" spans="1:7" x14ac:dyDescent="0.2">
      <c r="G35" s="1081"/>
    </row>
    <row r="36" spans="1:7" x14ac:dyDescent="0.2">
      <c r="G36" s="1081"/>
    </row>
    <row r="37" spans="1:7" x14ac:dyDescent="0.2">
      <c r="G37" s="1081"/>
    </row>
  </sheetData>
  <mergeCells count="15">
    <mergeCell ref="A1:G1"/>
    <mergeCell ref="A15:B15"/>
    <mergeCell ref="A17:B17"/>
    <mergeCell ref="A27:B27"/>
    <mergeCell ref="A32:F33"/>
    <mergeCell ref="A8:B8"/>
    <mergeCell ref="A9:B9"/>
    <mergeCell ref="A3:F5"/>
    <mergeCell ref="A16:B16"/>
    <mergeCell ref="A24:B24"/>
    <mergeCell ref="A25:B25"/>
    <mergeCell ref="A26:B26"/>
    <mergeCell ref="A29:B29"/>
    <mergeCell ref="A28:B28"/>
    <mergeCell ref="A30:B30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80" firstPageNumber="19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 enableFormatConditionsCalculation="0">
    <tabColor indexed="42"/>
  </sheetPr>
  <dimension ref="A1:O46"/>
  <sheetViews>
    <sheetView showGridLines="0" topLeftCell="A21" zoomScaleNormal="100" workbookViewId="0">
      <selection activeCell="G42" sqref="G42"/>
    </sheetView>
  </sheetViews>
  <sheetFormatPr defaultColWidth="9.140625" defaultRowHeight="12.75" x14ac:dyDescent="0.2"/>
  <cols>
    <col min="1" max="1" width="5" style="75" customWidth="1"/>
    <col min="2" max="2" width="4.7109375" style="161" customWidth="1"/>
    <col min="3" max="3" width="6.28515625" style="134" hidden="1" customWidth="1"/>
    <col min="4" max="4" width="6.7109375" style="144" customWidth="1"/>
    <col min="5" max="5" width="47.140625" style="119" customWidth="1"/>
    <col min="6" max="6" width="12.5703125" style="120" customWidth="1"/>
    <col min="7" max="7" width="14" style="120" customWidth="1"/>
    <col min="8" max="8" width="13.7109375" style="120" customWidth="1"/>
    <col min="9" max="9" width="9.42578125" style="199" customWidth="1"/>
    <col min="10" max="16384" width="9.140625" style="119"/>
  </cols>
  <sheetData>
    <row r="1" spans="1:9" s="134" customFormat="1" ht="18.75" thickBot="1" x14ac:dyDescent="0.3">
      <c r="A1" s="76" t="s">
        <v>474</v>
      </c>
      <c r="B1" s="131"/>
      <c r="C1" s="132"/>
      <c r="D1" s="157"/>
      <c r="E1" s="160"/>
      <c r="F1" s="150"/>
      <c r="G1" s="79" t="s">
        <v>475</v>
      </c>
      <c r="H1" s="133"/>
      <c r="I1" s="198"/>
    </row>
    <row r="3" spans="1:9" ht="12.75" customHeight="1" x14ac:dyDescent="0.25">
      <c r="A3" s="67" t="s">
        <v>336</v>
      </c>
      <c r="B3" s="28"/>
      <c r="C3" s="141" t="s">
        <v>195</v>
      </c>
      <c r="D3" s="141" t="s">
        <v>195</v>
      </c>
      <c r="E3" s="14"/>
      <c r="F3" s="16"/>
      <c r="G3" s="17"/>
      <c r="H3" s="18"/>
    </row>
    <row r="4" spans="1:9" ht="12.75" customHeight="1" x14ac:dyDescent="0.25">
      <c r="A4" s="6"/>
      <c r="B4" s="28"/>
      <c r="C4" s="141" t="s">
        <v>476</v>
      </c>
      <c r="D4" s="141" t="s">
        <v>476</v>
      </c>
      <c r="E4" s="133"/>
      <c r="F4" s="16"/>
      <c r="G4" s="17"/>
      <c r="H4" s="18"/>
    </row>
    <row r="8" spans="1:9" ht="13.5" thickBot="1" x14ac:dyDescent="0.25">
      <c r="A8" s="70" t="s">
        <v>921</v>
      </c>
      <c r="B8" s="1"/>
      <c r="C8" s="119"/>
      <c r="I8" s="199" t="s">
        <v>148</v>
      </c>
    </row>
    <row r="9" spans="1:9" s="24" customFormat="1" ht="20.25" customHeight="1" thickTop="1" thickBot="1" x14ac:dyDescent="0.25">
      <c r="A9" s="21" t="s">
        <v>149</v>
      </c>
      <c r="B9" s="23" t="s">
        <v>150</v>
      </c>
      <c r="C9" s="170" t="s">
        <v>639</v>
      </c>
      <c r="D9" s="170" t="s">
        <v>639</v>
      </c>
      <c r="E9" s="46" t="s">
        <v>151</v>
      </c>
      <c r="F9" s="47" t="s">
        <v>152</v>
      </c>
      <c r="G9" s="46" t="s">
        <v>796</v>
      </c>
      <c r="H9" s="46" t="s">
        <v>797</v>
      </c>
      <c r="I9" s="193" t="s">
        <v>798</v>
      </c>
    </row>
    <row r="10" spans="1:9" s="319" customFormat="1" ht="13.5" thickTop="1" thickBot="1" x14ac:dyDescent="0.25">
      <c r="A10" s="315">
        <v>1</v>
      </c>
      <c r="B10" s="316">
        <v>2</v>
      </c>
      <c r="C10" s="316">
        <v>3</v>
      </c>
      <c r="D10" s="316">
        <v>4</v>
      </c>
      <c r="E10" s="316">
        <v>5</v>
      </c>
      <c r="F10" s="317">
        <v>6</v>
      </c>
      <c r="G10" s="317">
        <v>7</v>
      </c>
      <c r="H10" s="318">
        <v>8</v>
      </c>
      <c r="I10" s="353" t="s">
        <v>689</v>
      </c>
    </row>
    <row r="11" spans="1:9" ht="15.75" customHeight="1" thickTop="1" x14ac:dyDescent="0.25">
      <c r="A11" s="219">
        <v>3636</v>
      </c>
      <c r="B11" s="237">
        <v>5212</v>
      </c>
      <c r="C11" s="153">
        <v>5213</v>
      </c>
      <c r="D11" s="238"/>
      <c r="E11" s="313" t="s">
        <v>793</v>
      </c>
      <c r="F11" s="38">
        <v>186</v>
      </c>
      <c r="G11" s="88">
        <v>2</v>
      </c>
      <c r="H11" s="229">
        <v>2</v>
      </c>
      <c r="I11" s="203">
        <f>(H11/G11)*100</f>
        <v>100</v>
      </c>
    </row>
    <row r="12" spans="1:9" ht="15.75" thickBot="1" x14ac:dyDescent="0.3">
      <c r="A12" s="50">
        <v>3636</v>
      </c>
      <c r="B12" s="31">
        <v>5213</v>
      </c>
      <c r="C12" s="152"/>
      <c r="D12" s="154"/>
      <c r="E12" s="87" t="s">
        <v>660</v>
      </c>
      <c r="F12" s="39">
        <v>153</v>
      </c>
      <c r="G12" s="71">
        <v>13</v>
      </c>
      <c r="H12" s="93">
        <v>13</v>
      </c>
      <c r="I12" s="195">
        <v>0</v>
      </c>
    </row>
    <row r="13" spans="1:9" ht="18" customHeight="1" thickTop="1" thickBot="1" x14ac:dyDescent="0.3">
      <c r="A13" s="3089" t="s">
        <v>225</v>
      </c>
      <c r="B13" s="3090"/>
      <c r="C13" s="3090"/>
      <c r="D13" s="3090"/>
      <c r="E13" s="3090"/>
      <c r="F13" s="64">
        <f>F11+F12</f>
        <v>339</v>
      </c>
      <c r="G13" s="64">
        <f>G11+G12</f>
        <v>15</v>
      </c>
      <c r="H13" s="64">
        <f>H11+H12</f>
        <v>15</v>
      </c>
      <c r="I13" s="204">
        <f>(H13/G13)*100</f>
        <v>100</v>
      </c>
    </row>
    <row r="14" spans="1:9" ht="15.75" thickTop="1" x14ac:dyDescent="0.25">
      <c r="A14" s="34">
        <v>3636</v>
      </c>
      <c r="B14" s="5">
        <v>6312</v>
      </c>
      <c r="C14" s="19"/>
      <c r="D14" s="128"/>
      <c r="E14" s="62" t="s">
        <v>661</v>
      </c>
      <c r="F14" s="306">
        <v>423</v>
      </c>
      <c r="G14" s="88">
        <v>96</v>
      </c>
      <c r="H14" s="86">
        <v>96</v>
      </c>
      <c r="I14" s="187">
        <f>(H14/G14)*100</f>
        <v>100</v>
      </c>
    </row>
    <row r="15" spans="1:9" ht="15.75" thickBot="1" x14ac:dyDescent="0.3">
      <c r="A15" s="177">
        <v>3636</v>
      </c>
      <c r="B15" s="19">
        <v>6313</v>
      </c>
      <c r="C15" s="19"/>
      <c r="D15" s="121"/>
      <c r="E15" s="72" t="s">
        <v>1051</v>
      </c>
      <c r="F15" s="163">
        <v>271</v>
      </c>
      <c r="G15" s="71">
        <v>387</v>
      </c>
      <c r="H15" s="86">
        <v>387</v>
      </c>
      <c r="I15" s="187">
        <f>(H15/G15)*100</f>
        <v>100</v>
      </c>
    </row>
    <row r="16" spans="1:9" ht="18" customHeight="1" thickTop="1" thickBot="1" x14ac:dyDescent="0.3">
      <c r="A16" s="3089" t="s">
        <v>224</v>
      </c>
      <c r="B16" s="3090"/>
      <c r="C16" s="3090"/>
      <c r="D16" s="3090"/>
      <c r="E16" s="3090"/>
      <c r="F16" s="64">
        <f>F14+F15</f>
        <v>694</v>
      </c>
      <c r="G16" s="64">
        <f>G14+G15</f>
        <v>483</v>
      </c>
      <c r="H16" s="64">
        <f>H14+H15</f>
        <v>483</v>
      </c>
      <c r="I16" s="204">
        <v>0</v>
      </c>
    </row>
    <row r="17" spans="1:9" ht="18" customHeight="1" thickTop="1" thickBot="1" x14ac:dyDescent="0.3">
      <c r="A17" s="3089" t="s">
        <v>648</v>
      </c>
      <c r="B17" s="3090"/>
      <c r="C17" s="3090"/>
      <c r="D17" s="3090"/>
      <c r="E17" s="3090"/>
      <c r="F17" s="110">
        <f>F13+F16</f>
        <v>1033</v>
      </c>
      <c r="G17" s="110">
        <f>G13+G16</f>
        <v>498</v>
      </c>
      <c r="H17" s="110">
        <f>H13+H16</f>
        <v>498</v>
      </c>
      <c r="I17" s="205">
        <f>(H17/G17)*100</f>
        <v>100</v>
      </c>
    </row>
    <row r="18" spans="1:9" ht="13.5" thickTop="1" x14ac:dyDescent="0.2"/>
    <row r="20" spans="1:9" ht="13.5" thickBot="1" x14ac:dyDescent="0.25">
      <c r="A20" s="70" t="s">
        <v>646</v>
      </c>
      <c r="B20" s="1"/>
      <c r="C20" s="119"/>
      <c r="I20" s="199" t="s">
        <v>148</v>
      </c>
    </row>
    <row r="21" spans="1:9" s="24" customFormat="1" ht="20.25" customHeight="1" thickTop="1" thickBot="1" x14ac:dyDescent="0.25">
      <c r="A21" s="21" t="s">
        <v>149</v>
      </c>
      <c r="B21" s="23" t="s">
        <v>150</v>
      </c>
      <c r="C21" s="167" t="s">
        <v>639</v>
      </c>
      <c r="D21" s="170" t="s">
        <v>639</v>
      </c>
      <c r="E21" s="46" t="s">
        <v>151</v>
      </c>
      <c r="F21" s="46" t="s">
        <v>152</v>
      </c>
      <c r="G21" s="46" t="s">
        <v>796</v>
      </c>
      <c r="H21" s="46" t="s">
        <v>797</v>
      </c>
      <c r="I21" s="194" t="s">
        <v>798</v>
      </c>
    </row>
    <row r="22" spans="1:9" s="319" customFormat="1" ht="13.5" thickTop="1" thickBot="1" x14ac:dyDescent="0.25">
      <c r="A22" s="315">
        <v>1</v>
      </c>
      <c r="B22" s="316">
        <v>2</v>
      </c>
      <c r="C22" s="316">
        <v>3</v>
      </c>
      <c r="D22" s="316">
        <v>4</v>
      </c>
      <c r="E22" s="316">
        <v>5</v>
      </c>
      <c r="F22" s="317">
        <v>6</v>
      </c>
      <c r="G22" s="317">
        <v>7</v>
      </c>
      <c r="H22" s="318">
        <v>8</v>
      </c>
      <c r="I22" s="353" t="s">
        <v>689</v>
      </c>
    </row>
    <row r="23" spans="1:9" s="162" customFormat="1" ht="15" customHeight="1" thickTop="1" thickBot="1" x14ac:dyDescent="0.3">
      <c r="A23" s="34">
        <v>3419</v>
      </c>
      <c r="B23" s="115">
        <v>6322</v>
      </c>
      <c r="C23" s="155"/>
      <c r="D23" s="156"/>
      <c r="E23" s="72" t="s">
        <v>1052</v>
      </c>
      <c r="F23" s="48">
        <v>690</v>
      </c>
      <c r="G23" s="71">
        <v>0</v>
      </c>
      <c r="H23" s="71">
        <v>0</v>
      </c>
      <c r="I23" s="196">
        <v>0</v>
      </c>
    </row>
    <row r="24" spans="1:9" ht="18" customHeight="1" thickTop="1" thickBot="1" x14ac:dyDescent="0.3">
      <c r="A24" s="3089" t="s">
        <v>224</v>
      </c>
      <c r="B24" s="3090"/>
      <c r="C24" s="3090"/>
      <c r="D24" s="3090"/>
      <c r="E24" s="3090"/>
      <c r="F24" s="64">
        <f t="shared" ref="F24:I25" si="0">F23</f>
        <v>690</v>
      </c>
      <c r="G24" s="64">
        <f t="shared" si="0"/>
        <v>0</v>
      </c>
      <c r="H24" s="64">
        <f t="shared" si="0"/>
        <v>0</v>
      </c>
      <c r="I24" s="369">
        <f t="shared" si="0"/>
        <v>0</v>
      </c>
    </row>
    <row r="25" spans="1:9" ht="18" customHeight="1" thickTop="1" thickBot="1" x14ac:dyDescent="0.3">
      <c r="A25" s="3093" t="s">
        <v>647</v>
      </c>
      <c r="B25" s="3094"/>
      <c r="C25" s="3094"/>
      <c r="D25" s="3094"/>
      <c r="E25" s="3094"/>
      <c r="F25" s="111">
        <f t="shared" si="0"/>
        <v>690</v>
      </c>
      <c r="G25" s="111">
        <f t="shared" si="0"/>
        <v>0</v>
      </c>
      <c r="H25" s="111">
        <f t="shared" si="0"/>
        <v>0</v>
      </c>
      <c r="I25" s="370">
        <f t="shared" si="0"/>
        <v>0</v>
      </c>
    </row>
    <row r="26" spans="1:9" ht="13.5" thickTop="1" x14ac:dyDescent="0.2"/>
    <row r="28" spans="1:9" ht="13.5" thickBot="1" x14ac:dyDescent="0.25">
      <c r="A28" s="239" t="s">
        <v>922</v>
      </c>
      <c r="B28" s="1"/>
      <c r="C28" s="119"/>
      <c r="I28" s="199" t="s">
        <v>148</v>
      </c>
    </row>
    <row r="29" spans="1:9" s="24" customFormat="1" ht="20.25" customHeight="1" thickTop="1" thickBot="1" x14ac:dyDescent="0.25">
      <c r="A29" s="21" t="s">
        <v>149</v>
      </c>
      <c r="B29" s="23" t="s">
        <v>150</v>
      </c>
      <c r="C29" s="167" t="s">
        <v>639</v>
      </c>
      <c r="D29" s="170" t="s">
        <v>639</v>
      </c>
      <c r="E29" s="46" t="s">
        <v>151</v>
      </c>
      <c r="F29" s="46" t="s">
        <v>152</v>
      </c>
      <c r="G29" s="46" t="s">
        <v>796</v>
      </c>
      <c r="H29" s="46" t="s">
        <v>797</v>
      </c>
      <c r="I29" s="194" t="s">
        <v>798</v>
      </c>
    </row>
    <row r="30" spans="1:9" s="319" customFormat="1" ht="13.5" thickTop="1" thickBot="1" x14ac:dyDescent="0.25">
      <c r="A30" s="315">
        <v>1</v>
      </c>
      <c r="B30" s="316">
        <v>2</v>
      </c>
      <c r="C30" s="316">
        <v>3</v>
      </c>
      <c r="D30" s="316">
        <v>4</v>
      </c>
      <c r="E30" s="316">
        <v>5</v>
      </c>
      <c r="F30" s="317">
        <v>6</v>
      </c>
      <c r="G30" s="317">
        <v>7</v>
      </c>
      <c r="H30" s="318">
        <v>8</v>
      </c>
      <c r="I30" s="353" t="s">
        <v>689</v>
      </c>
    </row>
    <row r="31" spans="1:9" ht="16.5" thickTop="1" thickBot="1" x14ac:dyDescent="0.3">
      <c r="A31" s="34">
        <v>3636</v>
      </c>
      <c r="B31" s="115">
        <v>5222</v>
      </c>
      <c r="C31" s="240"/>
      <c r="D31" s="241"/>
      <c r="E31" s="72" t="s">
        <v>202</v>
      </c>
      <c r="F31" s="163">
        <v>277</v>
      </c>
      <c r="G31" s="84">
        <v>277</v>
      </c>
      <c r="H31" s="84">
        <v>277</v>
      </c>
      <c r="I31" s="196">
        <f>(H31/G31)*100</f>
        <v>100</v>
      </c>
    </row>
    <row r="32" spans="1:9" ht="18" customHeight="1" thickTop="1" thickBot="1" x14ac:dyDescent="0.3">
      <c r="A32" s="3089" t="s">
        <v>225</v>
      </c>
      <c r="B32" s="3090"/>
      <c r="C32" s="3090"/>
      <c r="D32" s="3090"/>
      <c r="E32" s="3090"/>
      <c r="F32" s="110">
        <f t="shared" ref="F32:H33" si="1">F31</f>
        <v>277</v>
      </c>
      <c r="G32" s="110">
        <f t="shared" si="1"/>
        <v>277</v>
      </c>
      <c r="H32" s="110">
        <f t="shared" si="1"/>
        <v>277</v>
      </c>
      <c r="I32" s="205">
        <f>(H32/G32)*100</f>
        <v>100</v>
      </c>
    </row>
    <row r="33" spans="1:15" ht="18" customHeight="1" thickTop="1" thickBot="1" x14ac:dyDescent="0.3">
      <c r="A33" s="3089" t="s">
        <v>562</v>
      </c>
      <c r="B33" s="3090"/>
      <c r="C33" s="3090"/>
      <c r="D33" s="3090"/>
      <c r="E33" s="3090"/>
      <c r="F33" s="110">
        <f t="shared" si="1"/>
        <v>277</v>
      </c>
      <c r="G33" s="110">
        <f t="shared" si="1"/>
        <v>277</v>
      </c>
      <c r="H33" s="110">
        <f t="shared" si="1"/>
        <v>277</v>
      </c>
      <c r="I33" s="205">
        <f>(H33/G33)*100</f>
        <v>100</v>
      </c>
    </row>
    <row r="34" spans="1:15" ht="13.5" thickTop="1" x14ac:dyDescent="0.2"/>
    <row r="36" spans="1:15" customFormat="1" ht="15.75" x14ac:dyDescent="0.25">
      <c r="A36" s="3091" t="s">
        <v>917</v>
      </c>
      <c r="B36" s="3092"/>
      <c r="C36" s="3092"/>
      <c r="D36" s="3092"/>
      <c r="E36" s="3092"/>
      <c r="F36" s="300"/>
      <c r="G36" s="300"/>
      <c r="H36" s="301"/>
    </row>
    <row r="37" spans="1:15" customFormat="1" ht="15.75" x14ac:dyDescent="0.25">
      <c r="A37" s="3092"/>
      <c r="B37" s="3092"/>
      <c r="C37" s="3092"/>
      <c r="D37" s="3092"/>
      <c r="E37" s="3092"/>
      <c r="F37" s="300">
        <f>SUM(F38:F41)</f>
        <v>2000</v>
      </c>
      <c r="G37" s="300">
        <f>SUM(G38:G41)</f>
        <v>775</v>
      </c>
      <c r="H37" s="300">
        <f>SUM(H38:H41)</f>
        <v>775</v>
      </c>
      <c r="I37" s="206">
        <f>H37/G37*100</f>
        <v>100</v>
      </c>
    </row>
    <row r="38" spans="1:15" s="103" customFormat="1" ht="15" x14ac:dyDescent="0.2">
      <c r="A38" s="256" t="s">
        <v>242</v>
      </c>
      <c r="B38" s="109"/>
      <c r="D38" s="158"/>
      <c r="F38" s="257">
        <f>F32+F13</f>
        <v>616</v>
      </c>
      <c r="G38" s="257">
        <f>G32+G13</f>
        <v>292</v>
      </c>
      <c r="H38" s="257">
        <f>H32+H13</f>
        <v>292</v>
      </c>
      <c r="I38" s="212">
        <f>H38/G38*100</f>
        <v>100</v>
      </c>
      <c r="L38" s="242"/>
      <c r="M38" s="242"/>
      <c r="N38" s="242"/>
      <c r="O38" s="243"/>
    </row>
    <row r="39" spans="1:15" s="103" customFormat="1" ht="15" x14ac:dyDescent="0.2">
      <c r="A39" s="256" t="s">
        <v>243</v>
      </c>
      <c r="B39" s="109"/>
      <c r="D39" s="158"/>
      <c r="F39" s="257">
        <f>F24+F16</f>
        <v>1384</v>
      </c>
      <c r="G39" s="257">
        <f>G24+G16</f>
        <v>483</v>
      </c>
      <c r="H39" s="257">
        <f>H24+H16</f>
        <v>483</v>
      </c>
      <c r="I39" s="212">
        <f>H39/G39*100</f>
        <v>100</v>
      </c>
      <c r="L39" s="242"/>
      <c r="M39" s="242"/>
      <c r="N39" s="242"/>
      <c r="O39" s="243"/>
    </row>
    <row r="40" spans="1:15" s="103" customFormat="1" ht="15" x14ac:dyDescent="0.2">
      <c r="A40" s="256" t="s">
        <v>191</v>
      </c>
      <c r="B40" s="109"/>
      <c r="D40" s="158"/>
      <c r="F40" s="257">
        <v>0</v>
      </c>
      <c r="G40" s="257">
        <v>0</v>
      </c>
      <c r="H40" s="257">
        <v>0</v>
      </c>
      <c r="I40" s="212">
        <v>0</v>
      </c>
      <c r="L40" s="242"/>
      <c r="M40" s="242"/>
      <c r="N40" s="242"/>
      <c r="O40" s="243"/>
    </row>
    <row r="41" spans="1:15" s="103" customFormat="1" ht="15" x14ac:dyDescent="0.2">
      <c r="A41" s="256" t="s">
        <v>1034</v>
      </c>
      <c r="B41" s="109"/>
      <c r="D41" s="158"/>
      <c r="F41" s="257">
        <v>0</v>
      </c>
      <c r="G41" s="257">
        <v>0</v>
      </c>
      <c r="H41" s="257">
        <v>0</v>
      </c>
      <c r="I41" s="212">
        <v>0</v>
      </c>
      <c r="L41" s="242"/>
      <c r="M41" s="242"/>
      <c r="N41" s="242"/>
      <c r="O41" s="243"/>
    </row>
    <row r="42" spans="1:15" s="103" customFormat="1" ht="15.75" x14ac:dyDescent="0.25">
      <c r="A42" s="109"/>
      <c r="B42" s="109"/>
      <c r="D42" s="158"/>
      <c r="F42" s="99"/>
      <c r="G42" s="99"/>
      <c r="H42" s="99"/>
      <c r="I42" s="206"/>
      <c r="L42" s="242"/>
      <c r="M42" s="242"/>
      <c r="N42" s="242"/>
      <c r="O42" s="243"/>
    </row>
    <row r="44" spans="1:15" s="58" customFormat="1" ht="31.5" customHeight="1" x14ac:dyDescent="0.35">
      <c r="A44" s="3086" t="s">
        <v>143</v>
      </c>
      <c r="B44" s="3087"/>
      <c r="C44" s="3087"/>
      <c r="D44" s="3087"/>
      <c r="E44" s="3087"/>
      <c r="F44" s="3088">
        <f>F38+F39</f>
        <v>2000</v>
      </c>
      <c r="G44" s="3088">
        <f>G38+G39</f>
        <v>775</v>
      </c>
      <c r="H44" s="3088">
        <f>H38+H39</f>
        <v>775</v>
      </c>
      <c r="I44" s="3084">
        <f>(H44/G44)*100</f>
        <v>100</v>
      </c>
    </row>
    <row r="45" spans="1:15" ht="13.5" thickBot="1" x14ac:dyDescent="0.25">
      <c r="A45" s="3085"/>
      <c r="B45" s="3085"/>
      <c r="C45" s="3085"/>
      <c r="D45" s="3085"/>
      <c r="E45" s="3085"/>
      <c r="F45" s="3085"/>
      <c r="G45" s="3085"/>
      <c r="H45" s="3085"/>
      <c r="I45" s="3085"/>
    </row>
    <row r="46" spans="1:15" ht="13.5" thickTop="1" x14ac:dyDescent="0.2"/>
  </sheetData>
  <mergeCells count="13">
    <mergeCell ref="A24:E24"/>
    <mergeCell ref="A13:E13"/>
    <mergeCell ref="A16:E16"/>
    <mergeCell ref="A17:E17"/>
    <mergeCell ref="A36:E37"/>
    <mergeCell ref="A25:E25"/>
    <mergeCell ref="A32:E32"/>
    <mergeCell ref="A33:E33"/>
    <mergeCell ref="I44:I45"/>
    <mergeCell ref="A44:E45"/>
    <mergeCell ref="G44:G45"/>
    <mergeCell ref="F44:F45"/>
    <mergeCell ref="H44:H45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41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 enableFormatConditionsCalculation="0">
    <tabColor indexed="33"/>
  </sheetPr>
  <dimension ref="A1:J48"/>
  <sheetViews>
    <sheetView showGridLines="0" zoomScaleNormal="100" workbookViewId="0">
      <selection activeCell="A5" sqref="A5"/>
    </sheetView>
  </sheetViews>
  <sheetFormatPr defaultColWidth="9.140625" defaultRowHeight="12.75" x14ac:dyDescent="0.2"/>
  <cols>
    <col min="1" max="1" width="6.140625" style="1" customWidth="1"/>
    <col min="2" max="2" width="5.42578125" style="119" customWidth="1"/>
    <col min="3" max="3" width="6.7109375" style="144" customWidth="1"/>
    <col min="4" max="4" width="47.85546875" style="119" customWidth="1"/>
    <col min="5" max="5" width="12.140625" style="120" customWidth="1"/>
    <col min="6" max="6" width="12.7109375" style="120" customWidth="1"/>
    <col min="7" max="7" width="11.5703125" style="120" customWidth="1"/>
    <col min="8" max="8" width="8.7109375" style="199" customWidth="1"/>
    <col min="9" max="10" width="9.140625" style="120"/>
    <col min="11" max="16384" width="9.140625" style="119"/>
  </cols>
  <sheetData>
    <row r="1" spans="1:10" ht="18.75" thickBot="1" x14ac:dyDescent="0.3">
      <c r="A1" s="2" t="s">
        <v>114</v>
      </c>
      <c r="B1" s="26"/>
      <c r="C1" s="139"/>
      <c r="D1" s="9"/>
      <c r="E1" s="150"/>
      <c r="F1" s="11" t="s">
        <v>115</v>
      </c>
      <c r="I1" s="18"/>
    </row>
    <row r="2" spans="1:10" ht="12.75" customHeight="1" x14ac:dyDescent="0.25">
      <c r="A2" s="6"/>
      <c r="B2" s="28"/>
      <c r="C2" s="140"/>
      <c r="D2" s="10"/>
      <c r="E2" s="135"/>
      <c r="F2" s="135"/>
      <c r="G2" s="16"/>
      <c r="H2" s="191"/>
      <c r="I2" s="18"/>
    </row>
    <row r="3" spans="1:10" ht="12.75" customHeight="1" x14ac:dyDescent="0.25">
      <c r="A3" s="67" t="s">
        <v>336</v>
      </c>
      <c r="B3" s="28"/>
      <c r="C3" s="141" t="s">
        <v>195</v>
      </c>
      <c r="D3" s="14"/>
      <c r="E3" s="135"/>
      <c r="F3" s="16"/>
      <c r="G3" s="17"/>
      <c r="H3" s="192"/>
      <c r="I3" s="119"/>
      <c r="J3" s="119"/>
    </row>
    <row r="4" spans="1:10" ht="12.75" customHeight="1" x14ac:dyDescent="0.25">
      <c r="A4" s="6"/>
      <c r="B4" s="28"/>
      <c r="C4" s="141" t="s">
        <v>196</v>
      </c>
      <c r="D4" s="133"/>
      <c r="E4" s="136"/>
      <c r="F4" s="16"/>
      <c r="G4" s="17"/>
      <c r="H4" s="192"/>
      <c r="I4" s="119"/>
      <c r="J4" s="119"/>
    </row>
    <row r="5" spans="1:10" ht="12.75" customHeight="1" x14ac:dyDescent="0.25">
      <c r="A5" s="6"/>
      <c r="B5" s="28"/>
      <c r="C5" s="140"/>
      <c r="D5" s="10"/>
      <c r="E5" s="135"/>
      <c r="F5" s="135"/>
      <c r="G5" s="16"/>
      <c r="H5" s="191"/>
      <c r="I5" s="18"/>
    </row>
    <row r="6" spans="1:10" ht="18" x14ac:dyDescent="0.25">
      <c r="A6" s="33" t="s">
        <v>799</v>
      </c>
      <c r="B6" s="28"/>
      <c r="C6" s="140"/>
      <c r="D6" s="10"/>
      <c r="E6" s="135"/>
      <c r="F6" s="135"/>
      <c r="G6" s="16"/>
      <c r="H6" s="191"/>
      <c r="I6" s="18"/>
    </row>
    <row r="7" spans="1:10" ht="13.5" thickBot="1" x14ac:dyDescent="0.25">
      <c r="A7" s="25"/>
      <c r="B7" s="25"/>
      <c r="C7" s="142"/>
      <c r="D7" s="3"/>
      <c r="G7" s="138"/>
      <c r="H7" s="199" t="s">
        <v>148</v>
      </c>
    </row>
    <row r="8" spans="1:10" s="24" customFormat="1" ht="20.25" customHeight="1" thickTop="1" thickBot="1" x14ac:dyDescent="0.25">
      <c r="A8" s="21" t="s">
        <v>149</v>
      </c>
      <c r="B8" s="22" t="s">
        <v>150</v>
      </c>
      <c r="C8" s="170" t="s">
        <v>639</v>
      </c>
      <c r="D8" s="46" t="s">
        <v>151</v>
      </c>
      <c r="E8" s="46" t="s">
        <v>152</v>
      </c>
      <c r="F8" s="46" t="s">
        <v>796</v>
      </c>
      <c r="G8" s="46" t="s">
        <v>797</v>
      </c>
      <c r="H8" s="194" t="s">
        <v>798</v>
      </c>
      <c r="I8" s="54"/>
      <c r="J8" s="54"/>
    </row>
    <row r="9" spans="1:10" ht="15.75" thickTop="1" x14ac:dyDescent="0.25">
      <c r="A9" s="34">
        <v>6172</v>
      </c>
      <c r="B9" s="19">
        <v>5163</v>
      </c>
      <c r="C9" s="121"/>
      <c r="D9" s="127" t="s">
        <v>807</v>
      </c>
      <c r="E9" s="29"/>
      <c r="F9" s="146">
        <v>4</v>
      </c>
      <c r="G9" s="147">
        <v>3</v>
      </c>
      <c r="H9" s="187">
        <f>(G9/F9)*100</f>
        <v>75</v>
      </c>
    </row>
    <row r="10" spans="1:10" ht="18" x14ac:dyDescent="0.25">
      <c r="A10" s="34"/>
      <c r="B10" s="19"/>
      <c r="C10" s="121"/>
      <c r="D10" s="83" t="s">
        <v>357</v>
      </c>
      <c r="E10" s="29"/>
      <c r="F10" s="129"/>
      <c r="G10" s="148"/>
      <c r="H10" s="187"/>
    </row>
    <row r="11" spans="1:10" ht="15.75" thickBot="1" x14ac:dyDescent="0.3">
      <c r="A11" s="49"/>
      <c r="B11" s="20"/>
      <c r="C11" s="126"/>
      <c r="D11" s="32" t="s">
        <v>116</v>
      </c>
      <c r="E11" s="30"/>
      <c r="F11" s="96">
        <v>4</v>
      </c>
      <c r="G11" s="149"/>
      <c r="H11" s="190"/>
    </row>
    <row r="12" spans="1:10" s="8" customFormat="1" ht="35.25" customHeight="1" thickTop="1" thickBot="1" x14ac:dyDescent="0.3">
      <c r="A12" s="35" t="s">
        <v>225</v>
      </c>
      <c r="B12" s="51"/>
      <c r="C12" s="143"/>
      <c r="D12" s="36"/>
      <c r="E12" s="37">
        <v>0</v>
      </c>
      <c r="F12" s="37">
        <v>4</v>
      </c>
      <c r="G12" s="37">
        <v>3</v>
      </c>
      <c r="H12" s="188">
        <f>(G12/F12)*100</f>
        <v>75</v>
      </c>
    </row>
    <row r="13" spans="1:10" ht="13.5" thickTop="1" x14ac:dyDescent="0.2">
      <c r="A13" s="25"/>
      <c r="B13" s="27"/>
      <c r="I13" s="151"/>
      <c r="J13" s="119"/>
    </row>
    <row r="14" spans="1:10" x14ac:dyDescent="0.2">
      <c r="A14" s="25"/>
      <c r="B14" s="27"/>
      <c r="I14" s="151"/>
      <c r="J14" s="119"/>
    </row>
    <row r="15" spans="1:10" ht="15.75" x14ac:dyDescent="0.25">
      <c r="A15" s="159" t="s">
        <v>1023</v>
      </c>
      <c r="B15" s="27"/>
      <c r="I15" s="151"/>
      <c r="J15" s="119"/>
    </row>
    <row r="16" spans="1:10" x14ac:dyDescent="0.2">
      <c r="A16" s="25"/>
      <c r="B16" s="27"/>
      <c r="I16" s="151"/>
      <c r="J16" s="119"/>
    </row>
    <row r="17" spans="1:10" customFormat="1" ht="13.5" thickBot="1" x14ac:dyDescent="0.25">
      <c r="A17" s="70" t="s">
        <v>117</v>
      </c>
      <c r="B17" s="1"/>
      <c r="D17" s="144"/>
      <c r="F17" s="12"/>
      <c r="G17" s="12"/>
      <c r="H17" s="112" t="s">
        <v>148</v>
      </c>
      <c r="I17" s="12"/>
    </row>
    <row r="18" spans="1:10" s="24" customFormat="1" ht="20.25" customHeight="1" thickTop="1" thickBot="1" x14ac:dyDescent="0.25">
      <c r="A18" s="21" t="s">
        <v>149</v>
      </c>
      <c r="B18" s="22" t="s">
        <v>150</v>
      </c>
      <c r="C18" s="170" t="s">
        <v>639</v>
      </c>
      <c r="D18" s="46" t="s">
        <v>151</v>
      </c>
      <c r="E18" s="46" t="s">
        <v>152</v>
      </c>
      <c r="F18" s="46" t="s">
        <v>796</v>
      </c>
      <c r="G18" s="46" t="s">
        <v>797</v>
      </c>
      <c r="H18" s="194" t="s">
        <v>798</v>
      </c>
      <c r="I18" s="54"/>
      <c r="J18" s="54"/>
    </row>
    <row r="19" spans="1:10" ht="15.75" thickTop="1" x14ac:dyDescent="0.25">
      <c r="A19" s="34">
        <v>3314</v>
      </c>
      <c r="B19" s="19">
        <v>6119</v>
      </c>
      <c r="C19" s="121"/>
      <c r="D19" s="127" t="s">
        <v>118</v>
      </c>
      <c r="E19" s="29"/>
      <c r="F19" s="61">
        <v>346</v>
      </c>
      <c r="G19" s="59">
        <v>346</v>
      </c>
      <c r="H19" s="187">
        <f>(G19/F19)*100</f>
        <v>100</v>
      </c>
    </row>
    <row r="20" spans="1:10" ht="15" x14ac:dyDescent="0.25">
      <c r="A20" s="34"/>
      <c r="B20" s="19"/>
      <c r="C20" s="121"/>
      <c r="D20" s="83" t="s">
        <v>357</v>
      </c>
      <c r="E20" s="29"/>
      <c r="F20" s="124"/>
      <c r="G20" s="174"/>
      <c r="H20" s="187"/>
    </row>
    <row r="21" spans="1:10" ht="15.75" thickBot="1" x14ac:dyDescent="0.3">
      <c r="A21" s="49"/>
      <c r="B21" s="20"/>
      <c r="C21" s="126"/>
      <c r="D21" s="85" t="s">
        <v>119</v>
      </c>
      <c r="E21" s="30"/>
      <c r="F21" s="175">
        <v>346</v>
      </c>
      <c r="G21" s="176"/>
      <c r="H21" s="186"/>
    </row>
    <row r="22" spans="1:10" s="8" customFormat="1" ht="35.25" customHeight="1" thickTop="1" thickBot="1" x14ac:dyDescent="0.3">
      <c r="A22" s="35" t="s">
        <v>120</v>
      </c>
      <c r="B22" s="51"/>
      <c r="C22" s="143"/>
      <c r="D22" s="36"/>
      <c r="E22" s="37">
        <v>0</v>
      </c>
      <c r="F22" s="37">
        <v>346</v>
      </c>
      <c r="G22" s="37">
        <v>346</v>
      </c>
      <c r="H22" s="188">
        <f>(G22/F22)*100</f>
        <v>100</v>
      </c>
    </row>
    <row r="23" spans="1:10" ht="13.5" thickTop="1" x14ac:dyDescent="0.2">
      <c r="A23" s="25"/>
      <c r="B23" s="27"/>
      <c r="I23" s="151"/>
      <c r="J23" s="119"/>
    </row>
    <row r="24" spans="1:10" x14ac:dyDescent="0.2">
      <c r="A24" s="25"/>
      <c r="B24" s="27"/>
      <c r="I24" s="151"/>
      <c r="J24" s="119"/>
    </row>
    <row r="25" spans="1:10" customFormat="1" ht="13.5" thickBot="1" x14ac:dyDescent="0.25">
      <c r="A25" s="70" t="s">
        <v>853</v>
      </c>
      <c r="B25" s="1"/>
      <c r="D25" s="144"/>
      <c r="F25" s="12"/>
      <c r="G25" s="12"/>
      <c r="H25" s="112" t="s">
        <v>148</v>
      </c>
      <c r="I25" s="12"/>
    </row>
    <row r="26" spans="1:10" s="24" customFormat="1" ht="20.25" customHeight="1" thickTop="1" thickBot="1" x14ac:dyDescent="0.25">
      <c r="A26" s="21" t="s">
        <v>149</v>
      </c>
      <c r="B26" s="22" t="s">
        <v>150</v>
      </c>
      <c r="C26" s="170" t="s">
        <v>639</v>
      </c>
      <c r="D26" s="46" t="s">
        <v>151</v>
      </c>
      <c r="E26" s="46" t="s">
        <v>152</v>
      </c>
      <c r="F26" s="46" t="s">
        <v>796</v>
      </c>
      <c r="G26" s="46" t="s">
        <v>797</v>
      </c>
      <c r="H26" s="194" t="s">
        <v>798</v>
      </c>
      <c r="I26" s="54"/>
      <c r="J26" s="54"/>
    </row>
    <row r="27" spans="1:10" ht="15.75" thickTop="1" x14ac:dyDescent="0.25">
      <c r="A27" s="34">
        <v>2140</v>
      </c>
      <c r="B27" s="19">
        <v>5169</v>
      </c>
      <c r="C27" s="121"/>
      <c r="D27" s="127" t="s">
        <v>769</v>
      </c>
      <c r="E27" s="29"/>
      <c r="F27" s="61">
        <v>251</v>
      </c>
      <c r="G27" s="59">
        <v>251</v>
      </c>
      <c r="H27" s="187">
        <f>(G27/F27)*100</f>
        <v>100</v>
      </c>
    </row>
    <row r="28" spans="1:10" ht="15" x14ac:dyDescent="0.25">
      <c r="A28" s="34"/>
      <c r="B28" s="19"/>
      <c r="C28" s="121"/>
      <c r="D28" s="83" t="s">
        <v>357</v>
      </c>
      <c r="E28" s="29"/>
      <c r="F28" s="124"/>
      <c r="G28" s="174"/>
      <c r="H28" s="187"/>
    </row>
    <row r="29" spans="1:10" ht="15.75" thickBot="1" x14ac:dyDescent="0.3">
      <c r="A29" s="49"/>
      <c r="B29" s="20"/>
      <c r="C29" s="126">
        <v>4</v>
      </c>
      <c r="D29" s="85" t="s">
        <v>854</v>
      </c>
      <c r="E29" s="30"/>
      <c r="F29" s="175">
        <v>251</v>
      </c>
      <c r="G29" s="176">
        <v>251</v>
      </c>
      <c r="H29" s="186">
        <f>(G29/F29)*100</f>
        <v>100</v>
      </c>
    </row>
    <row r="30" spans="1:10" s="8" customFormat="1" ht="35.25" customHeight="1" thickTop="1" thickBot="1" x14ac:dyDescent="0.3">
      <c r="A30" s="35" t="s">
        <v>1024</v>
      </c>
      <c r="B30" s="51"/>
      <c r="C30" s="143"/>
      <c r="D30" s="36"/>
      <c r="E30" s="37">
        <v>0</v>
      </c>
      <c r="F30" s="37">
        <v>251</v>
      </c>
      <c r="G30" s="37">
        <v>251</v>
      </c>
      <c r="H30" s="188">
        <f>(G30/F30)*100</f>
        <v>100</v>
      </c>
    </row>
    <row r="31" spans="1:10" ht="13.5" thickTop="1" x14ac:dyDescent="0.2">
      <c r="A31" s="25"/>
      <c r="B31" s="27"/>
      <c r="I31" s="151"/>
      <c r="J31" s="119"/>
    </row>
    <row r="32" spans="1:10" x14ac:dyDescent="0.2">
      <c r="A32" s="25"/>
      <c r="B32" s="27"/>
      <c r="I32" s="151"/>
      <c r="J32" s="119"/>
    </row>
    <row r="33" spans="1:10" customFormat="1" ht="13.5" thickBot="1" x14ac:dyDescent="0.25">
      <c r="A33" s="70" t="s">
        <v>1021</v>
      </c>
      <c r="B33" s="1"/>
      <c r="D33" s="144"/>
      <c r="F33" s="12"/>
      <c r="G33" s="12"/>
      <c r="H33" s="112" t="s">
        <v>148</v>
      </c>
      <c r="I33" s="12"/>
    </row>
    <row r="34" spans="1:10" s="24" customFormat="1" ht="20.25" customHeight="1" thickTop="1" thickBot="1" x14ac:dyDescent="0.25">
      <c r="A34" s="21" t="s">
        <v>149</v>
      </c>
      <c r="B34" s="22" t="s">
        <v>150</v>
      </c>
      <c r="C34" s="170" t="s">
        <v>639</v>
      </c>
      <c r="D34" s="46" t="s">
        <v>151</v>
      </c>
      <c r="E34" s="46" t="s">
        <v>152</v>
      </c>
      <c r="F34" s="46" t="s">
        <v>796</v>
      </c>
      <c r="G34" s="46" t="s">
        <v>797</v>
      </c>
      <c r="H34" s="194" t="s">
        <v>798</v>
      </c>
      <c r="I34" s="54"/>
      <c r="J34" s="54"/>
    </row>
    <row r="35" spans="1:10" ht="15.75" thickTop="1" x14ac:dyDescent="0.25">
      <c r="A35" s="34">
        <v>2212</v>
      </c>
      <c r="B35" s="19">
        <v>6121</v>
      </c>
      <c r="C35" s="121"/>
      <c r="D35" s="127" t="s">
        <v>548</v>
      </c>
      <c r="E35" s="29"/>
      <c r="F35" s="146">
        <v>123</v>
      </c>
      <c r="G35" s="147">
        <v>123</v>
      </c>
      <c r="H35" s="187">
        <f>(G35/F35)*100</f>
        <v>100</v>
      </c>
    </row>
    <row r="36" spans="1:10" ht="18" x14ac:dyDescent="0.25">
      <c r="A36" s="34"/>
      <c r="B36" s="19"/>
      <c r="C36" s="121"/>
      <c r="D36" s="83" t="s">
        <v>357</v>
      </c>
      <c r="E36" s="29"/>
      <c r="F36" s="129"/>
      <c r="G36" s="148"/>
      <c r="H36" s="187"/>
    </row>
    <row r="37" spans="1:10" ht="15.75" thickBot="1" x14ac:dyDescent="0.3">
      <c r="A37" s="49"/>
      <c r="B37" s="20"/>
      <c r="C37" s="126"/>
      <c r="D37" s="85" t="s">
        <v>1022</v>
      </c>
      <c r="E37" s="30"/>
      <c r="F37" s="96">
        <v>123</v>
      </c>
      <c r="G37" s="149"/>
      <c r="H37" s="190"/>
    </row>
    <row r="38" spans="1:10" s="8" customFormat="1" ht="35.25" customHeight="1" thickTop="1" thickBot="1" x14ac:dyDescent="0.3">
      <c r="A38" s="35" t="s">
        <v>120</v>
      </c>
      <c r="B38" s="51"/>
      <c r="C38" s="143"/>
      <c r="D38" s="36"/>
      <c r="E38" s="37">
        <v>0</v>
      </c>
      <c r="F38" s="37">
        <v>123</v>
      </c>
      <c r="G38" s="37">
        <v>123</v>
      </c>
      <c r="H38" s="188">
        <f>(G38/F38)*100</f>
        <v>100</v>
      </c>
    </row>
    <row r="39" spans="1:10" ht="13.5" thickTop="1" x14ac:dyDescent="0.2">
      <c r="A39" s="25"/>
      <c r="B39" s="27"/>
      <c r="I39" s="151"/>
      <c r="J39" s="119"/>
    </row>
    <row r="40" spans="1:10" s="98" customFormat="1" ht="15.75" x14ac:dyDescent="0.25">
      <c r="A40" s="100" t="s">
        <v>122</v>
      </c>
      <c r="B40" s="101"/>
      <c r="C40" s="102"/>
      <c r="D40" s="103"/>
      <c r="E40" s="99"/>
      <c r="F40" s="99">
        <f>SUM(F12)</f>
        <v>4</v>
      </c>
      <c r="G40" s="99">
        <f>SUM(G12)</f>
        <v>3</v>
      </c>
      <c r="H40" s="206">
        <f>G40/F40*100</f>
        <v>75</v>
      </c>
    </row>
    <row r="41" spans="1:10" s="98" customFormat="1" ht="15.75" x14ac:dyDescent="0.25">
      <c r="A41" s="100" t="s">
        <v>1025</v>
      </c>
      <c r="B41" s="100"/>
      <c r="C41" s="104"/>
      <c r="D41" s="105"/>
      <c r="E41" s="99"/>
      <c r="F41" s="99">
        <f>SUM(F30)</f>
        <v>251</v>
      </c>
      <c r="G41" s="99">
        <f>SUM(G30)</f>
        <v>251</v>
      </c>
      <c r="H41" s="206">
        <f>G41/F41*100</f>
        <v>100</v>
      </c>
    </row>
    <row r="42" spans="1:10" s="98" customFormat="1" ht="15.75" x14ac:dyDescent="0.25">
      <c r="A42" s="100" t="s">
        <v>1026</v>
      </c>
      <c r="B42" s="100"/>
      <c r="C42" s="104"/>
      <c r="D42" s="105"/>
      <c r="E42" s="99"/>
      <c r="F42" s="99">
        <f>SUM(F22,F38)</f>
        <v>469</v>
      </c>
      <c r="G42" s="99">
        <f>SUM(G22,G38)</f>
        <v>469</v>
      </c>
      <c r="H42" s="206">
        <f>G42/F42*100</f>
        <v>100</v>
      </c>
    </row>
    <row r="43" spans="1:10" x14ac:dyDescent="0.2">
      <c r="A43" s="25"/>
      <c r="B43" s="27"/>
      <c r="I43" s="151"/>
      <c r="J43" s="119"/>
    </row>
    <row r="44" spans="1:10" x14ac:dyDescent="0.2">
      <c r="A44" s="25"/>
      <c r="B44" s="27"/>
      <c r="I44" s="151"/>
      <c r="J44" s="119"/>
    </row>
    <row r="45" spans="1:10" x14ac:dyDescent="0.2">
      <c r="A45" s="25"/>
      <c r="B45" s="27"/>
      <c r="I45" s="151"/>
      <c r="J45" s="119"/>
    </row>
    <row r="46" spans="1:10" x14ac:dyDescent="0.2">
      <c r="A46" s="25"/>
      <c r="B46" s="27"/>
      <c r="I46" s="151"/>
      <c r="J46" s="119"/>
    </row>
    <row r="47" spans="1:10" s="58" customFormat="1" ht="47.25" customHeight="1" thickBot="1" x14ac:dyDescent="0.4">
      <c r="A47" s="3095" t="s">
        <v>650</v>
      </c>
      <c r="B47" s="3096"/>
      <c r="C47" s="3096"/>
      <c r="D47" s="3096"/>
      <c r="E47" s="44">
        <v>0</v>
      </c>
      <c r="F47" s="44">
        <f>SUM(F40,F41,F42)</f>
        <v>724</v>
      </c>
      <c r="G47" s="44">
        <f>SUM(G40,G41,G42)</f>
        <v>723</v>
      </c>
      <c r="H47" s="189">
        <f>(G47/F47)*100</f>
        <v>99.861878453038671</v>
      </c>
      <c r="I47" s="114"/>
    </row>
    <row r="48" spans="1:10" s="4" customFormat="1" ht="13.5" thickTop="1" x14ac:dyDescent="0.2">
      <c r="A48" s="1"/>
      <c r="B48" s="1"/>
      <c r="C48" s="145"/>
      <c r="E48" s="53"/>
      <c r="F48" s="56"/>
      <c r="G48" s="13"/>
      <c r="H48" s="202"/>
      <c r="I48" s="53"/>
      <c r="J48" s="53"/>
    </row>
  </sheetData>
  <mergeCells count="1">
    <mergeCell ref="A47:D47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firstPageNumber="69" orientation="portrait" r:id="rId1"/>
  <headerFooter alignWithMargins="0">
    <oddFooter xml:space="preserve">&amp;L&amp;"Arial,Kurzíva"Zastupitelstvo Olomouckého kraje 22.4.2005
5-Rozpočet Olomouckého kraje 2004 - závěrečný účet Olomouckého kraje za rok 2004
Příloha č. 2: Plnění rozpočtu výdajů OK k 31.12.2004&amp;R&amp;"Arial,Kurzíva"Stránka &amp;P (celkem 700)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"/>
  <sheetViews>
    <sheetView workbookViewId="0"/>
  </sheetViews>
  <sheetFormatPr defaultRowHeight="12.75" x14ac:dyDescent="0.2"/>
  <sheetData/>
  <phoneticPr fontId="35" type="noConversion"/>
  <pageMargins left="0.78740157499999996" right="0.78740157499999996" top="0.984251969" bottom="0.984251969" header="0.4921259845" footer="0.492125984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 enableFormatConditionsCalculation="0">
    <tabColor rgb="FF00B0F0"/>
  </sheetPr>
  <dimension ref="A1:L131"/>
  <sheetViews>
    <sheetView showGridLines="0" view="pageBreakPreview" zoomScaleNormal="100" zoomScaleSheetLayoutView="100" workbookViewId="0">
      <selection activeCell="E137" sqref="E137"/>
    </sheetView>
  </sheetViews>
  <sheetFormatPr defaultColWidth="9.140625" defaultRowHeight="14.25" x14ac:dyDescent="0.2"/>
  <cols>
    <col min="1" max="1" width="4.7109375" style="598" customWidth="1"/>
    <col min="2" max="2" width="4.7109375" style="504" customWidth="1"/>
    <col min="3" max="3" width="9.5703125" style="609" customWidth="1"/>
    <col min="4" max="4" width="47.28515625" style="504" customWidth="1"/>
    <col min="5" max="5" width="14.5703125" style="465" customWidth="1"/>
    <col min="6" max="6" width="14.140625" style="465" customWidth="1"/>
    <col min="7" max="7" width="13.140625" style="465" customWidth="1"/>
    <col min="8" max="8" width="8.5703125" style="668" customWidth="1"/>
    <col min="9" max="9" width="9.140625" style="611"/>
    <col min="10" max="10" width="17.7109375" style="611" customWidth="1"/>
    <col min="11" max="11" width="20" style="611" customWidth="1"/>
    <col min="12" max="12" width="18.42578125" style="611" customWidth="1"/>
    <col min="13" max="16384" width="9.140625" style="611"/>
  </cols>
  <sheetData>
    <row r="1" spans="1:10" s="504" customFormat="1" ht="18.75" thickBot="1" x14ac:dyDescent="0.3">
      <c r="A1" s="448" t="s">
        <v>641</v>
      </c>
      <c r="B1" s="449"/>
      <c r="C1" s="450"/>
      <c r="D1" s="460"/>
      <c r="E1" s="464"/>
      <c r="F1" s="452" t="s">
        <v>642</v>
      </c>
      <c r="G1" s="465"/>
      <c r="H1" s="668"/>
      <c r="I1" s="17"/>
      <c r="J1" s="467"/>
    </row>
    <row r="2" spans="1:10" s="504" customFormat="1" ht="12.75" customHeight="1" x14ac:dyDescent="0.25">
      <c r="A2" s="6"/>
      <c r="B2" s="28"/>
      <c r="C2" s="140"/>
      <c r="D2" s="10"/>
      <c r="E2" s="165"/>
      <c r="F2" s="165"/>
      <c r="G2" s="166"/>
      <c r="H2" s="207"/>
      <c r="I2" s="17"/>
      <c r="J2" s="467"/>
    </row>
    <row r="3" spans="1:10" s="504" customFormat="1" ht="12.75" customHeight="1" x14ac:dyDescent="0.25">
      <c r="A3" s="67" t="s">
        <v>336</v>
      </c>
      <c r="B3" s="28"/>
      <c r="C3" s="1694" t="s">
        <v>1866</v>
      </c>
      <c r="D3" s="583"/>
      <c r="E3" s="165"/>
      <c r="F3" s="166"/>
      <c r="G3" s="178"/>
      <c r="H3" s="207"/>
    </row>
    <row r="4" spans="1:10" s="504" customFormat="1" ht="12.75" customHeight="1" x14ac:dyDescent="0.25">
      <c r="A4" s="6"/>
      <c r="B4" s="28"/>
      <c r="C4" s="612" t="s">
        <v>365</v>
      </c>
      <c r="D4" s="613"/>
      <c r="E4" s="165"/>
      <c r="F4" s="166"/>
      <c r="G4" s="178"/>
      <c r="H4" s="207"/>
    </row>
    <row r="5" spans="1:10" s="504" customFormat="1" ht="12.75" customHeight="1" x14ac:dyDescent="0.25">
      <c r="A5" s="6"/>
      <c r="B5" s="28"/>
      <c r="C5" s="140"/>
      <c r="D5" s="10"/>
      <c r="E5" s="165"/>
      <c r="F5" s="165"/>
      <c r="G5" s="166"/>
      <c r="H5" s="207"/>
      <c r="I5" s="17"/>
      <c r="J5" s="467"/>
    </row>
    <row r="6" spans="1:10" s="504" customFormat="1" ht="18" x14ac:dyDescent="0.25">
      <c r="A6" s="33" t="s">
        <v>799</v>
      </c>
      <c r="B6" s="28"/>
      <c r="C6" s="140"/>
      <c r="D6" s="10"/>
      <c r="E6" s="165"/>
      <c r="F6" s="165"/>
      <c r="G6" s="166"/>
      <c r="H6" s="207"/>
      <c r="I6" s="17"/>
      <c r="J6" s="467"/>
    </row>
    <row r="7" spans="1:10" ht="12" customHeight="1" thickBot="1" x14ac:dyDescent="0.25">
      <c r="A7" s="584"/>
      <c r="B7" s="584"/>
      <c r="C7" s="620"/>
      <c r="D7" s="585"/>
      <c r="G7" s="672"/>
      <c r="H7" s="668" t="s">
        <v>148</v>
      </c>
      <c r="I7" s="613"/>
      <c r="J7" s="613"/>
    </row>
    <row r="8" spans="1:10" s="106" customFormat="1" ht="20.25" customHeight="1" thickTop="1" thickBot="1" x14ac:dyDescent="0.25">
      <c r="A8" s="586" t="s">
        <v>149</v>
      </c>
      <c r="B8" s="587" t="s">
        <v>150</v>
      </c>
      <c r="C8" s="615" t="s">
        <v>639</v>
      </c>
      <c r="D8" s="589" t="s">
        <v>151</v>
      </c>
      <c r="E8" s="589" t="s">
        <v>569</v>
      </c>
      <c r="F8" s="589" t="s">
        <v>570</v>
      </c>
      <c r="G8" s="589" t="s">
        <v>797</v>
      </c>
      <c r="H8" s="674" t="s">
        <v>798</v>
      </c>
      <c r="I8" s="750"/>
      <c r="J8" s="750"/>
    </row>
    <row r="9" spans="1:10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26">
        <v>5</v>
      </c>
      <c r="F9" s="512">
        <v>6</v>
      </c>
      <c r="G9" s="512">
        <v>7</v>
      </c>
      <c r="H9" s="591" t="s">
        <v>54</v>
      </c>
      <c r="I9" s="106"/>
    </row>
    <row r="10" spans="1:10" s="920" customFormat="1" ht="15" customHeight="1" thickTop="1" x14ac:dyDescent="0.25">
      <c r="A10" s="34">
        <v>1019</v>
      </c>
      <c r="B10" s="905">
        <v>5169</v>
      </c>
      <c r="C10" s="903"/>
      <c r="D10" s="880" t="s">
        <v>769</v>
      </c>
      <c r="E10" s="363">
        <f>E11+E12</f>
        <v>100</v>
      </c>
      <c r="F10" s="363">
        <f>F11+F12</f>
        <v>0</v>
      </c>
      <c r="G10" s="311">
        <v>0</v>
      </c>
      <c r="H10" s="200"/>
    </row>
    <row r="11" spans="1:10" s="920" customFormat="1" ht="15" customHeight="1" x14ac:dyDescent="0.2">
      <c r="A11" s="34"/>
      <c r="B11" s="905"/>
      <c r="C11" s="903" t="s">
        <v>1760</v>
      </c>
      <c r="D11" s="882" t="s">
        <v>1127</v>
      </c>
      <c r="E11" s="123">
        <v>50</v>
      </c>
      <c r="F11" s="310">
        <v>0</v>
      </c>
      <c r="G11" s="312">
        <v>0</v>
      </c>
      <c r="H11" s="884"/>
    </row>
    <row r="12" spans="1:10" s="920" customFormat="1" ht="15" customHeight="1" x14ac:dyDescent="0.2">
      <c r="A12" s="34"/>
      <c r="B12" s="905"/>
      <c r="C12" s="903" t="s">
        <v>1787</v>
      </c>
      <c r="D12" s="882" t="s">
        <v>292</v>
      </c>
      <c r="E12" s="123">
        <v>50</v>
      </c>
      <c r="F12" s="310">
        <v>0</v>
      </c>
      <c r="G12" s="312">
        <v>0</v>
      </c>
      <c r="H12" s="884"/>
    </row>
    <row r="13" spans="1:10" s="920" customFormat="1" ht="12" customHeight="1" x14ac:dyDescent="0.25">
      <c r="A13" s="34">
        <v>1019</v>
      </c>
      <c r="B13" s="905">
        <v>5213</v>
      </c>
      <c r="C13" s="903"/>
      <c r="D13" s="876" t="s">
        <v>557</v>
      </c>
      <c r="E13" s="60"/>
      <c r="F13" s="309">
        <v>150</v>
      </c>
      <c r="G13" s="311">
        <v>150</v>
      </c>
      <c r="H13" s="200">
        <f t="shared" ref="H13:H35" si="0">(G13/F13)*100</f>
        <v>100</v>
      </c>
    </row>
    <row r="14" spans="1:10" s="920" customFormat="1" ht="12" customHeight="1" x14ac:dyDescent="0.25">
      <c r="A14" s="34"/>
      <c r="B14" s="905"/>
      <c r="C14" s="903" t="s">
        <v>1787</v>
      </c>
      <c r="D14" s="882" t="s">
        <v>292</v>
      </c>
      <c r="E14" s="60"/>
      <c r="F14" s="310">
        <v>150</v>
      </c>
      <c r="G14" s="312">
        <v>150</v>
      </c>
      <c r="H14" s="884">
        <f t="shared" si="0"/>
        <v>100</v>
      </c>
    </row>
    <row r="15" spans="1:10" s="920" customFormat="1" ht="15.75" customHeight="1" x14ac:dyDescent="0.25">
      <c r="A15" s="34">
        <v>1019</v>
      </c>
      <c r="B15" s="905">
        <v>5222</v>
      </c>
      <c r="C15" s="903"/>
      <c r="D15" s="959" t="s">
        <v>300</v>
      </c>
      <c r="E15" s="60"/>
      <c r="F15" s="311">
        <v>115</v>
      </c>
      <c r="G15" s="311">
        <v>115</v>
      </c>
      <c r="H15" s="200">
        <f t="shared" si="0"/>
        <v>100</v>
      </c>
    </row>
    <row r="16" spans="1:10" s="920" customFormat="1" ht="15.75" customHeight="1" x14ac:dyDescent="0.25">
      <c r="A16" s="34"/>
      <c r="B16" s="905"/>
      <c r="C16" s="903" t="s">
        <v>1788</v>
      </c>
      <c r="D16" s="1287" t="s">
        <v>1437</v>
      </c>
      <c r="E16" s="60"/>
      <c r="F16" s="310">
        <v>115</v>
      </c>
      <c r="G16" s="312">
        <v>115</v>
      </c>
      <c r="H16" s="884">
        <f t="shared" si="0"/>
        <v>100</v>
      </c>
    </row>
    <row r="17" spans="1:8" s="875" customFormat="1" ht="15" x14ac:dyDescent="0.25">
      <c r="A17" s="34">
        <v>1032</v>
      </c>
      <c r="B17" s="905">
        <v>5165</v>
      </c>
      <c r="C17" s="1104"/>
      <c r="D17" s="876" t="s">
        <v>859</v>
      </c>
      <c r="E17" s="48">
        <v>2</v>
      </c>
      <c r="F17" s="166">
        <v>2</v>
      </c>
      <c r="G17" s="311">
        <v>1</v>
      </c>
      <c r="H17" s="200">
        <f>(G17/F17)*100</f>
        <v>50</v>
      </c>
    </row>
    <row r="18" spans="1:8" s="875" customFormat="1" ht="15" x14ac:dyDescent="0.25">
      <c r="A18" s="34">
        <v>1036</v>
      </c>
      <c r="B18" s="905">
        <v>5134</v>
      </c>
      <c r="C18" s="1104"/>
      <c r="D18" s="876" t="s">
        <v>551</v>
      </c>
      <c r="E18" s="48">
        <v>60</v>
      </c>
      <c r="F18" s="166">
        <v>60</v>
      </c>
      <c r="G18" s="311">
        <v>51</v>
      </c>
      <c r="H18" s="200">
        <f>(G18/F18)*100</f>
        <v>85</v>
      </c>
    </row>
    <row r="19" spans="1:8" s="875" customFormat="1" ht="15" x14ac:dyDescent="0.25">
      <c r="A19" s="34">
        <v>1036</v>
      </c>
      <c r="B19" s="905">
        <v>5169</v>
      </c>
      <c r="C19" s="1104"/>
      <c r="D19" s="876" t="s">
        <v>769</v>
      </c>
      <c r="E19" s="48">
        <v>45</v>
      </c>
      <c r="F19" s="166">
        <v>85</v>
      </c>
      <c r="G19" s="311">
        <v>85</v>
      </c>
      <c r="H19" s="200">
        <f t="shared" si="0"/>
        <v>100</v>
      </c>
    </row>
    <row r="20" spans="1:8" s="875" customFormat="1" ht="15" x14ac:dyDescent="0.25">
      <c r="A20" s="34">
        <v>1037</v>
      </c>
      <c r="B20" s="905">
        <v>5212</v>
      </c>
      <c r="C20" s="1104"/>
      <c r="D20" s="876" t="s">
        <v>555</v>
      </c>
      <c r="E20" s="48"/>
      <c r="F20" s="166">
        <v>869</v>
      </c>
      <c r="G20" s="311">
        <v>869</v>
      </c>
      <c r="H20" s="200">
        <f t="shared" si="0"/>
        <v>100</v>
      </c>
    </row>
    <row r="21" spans="1:8" s="875" customFormat="1" ht="15" x14ac:dyDescent="0.25">
      <c r="A21" s="34"/>
      <c r="B21" s="905"/>
      <c r="C21" s="888" t="s">
        <v>1802</v>
      </c>
      <c r="D21" s="882" t="s">
        <v>556</v>
      </c>
      <c r="E21" s="48"/>
      <c r="F21" s="310">
        <v>869</v>
      </c>
      <c r="G21" s="312">
        <v>869</v>
      </c>
      <c r="H21" s="884">
        <f t="shared" si="0"/>
        <v>100</v>
      </c>
    </row>
    <row r="22" spans="1:8" s="875" customFormat="1" ht="15" x14ac:dyDescent="0.25">
      <c r="A22" s="34">
        <v>1037</v>
      </c>
      <c r="B22" s="905">
        <v>5213</v>
      </c>
      <c r="C22" s="121"/>
      <c r="D22" s="876" t="s">
        <v>557</v>
      </c>
      <c r="E22" s="48">
        <v>9000</v>
      </c>
      <c r="F22" s="433">
        <f>F23</f>
        <v>3699</v>
      </c>
      <c r="G22" s="433">
        <f>G23</f>
        <v>3698</v>
      </c>
      <c r="H22" s="200">
        <f t="shared" si="0"/>
        <v>99.97296566639632</v>
      </c>
    </row>
    <row r="23" spans="1:8" s="875" customFormat="1" x14ac:dyDescent="0.2">
      <c r="A23" s="34"/>
      <c r="B23" s="905"/>
      <c r="C23" s="888" t="s">
        <v>1802</v>
      </c>
      <c r="D23" s="882" t="s">
        <v>556</v>
      </c>
      <c r="E23" s="55">
        <v>9000</v>
      </c>
      <c r="F23" s="310">
        <v>3699</v>
      </c>
      <c r="G23" s="312">
        <v>3698</v>
      </c>
      <c r="H23" s="884">
        <f t="shared" si="0"/>
        <v>99.97296566639632</v>
      </c>
    </row>
    <row r="24" spans="1:8" s="875" customFormat="1" ht="15" x14ac:dyDescent="0.25">
      <c r="A24" s="34">
        <v>1037</v>
      </c>
      <c r="B24" s="905">
        <v>5223</v>
      </c>
      <c r="C24" s="121"/>
      <c r="D24" s="305" t="s">
        <v>1114</v>
      </c>
      <c r="E24" s="55"/>
      <c r="F24" s="433">
        <v>510</v>
      </c>
      <c r="G24" s="433">
        <v>510</v>
      </c>
      <c r="H24" s="200">
        <f t="shared" si="0"/>
        <v>100</v>
      </c>
    </row>
    <row r="25" spans="1:8" s="875" customFormat="1" x14ac:dyDescent="0.2">
      <c r="A25" s="34"/>
      <c r="B25" s="905"/>
      <c r="C25" s="888" t="s">
        <v>1802</v>
      </c>
      <c r="D25" s="882" t="s">
        <v>556</v>
      </c>
      <c r="E25" s="55"/>
      <c r="F25" s="310">
        <v>510</v>
      </c>
      <c r="G25" s="312">
        <v>510</v>
      </c>
      <c r="H25" s="884">
        <f t="shared" si="0"/>
        <v>100</v>
      </c>
    </row>
    <row r="26" spans="1:8" s="875" customFormat="1" ht="15" x14ac:dyDescent="0.25">
      <c r="A26" s="34">
        <v>1037</v>
      </c>
      <c r="B26" s="905">
        <v>5321</v>
      </c>
      <c r="C26" s="888"/>
      <c r="D26" s="876" t="s">
        <v>1078</v>
      </c>
      <c r="E26" s="55"/>
      <c r="F26" s="309">
        <v>3757</v>
      </c>
      <c r="G26" s="311">
        <v>3757</v>
      </c>
      <c r="H26" s="200">
        <f t="shared" si="0"/>
        <v>100</v>
      </c>
    </row>
    <row r="27" spans="1:8" s="875" customFormat="1" x14ac:dyDescent="0.2">
      <c r="A27" s="34"/>
      <c r="B27" s="905"/>
      <c r="C27" s="888" t="s">
        <v>1802</v>
      </c>
      <c r="D27" s="882" t="s">
        <v>556</v>
      </c>
      <c r="E27" s="55"/>
      <c r="F27" s="310">
        <v>3757</v>
      </c>
      <c r="G27" s="312">
        <v>3757</v>
      </c>
      <c r="H27" s="884">
        <f t="shared" si="0"/>
        <v>100</v>
      </c>
    </row>
    <row r="28" spans="1:8" s="875" customFormat="1" ht="15" x14ac:dyDescent="0.25">
      <c r="A28" s="34">
        <v>1037</v>
      </c>
      <c r="B28" s="905">
        <v>5331</v>
      </c>
      <c r="C28" s="888"/>
      <c r="D28" s="876" t="s">
        <v>829</v>
      </c>
      <c r="E28" s="55"/>
      <c r="F28" s="309">
        <v>400</v>
      </c>
      <c r="G28" s="311">
        <v>400</v>
      </c>
      <c r="H28" s="200">
        <f t="shared" si="0"/>
        <v>100</v>
      </c>
    </row>
    <row r="29" spans="1:8" s="875" customFormat="1" x14ac:dyDescent="0.2">
      <c r="A29" s="34"/>
      <c r="B29" s="905"/>
      <c r="C29" s="888" t="s">
        <v>1802</v>
      </c>
      <c r="D29" s="882" t="s">
        <v>556</v>
      </c>
      <c r="E29" s="55"/>
      <c r="F29" s="310">
        <v>400</v>
      </c>
      <c r="G29" s="312">
        <v>400</v>
      </c>
      <c r="H29" s="884">
        <f t="shared" si="0"/>
        <v>100</v>
      </c>
    </row>
    <row r="30" spans="1:8" s="875" customFormat="1" ht="15" x14ac:dyDescent="0.25">
      <c r="A30" s="34">
        <v>1037</v>
      </c>
      <c r="B30" s="905">
        <v>5493</v>
      </c>
      <c r="C30" s="888"/>
      <c r="D30" s="305" t="s">
        <v>628</v>
      </c>
      <c r="E30" s="55"/>
      <c r="F30" s="309">
        <v>764</v>
      </c>
      <c r="G30" s="311">
        <v>764</v>
      </c>
      <c r="H30" s="200">
        <f t="shared" si="0"/>
        <v>100</v>
      </c>
    </row>
    <row r="31" spans="1:8" s="875" customFormat="1" x14ac:dyDescent="0.2">
      <c r="A31" s="34"/>
      <c r="B31" s="905"/>
      <c r="C31" s="888" t="s">
        <v>1802</v>
      </c>
      <c r="D31" s="882" t="s">
        <v>556</v>
      </c>
      <c r="E31" s="55"/>
      <c r="F31" s="310">
        <v>764</v>
      </c>
      <c r="G31" s="312">
        <v>764</v>
      </c>
      <c r="H31" s="884">
        <f t="shared" si="0"/>
        <v>100</v>
      </c>
    </row>
    <row r="32" spans="1:8" s="875" customFormat="1" ht="15" x14ac:dyDescent="0.25">
      <c r="A32" s="34">
        <v>1039</v>
      </c>
      <c r="B32" s="905">
        <v>5222</v>
      </c>
      <c r="C32" s="888"/>
      <c r="D32" s="959" t="s">
        <v>300</v>
      </c>
      <c r="E32" s="55"/>
      <c r="F32" s="309">
        <v>10</v>
      </c>
      <c r="G32" s="311">
        <v>10</v>
      </c>
      <c r="H32" s="200">
        <f t="shared" si="0"/>
        <v>100</v>
      </c>
    </row>
    <row r="33" spans="1:8" s="875" customFormat="1" x14ac:dyDescent="0.2">
      <c r="A33" s="34"/>
      <c r="B33" s="905"/>
      <c r="C33" s="903" t="s">
        <v>1788</v>
      </c>
      <c r="D33" s="1287" t="s">
        <v>1437</v>
      </c>
      <c r="E33" s="55"/>
      <c r="F33" s="310">
        <v>10</v>
      </c>
      <c r="G33" s="312">
        <v>10</v>
      </c>
      <c r="H33" s="884">
        <f t="shared" si="0"/>
        <v>100</v>
      </c>
    </row>
    <row r="34" spans="1:8" s="875" customFormat="1" ht="15" x14ac:dyDescent="0.25">
      <c r="A34" s="34">
        <v>1070</v>
      </c>
      <c r="B34" s="905">
        <v>5222</v>
      </c>
      <c r="C34" s="903"/>
      <c r="D34" s="959" t="s">
        <v>300</v>
      </c>
      <c r="E34" s="55"/>
      <c r="F34" s="309">
        <v>60</v>
      </c>
      <c r="G34" s="311">
        <v>45</v>
      </c>
      <c r="H34" s="200">
        <f t="shared" si="0"/>
        <v>75</v>
      </c>
    </row>
    <row r="35" spans="1:8" s="875" customFormat="1" x14ac:dyDescent="0.2">
      <c r="A35" s="34"/>
      <c r="B35" s="905"/>
      <c r="C35" s="903" t="s">
        <v>1788</v>
      </c>
      <c r="D35" s="1287" t="s">
        <v>1437</v>
      </c>
      <c r="E35" s="55"/>
      <c r="F35" s="310">
        <v>60</v>
      </c>
      <c r="G35" s="312">
        <v>45</v>
      </c>
      <c r="H35" s="884">
        <f t="shared" si="0"/>
        <v>75</v>
      </c>
    </row>
    <row r="36" spans="1:8" s="875" customFormat="1" ht="15" x14ac:dyDescent="0.25">
      <c r="A36" s="34">
        <v>1099</v>
      </c>
      <c r="B36" s="905">
        <v>5192</v>
      </c>
      <c r="C36" s="121"/>
      <c r="D36" s="876" t="s">
        <v>1102</v>
      </c>
      <c r="E36" s="71">
        <v>80</v>
      </c>
      <c r="F36" s="309">
        <v>78</v>
      </c>
      <c r="G36" s="311">
        <v>38</v>
      </c>
      <c r="H36" s="200">
        <f t="shared" ref="H36:H44" si="1">(G36/F36)*100</f>
        <v>48.717948717948715</v>
      </c>
    </row>
    <row r="37" spans="1:8" s="875" customFormat="1" ht="15" x14ac:dyDescent="0.25">
      <c r="A37" s="34">
        <v>1099</v>
      </c>
      <c r="B37" s="905">
        <v>5493</v>
      </c>
      <c r="C37" s="903"/>
      <c r="D37" s="305" t="s">
        <v>628</v>
      </c>
      <c r="E37" s="71">
        <v>400</v>
      </c>
      <c r="F37" s="309">
        <v>421</v>
      </c>
      <c r="G37" s="311">
        <v>399</v>
      </c>
      <c r="H37" s="200">
        <f t="shared" si="1"/>
        <v>94.774346793349167</v>
      </c>
    </row>
    <row r="38" spans="1:8" s="875" customFormat="1" x14ac:dyDescent="0.2">
      <c r="A38" s="34"/>
      <c r="B38" s="905"/>
      <c r="C38" s="888" t="s">
        <v>1803</v>
      </c>
      <c r="D38" s="882" t="s">
        <v>1209</v>
      </c>
      <c r="E38" s="55">
        <v>400</v>
      </c>
      <c r="F38" s="310">
        <v>421</v>
      </c>
      <c r="G38" s="312">
        <v>399</v>
      </c>
      <c r="H38" s="884">
        <f t="shared" si="1"/>
        <v>94.774346793349167</v>
      </c>
    </row>
    <row r="39" spans="1:8" s="875" customFormat="1" ht="15" x14ac:dyDescent="0.25">
      <c r="A39" s="34">
        <v>1099</v>
      </c>
      <c r="B39" s="905">
        <v>5909</v>
      </c>
      <c r="C39" s="888"/>
      <c r="D39" s="1405" t="s">
        <v>588</v>
      </c>
      <c r="E39" s="55"/>
      <c r="F39" s="309">
        <v>5</v>
      </c>
      <c r="G39" s="311">
        <v>5</v>
      </c>
      <c r="H39" s="200">
        <f t="shared" si="1"/>
        <v>100</v>
      </c>
    </row>
    <row r="40" spans="1:8" s="875" customFormat="1" ht="15" x14ac:dyDescent="0.25">
      <c r="A40" s="34">
        <v>2310</v>
      </c>
      <c r="B40" s="905">
        <v>5321</v>
      </c>
      <c r="C40" s="121"/>
      <c r="D40" s="876" t="s">
        <v>1078</v>
      </c>
      <c r="E40" s="71">
        <v>5000</v>
      </c>
      <c r="F40" s="309">
        <v>2350</v>
      </c>
      <c r="G40" s="311">
        <v>2350</v>
      </c>
      <c r="H40" s="200">
        <f t="shared" si="1"/>
        <v>100</v>
      </c>
    </row>
    <row r="41" spans="1:8" s="875" customFormat="1" x14ac:dyDescent="0.2">
      <c r="A41" s="34"/>
      <c r="B41" s="905"/>
      <c r="C41" s="888" t="s">
        <v>1800</v>
      </c>
      <c r="D41" s="882" t="s">
        <v>558</v>
      </c>
      <c r="E41" s="55">
        <v>5000</v>
      </c>
      <c r="F41" s="310">
        <v>2350</v>
      </c>
      <c r="G41" s="312">
        <v>2350</v>
      </c>
      <c r="H41" s="884">
        <f t="shared" si="1"/>
        <v>100</v>
      </c>
    </row>
    <row r="42" spans="1:8" s="875" customFormat="1" ht="15" x14ac:dyDescent="0.25">
      <c r="A42" s="34">
        <v>2331</v>
      </c>
      <c r="B42" s="905">
        <v>5321</v>
      </c>
      <c r="C42" s="121"/>
      <c r="D42" s="876" t="s">
        <v>1078</v>
      </c>
      <c r="E42" s="71"/>
      <c r="F42" s="309">
        <v>450</v>
      </c>
      <c r="G42" s="311">
        <v>450</v>
      </c>
      <c r="H42" s="200">
        <f t="shared" si="1"/>
        <v>100</v>
      </c>
    </row>
    <row r="43" spans="1:8" s="875" customFormat="1" ht="15" x14ac:dyDescent="0.25">
      <c r="A43" s="34"/>
      <c r="B43" s="905"/>
      <c r="C43" s="888" t="s">
        <v>1800</v>
      </c>
      <c r="D43" s="882" t="s">
        <v>558</v>
      </c>
      <c r="E43" s="71"/>
      <c r="F43" s="310">
        <v>450</v>
      </c>
      <c r="G43" s="312">
        <v>450</v>
      </c>
      <c r="H43" s="884">
        <f t="shared" si="1"/>
        <v>100</v>
      </c>
    </row>
    <row r="44" spans="1:8" s="875" customFormat="1" ht="15" x14ac:dyDescent="0.25">
      <c r="A44" s="34">
        <v>2369</v>
      </c>
      <c r="B44" s="905">
        <v>5166</v>
      </c>
      <c r="C44" s="1104"/>
      <c r="D44" s="876" t="s">
        <v>553</v>
      </c>
      <c r="E44" s="48">
        <v>100</v>
      </c>
      <c r="F44" s="166">
        <v>13</v>
      </c>
      <c r="G44" s="311">
        <v>13</v>
      </c>
      <c r="H44" s="200">
        <f t="shared" si="1"/>
        <v>100</v>
      </c>
    </row>
    <row r="45" spans="1:8" s="875" customFormat="1" ht="15" x14ac:dyDescent="0.25">
      <c r="A45" s="34">
        <v>2369</v>
      </c>
      <c r="B45" s="905">
        <v>5168</v>
      </c>
      <c r="C45" s="1104"/>
      <c r="D45" s="3069" t="s">
        <v>1606</v>
      </c>
      <c r="E45" s="48"/>
      <c r="F45" s="166">
        <v>108</v>
      </c>
      <c r="G45" s="311">
        <v>108</v>
      </c>
      <c r="H45" s="200">
        <f t="shared" ref="H45" si="2">(G45/F45)*100</f>
        <v>100</v>
      </c>
    </row>
    <row r="46" spans="1:8" s="875" customFormat="1" ht="15" x14ac:dyDescent="0.25">
      <c r="A46" s="34"/>
      <c r="B46" s="905"/>
      <c r="C46" s="1104"/>
      <c r="D46" s="3081"/>
      <c r="E46" s="48"/>
      <c r="F46" s="166"/>
      <c r="G46" s="311"/>
      <c r="H46" s="200"/>
    </row>
    <row r="47" spans="1:8" s="875" customFormat="1" ht="15" x14ac:dyDescent="0.25">
      <c r="A47" s="34">
        <v>2399</v>
      </c>
      <c r="B47" s="905">
        <v>5213</v>
      </c>
      <c r="C47" s="1104"/>
      <c r="D47" s="876" t="s">
        <v>557</v>
      </c>
      <c r="E47" s="48"/>
      <c r="F47" s="166">
        <v>250</v>
      </c>
      <c r="G47" s="311">
        <v>250</v>
      </c>
      <c r="H47" s="200">
        <f t="shared" ref="H47:H59" si="3">(G47/F47)*100</f>
        <v>100</v>
      </c>
    </row>
    <row r="48" spans="1:8" s="875" customFormat="1" ht="15" x14ac:dyDescent="0.25">
      <c r="A48" s="34"/>
      <c r="B48" s="905"/>
      <c r="C48" s="929" t="s">
        <v>1761</v>
      </c>
      <c r="D48" s="913" t="s">
        <v>806</v>
      </c>
      <c r="E48" s="48"/>
      <c r="F48" s="310">
        <v>250</v>
      </c>
      <c r="G48" s="312">
        <v>250</v>
      </c>
      <c r="H48" s="884">
        <f t="shared" si="3"/>
        <v>100</v>
      </c>
    </row>
    <row r="49" spans="1:8" s="875" customFormat="1" ht="15" x14ac:dyDescent="0.25">
      <c r="A49" s="34">
        <v>3429</v>
      </c>
      <c r="B49" s="905">
        <v>5212</v>
      </c>
      <c r="C49" s="903"/>
      <c r="D49" s="876" t="s">
        <v>555</v>
      </c>
      <c r="E49" s="48"/>
      <c r="F49" s="309">
        <v>15</v>
      </c>
      <c r="G49" s="311">
        <v>15</v>
      </c>
      <c r="H49" s="200">
        <f t="shared" si="3"/>
        <v>100</v>
      </c>
    </row>
    <row r="50" spans="1:8" s="875" customFormat="1" ht="15" x14ac:dyDescent="0.25">
      <c r="A50" s="34"/>
      <c r="B50" s="905"/>
      <c r="C50" s="903" t="s">
        <v>1788</v>
      </c>
      <c r="D50" s="1287" t="s">
        <v>1437</v>
      </c>
      <c r="E50" s="48"/>
      <c r="F50" s="310">
        <v>15</v>
      </c>
      <c r="G50" s="312">
        <v>15</v>
      </c>
      <c r="H50" s="884">
        <f t="shared" si="3"/>
        <v>100</v>
      </c>
    </row>
    <row r="51" spans="1:8" s="875" customFormat="1" ht="15" x14ac:dyDescent="0.25">
      <c r="A51" s="34">
        <v>3429</v>
      </c>
      <c r="B51" s="905">
        <v>5213</v>
      </c>
      <c r="C51" s="903"/>
      <c r="D51" s="876" t="s">
        <v>557</v>
      </c>
      <c r="E51" s="48"/>
      <c r="F51" s="309">
        <v>25</v>
      </c>
      <c r="G51" s="311">
        <v>25</v>
      </c>
      <c r="H51" s="200">
        <f t="shared" si="3"/>
        <v>100</v>
      </c>
    </row>
    <row r="52" spans="1:8" s="875" customFormat="1" ht="15" x14ac:dyDescent="0.25">
      <c r="A52" s="34"/>
      <c r="B52" s="905"/>
      <c r="C52" s="903" t="s">
        <v>1788</v>
      </c>
      <c r="D52" s="1287" t="s">
        <v>1437</v>
      </c>
      <c r="E52" s="48"/>
      <c r="F52" s="310">
        <v>25</v>
      </c>
      <c r="G52" s="312">
        <v>25</v>
      </c>
      <c r="H52" s="884">
        <f t="shared" si="3"/>
        <v>100</v>
      </c>
    </row>
    <row r="53" spans="1:8" s="875" customFormat="1" ht="15" x14ac:dyDescent="0.25">
      <c r="A53" s="34">
        <v>3429</v>
      </c>
      <c r="B53" s="905">
        <v>5222</v>
      </c>
      <c r="C53" s="903"/>
      <c r="D53" s="959" t="s">
        <v>300</v>
      </c>
      <c r="E53" s="48"/>
      <c r="F53" s="309">
        <f>F54+F55</f>
        <v>644</v>
      </c>
      <c r="G53" s="311">
        <f>G54+G55</f>
        <v>644</v>
      </c>
      <c r="H53" s="200">
        <f t="shared" si="3"/>
        <v>100</v>
      </c>
    </row>
    <row r="54" spans="1:8" s="875" customFormat="1" ht="15" x14ac:dyDescent="0.25">
      <c r="A54" s="34"/>
      <c r="B54" s="905"/>
      <c r="C54" s="903" t="s">
        <v>1787</v>
      </c>
      <c r="D54" s="882" t="s">
        <v>292</v>
      </c>
      <c r="E54" s="48"/>
      <c r="F54" s="310">
        <v>335</v>
      </c>
      <c r="G54" s="312">
        <v>335</v>
      </c>
      <c r="H54" s="884">
        <f t="shared" si="3"/>
        <v>100</v>
      </c>
    </row>
    <row r="55" spans="1:8" s="875" customFormat="1" ht="15" x14ac:dyDescent="0.25">
      <c r="A55" s="34"/>
      <c r="B55" s="905"/>
      <c r="C55" s="903" t="s">
        <v>1788</v>
      </c>
      <c r="D55" s="1287" t="s">
        <v>1437</v>
      </c>
      <c r="E55" s="48"/>
      <c r="F55" s="310">
        <v>309</v>
      </c>
      <c r="G55" s="312">
        <v>309</v>
      </c>
      <c r="H55" s="884">
        <f t="shared" si="3"/>
        <v>100</v>
      </c>
    </row>
    <row r="56" spans="1:8" s="875" customFormat="1" ht="15" x14ac:dyDescent="0.25">
      <c r="A56" s="34">
        <v>3429</v>
      </c>
      <c r="B56" s="905">
        <v>5229</v>
      </c>
      <c r="C56" s="903"/>
      <c r="D56" s="1101" t="s">
        <v>1019</v>
      </c>
      <c r="E56" s="48"/>
      <c r="F56" s="309">
        <v>10</v>
      </c>
      <c r="G56" s="311">
        <v>10</v>
      </c>
      <c r="H56" s="200">
        <f t="shared" ref="H56:H57" si="4">(G56/F56)*100</f>
        <v>100</v>
      </c>
    </row>
    <row r="57" spans="1:8" s="875" customFormat="1" ht="15" x14ac:dyDescent="0.25">
      <c r="A57" s="34"/>
      <c r="B57" s="905"/>
      <c r="C57" s="903" t="s">
        <v>1788</v>
      </c>
      <c r="D57" s="1287" t="s">
        <v>1437</v>
      </c>
      <c r="E57" s="48"/>
      <c r="F57" s="310">
        <v>10</v>
      </c>
      <c r="G57" s="312">
        <v>10</v>
      </c>
      <c r="H57" s="884">
        <f t="shared" si="4"/>
        <v>100</v>
      </c>
    </row>
    <row r="58" spans="1:8" s="875" customFormat="1" ht="15" x14ac:dyDescent="0.25">
      <c r="A58" s="34">
        <v>3429</v>
      </c>
      <c r="B58" s="905">
        <v>5493</v>
      </c>
      <c r="C58" s="903"/>
      <c r="D58" s="305" t="s">
        <v>628</v>
      </c>
      <c r="E58" s="48"/>
      <c r="F58" s="309">
        <v>20</v>
      </c>
      <c r="G58" s="311">
        <v>20</v>
      </c>
      <c r="H58" s="200">
        <f t="shared" si="3"/>
        <v>100</v>
      </c>
    </row>
    <row r="59" spans="1:8" s="875" customFormat="1" ht="15" x14ac:dyDescent="0.25">
      <c r="A59" s="34"/>
      <c r="B59" s="905"/>
      <c r="C59" s="903" t="s">
        <v>1788</v>
      </c>
      <c r="D59" s="1287" t="s">
        <v>1437</v>
      </c>
      <c r="E59" s="48"/>
      <c r="F59" s="310">
        <v>20</v>
      </c>
      <c r="G59" s="312">
        <v>20</v>
      </c>
      <c r="H59" s="884">
        <f t="shared" si="3"/>
        <v>100</v>
      </c>
    </row>
    <row r="60" spans="1:8" s="875" customFormat="1" ht="15" x14ac:dyDescent="0.25">
      <c r="A60" s="34">
        <v>3719</v>
      </c>
      <c r="B60" s="905">
        <v>5166</v>
      </c>
      <c r="C60" s="1104"/>
      <c r="D60" s="876" t="s">
        <v>553</v>
      </c>
      <c r="E60" s="48">
        <v>50</v>
      </c>
      <c r="F60" s="166">
        <v>39</v>
      </c>
      <c r="G60" s="311">
        <v>0</v>
      </c>
      <c r="H60" s="200">
        <f t="shared" ref="H60:H71" si="5">(G60/F60)*100</f>
        <v>0</v>
      </c>
    </row>
    <row r="61" spans="1:8" s="875" customFormat="1" ht="15" x14ac:dyDescent="0.25">
      <c r="A61" s="34">
        <v>3725</v>
      </c>
      <c r="B61" s="905">
        <v>5139</v>
      </c>
      <c r="C61" s="1104"/>
      <c r="D61" s="1148" t="s">
        <v>1614</v>
      </c>
      <c r="E61" s="48"/>
      <c r="F61" s="166">
        <v>80</v>
      </c>
      <c r="G61" s="311">
        <v>80</v>
      </c>
      <c r="H61" s="200">
        <f t="shared" si="5"/>
        <v>100</v>
      </c>
    </row>
    <row r="62" spans="1:8" s="875" customFormat="1" ht="15" x14ac:dyDescent="0.25">
      <c r="A62" s="34">
        <v>3725</v>
      </c>
      <c r="B62" s="905">
        <v>5164</v>
      </c>
      <c r="C62" s="1104"/>
      <c r="D62" s="876" t="s">
        <v>157</v>
      </c>
      <c r="E62" s="48"/>
      <c r="F62" s="166">
        <v>24</v>
      </c>
      <c r="G62" s="311">
        <v>21</v>
      </c>
      <c r="H62" s="200">
        <f t="shared" si="5"/>
        <v>87.5</v>
      </c>
    </row>
    <row r="63" spans="1:8" s="875" customFormat="1" ht="15" x14ac:dyDescent="0.25">
      <c r="A63" s="34">
        <v>3725</v>
      </c>
      <c r="B63" s="905">
        <v>5169</v>
      </c>
      <c r="C63" s="1104"/>
      <c r="D63" s="876" t="s">
        <v>769</v>
      </c>
      <c r="E63" s="48">
        <f>E64+E65</f>
        <v>1400</v>
      </c>
      <c r="F63" s="166">
        <v>451</v>
      </c>
      <c r="G63" s="311">
        <v>191</v>
      </c>
      <c r="H63" s="200">
        <f t="shared" si="5"/>
        <v>42.350332594235034</v>
      </c>
    </row>
    <row r="64" spans="1:8" s="875" customFormat="1" x14ac:dyDescent="0.2">
      <c r="A64" s="34"/>
      <c r="B64" s="905"/>
      <c r="C64" s="903" t="s">
        <v>1760</v>
      </c>
      <c r="D64" s="882" t="s">
        <v>1127</v>
      </c>
      <c r="E64" s="55">
        <v>700</v>
      </c>
      <c r="F64" s="310">
        <v>451</v>
      </c>
      <c r="G64" s="312">
        <v>191</v>
      </c>
      <c r="H64" s="884">
        <f t="shared" si="5"/>
        <v>42.350332594235034</v>
      </c>
    </row>
    <row r="65" spans="1:10" s="875" customFormat="1" x14ac:dyDescent="0.2">
      <c r="A65" s="34"/>
      <c r="B65" s="905"/>
      <c r="C65" s="903" t="s">
        <v>1787</v>
      </c>
      <c r="D65" s="882" t="s">
        <v>292</v>
      </c>
      <c r="E65" s="55">
        <v>700</v>
      </c>
      <c r="F65" s="310">
        <v>0</v>
      </c>
      <c r="G65" s="312">
        <v>0</v>
      </c>
      <c r="H65" s="884"/>
    </row>
    <row r="66" spans="1:10" s="875" customFormat="1" ht="15" x14ac:dyDescent="0.25">
      <c r="A66" s="34">
        <v>3725</v>
      </c>
      <c r="B66" s="905">
        <v>5173</v>
      </c>
      <c r="C66" s="888"/>
      <c r="D66" s="876" t="s">
        <v>1038</v>
      </c>
      <c r="E66" s="55"/>
      <c r="F66" s="309">
        <v>27</v>
      </c>
      <c r="G66" s="311">
        <v>25</v>
      </c>
      <c r="H66" s="200">
        <f t="shared" si="5"/>
        <v>92.592592592592595</v>
      </c>
    </row>
    <row r="67" spans="1:10" s="875" customFormat="1" ht="15" x14ac:dyDescent="0.25">
      <c r="A67" s="34">
        <v>3725</v>
      </c>
      <c r="B67" s="19">
        <v>5175</v>
      </c>
      <c r="C67" s="888"/>
      <c r="D67" s="1110" t="s">
        <v>605</v>
      </c>
      <c r="E67" s="55"/>
      <c r="F67" s="309">
        <v>118</v>
      </c>
      <c r="G67" s="311">
        <v>91</v>
      </c>
      <c r="H67" s="200">
        <f t="shared" si="5"/>
        <v>77.118644067796609</v>
      </c>
    </row>
    <row r="68" spans="1:10" s="875" customFormat="1" ht="12.75" customHeight="1" x14ac:dyDescent="0.25">
      <c r="A68" s="34">
        <v>3729</v>
      </c>
      <c r="B68" s="905">
        <v>5166</v>
      </c>
      <c r="C68" s="1104"/>
      <c r="D68" s="876" t="s">
        <v>553</v>
      </c>
      <c r="E68" s="48">
        <f>E69+E70</f>
        <v>1100</v>
      </c>
      <c r="F68" s="48">
        <f t="shared" ref="F68:G68" si="6">F69+F70</f>
        <v>888</v>
      </c>
      <c r="G68" s="48">
        <f t="shared" si="6"/>
        <v>837</v>
      </c>
      <c r="H68" s="200">
        <f t="shared" si="5"/>
        <v>94.256756756756758</v>
      </c>
    </row>
    <row r="69" spans="1:10" s="875" customFormat="1" ht="12.75" customHeight="1" x14ac:dyDescent="0.2">
      <c r="A69" s="34"/>
      <c r="B69" s="905"/>
      <c r="C69" s="903" t="s">
        <v>1760</v>
      </c>
      <c r="D69" s="882" t="s">
        <v>1127</v>
      </c>
      <c r="E69" s="55">
        <v>100</v>
      </c>
      <c r="F69" s="310">
        <v>888</v>
      </c>
      <c r="G69" s="312">
        <v>837</v>
      </c>
      <c r="H69" s="884">
        <f t="shared" si="5"/>
        <v>94.256756756756758</v>
      </c>
    </row>
    <row r="70" spans="1:10" s="875" customFormat="1" ht="12.75" customHeight="1" x14ac:dyDescent="0.2">
      <c r="A70" s="34"/>
      <c r="B70" s="905"/>
      <c r="C70" s="903" t="s">
        <v>1801</v>
      </c>
      <c r="D70" s="882" t="s">
        <v>1804</v>
      </c>
      <c r="E70" s="55">
        <v>1000</v>
      </c>
      <c r="F70" s="310">
        <v>0</v>
      </c>
      <c r="G70" s="312">
        <v>0</v>
      </c>
      <c r="H70" s="884"/>
    </row>
    <row r="71" spans="1:10" s="875" customFormat="1" ht="12.75" customHeight="1" thickBot="1" x14ac:dyDescent="0.3">
      <c r="A71" s="911">
        <v>3729</v>
      </c>
      <c r="B71" s="901">
        <v>5222</v>
      </c>
      <c r="C71" s="900"/>
      <c r="D71" s="2910" t="s">
        <v>300</v>
      </c>
      <c r="E71" s="914"/>
      <c r="F71" s="430">
        <v>100</v>
      </c>
      <c r="G71" s="430">
        <v>100</v>
      </c>
      <c r="H71" s="2911">
        <f t="shared" si="5"/>
        <v>100</v>
      </c>
    </row>
    <row r="72" spans="1:10" s="875" customFormat="1" ht="12.75" customHeight="1" thickTop="1" x14ac:dyDescent="0.25">
      <c r="A72" s="905"/>
      <c r="B72" s="905"/>
      <c r="C72" s="878"/>
      <c r="D72" s="876"/>
      <c r="E72" s="1054"/>
      <c r="F72" s="309"/>
      <c r="G72" s="309"/>
      <c r="H72" s="417"/>
    </row>
    <row r="73" spans="1:10" s="875" customFormat="1" ht="12.75" customHeight="1" x14ac:dyDescent="0.25">
      <c r="A73" s="905"/>
      <c r="B73" s="905"/>
      <c r="C73" s="878"/>
      <c r="D73" s="876"/>
      <c r="E73" s="1054"/>
      <c r="F73" s="309"/>
      <c r="G73" s="309"/>
      <c r="H73" s="417"/>
    </row>
    <row r="74" spans="1:10" ht="12" customHeight="1" thickBot="1" x14ac:dyDescent="0.25">
      <c r="A74" s="584"/>
      <c r="B74" s="584"/>
      <c r="C74" s="620"/>
      <c r="D74" s="585"/>
      <c r="G74" s="672"/>
      <c r="H74" s="668" t="s">
        <v>148</v>
      </c>
      <c r="I74" s="613"/>
      <c r="J74" s="613"/>
    </row>
    <row r="75" spans="1:10" s="106" customFormat="1" ht="20.25" customHeight="1" thickTop="1" thickBot="1" x14ac:dyDescent="0.25">
      <c r="A75" s="586" t="s">
        <v>149</v>
      </c>
      <c r="B75" s="587" t="s">
        <v>150</v>
      </c>
      <c r="C75" s="615" t="s">
        <v>639</v>
      </c>
      <c r="D75" s="589" t="s">
        <v>151</v>
      </c>
      <c r="E75" s="589" t="s">
        <v>569</v>
      </c>
      <c r="F75" s="589" t="s">
        <v>570</v>
      </c>
      <c r="G75" s="589" t="s">
        <v>797</v>
      </c>
      <c r="H75" s="674" t="s">
        <v>798</v>
      </c>
      <c r="I75" s="750"/>
      <c r="J75" s="750"/>
    </row>
    <row r="76" spans="1:10" s="375" customFormat="1" ht="13.5" thickTop="1" thickBot="1" x14ac:dyDescent="0.25">
      <c r="A76" s="525">
        <v>1</v>
      </c>
      <c r="B76" s="526">
        <v>2</v>
      </c>
      <c r="C76" s="526">
        <v>3</v>
      </c>
      <c r="D76" s="526">
        <v>4</v>
      </c>
      <c r="E76" s="526">
        <v>5</v>
      </c>
      <c r="F76" s="512">
        <v>6</v>
      </c>
      <c r="G76" s="512">
        <v>7</v>
      </c>
      <c r="H76" s="591" t="s">
        <v>54</v>
      </c>
      <c r="I76" s="106"/>
    </row>
    <row r="77" spans="1:10" s="875" customFormat="1" ht="15.75" thickTop="1" x14ac:dyDescent="0.25">
      <c r="A77" s="50">
        <v>3741</v>
      </c>
      <c r="B77" s="19">
        <v>5169</v>
      </c>
      <c r="C77" s="1104"/>
      <c r="D77" s="876" t="s">
        <v>769</v>
      </c>
      <c r="E77" s="48">
        <v>250</v>
      </c>
      <c r="F77" s="166">
        <v>250</v>
      </c>
      <c r="G77" s="311">
        <v>250</v>
      </c>
      <c r="H77" s="200">
        <f>(G77/F77)*100</f>
        <v>100</v>
      </c>
    </row>
    <row r="78" spans="1:10" s="875" customFormat="1" ht="15" x14ac:dyDescent="0.25">
      <c r="A78" s="50">
        <v>3741</v>
      </c>
      <c r="B78" s="19">
        <v>5222</v>
      </c>
      <c r="C78" s="1104"/>
      <c r="D78" s="959" t="s">
        <v>300</v>
      </c>
      <c r="E78" s="48"/>
      <c r="F78" s="166">
        <v>20</v>
      </c>
      <c r="G78" s="311">
        <v>20</v>
      </c>
      <c r="H78" s="209">
        <f t="shared" ref="H78:H92" si="7">(G78/F78)*100</f>
        <v>100</v>
      </c>
    </row>
    <row r="79" spans="1:10" s="875" customFormat="1" ht="15" x14ac:dyDescent="0.25">
      <c r="A79" s="50"/>
      <c r="B79" s="19"/>
      <c r="C79" s="903" t="s">
        <v>1788</v>
      </c>
      <c r="D79" s="1287" t="s">
        <v>1437</v>
      </c>
      <c r="E79" s="48"/>
      <c r="F79" s="310">
        <v>20</v>
      </c>
      <c r="G79" s="312">
        <v>20</v>
      </c>
      <c r="H79" s="893">
        <f t="shared" si="7"/>
        <v>100</v>
      </c>
    </row>
    <row r="80" spans="1:10" s="875" customFormat="1" ht="15" x14ac:dyDescent="0.25">
      <c r="A80" s="50">
        <v>3742</v>
      </c>
      <c r="B80" s="19">
        <v>5164</v>
      </c>
      <c r="C80" s="903"/>
      <c r="D80" s="876" t="s">
        <v>157</v>
      </c>
      <c r="E80" s="48"/>
      <c r="F80" s="309">
        <v>1</v>
      </c>
      <c r="G80" s="311">
        <v>1</v>
      </c>
      <c r="H80" s="209">
        <f t="shared" si="7"/>
        <v>100</v>
      </c>
    </row>
    <row r="81" spans="1:12" s="875" customFormat="1" ht="15" x14ac:dyDescent="0.25">
      <c r="A81" s="50">
        <v>3742</v>
      </c>
      <c r="B81" s="19">
        <v>5166</v>
      </c>
      <c r="C81" s="1104"/>
      <c r="D81" s="876" t="s">
        <v>553</v>
      </c>
      <c r="E81" s="48">
        <v>150</v>
      </c>
      <c r="F81" s="166">
        <v>380</v>
      </c>
      <c r="G81" s="311">
        <v>354</v>
      </c>
      <c r="H81" s="209">
        <f t="shared" si="7"/>
        <v>93.15789473684211</v>
      </c>
    </row>
    <row r="82" spans="1:12" s="875" customFormat="1" ht="15" x14ac:dyDescent="0.25">
      <c r="A82" s="50">
        <v>3742</v>
      </c>
      <c r="B82" s="19">
        <v>5169</v>
      </c>
      <c r="C82" s="1104"/>
      <c r="D82" s="876" t="s">
        <v>769</v>
      </c>
      <c r="E82" s="48">
        <v>2900</v>
      </c>
      <c r="F82" s="166">
        <v>2655</v>
      </c>
      <c r="G82" s="311">
        <v>2536</v>
      </c>
      <c r="H82" s="209">
        <f t="shared" si="7"/>
        <v>95.517890772128055</v>
      </c>
    </row>
    <row r="83" spans="1:12" s="875" customFormat="1" ht="15" x14ac:dyDescent="0.25">
      <c r="A83" s="50">
        <v>3742</v>
      </c>
      <c r="B83" s="19">
        <v>5173</v>
      </c>
      <c r="C83" s="888"/>
      <c r="D83" s="876" t="s">
        <v>1038</v>
      </c>
      <c r="E83" s="48"/>
      <c r="F83" s="166">
        <v>1</v>
      </c>
      <c r="G83" s="311">
        <v>1</v>
      </c>
      <c r="H83" s="209">
        <f t="shared" si="7"/>
        <v>100</v>
      </c>
    </row>
    <row r="84" spans="1:12" s="875" customFormat="1" ht="15" x14ac:dyDescent="0.25">
      <c r="A84" s="50">
        <v>3742</v>
      </c>
      <c r="B84" s="19">
        <v>5175</v>
      </c>
      <c r="C84" s="1104"/>
      <c r="D84" s="1110" t="s">
        <v>605</v>
      </c>
      <c r="E84" s="48"/>
      <c r="F84" s="166">
        <v>4</v>
      </c>
      <c r="G84" s="311">
        <v>4</v>
      </c>
      <c r="H84" s="209">
        <f t="shared" si="7"/>
        <v>100</v>
      </c>
    </row>
    <row r="85" spans="1:12" s="875" customFormat="1" ht="15" x14ac:dyDescent="0.25">
      <c r="A85" s="50">
        <v>3742</v>
      </c>
      <c r="B85" s="19">
        <v>5222</v>
      </c>
      <c r="C85" s="903"/>
      <c r="D85" s="959" t="s">
        <v>300</v>
      </c>
      <c r="E85" s="48"/>
      <c r="F85" s="309">
        <v>20</v>
      </c>
      <c r="G85" s="311">
        <v>20</v>
      </c>
      <c r="H85" s="209">
        <f t="shared" si="7"/>
        <v>100</v>
      </c>
    </row>
    <row r="86" spans="1:12" s="875" customFormat="1" ht="15" x14ac:dyDescent="0.25">
      <c r="A86" s="50"/>
      <c r="B86" s="19"/>
      <c r="C86" s="903" t="s">
        <v>1788</v>
      </c>
      <c r="D86" s="1287" t="s">
        <v>1437</v>
      </c>
      <c r="E86" s="48"/>
      <c r="F86" s="310">
        <v>20</v>
      </c>
      <c r="G86" s="312">
        <v>20</v>
      </c>
      <c r="H86" s="893">
        <f t="shared" si="7"/>
        <v>100</v>
      </c>
    </row>
    <row r="87" spans="1:12" s="875" customFormat="1" ht="15" x14ac:dyDescent="0.25">
      <c r="A87" s="50">
        <v>3749</v>
      </c>
      <c r="B87" s="19">
        <v>5222</v>
      </c>
      <c r="C87" s="903"/>
      <c r="D87" s="959" t="s">
        <v>300</v>
      </c>
      <c r="E87" s="48"/>
      <c r="F87" s="309">
        <v>50</v>
      </c>
      <c r="G87" s="311">
        <v>50</v>
      </c>
      <c r="H87" s="209">
        <f t="shared" si="7"/>
        <v>100</v>
      </c>
    </row>
    <row r="88" spans="1:12" s="875" customFormat="1" ht="15" x14ac:dyDescent="0.25">
      <c r="A88" s="50"/>
      <c r="B88" s="19"/>
      <c r="C88" s="903" t="s">
        <v>1787</v>
      </c>
      <c r="D88" s="882" t="s">
        <v>292</v>
      </c>
      <c r="E88" s="48"/>
      <c r="F88" s="310">
        <v>50</v>
      </c>
      <c r="G88" s="312">
        <v>50</v>
      </c>
      <c r="H88" s="893">
        <f t="shared" si="7"/>
        <v>100</v>
      </c>
    </row>
    <row r="89" spans="1:12" s="875" customFormat="1" ht="15" x14ac:dyDescent="0.25">
      <c r="A89" s="50">
        <v>3769</v>
      </c>
      <c r="B89" s="19">
        <v>5169</v>
      </c>
      <c r="C89" s="1104"/>
      <c r="D89" s="876" t="s">
        <v>769</v>
      </c>
      <c r="E89" s="48">
        <v>270</v>
      </c>
      <c r="F89" s="166">
        <v>270</v>
      </c>
      <c r="G89" s="311">
        <v>0</v>
      </c>
      <c r="H89" s="209">
        <f t="shared" si="7"/>
        <v>0</v>
      </c>
    </row>
    <row r="90" spans="1:12" s="875" customFormat="1" ht="15" x14ac:dyDescent="0.25">
      <c r="A90" s="50">
        <v>3769</v>
      </c>
      <c r="B90" s="19">
        <v>5192</v>
      </c>
      <c r="C90" s="1104"/>
      <c r="D90" s="876" t="s">
        <v>1102</v>
      </c>
      <c r="E90" s="48"/>
      <c r="F90" s="166">
        <v>181</v>
      </c>
      <c r="G90" s="311">
        <v>181</v>
      </c>
      <c r="H90" s="209">
        <f t="shared" si="7"/>
        <v>100</v>
      </c>
    </row>
    <row r="91" spans="1:12" s="875" customFormat="1" ht="15" x14ac:dyDescent="0.25">
      <c r="A91" s="34"/>
      <c r="B91" s="152"/>
      <c r="C91" s="888" t="s">
        <v>1805</v>
      </c>
      <c r="D91" s="883" t="s">
        <v>559</v>
      </c>
      <c r="E91" s="48"/>
      <c r="F91" s="310">
        <v>181</v>
      </c>
      <c r="G91" s="312">
        <v>181</v>
      </c>
      <c r="H91" s="893">
        <f t="shared" si="7"/>
        <v>100</v>
      </c>
      <c r="J91" s="907"/>
      <c r="K91" s="907"/>
    </row>
    <row r="92" spans="1:12" s="875" customFormat="1" ht="15.75" thickBot="1" x14ac:dyDescent="0.3">
      <c r="A92" s="911">
        <v>6172</v>
      </c>
      <c r="B92" s="901">
        <v>5363</v>
      </c>
      <c r="C92" s="900"/>
      <c r="D92" s="1410" t="s">
        <v>1353</v>
      </c>
      <c r="E92" s="902"/>
      <c r="F92" s="430">
        <v>2</v>
      </c>
      <c r="G92" s="430">
        <v>2</v>
      </c>
      <c r="H92" s="2018">
        <f t="shared" si="7"/>
        <v>100</v>
      </c>
      <c r="J92" s="907"/>
      <c r="K92" s="907"/>
    </row>
    <row r="93" spans="1:12" s="356" customFormat="1" ht="35.25" customHeight="1" thickTop="1" thickBot="1" x14ac:dyDescent="0.3">
      <c r="A93" s="592" t="s">
        <v>225</v>
      </c>
      <c r="B93" s="593"/>
      <c r="C93" s="619"/>
      <c r="D93" s="595"/>
      <c r="E93" s="596">
        <f>E89+E82+E81+E77+E68+E63+E60+E44+E40+E37+E36+E22+E19+E18+E17+E10</f>
        <v>20907</v>
      </c>
      <c r="F93" s="596">
        <f>F92+F90+F89+F87+F85+F84+F83+F82+F81+F80+F78+F77+F71+F68+F67+F66+F63+F62+F61+F60+F58+F56+F53+F51+F49+F47+F45+F44+F42+F40+F39+F37+F36+F34+F32+F30+F28+F26+F24+F22+F20+F19+F18+F17+F15+F13+F10</f>
        <v>20431</v>
      </c>
      <c r="G93" s="596">
        <f>G92+G90+G89+G87+G85+G84+G83+G82+G81+G80+G78+G77+G71+G68+G67+G66+G63+G62+G61+G60+G58+G56+G53+G51+G49+G47+G45+G44+G42+G40+G39+G37+G36+G34+G32+G30+G28+G26+G24+G22+G20+G19+G18+G17+G15+G13+G10</f>
        <v>19546</v>
      </c>
      <c r="H93" s="775">
        <f>(G93/F93)*100</f>
        <v>95.668347119573198</v>
      </c>
      <c r="J93" s="635"/>
      <c r="K93" s="635"/>
      <c r="L93" s="635"/>
    </row>
    <row r="94" spans="1:12" s="356" customFormat="1" ht="18.75" customHeight="1" thickTop="1" x14ac:dyDescent="0.25">
      <c r="A94" s="354"/>
      <c r="B94" s="355"/>
      <c r="C94" s="140"/>
      <c r="D94" s="355"/>
      <c r="E94" s="178"/>
      <c r="F94" s="178"/>
      <c r="G94" s="178"/>
      <c r="H94" s="207"/>
    </row>
    <row r="95" spans="1:12" s="356" customFormat="1" ht="18.75" customHeight="1" x14ac:dyDescent="0.25">
      <c r="A95" s="354"/>
      <c r="B95" s="355"/>
      <c r="C95" s="140"/>
      <c r="D95" s="355"/>
      <c r="E95" s="178"/>
      <c r="F95" s="178"/>
      <c r="G95" s="178"/>
      <c r="H95" s="207"/>
    </row>
    <row r="96" spans="1:12" s="504" customFormat="1" ht="15.75" x14ac:dyDescent="0.25">
      <c r="A96" s="33" t="s">
        <v>1120</v>
      </c>
      <c r="B96" s="598"/>
      <c r="C96" s="620"/>
      <c r="D96" s="621"/>
      <c r="E96" s="622"/>
      <c r="F96" s="623"/>
      <c r="G96" s="624"/>
      <c r="H96" s="625"/>
    </row>
    <row r="97" spans="1:9" s="504" customFormat="1" ht="15.75" thickBot="1" x14ac:dyDescent="0.3">
      <c r="A97" s="598"/>
      <c r="B97" s="598"/>
      <c r="C97" s="620"/>
      <c r="D97" s="621"/>
      <c r="E97" s="622"/>
      <c r="F97" s="623"/>
      <c r="G97" s="624"/>
      <c r="H97" s="668" t="s">
        <v>148</v>
      </c>
    </row>
    <row r="98" spans="1:9" s="106" customFormat="1" ht="20.25" customHeight="1" thickTop="1" thickBot="1" x14ac:dyDescent="0.25">
      <c r="A98" s="586" t="s">
        <v>149</v>
      </c>
      <c r="B98" s="587" t="s">
        <v>150</v>
      </c>
      <c r="C98" s="615" t="s">
        <v>639</v>
      </c>
      <c r="D98" s="658" t="s">
        <v>151</v>
      </c>
      <c r="E98" s="589" t="s">
        <v>569</v>
      </c>
      <c r="F98" s="589" t="s">
        <v>570</v>
      </c>
      <c r="G98" s="589" t="s">
        <v>797</v>
      </c>
      <c r="H98" s="674" t="s">
        <v>798</v>
      </c>
    </row>
    <row r="99" spans="1:9" s="375" customFormat="1" ht="13.5" thickTop="1" thickBot="1" x14ac:dyDescent="0.25">
      <c r="A99" s="525">
        <v>1</v>
      </c>
      <c r="B99" s="526">
        <v>2</v>
      </c>
      <c r="C99" s="526">
        <v>3</v>
      </c>
      <c r="D99" s="526">
        <v>4</v>
      </c>
      <c r="E99" s="526">
        <v>5</v>
      </c>
      <c r="F99" s="512">
        <v>6</v>
      </c>
      <c r="G99" s="512">
        <v>7</v>
      </c>
      <c r="H99" s="591" t="s">
        <v>54</v>
      </c>
      <c r="I99" s="106"/>
    </row>
    <row r="100" spans="1:9" s="875" customFormat="1" ht="15.75" thickTop="1" x14ac:dyDescent="0.25">
      <c r="A100" s="910">
        <v>1037</v>
      </c>
      <c r="B100" s="962">
        <v>6313</v>
      </c>
      <c r="C100" s="904"/>
      <c r="D100" s="966" t="s">
        <v>1112</v>
      </c>
      <c r="E100" s="964"/>
      <c r="F100" s="436">
        <v>1545</v>
      </c>
      <c r="G100" s="363">
        <v>1545</v>
      </c>
      <c r="H100" s="200">
        <f>(G100/F100)*100</f>
        <v>100</v>
      </c>
    </row>
    <row r="101" spans="1:9" s="875" customFormat="1" x14ac:dyDescent="0.2">
      <c r="A101" s="34"/>
      <c r="B101" s="905"/>
      <c r="C101" s="887" t="s">
        <v>1799</v>
      </c>
      <c r="D101" s="3097" t="s">
        <v>1113</v>
      </c>
      <c r="E101" s="55"/>
      <c r="F101" s="310">
        <v>1545</v>
      </c>
      <c r="G101" s="312">
        <v>1545</v>
      </c>
      <c r="H101" s="884">
        <f>(G101/F101)*100</f>
        <v>100</v>
      </c>
    </row>
    <row r="102" spans="1:9" s="875" customFormat="1" x14ac:dyDescent="0.2">
      <c r="A102" s="34"/>
      <c r="B102" s="905"/>
      <c r="C102" s="887"/>
      <c r="D102" s="3097"/>
      <c r="E102" s="55"/>
      <c r="F102" s="310"/>
      <c r="G102" s="312"/>
      <c r="H102" s="884"/>
    </row>
    <row r="103" spans="1:9" s="875" customFormat="1" ht="30" x14ac:dyDescent="0.2">
      <c r="A103" s="1100">
        <v>1099</v>
      </c>
      <c r="B103" s="1097">
        <v>6312</v>
      </c>
      <c r="C103" s="887"/>
      <c r="D103" s="959" t="s">
        <v>1617</v>
      </c>
      <c r="E103" s="55"/>
      <c r="F103" s="1903">
        <v>115</v>
      </c>
      <c r="G103" s="434">
        <v>115</v>
      </c>
      <c r="H103" s="1904">
        <f t="shared" ref="H103:H120" si="8">(G103/F103)*100</f>
        <v>100</v>
      </c>
    </row>
    <row r="104" spans="1:9" s="875" customFormat="1" x14ac:dyDescent="0.2">
      <c r="A104" s="34"/>
      <c r="B104" s="905"/>
      <c r="C104" s="903" t="s">
        <v>1787</v>
      </c>
      <c r="D104" s="882" t="s">
        <v>292</v>
      </c>
      <c r="E104" s="55"/>
      <c r="F104" s="310">
        <v>115</v>
      </c>
      <c r="G104" s="312">
        <v>115</v>
      </c>
      <c r="H104" s="884">
        <f t="shared" si="8"/>
        <v>100</v>
      </c>
    </row>
    <row r="105" spans="1:9" s="875" customFormat="1" ht="15" x14ac:dyDescent="0.25">
      <c r="A105" s="34">
        <v>2310</v>
      </c>
      <c r="B105" s="905">
        <v>6341</v>
      </c>
      <c r="C105" s="1104"/>
      <c r="D105" s="876" t="s">
        <v>227</v>
      </c>
      <c r="E105" s="48"/>
      <c r="F105" s="166">
        <v>500</v>
      </c>
      <c r="G105" s="311">
        <v>500</v>
      </c>
      <c r="H105" s="200">
        <f t="shared" si="8"/>
        <v>100</v>
      </c>
    </row>
    <row r="106" spans="1:9" s="875" customFormat="1" x14ac:dyDescent="0.2">
      <c r="A106" s="34"/>
      <c r="B106" s="905"/>
      <c r="C106" s="888" t="s">
        <v>1800</v>
      </c>
      <c r="D106" s="882" t="s">
        <v>558</v>
      </c>
      <c r="E106" s="55"/>
      <c r="F106" s="310">
        <v>500</v>
      </c>
      <c r="G106" s="312">
        <v>500</v>
      </c>
      <c r="H106" s="884">
        <f t="shared" si="8"/>
        <v>100</v>
      </c>
    </row>
    <row r="107" spans="1:9" s="875" customFormat="1" ht="15" x14ac:dyDescent="0.25">
      <c r="A107" s="34">
        <v>2321</v>
      </c>
      <c r="B107" s="905">
        <v>6341</v>
      </c>
      <c r="C107" s="888"/>
      <c r="D107" s="876" t="s">
        <v>227</v>
      </c>
      <c r="E107" s="55"/>
      <c r="F107" s="309">
        <v>2500</v>
      </c>
      <c r="G107" s="311">
        <v>2500</v>
      </c>
      <c r="H107" s="200">
        <f t="shared" si="8"/>
        <v>100</v>
      </c>
    </row>
    <row r="108" spans="1:9" s="875" customFormat="1" x14ac:dyDescent="0.2">
      <c r="A108" s="34"/>
      <c r="B108" s="905"/>
      <c r="C108" s="903" t="s">
        <v>1761</v>
      </c>
      <c r="D108" s="913" t="s">
        <v>806</v>
      </c>
      <c r="E108" s="55"/>
      <c r="F108" s="310">
        <v>2000</v>
      </c>
      <c r="G108" s="312">
        <v>2000</v>
      </c>
      <c r="H108" s="884">
        <f t="shared" si="8"/>
        <v>100</v>
      </c>
    </row>
    <row r="109" spans="1:9" s="875" customFormat="1" x14ac:dyDescent="0.2">
      <c r="A109" s="34"/>
      <c r="B109" s="905"/>
      <c r="C109" s="888" t="s">
        <v>1800</v>
      </c>
      <c r="D109" s="882" t="s">
        <v>558</v>
      </c>
      <c r="E109" s="55"/>
      <c r="F109" s="310">
        <v>500</v>
      </c>
      <c r="G109" s="312">
        <v>500</v>
      </c>
      <c r="H109" s="884">
        <f t="shared" si="8"/>
        <v>100</v>
      </c>
    </row>
    <row r="110" spans="1:9" s="875" customFormat="1" ht="15" x14ac:dyDescent="0.25">
      <c r="A110" s="34">
        <v>2333</v>
      </c>
      <c r="B110" s="905">
        <v>6341</v>
      </c>
      <c r="C110" s="1104"/>
      <c r="D110" s="876" t="s">
        <v>227</v>
      </c>
      <c r="E110" s="48"/>
      <c r="F110" s="166">
        <v>1120</v>
      </c>
      <c r="G110" s="311">
        <v>1120</v>
      </c>
      <c r="H110" s="200">
        <f t="shared" ref="H110:H111" si="9">(G110/F110)*100</f>
        <v>100</v>
      </c>
    </row>
    <row r="111" spans="1:9" s="875" customFormat="1" x14ac:dyDescent="0.2">
      <c r="A111" s="34"/>
      <c r="B111" s="905"/>
      <c r="C111" s="888" t="s">
        <v>1800</v>
      </c>
      <c r="D111" s="882" t="s">
        <v>558</v>
      </c>
      <c r="E111" s="55"/>
      <c r="F111" s="310">
        <v>1120</v>
      </c>
      <c r="G111" s="312">
        <v>1120</v>
      </c>
      <c r="H111" s="884">
        <f t="shared" si="9"/>
        <v>100</v>
      </c>
    </row>
    <row r="112" spans="1:9" s="875" customFormat="1" ht="15" x14ac:dyDescent="0.25">
      <c r="A112" s="34">
        <v>2399</v>
      </c>
      <c r="B112" s="905">
        <v>6313</v>
      </c>
      <c r="C112" s="888"/>
      <c r="D112" s="305" t="s">
        <v>1112</v>
      </c>
      <c r="E112" s="71">
        <v>500</v>
      </c>
      <c r="F112" s="309">
        <v>250</v>
      </c>
      <c r="G112" s="311">
        <v>0</v>
      </c>
      <c r="H112" s="200">
        <f t="shared" si="8"/>
        <v>0</v>
      </c>
    </row>
    <row r="113" spans="1:12" s="875" customFormat="1" x14ac:dyDescent="0.2">
      <c r="A113" s="34"/>
      <c r="B113" s="905"/>
      <c r="C113" s="903" t="s">
        <v>1761</v>
      </c>
      <c r="D113" s="913" t="s">
        <v>806</v>
      </c>
      <c r="E113" s="55">
        <v>500</v>
      </c>
      <c r="F113" s="310">
        <v>250</v>
      </c>
      <c r="G113" s="312">
        <v>0</v>
      </c>
      <c r="H113" s="884">
        <f t="shared" si="8"/>
        <v>0</v>
      </c>
    </row>
    <row r="114" spans="1:12" s="875" customFormat="1" ht="15" x14ac:dyDescent="0.25">
      <c r="A114" s="34">
        <v>2399</v>
      </c>
      <c r="B114" s="905">
        <v>6341</v>
      </c>
      <c r="C114" s="1104"/>
      <c r="D114" s="876" t="s">
        <v>227</v>
      </c>
      <c r="E114" s="55"/>
      <c r="F114" s="309">
        <v>450</v>
      </c>
      <c r="G114" s="311">
        <v>450</v>
      </c>
      <c r="H114" s="200">
        <f t="shared" si="8"/>
        <v>100</v>
      </c>
    </row>
    <row r="115" spans="1:12" s="875" customFormat="1" x14ac:dyDescent="0.2">
      <c r="A115" s="34"/>
      <c r="B115" s="905"/>
      <c r="C115" s="903" t="s">
        <v>1761</v>
      </c>
      <c r="D115" s="913" t="s">
        <v>806</v>
      </c>
      <c r="E115" s="55"/>
      <c r="F115" s="310">
        <v>450</v>
      </c>
      <c r="G115" s="312">
        <v>450</v>
      </c>
      <c r="H115" s="884">
        <f t="shared" si="8"/>
        <v>100</v>
      </c>
    </row>
    <row r="116" spans="1:12" s="875" customFormat="1" ht="15" x14ac:dyDescent="0.25">
      <c r="A116" s="34">
        <v>3429</v>
      </c>
      <c r="B116" s="905">
        <v>6322</v>
      </c>
      <c r="C116" s="903"/>
      <c r="D116" s="87" t="s">
        <v>62</v>
      </c>
      <c r="E116" s="48"/>
      <c r="F116" s="309">
        <v>50</v>
      </c>
      <c r="G116" s="311">
        <v>50</v>
      </c>
      <c r="H116" s="200">
        <f t="shared" si="8"/>
        <v>100</v>
      </c>
    </row>
    <row r="117" spans="1:12" s="875" customFormat="1" ht="15" x14ac:dyDescent="0.25">
      <c r="A117" s="34"/>
      <c r="B117" s="905"/>
      <c r="C117" s="903" t="s">
        <v>1787</v>
      </c>
      <c r="D117" s="882" t="s">
        <v>292</v>
      </c>
      <c r="E117" s="48"/>
      <c r="F117" s="310">
        <v>50</v>
      </c>
      <c r="G117" s="312">
        <v>50</v>
      </c>
      <c r="H117" s="884">
        <f t="shared" si="8"/>
        <v>100</v>
      </c>
    </row>
    <row r="118" spans="1:12" s="875" customFormat="1" ht="15" x14ac:dyDescent="0.25">
      <c r="A118" s="34">
        <v>3732</v>
      </c>
      <c r="B118" s="19">
        <v>6341</v>
      </c>
      <c r="C118" s="903"/>
      <c r="D118" s="876" t="s">
        <v>227</v>
      </c>
      <c r="E118" s="48"/>
      <c r="F118" s="309">
        <v>80</v>
      </c>
      <c r="G118" s="311">
        <v>80</v>
      </c>
      <c r="H118" s="200">
        <f t="shared" si="8"/>
        <v>100</v>
      </c>
    </row>
    <row r="119" spans="1:12" s="875" customFormat="1" ht="15.75" thickBot="1" x14ac:dyDescent="0.3">
      <c r="A119" s="911"/>
      <c r="B119" s="908"/>
      <c r="C119" s="900" t="s">
        <v>1800</v>
      </c>
      <c r="D119" s="1357" t="s">
        <v>558</v>
      </c>
      <c r="E119" s="902"/>
      <c r="F119" s="428">
        <v>80</v>
      </c>
      <c r="G119" s="429">
        <v>80</v>
      </c>
      <c r="H119" s="1093">
        <f t="shared" si="8"/>
        <v>100</v>
      </c>
    </row>
    <row r="120" spans="1:12" s="356" customFormat="1" ht="35.25" customHeight="1" thickTop="1" thickBot="1" x14ac:dyDescent="0.3">
      <c r="A120" s="631" t="s">
        <v>224</v>
      </c>
      <c r="B120" s="632"/>
      <c r="C120" s="633"/>
      <c r="D120" s="632"/>
      <c r="E120" s="634">
        <f>E112</f>
        <v>500</v>
      </c>
      <c r="F120" s="634">
        <f>F118+F116+F114+F112+F110+F107+F105+F103+F100</f>
        <v>6610</v>
      </c>
      <c r="G120" s="634">
        <f>G118+G116+G114+G112+G110+G107+G105+G103+G100</f>
        <v>6360</v>
      </c>
      <c r="H120" s="776">
        <f t="shared" si="8"/>
        <v>96.217851739788202</v>
      </c>
    </row>
    <row r="121" spans="1:12" s="504" customFormat="1" ht="15.75" thickTop="1" x14ac:dyDescent="0.25">
      <c r="A121" s="598"/>
      <c r="B121" s="598"/>
      <c r="C121" s="620"/>
      <c r="D121" s="621"/>
      <c r="E121" s="622"/>
      <c r="F121" s="623"/>
      <c r="G121" s="624"/>
      <c r="H121" s="625"/>
    </row>
    <row r="122" spans="1:12" s="504" customFormat="1" ht="15" x14ac:dyDescent="0.25">
      <c r="A122" s="598"/>
      <c r="B122" s="598"/>
      <c r="C122" s="620"/>
      <c r="D122" s="621"/>
      <c r="E122" s="622"/>
      <c r="F122" s="623"/>
      <c r="G122" s="624"/>
      <c r="H122" s="625"/>
    </row>
    <row r="123" spans="1:12" ht="16.5" x14ac:dyDescent="0.25">
      <c r="A123" s="357" t="s">
        <v>184</v>
      </c>
      <c r="B123" s="358"/>
      <c r="C123" s="359"/>
      <c r="D123" s="359"/>
      <c r="E123" s="777">
        <f>E124+E125+E126+E127</f>
        <v>21407</v>
      </c>
      <c r="F123" s="777">
        <f>F124+F125+F126+F127</f>
        <v>27041</v>
      </c>
      <c r="G123" s="777">
        <f>G124+G125+G126+G127</f>
        <v>25906</v>
      </c>
      <c r="H123" s="301">
        <f>G123/F123*100</f>
        <v>95.802670019599873</v>
      </c>
      <c r="J123" s="1611">
        <f>SUM(J124:J127)</f>
        <v>21407000</v>
      </c>
      <c r="K123" s="1611">
        <f>SUM(K124:K127)</f>
        <v>27041349</v>
      </c>
      <c r="L123" s="1611">
        <f>SUM(L124:L127)</f>
        <v>25906391.329999998</v>
      </c>
    </row>
    <row r="124" spans="1:12" s="1045" customFormat="1" ht="15" x14ac:dyDescent="0.2">
      <c r="A124" s="520" t="s">
        <v>242</v>
      </c>
      <c r="B124" s="542"/>
      <c r="C124" s="543"/>
      <c r="D124" s="543"/>
      <c r="E124" s="778">
        <f>E93</f>
        <v>20907</v>
      </c>
      <c r="F124" s="778">
        <f>F93-F126</f>
        <v>20250</v>
      </c>
      <c r="G124" s="778">
        <f>G93-G126</f>
        <v>19365</v>
      </c>
      <c r="H124" s="302">
        <f>G124/F124*100</f>
        <v>95.629629629629633</v>
      </c>
      <c r="J124" s="1437">
        <v>20907000</v>
      </c>
      <c r="K124" s="1437">
        <f>20431349-K126</f>
        <v>20250000</v>
      </c>
      <c r="L124" s="1437">
        <v>19365042.329999998</v>
      </c>
    </row>
    <row r="125" spans="1:12" s="1045" customFormat="1" ht="15" x14ac:dyDescent="0.2">
      <c r="A125" s="520" t="s">
        <v>243</v>
      </c>
      <c r="B125" s="547"/>
      <c r="C125" s="543"/>
      <c r="D125" s="543"/>
      <c r="E125" s="779">
        <f>E120</f>
        <v>500</v>
      </c>
      <c r="F125" s="779">
        <f>F120-F127</f>
        <v>5065</v>
      </c>
      <c r="G125" s="779">
        <f>G120-G127</f>
        <v>4815</v>
      </c>
      <c r="H125" s="302">
        <f>G125/F125*100</f>
        <v>95.064165844027642</v>
      </c>
      <c r="J125" s="1437">
        <v>500000</v>
      </c>
      <c r="K125" s="1437">
        <v>5065000</v>
      </c>
      <c r="L125" s="1437">
        <v>4815000</v>
      </c>
    </row>
    <row r="126" spans="1:12" s="1045" customFormat="1" ht="15" x14ac:dyDescent="0.2">
      <c r="A126" s="520" t="s">
        <v>191</v>
      </c>
      <c r="B126" s="547"/>
      <c r="C126" s="543"/>
      <c r="D126" s="543"/>
      <c r="E126" s="778">
        <v>0</v>
      </c>
      <c r="F126" s="778">
        <f>F91</f>
        <v>181</v>
      </c>
      <c r="G126" s="778">
        <f>G91</f>
        <v>181</v>
      </c>
      <c r="H126" s="302">
        <f>G126/F126*100</f>
        <v>100</v>
      </c>
      <c r="J126" s="1437">
        <v>0</v>
      </c>
      <c r="K126" s="1437">
        <v>181349</v>
      </c>
      <c r="L126" s="1437">
        <v>181349</v>
      </c>
    </row>
    <row r="127" spans="1:12" s="1045" customFormat="1" ht="15" x14ac:dyDescent="0.2">
      <c r="A127" s="520" t="s">
        <v>1034</v>
      </c>
      <c r="B127" s="547"/>
      <c r="C127" s="543"/>
      <c r="D127" s="543"/>
      <c r="E127" s="778">
        <v>0</v>
      </c>
      <c r="F127" s="549">
        <f>F101</f>
        <v>1545</v>
      </c>
      <c r="G127" s="549">
        <f>G101</f>
        <v>1545</v>
      </c>
      <c r="H127" s="302">
        <f>G127/F127*100</f>
        <v>100</v>
      </c>
      <c r="J127" s="1437">
        <v>0</v>
      </c>
      <c r="K127" s="1437">
        <v>1545000</v>
      </c>
      <c r="L127" s="1437">
        <v>1545000</v>
      </c>
    </row>
    <row r="128" spans="1:12" s="1045" customFormat="1" ht="15" x14ac:dyDescent="0.2">
      <c r="A128" s="520"/>
      <c r="B128" s="547"/>
      <c r="C128" s="543"/>
      <c r="D128" s="543"/>
      <c r="E128" s="778"/>
      <c r="F128" s="549"/>
      <c r="G128" s="549"/>
      <c r="H128" s="302"/>
    </row>
    <row r="129" spans="1:8" s="504" customFormat="1" x14ac:dyDescent="0.2">
      <c r="A129" s="647"/>
      <c r="B129" s="780"/>
      <c r="C129" s="781"/>
      <c r="D129" s="107"/>
      <c r="E129" s="435"/>
      <c r="F129" s="435"/>
      <c r="G129" s="435"/>
      <c r="H129" s="739"/>
    </row>
    <row r="130" spans="1:8" s="58" customFormat="1" ht="47.25" customHeight="1" thickBot="1" x14ac:dyDescent="0.4">
      <c r="A130" s="3076" t="s">
        <v>1067</v>
      </c>
      <c r="B130" s="3077"/>
      <c r="C130" s="3077"/>
      <c r="D130" s="3077"/>
      <c r="E130" s="550">
        <f>E120+E93</f>
        <v>21407</v>
      </c>
      <c r="F130" s="550">
        <f>F120+F93</f>
        <v>27041</v>
      </c>
      <c r="G130" s="550">
        <f>G120+G93</f>
        <v>25906</v>
      </c>
      <c r="H130" s="782">
        <f>(G130/F130)*100</f>
        <v>95.802670019599873</v>
      </c>
    </row>
    <row r="131" spans="1:8" ht="15" thickTop="1" x14ac:dyDescent="0.2"/>
  </sheetData>
  <mergeCells count="3">
    <mergeCell ref="A130:D130"/>
    <mergeCell ref="D101:D102"/>
    <mergeCell ref="D45:D46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9" firstPageNumber="35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  <rowBreaks count="1" manualBreakCount="1">
    <brk id="71" max="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 enableFormatConditionsCalculation="0">
    <tabColor rgb="FF00B0F0"/>
  </sheetPr>
  <dimension ref="A1:U326"/>
  <sheetViews>
    <sheetView showGridLines="0" view="pageBreakPreview" topLeftCell="A304" zoomScaleNormal="100" zoomScaleSheetLayoutView="100" workbookViewId="0">
      <selection activeCell="G274" sqref="G274:G277"/>
    </sheetView>
  </sheetViews>
  <sheetFormatPr defaultColWidth="9.140625" defaultRowHeight="14.25" x14ac:dyDescent="0.2"/>
  <cols>
    <col min="1" max="1" width="5.28515625" style="598" customWidth="1"/>
    <col min="2" max="2" width="4.85546875" style="373" customWidth="1"/>
    <col min="3" max="3" width="9.7109375" style="609" customWidth="1"/>
    <col min="4" max="4" width="47.140625" style="373" customWidth="1"/>
    <col min="5" max="5" width="14.7109375" style="497" customWidth="1"/>
    <col min="6" max="6" width="14.85546875" style="497" customWidth="1"/>
    <col min="7" max="7" width="13.42578125" style="497" customWidth="1"/>
    <col min="8" max="8" width="8.28515625" style="655" customWidth="1"/>
    <col min="9" max="9" width="2.7109375" style="373" customWidth="1"/>
    <col min="10" max="10" width="10.28515625" style="373" customWidth="1"/>
    <col min="11" max="11" width="13.42578125" style="373" customWidth="1"/>
    <col min="12" max="12" width="18.5703125" style="373" customWidth="1"/>
    <col min="13" max="13" width="17.28515625" style="373" bestFit="1" customWidth="1"/>
    <col min="14" max="14" width="9.140625" style="373"/>
    <col min="15" max="15" width="4.7109375" style="373" customWidth="1"/>
    <col min="16" max="16" width="3.28515625" style="373" customWidth="1"/>
    <col min="17" max="17" width="24.7109375" style="373" customWidth="1"/>
    <col min="18" max="18" width="29.7109375" style="373" customWidth="1"/>
    <col min="19" max="19" width="28.85546875" style="373" customWidth="1"/>
    <col min="20" max="16384" width="9.140625" style="373"/>
  </cols>
  <sheetData>
    <row r="1" spans="1:13" ht="18.75" thickBot="1" x14ac:dyDescent="0.3">
      <c r="A1" s="448" t="s">
        <v>643</v>
      </c>
      <c r="B1" s="449"/>
      <c r="C1" s="450"/>
      <c r="D1" s="460"/>
      <c r="E1" s="1158"/>
      <c r="F1" s="452" t="s">
        <v>644</v>
      </c>
    </row>
    <row r="2" spans="1:13" ht="12.75" customHeight="1" x14ac:dyDescent="0.25">
      <c r="A2" s="6"/>
      <c r="B2" s="28"/>
      <c r="C2" s="140"/>
      <c r="D2" s="10"/>
      <c r="E2" s="447"/>
      <c r="F2" s="447"/>
      <c r="G2" s="166"/>
      <c r="H2" s="210"/>
    </row>
    <row r="3" spans="1:13" ht="12.75" customHeight="1" x14ac:dyDescent="0.25">
      <c r="A3" s="67" t="s">
        <v>336</v>
      </c>
      <c r="B3" s="304"/>
      <c r="C3" s="1917" t="s">
        <v>1866</v>
      </c>
      <c r="D3" s="583"/>
      <c r="E3" s="447"/>
      <c r="F3" s="166"/>
      <c r="G3" s="178"/>
      <c r="H3" s="210"/>
    </row>
    <row r="4" spans="1:13" ht="12.75" customHeight="1" x14ac:dyDescent="0.25">
      <c r="A4" s="6"/>
      <c r="B4" s="28"/>
      <c r="C4" s="1917" t="s">
        <v>422</v>
      </c>
      <c r="D4" s="374"/>
      <c r="E4" s="447"/>
      <c r="F4" s="166"/>
      <c r="G4" s="178"/>
      <c r="H4" s="210"/>
    </row>
    <row r="5" spans="1:13" ht="6" customHeight="1" x14ac:dyDescent="0.25">
      <c r="A5" s="6"/>
      <c r="B5" s="28"/>
      <c r="C5" s="140"/>
      <c r="D5" s="10"/>
      <c r="E5" s="447"/>
      <c r="F5" s="447"/>
      <c r="G5" s="166"/>
      <c r="H5" s="210"/>
    </row>
    <row r="6" spans="1:13" ht="15.75" x14ac:dyDescent="0.25">
      <c r="A6" s="97" t="s">
        <v>799</v>
      </c>
      <c r="B6" s="28"/>
      <c r="C6" s="140"/>
      <c r="D6" s="10"/>
      <c r="E6" s="447"/>
      <c r="F6" s="447"/>
      <c r="G6" s="166"/>
    </row>
    <row r="7" spans="1:13" ht="12.75" customHeight="1" thickBot="1" x14ac:dyDescent="0.3">
      <c r="A7" s="97"/>
      <c r="B7" s="28"/>
      <c r="C7" s="140"/>
      <c r="D7" s="10"/>
      <c r="E7" s="447"/>
      <c r="F7" s="447"/>
      <c r="G7" s="166"/>
      <c r="H7" s="1353" t="s">
        <v>148</v>
      </c>
    </row>
    <row r="8" spans="1:13" s="106" customFormat="1" ht="20.25" customHeight="1" thickTop="1" thickBot="1" x14ac:dyDescent="0.25">
      <c r="A8" s="586" t="s">
        <v>149</v>
      </c>
      <c r="B8" s="587" t="s">
        <v>150</v>
      </c>
      <c r="C8" s="615" t="s">
        <v>639</v>
      </c>
      <c r="D8" s="589" t="s">
        <v>151</v>
      </c>
      <c r="E8" s="589" t="s">
        <v>569</v>
      </c>
      <c r="F8" s="589" t="s">
        <v>570</v>
      </c>
      <c r="G8" s="589" t="s">
        <v>797</v>
      </c>
      <c r="H8" s="590" t="s">
        <v>798</v>
      </c>
    </row>
    <row r="9" spans="1:13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26">
        <v>5</v>
      </c>
      <c r="F9" s="512">
        <v>6</v>
      </c>
      <c r="G9" s="512">
        <v>7</v>
      </c>
      <c r="H9" s="591" t="s">
        <v>54</v>
      </c>
      <c r="I9" s="106"/>
    </row>
    <row r="10" spans="1:13" s="375" customFormat="1" ht="15.75" thickTop="1" x14ac:dyDescent="0.25">
      <c r="A10" s="1113">
        <v>3233</v>
      </c>
      <c r="B10" s="617">
        <v>5321</v>
      </c>
      <c r="C10" s="2047"/>
      <c r="D10" s="664" t="s">
        <v>1078</v>
      </c>
      <c r="E10" s="433"/>
      <c r="F10" s="309">
        <f>F11</f>
        <v>48</v>
      </c>
      <c r="G10" s="311">
        <f>G11</f>
        <v>48</v>
      </c>
      <c r="H10" s="1123">
        <f t="shared" ref="H10:H22" si="0">(G10/F10)*100</f>
        <v>100</v>
      </c>
      <c r="I10" s="106"/>
    </row>
    <row r="11" spans="1:13" s="375" customFormat="1" ht="15" x14ac:dyDescent="0.25">
      <c r="A11" s="1113"/>
      <c r="B11" s="617"/>
      <c r="C11" s="518" t="s">
        <v>1761</v>
      </c>
      <c r="D11" s="2046" t="s">
        <v>806</v>
      </c>
      <c r="E11" s="433"/>
      <c r="F11" s="310">
        <f>9+17+22</f>
        <v>48</v>
      </c>
      <c r="G11" s="312">
        <f>9+17+22</f>
        <v>48</v>
      </c>
      <c r="H11" s="519">
        <f t="shared" si="0"/>
        <v>100</v>
      </c>
      <c r="I11" s="106"/>
      <c r="K11" s="2106"/>
      <c r="L11" s="2107">
        <v>48010</v>
      </c>
      <c r="M11" s="2107">
        <v>48010</v>
      </c>
    </row>
    <row r="12" spans="1:13" s="375" customFormat="1" ht="15" x14ac:dyDescent="0.25">
      <c r="A12" s="2065">
        <v>3269</v>
      </c>
      <c r="B12" s="515">
        <v>5139</v>
      </c>
      <c r="C12" s="740"/>
      <c r="D12" s="372" t="s">
        <v>566</v>
      </c>
      <c r="E12" s="311">
        <f>E13+E14+E15+E16</f>
        <v>55</v>
      </c>
      <c r="F12" s="311">
        <f t="shared" ref="F12:G12" si="1">F13+F14+F15+F16</f>
        <v>161</v>
      </c>
      <c r="G12" s="311">
        <f t="shared" si="1"/>
        <v>137</v>
      </c>
      <c r="H12" s="1123">
        <f t="shared" si="0"/>
        <v>85.093167701863365</v>
      </c>
      <c r="I12" s="106"/>
      <c r="K12" s="2107">
        <v>55000</v>
      </c>
      <c r="L12" s="2107"/>
      <c r="M12" s="2107"/>
    </row>
    <row r="13" spans="1:13" s="375" customFormat="1" x14ac:dyDescent="0.2">
      <c r="A13" s="2065"/>
      <c r="B13" s="515"/>
      <c r="C13" s="518" t="s">
        <v>1760</v>
      </c>
      <c r="D13" s="308" t="s">
        <v>1127</v>
      </c>
      <c r="E13" s="312">
        <v>35</v>
      </c>
      <c r="F13" s="310">
        <v>55</v>
      </c>
      <c r="G13" s="312">
        <v>31</v>
      </c>
      <c r="H13" s="519">
        <f t="shared" si="0"/>
        <v>56.36363636363636</v>
      </c>
      <c r="I13" s="106"/>
      <c r="K13" s="2107"/>
      <c r="L13" s="2107">
        <v>55000</v>
      </c>
      <c r="M13" s="2107">
        <v>31042</v>
      </c>
    </row>
    <row r="14" spans="1:13" s="375" customFormat="1" x14ac:dyDescent="0.2">
      <c r="A14" s="2065"/>
      <c r="B14" s="515"/>
      <c r="C14" s="2047" t="s">
        <v>1830</v>
      </c>
      <c r="D14" s="2042" t="s">
        <v>1204</v>
      </c>
      <c r="E14" s="312">
        <v>20</v>
      </c>
      <c r="F14" s="310">
        <v>25</v>
      </c>
      <c r="G14" s="312">
        <v>25</v>
      </c>
      <c r="H14" s="519">
        <f t="shared" si="0"/>
        <v>100</v>
      </c>
      <c r="I14" s="106"/>
      <c r="K14" s="2107"/>
      <c r="L14" s="2107">
        <v>25000</v>
      </c>
      <c r="M14" s="2107">
        <v>24839</v>
      </c>
    </row>
    <row r="15" spans="1:13" s="375" customFormat="1" ht="15" x14ac:dyDescent="0.25">
      <c r="A15" s="2065"/>
      <c r="B15" s="515"/>
      <c r="C15" s="2047" t="s">
        <v>1862</v>
      </c>
      <c r="D15" s="2042" t="s">
        <v>1461</v>
      </c>
      <c r="E15" s="311"/>
      <c r="F15" s="310">
        <v>28</v>
      </c>
      <c r="G15" s="312">
        <v>28</v>
      </c>
      <c r="H15" s="519">
        <f t="shared" si="0"/>
        <v>100</v>
      </c>
      <c r="I15" s="106"/>
      <c r="K15" s="2107"/>
      <c r="L15" s="2107">
        <v>27500</v>
      </c>
      <c r="M15" s="2107">
        <v>27410</v>
      </c>
    </row>
    <row r="16" spans="1:13" s="375" customFormat="1" ht="15" x14ac:dyDescent="0.25">
      <c r="A16" s="2065"/>
      <c r="B16" s="515"/>
      <c r="C16" s="2047" t="s">
        <v>1863</v>
      </c>
      <c r="D16" s="2042" t="s">
        <v>1864</v>
      </c>
      <c r="E16" s="311"/>
      <c r="F16" s="310">
        <v>53</v>
      </c>
      <c r="G16" s="312">
        <v>53</v>
      </c>
      <c r="H16" s="519">
        <f t="shared" si="0"/>
        <v>100</v>
      </c>
      <c r="I16" s="106"/>
      <c r="K16" s="2107"/>
      <c r="L16" s="2107">
        <v>53357</v>
      </c>
      <c r="M16" s="2107">
        <v>53342</v>
      </c>
    </row>
    <row r="17" spans="1:21" s="920" customFormat="1" ht="14.25" customHeight="1" x14ac:dyDescent="0.25">
      <c r="A17" s="2065">
        <v>3269</v>
      </c>
      <c r="B17" s="515">
        <v>5162</v>
      </c>
      <c r="C17" s="740"/>
      <c r="D17" s="372" t="s">
        <v>123</v>
      </c>
      <c r="E17" s="311">
        <v>5</v>
      </c>
      <c r="F17" s="309">
        <v>5</v>
      </c>
      <c r="G17" s="311">
        <v>2</v>
      </c>
      <c r="H17" s="517">
        <f t="shared" si="0"/>
        <v>40</v>
      </c>
      <c r="K17" s="2107">
        <v>5000</v>
      </c>
      <c r="L17" s="2107">
        <v>5000</v>
      </c>
      <c r="M17" s="2107">
        <v>2335</v>
      </c>
    </row>
    <row r="18" spans="1:21" s="920" customFormat="1" ht="14.25" customHeight="1" x14ac:dyDescent="0.25">
      <c r="A18" s="2065">
        <v>3269</v>
      </c>
      <c r="B18" s="515">
        <v>5164</v>
      </c>
      <c r="C18" s="740"/>
      <c r="D18" s="372" t="s">
        <v>157</v>
      </c>
      <c r="E18" s="311">
        <f>E19+E20+E21</f>
        <v>128</v>
      </c>
      <c r="F18" s="311">
        <f t="shared" ref="F18:G18" si="2">F19+F20+F21</f>
        <v>136</v>
      </c>
      <c r="G18" s="311">
        <f t="shared" si="2"/>
        <v>91</v>
      </c>
      <c r="H18" s="1123">
        <f t="shared" si="0"/>
        <v>66.911764705882348</v>
      </c>
      <c r="K18" s="2107">
        <v>128000</v>
      </c>
      <c r="L18" s="2107"/>
      <c r="M18" s="2107"/>
    </row>
    <row r="19" spans="1:21" s="920" customFormat="1" ht="14.25" customHeight="1" x14ac:dyDescent="0.2">
      <c r="A19" s="2065"/>
      <c r="B19" s="515"/>
      <c r="C19" s="518" t="s">
        <v>1760</v>
      </c>
      <c r="D19" s="308" t="s">
        <v>1127</v>
      </c>
      <c r="E19" s="312">
        <v>108</v>
      </c>
      <c r="F19" s="310">
        <v>108</v>
      </c>
      <c r="G19" s="312">
        <v>63</v>
      </c>
      <c r="H19" s="519">
        <f t="shared" si="0"/>
        <v>58.333333333333336</v>
      </c>
      <c r="K19" s="2107"/>
      <c r="L19" s="2107">
        <v>108000</v>
      </c>
      <c r="M19" s="2107">
        <v>63368.4</v>
      </c>
    </row>
    <row r="20" spans="1:21" s="920" customFormat="1" ht="14.25" customHeight="1" x14ac:dyDescent="0.2">
      <c r="A20" s="2065"/>
      <c r="B20" s="515"/>
      <c r="C20" s="2047" t="s">
        <v>1830</v>
      </c>
      <c r="D20" s="2042" t="s">
        <v>1204</v>
      </c>
      <c r="E20" s="312">
        <v>20</v>
      </c>
      <c r="F20" s="310">
        <v>16</v>
      </c>
      <c r="G20" s="312">
        <v>16</v>
      </c>
      <c r="H20" s="519">
        <f t="shared" si="0"/>
        <v>100</v>
      </c>
      <c r="K20" s="2107"/>
      <c r="L20" s="2107">
        <v>15500</v>
      </c>
      <c r="M20" s="2107">
        <v>15500</v>
      </c>
    </row>
    <row r="21" spans="1:21" s="920" customFormat="1" ht="14.25" customHeight="1" x14ac:dyDescent="0.25">
      <c r="A21" s="2065"/>
      <c r="B21" s="515"/>
      <c r="C21" s="2047" t="s">
        <v>1863</v>
      </c>
      <c r="D21" s="2042" t="s">
        <v>1864</v>
      </c>
      <c r="E21" s="311"/>
      <c r="F21" s="310">
        <v>12</v>
      </c>
      <c r="G21" s="312">
        <v>12</v>
      </c>
      <c r="H21" s="519">
        <f t="shared" si="0"/>
        <v>100</v>
      </c>
      <c r="K21" s="2107"/>
      <c r="L21" s="2107">
        <v>12227</v>
      </c>
      <c r="M21" s="2107">
        <v>12227</v>
      </c>
    </row>
    <row r="22" spans="1:21" s="920" customFormat="1" ht="14.25" customHeight="1" x14ac:dyDescent="0.25">
      <c r="A22" s="2065">
        <v>3269</v>
      </c>
      <c r="B22" s="515">
        <v>5168</v>
      </c>
      <c r="C22" s="2047"/>
      <c r="D22" s="3099" t="s">
        <v>1650</v>
      </c>
      <c r="E22" s="311"/>
      <c r="F22" s="309">
        <v>5</v>
      </c>
      <c r="G22" s="311">
        <v>5</v>
      </c>
      <c r="H22" s="517">
        <f t="shared" si="0"/>
        <v>100</v>
      </c>
      <c r="K22" s="2107"/>
      <c r="L22" s="2107">
        <v>5155</v>
      </c>
      <c r="M22" s="2107">
        <v>5154.6000000000004</v>
      </c>
    </row>
    <row r="23" spans="1:21" s="920" customFormat="1" ht="14.25" customHeight="1" x14ac:dyDescent="0.25">
      <c r="A23" s="2065"/>
      <c r="B23" s="515"/>
      <c r="C23" s="2047"/>
      <c r="D23" s="3100"/>
      <c r="E23" s="311"/>
      <c r="F23" s="309"/>
      <c r="G23" s="311"/>
      <c r="H23" s="517"/>
      <c r="K23" s="2107"/>
      <c r="L23" s="2107"/>
      <c r="M23" s="2107"/>
    </row>
    <row r="24" spans="1:21" s="920" customFormat="1" ht="14.25" customHeight="1" x14ac:dyDescent="0.25">
      <c r="A24" s="1113">
        <v>3269</v>
      </c>
      <c r="B24" s="617">
        <v>5169</v>
      </c>
      <c r="C24" s="740"/>
      <c r="D24" s="372" t="s">
        <v>769</v>
      </c>
      <c r="E24" s="311">
        <f>E25+E27+E28+E26</f>
        <v>13729</v>
      </c>
      <c r="F24" s="311">
        <f t="shared" ref="F24:G24" si="3">F25+F27+F28+F26</f>
        <v>13299</v>
      </c>
      <c r="G24" s="311">
        <f t="shared" si="3"/>
        <v>12971</v>
      </c>
      <c r="H24" s="1123">
        <f t="shared" ref="H24:H35" si="4">(G24/F24)*100</f>
        <v>97.533649146552364</v>
      </c>
      <c r="I24" s="875"/>
      <c r="J24" s="875"/>
      <c r="K24" s="2107">
        <v>13729000</v>
      </c>
      <c r="L24" s="2107">
        <v>13299471</v>
      </c>
      <c r="M24" s="2107">
        <v>12970891</v>
      </c>
      <c r="N24" s="875"/>
      <c r="O24" s="875"/>
      <c r="P24" s="875"/>
      <c r="Q24" s="875"/>
      <c r="R24" s="875"/>
      <c r="S24" s="875"/>
      <c r="T24" s="875"/>
      <c r="U24" s="875"/>
    </row>
    <row r="25" spans="1:21" s="920" customFormat="1" ht="14.25" customHeight="1" x14ac:dyDescent="0.2">
      <c r="A25" s="1113"/>
      <c r="B25" s="617"/>
      <c r="C25" s="518" t="s">
        <v>1760</v>
      </c>
      <c r="D25" s="308" t="s">
        <v>1127</v>
      </c>
      <c r="E25" s="312">
        <v>12664</v>
      </c>
      <c r="F25" s="310">
        <v>12359</v>
      </c>
      <c r="G25" s="312">
        <v>12142</v>
      </c>
      <c r="H25" s="519">
        <f t="shared" si="4"/>
        <v>98.244194514119272</v>
      </c>
      <c r="I25" s="875"/>
      <c r="J25" s="875"/>
      <c r="K25" s="2107"/>
      <c r="L25" s="2107"/>
      <c r="M25" s="2107"/>
      <c r="N25" s="875"/>
      <c r="O25" s="875"/>
      <c r="P25" s="875"/>
      <c r="Q25" s="875"/>
      <c r="R25" s="875"/>
      <c r="S25" s="875"/>
      <c r="T25" s="875"/>
      <c r="U25" s="875"/>
    </row>
    <row r="26" spans="1:21" s="920" customFormat="1" ht="14.25" customHeight="1" x14ac:dyDescent="0.2">
      <c r="A26" s="1113"/>
      <c r="B26" s="617"/>
      <c r="C26" s="2047" t="s">
        <v>1830</v>
      </c>
      <c r="D26" s="2042" t="s">
        <v>1204</v>
      </c>
      <c r="E26" s="312">
        <v>65</v>
      </c>
      <c r="F26" s="310">
        <v>65</v>
      </c>
      <c r="G26" s="312">
        <v>65</v>
      </c>
      <c r="H26" s="519">
        <f t="shared" si="4"/>
        <v>100</v>
      </c>
      <c r="I26" s="875"/>
      <c r="J26" s="875"/>
      <c r="K26" s="2107"/>
      <c r="L26" s="2107"/>
      <c r="M26" s="2107"/>
      <c r="N26" s="875"/>
      <c r="O26" s="875"/>
      <c r="P26" s="875"/>
      <c r="Q26" s="875"/>
      <c r="R26" s="875"/>
      <c r="S26" s="875"/>
      <c r="T26" s="875"/>
      <c r="U26" s="875"/>
    </row>
    <row r="27" spans="1:21" s="920" customFormat="1" ht="14.25" customHeight="1" x14ac:dyDescent="0.2">
      <c r="A27" s="1113"/>
      <c r="B27" s="617"/>
      <c r="C27" s="2047" t="s">
        <v>1862</v>
      </c>
      <c r="D27" s="2042" t="s">
        <v>1461</v>
      </c>
      <c r="E27" s="312">
        <v>1000</v>
      </c>
      <c r="F27" s="310">
        <v>801</v>
      </c>
      <c r="G27" s="312">
        <v>690</v>
      </c>
      <c r="H27" s="519">
        <f t="shared" si="4"/>
        <v>86.142322097378283</v>
      </c>
      <c r="I27" s="875"/>
      <c r="J27" s="875"/>
      <c r="K27" s="2107"/>
      <c r="L27" s="2107"/>
      <c r="M27" s="2107"/>
      <c r="N27" s="875"/>
      <c r="O27" s="875"/>
      <c r="P27" s="875"/>
      <c r="Q27" s="875"/>
      <c r="R27" s="875"/>
      <c r="S27" s="875"/>
      <c r="T27" s="875"/>
      <c r="U27" s="875"/>
    </row>
    <row r="28" spans="1:21" s="920" customFormat="1" ht="14.25" customHeight="1" x14ac:dyDescent="0.2">
      <c r="A28" s="1113"/>
      <c r="B28" s="617"/>
      <c r="C28" s="2047" t="s">
        <v>1863</v>
      </c>
      <c r="D28" s="2042" t="s">
        <v>1864</v>
      </c>
      <c r="E28" s="312"/>
      <c r="F28" s="310">
        <v>74</v>
      </c>
      <c r="G28" s="312">
        <v>74</v>
      </c>
      <c r="H28" s="519">
        <f t="shared" si="4"/>
        <v>100</v>
      </c>
      <c r="I28" s="875"/>
      <c r="J28" s="875"/>
      <c r="K28" s="2107"/>
      <c r="L28" s="2107"/>
      <c r="M28" s="2107"/>
      <c r="N28" s="875"/>
      <c r="O28" s="875"/>
      <c r="P28" s="875"/>
      <c r="Q28" s="875"/>
      <c r="R28" s="875"/>
      <c r="S28" s="875"/>
      <c r="T28" s="875"/>
      <c r="U28" s="875"/>
    </row>
    <row r="29" spans="1:21" s="920" customFormat="1" ht="14.25" customHeight="1" x14ac:dyDescent="0.25">
      <c r="A29" s="1113">
        <v>3269</v>
      </c>
      <c r="B29" s="617">
        <v>5175</v>
      </c>
      <c r="C29" s="740"/>
      <c r="D29" s="664" t="s">
        <v>605</v>
      </c>
      <c r="E29" s="433">
        <f>E30+E31+E32</f>
        <v>147</v>
      </c>
      <c r="F29" s="311">
        <f>F30+F31+F32</f>
        <v>275</v>
      </c>
      <c r="G29" s="311">
        <f>G30+G31+G32</f>
        <v>214</v>
      </c>
      <c r="H29" s="1123">
        <f t="shared" si="4"/>
        <v>77.818181818181813</v>
      </c>
      <c r="I29" s="875"/>
      <c r="J29" s="875"/>
      <c r="K29" s="2107">
        <v>147000</v>
      </c>
      <c r="L29" s="2107">
        <v>274916</v>
      </c>
      <c r="M29" s="2107">
        <v>213959</v>
      </c>
      <c r="N29" s="875"/>
      <c r="O29" s="875"/>
      <c r="P29" s="875"/>
      <c r="Q29" s="875"/>
      <c r="R29" s="875"/>
      <c r="S29" s="875"/>
      <c r="T29" s="875"/>
      <c r="U29" s="875"/>
    </row>
    <row r="30" spans="1:21" s="920" customFormat="1" ht="14.25" customHeight="1" x14ac:dyDescent="0.2">
      <c r="A30" s="1113"/>
      <c r="B30" s="617"/>
      <c r="C30" s="518" t="s">
        <v>1760</v>
      </c>
      <c r="D30" s="308" t="s">
        <v>1127</v>
      </c>
      <c r="E30" s="312">
        <v>97</v>
      </c>
      <c r="F30" s="310">
        <v>97</v>
      </c>
      <c r="G30" s="312">
        <v>36</v>
      </c>
      <c r="H30" s="519">
        <f t="shared" si="4"/>
        <v>37.113402061855673</v>
      </c>
      <c r="I30" s="875"/>
      <c r="J30" s="875"/>
      <c r="K30" s="2107"/>
      <c r="L30" s="2107"/>
      <c r="M30" s="2107"/>
      <c r="N30" s="875"/>
      <c r="O30" s="875"/>
      <c r="P30" s="875"/>
      <c r="Q30" s="875"/>
      <c r="R30" s="875"/>
      <c r="S30" s="875"/>
      <c r="T30" s="875"/>
      <c r="U30" s="875"/>
    </row>
    <row r="31" spans="1:21" s="920" customFormat="1" ht="14.25" customHeight="1" x14ac:dyDescent="0.2">
      <c r="A31" s="1113"/>
      <c r="B31" s="617"/>
      <c r="C31" s="2047" t="s">
        <v>1830</v>
      </c>
      <c r="D31" s="2042" t="s">
        <v>1204</v>
      </c>
      <c r="E31" s="312">
        <v>50</v>
      </c>
      <c r="F31" s="310">
        <v>66</v>
      </c>
      <c r="G31" s="312">
        <v>66</v>
      </c>
      <c r="H31" s="519">
        <f t="shared" si="4"/>
        <v>100</v>
      </c>
      <c r="I31" s="875"/>
      <c r="J31" s="875"/>
      <c r="K31" s="2107"/>
      <c r="L31" s="2107"/>
      <c r="M31" s="2107"/>
      <c r="N31" s="875"/>
      <c r="O31" s="875"/>
      <c r="P31" s="875"/>
      <c r="Q31" s="875"/>
      <c r="R31" s="875"/>
      <c r="S31" s="875"/>
      <c r="T31" s="875"/>
      <c r="U31" s="875"/>
    </row>
    <row r="32" spans="1:21" s="920" customFormat="1" ht="14.25" customHeight="1" x14ac:dyDescent="0.2">
      <c r="A32" s="1113"/>
      <c r="B32" s="617"/>
      <c r="C32" s="2047" t="s">
        <v>1863</v>
      </c>
      <c r="D32" s="2042" t="s">
        <v>1864</v>
      </c>
      <c r="E32" s="312"/>
      <c r="F32" s="310">
        <v>112</v>
      </c>
      <c r="G32" s="312">
        <v>112</v>
      </c>
      <c r="H32" s="519">
        <f t="shared" si="4"/>
        <v>100</v>
      </c>
      <c r="I32" s="875"/>
      <c r="J32" s="875"/>
      <c r="K32" s="2107"/>
      <c r="L32" s="2107"/>
      <c r="M32" s="2107"/>
      <c r="N32" s="875"/>
      <c r="O32" s="875"/>
      <c r="P32" s="875"/>
      <c r="Q32" s="875"/>
      <c r="R32" s="875"/>
      <c r="S32" s="875"/>
      <c r="T32" s="875"/>
      <c r="U32" s="875"/>
    </row>
    <row r="33" spans="1:21" s="920" customFormat="1" ht="12.75" customHeight="1" x14ac:dyDescent="0.25">
      <c r="A33" s="1113">
        <v>3269</v>
      </c>
      <c r="B33" s="617">
        <v>5194</v>
      </c>
      <c r="C33" s="740"/>
      <c r="D33" s="664" t="s">
        <v>544</v>
      </c>
      <c r="E33" s="433">
        <f>E34</f>
        <v>750</v>
      </c>
      <c r="F33" s="433">
        <f t="shared" ref="F33:G33" si="5">F34</f>
        <v>750</v>
      </c>
      <c r="G33" s="433">
        <f t="shared" si="5"/>
        <v>740</v>
      </c>
      <c r="H33" s="517">
        <f t="shared" si="4"/>
        <v>98.666666666666671</v>
      </c>
      <c r="I33" s="875"/>
      <c r="J33" s="875"/>
      <c r="K33" s="2107">
        <v>750000</v>
      </c>
      <c r="L33" s="2107">
        <v>750000</v>
      </c>
      <c r="M33" s="2107">
        <v>739666</v>
      </c>
      <c r="N33" s="875"/>
      <c r="O33" s="875"/>
      <c r="P33" s="875"/>
      <c r="Q33" s="875"/>
      <c r="R33" s="875"/>
      <c r="S33" s="875"/>
      <c r="T33" s="875"/>
      <c r="U33" s="875"/>
    </row>
    <row r="34" spans="1:21" s="920" customFormat="1" ht="12.75" customHeight="1" x14ac:dyDescent="0.2">
      <c r="A34" s="1113"/>
      <c r="B34" s="617"/>
      <c r="C34" s="2047" t="s">
        <v>1862</v>
      </c>
      <c r="D34" s="2042" t="s">
        <v>1461</v>
      </c>
      <c r="E34" s="312">
        <v>750</v>
      </c>
      <c r="F34" s="310">
        <v>750</v>
      </c>
      <c r="G34" s="312">
        <v>740</v>
      </c>
      <c r="H34" s="519">
        <f t="shared" si="4"/>
        <v>98.666666666666671</v>
      </c>
      <c r="I34" s="875"/>
      <c r="J34" s="875"/>
      <c r="K34" s="2107"/>
      <c r="L34" s="2107"/>
      <c r="M34" s="2107"/>
      <c r="N34" s="875"/>
      <c r="O34" s="875"/>
      <c r="P34" s="875"/>
      <c r="Q34" s="875"/>
      <c r="R34" s="875"/>
      <c r="S34" s="875"/>
      <c r="T34" s="875"/>
      <c r="U34" s="875"/>
    </row>
    <row r="35" spans="1:21" s="920" customFormat="1" ht="12.75" customHeight="1" x14ac:dyDescent="0.25">
      <c r="A35" s="1113">
        <v>3269</v>
      </c>
      <c r="B35" s="617">
        <v>5363</v>
      </c>
      <c r="C35" s="2047"/>
      <c r="D35" s="1405" t="s">
        <v>1353</v>
      </c>
      <c r="E35" s="312"/>
      <c r="F35" s="433">
        <v>151</v>
      </c>
      <c r="G35" s="433">
        <v>151</v>
      </c>
      <c r="H35" s="2066">
        <f t="shared" si="4"/>
        <v>100</v>
      </c>
      <c r="I35" s="875"/>
      <c r="J35" s="875"/>
      <c r="K35" s="2107"/>
      <c r="L35" s="2107">
        <v>150874</v>
      </c>
      <c r="M35" s="2107">
        <v>150874</v>
      </c>
      <c r="N35" s="875"/>
      <c r="O35" s="875"/>
      <c r="P35" s="875"/>
      <c r="Q35" s="875"/>
      <c r="R35" s="875"/>
      <c r="S35" s="875"/>
      <c r="T35" s="875"/>
      <c r="U35" s="875"/>
    </row>
    <row r="36" spans="1:21" s="875" customFormat="1" ht="15" x14ac:dyDescent="0.25">
      <c r="A36" s="1113">
        <v>3269</v>
      </c>
      <c r="B36" s="617">
        <v>5493</v>
      </c>
      <c r="C36" s="2047"/>
      <c r="D36" s="372" t="s">
        <v>628</v>
      </c>
      <c r="E36" s="311">
        <f>E37</f>
        <v>295</v>
      </c>
      <c r="F36" s="311">
        <f t="shared" ref="F36:G36" si="6">F37</f>
        <v>0</v>
      </c>
      <c r="G36" s="311">
        <f t="shared" si="6"/>
        <v>0</v>
      </c>
      <c r="H36" s="2066">
        <v>0</v>
      </c>
      <c r="K36" s="2107">
        <v>295000</v>
      </c>
      <c r="L36" s="2107"/>
      <c r="M36" s="2107"/>
    </row>
    <row r="37" spans="1:21" s="875" customFormat="1" x14ac:dyDescent="0.2">
      <c r="A37" s="1113"/>
      <c r="B37" s="617"/>
      <c r="C37" s="2047" t="s">
        <v>1830</v>
      </c>
      <c r="D37" s="2042" t="s">
        <v>1204</v>
      </c>
      <c r="E37" s="312">
        <v>295</v>
      </c>
      <c r="F37" s="312">
        <v>0</v>
      </c>
      <c r="G37" s="312">
        <v>0</v>
      </c>
      <c r="H37" s="2067">
        <v>0</v>
      </c>
      <c r="K37" s="2107"/>
      <c r="L37" s="2107"/>
      <c r="M37" s="2107"/>
    </row>
    <row r="38" spans="1:21" s="875" customFormat="1" ht="15" x14ac:dyDescent="0.25">
      <c r="A38" s="1113">
        <v>3269</v>
      </c>
      <c r="B38" s="617">
        <v>5494</v>
      </c>
      <c r="C38" s="2047"/>
      <c r="D38" s="372" t="s">
        <v>835</v>
      </c>
      <c r="E38" s="312"/>
      <c r="F38" s="311">
        <f>F39</f>
        <v>164</v>
      </c>
      <c r="G38" s="311">
        <f>G39</f>
        <v>164</v>
      </c>
      <c r="H38" s="2068">
        <f t="shared" ref="H38:H53" si="7">(G38/F38)*100</f>
        <v>100</v>
      </c>
      <c r="K38" s="2107"/>
      <c r="L38" s="2107">
        <v>164000</v>
      </c>
      <c r="M38" s="2107">
        <v>164000</v>
      </c>
    </row>
    <row r="39" spans="1:21" s="875" customFormat="1" x14ac:dyDescent="0.2">
      <c r="A39" s="1113"/>
      <c r="B39" s="617"/>
      <c r="C39" s="2047" t="s">
        <v>1830</v>
      </c>
      <c r="D39" s="2042" t="s">
        <v>1204</v>
      </c>
      <c r="E39" s="312"/>
      <c r="F39" s="312">
        <v>164</v>
      </c>
      <c r="G39" s="312">
        <v>164</v>
      </c>
      <c r="H39" s="2067">
        <f t="shared" si="7"/>
        <v>100</v>
      </c>
      <c r="K39" s="2107"/>
      <c r="L39" s="2107"/>
      <c r="M39" s="2107"/>
    </row>
    <row r="40" spans="1:21" s="920" customFormat="1" ht="14.25" customHeight="1" x14ac:dyDescent="0.25">
      <c r="A40" s="1113">
        <v>3269</v>
      </c>
      <c r="B40" s="617">
        <v>5499</v>
      </c>
      <c r="C40" s="740"/>
      <c r="D40" s="664" t="s">
        <v>651</v>
      </c>
      <c r="E40" s="433">
        <v>35</v>
      </c>
      <c r="F40" s="311">
        <v>35</v>
      </c>
      <c r="G40" s="311">
        <v>18</v>
      </c>
      <c r="H40" s="2066">
        <f t="shared" si="7"/>
        <v>51.428571428571423</v>
      </c>
      <c r="I40" s="875"/>
      <c r="J40" s="875"/>
      <c r="K40" s="2107">
        <v>35000</v>
      </c>
      <c r="L40" s="2107">
        <v>35000</v>
      </c>
      <c r="M40" s="2107">
        <v>17680</v>
      </c>
      <c r="N40" s="875"/>
      <c r="O40" s="875"/>
      <c r="P40" s="875"/>
      <c r="Q40" s="875"/>
      <c r="R40" s="875"/>
      <c r="S40" s="875"/>
      <c r="T40" s="875"/>
      <c r="U40" s="875"/>
    </row>
    <row r="41" spans="1:21" s="920" customFormat="1" ht="14.25" customHeight="1" x14ac:dyDescent="0.25">
      <c r="A41" s="1113">
        <v>3299</v>
      </c>
      <c r="B41" s="617">
        <v>5221</v>
      </c>
      <c r="C41" s="2069"/>
      <c r="D41" s="2070" t="s">
        <v>524</v>
      </c>
      <c r="E41" s="433">
        <f>E42+E43</f>
        <v>800</v>
      </c>
      <c r="F41" s="433">
        <f t="shared" ref="F41:G41" si="8">F42+F43</f>
        <v>8480</v>
      </c>
      <c r="G41" s="433">
        <f t="shared" si="8"/>
        <v>8480</v>
      </c>
      <c r="H41" s="2068">
        <f t="shared" si="7"/>
        <v>100</v>
      </c>
      <c r="I41" s="875"/>
      <c r="J41" s="875"/>
      <c r="K41" s="2107">
        <v>800000</v>
      </c>
      <c r="L41" s="2107">
        <v>8480000</v>
      </c>
      <c r="M41" s="2107">
        <v>8480000</v>
      </c>
      <c r="N41" s="875"/>
      <c r="O41" s="875"/>
      <c r="P41" s="875"/>
      <c r="Q41" s="875"/>
      <c r="R41" s="875"/>
      <c r="S41" s="875"/>
      <c r="T41" s="875"/>
      <c r="U41" s="875"/>
    </row>
    <row r="42" spans="1:21" s="920" customFormat="1" ht="14.25" customHeight="1" x14ac:dyDescent="0.2">
      <c r="A42" s="1113"/>
      <c r="B42" s="617"/>
      <c r="C42" s="2047" t="s">
        <v>1787</v>
      </c>
      <c r="D42" s="2042" t="s">
        <v>292</v>
      </c>
      <c r="E42" s="312">
        <v>800</v>
      </c>
      <c r="F42" s="310">
        <v>1480</v>
      </c>
      <c r="G42" s="312">
        <v>1480</v>
      </c>
      <c r="H42" s="519">
        <f t="shared" si="7"/>
        <v>100</v>
      </c>
      <c r="I42" s="875"/>
      <c r="J42" s="875"/>
      <c r="K42" s="2107"/>
      <c r="L42" s="2107"/>
      <c r="M42" s="2107"/>
      <c r="N42" s="875"/>
      <c r="O42" s="875"/>
      <c r="P42" s="875"/>
      <c r="Q42" s="875"/>
      <c r="R42" s="875"/>
      <c r="S42" s="875"/>
      <c r="T42" s="875"/>
      <c r="U42" s="875"/>
    </row>
    <row r="43" spans="1:21" s="920" customFormat="1" ht="14.25" customHeight="1" x14ac:dyDescent="0.25">
      <c r="A43" s="1113"/>
      <c r="B43" s="617"/>
      <c r="C43" s="663" t="s">
        <v>1869</v>
      </c>
      <c r="D43" s="2042" t="s">
        <v>1275</v>
      </c>
      <c r="E43" s="433"/>
      <c r="F43" s="310">
        <v>7000</v>
      </c>
      <c r="G43" s="312">
        <v>7000</v>
      </c>
      <c r="H43" s="519">
        <f t="shared" si="7"/>
        <v>100</v>
      </c>
      <c r="I43" s="875"/>
      <c r="J43" s="875"/>
      <c r="K43" s="2107"/>
      <c r="L43" s="2107"/>
      <c r="M43" s="2107"/>
      <c r="N43" s="875"/>
      <c r="O43" s="875"/>
      <c r="P43" s="875"/>
      <c r="Q43" s="875"/>
      <c r="R43" s="875"/>
      <c r="S43" s="875"/>
      <c r="T43" s="875"/>
      <c r="U43" s="875"/>
    </row>
    <row r="44" spans="1:21" s="920" customFormat="1" ht="14.25" customHeight="1" x14ac:dyDescent="0.25">
      <c r="A44" s="1113">
        <v>3299</v>
      </c>
      <c r="B44" s="617">
        <v>5222</v>
      </c>
      <c r="C44" s="663"/>
      <c r="D44" s="2071" t="s">
        <v>300</v>
      </c>
      <c r="E44" s="433"/>
      <c r="F44" s="311">
        <f>F45+F46</f>
        <v>75</v>
      </c>
      <c r="G44" s="311">
        <f>G45+G46</f>
        <v>75</v>
      </c>
      <c r="H44" s="2066">
        <f t="shared" si="7"/>
        <v>100</v>
      </c>
      <c r="I44" s="875"/>
      <c r="J44" s="875"/>
      <c r="K44" s="2107"/>
      <c r="L44" s="2107">
        <v>75000</v>
      </c>
      <c r="M44" s="2107">
        <v>75000</v>
      </c>
      <c r="N44" s="875"/>
      <c r="O44" s="875"/>
      <c r="P44" s="875"/>
      <c r="Q44" s="875"/>
      <c r="R44" s="875"/>
      <c r="S44" s="875"/>
      <c r="T44" s="875"/>
      <c r="U44" s="875"/>
    </row>
    <row r="45" spans="1:21" s="920" customFormat="1" ht="14.25" customHeight="1" x14ac:dyDescent="0.25">
      <c r="A45" s="1113"/>
      <c r="B45" s="617"/>
      <c r="C45" s="2047" t="s">
        <v>1787</v>
      </c>
      <c r="D45" s="2042" t="s">
        <v>292</v>
      </c>
      <c r="E45" s="433"/>
      <c r="F45" s="310">
        <v>50</v>
      </c>
      <c r="G45" s="312">
        <v>50</v>
      </c>
      <c r="H45" s="519">
        <f t="shared" si="7"/>
        <v>100</v>
      </c>
      <c r="I45" s="875"/>
      <c r="J45" s="875"/>
      <c r="K45" s="2107"/>
      <c r="L45" s="2107"/>
      <c r="M45" s="2107"/>
      <c r="N45" s="875"/>
      <c r="O45" s="875"/>
      <c r="P45" s="875"/>
      <c r="Q45" s="875"/>
      <c r="R45" s="875"/>
      <c r="S45" s="875"/>
      <c r="T45" s="875"/>
      <c r="U45" s="875"/>
    </row>
    <row r="46" spans="1:21" s="920" customFormat="1" ht="14.25" customHeight="1" x14ac:dyDescent="0.25">
      <c r="A46" s="1113"/>
      <c r="B46" s="617"/>
      <c r="C46" s="637" t="s">
        <v>1788</v>
      </c>
      <c r="D46" s="2072" t="s">
        <v>1437</v>
      </c>
      <c r="E46" s="433"/>
      <c r="F46" s="312">
        <v>25</v>
      </c>
      <c r="G46" s="312">
        <v>25</v>
      </c>
      <c r="H46" s="2067">
        <f t="shared" si="7"/>
        <v>100</v>
      </c>
      <c r="I46" s="875"/>
      <c r="J46" s="875"/>
      <c r="K46" s="2107"/>
      <c r="L46" s="2107"/>
      <c r="M46" s="2107"/>
      <c r="N46" s="875"/>
      <c r="O46" s="875"/>
      <c r="P46" s="875"/>
      <c r="Q46" s="875"/>
      <c r="R46" s="875"/>
      <c r="S46" s="875"/>
      <c r="T46" s="875"/>
      <c r="U46" s="875"/>
    </row>
    <row r="47" spans="1:21" s="920" customFormat="1" ht="14.25" customHeight="1" x14ac:dyDescent="0.25">
      <c r="A47" s="1113">
        <v>3299</v>
      </c>
      <c r="B47" s="617">
        <v>5229</v>
      </c>
      <c r="C47" s="518"/>
      <c r="D47" s="2070" t="s">
        <v>1019</v>
      </c>
      <c r="E47" s="433"/>
      <c r="F47" s="311">
        <f>F49+F48</f>
        <v>315</v>
      </c>
      <c r="G47" s="311">
        <f>G49+G48</f>
        <v>315</v>
      </c>
      <c r="H47" s="2066">
        <f t="shared" si="7"/>
        <v>100</v>
      </c>
      <c r="I47" s="875"/>
      <c r="J47" s="875"/>
      <c r="K47" s="2107"/>
      <c r="L47" s="2107">
        <v>315000</v>
      </c>
      <c r="M47" s="2107">
        <v>315000</v>
      </c>
      <c r="N47" s="875"/>
      <c r="O47" s="875"/>
      <c r="P47" s="875"/>
      <c r="Q47" s="875"/>
      <c r="R47" s="875"/>
      <c r="S47" s="875"/>
      <c r="T47" s="875"/>
      <c r="U47" s="875"/>
    </row>
    <row r="48" spans="1:21" s="920" customFormat="1" ht="14.25" customHeight="1" x14ac:dyDescent="0.25">
      <c r="A48" s="1113"/>
      <c r="B48" s="617"/>
      <c r="C48" s="637" t="s">
        <v>1788</v>
      </c>
      <c r="D48" s="2072" t="s">
        <v>1437</v>
      </c>
      <c r="E48" s="433"/>
      <c r="F48" s="310">
        <v>15</v>
      </c>
      <c r="G48" s="312">
        <v>15</v>
      </c>
      <c r="H48" s="519">
        <f t="shared" si="7"/>
        <v>100</v>
      </c>
      <c r="I48" s="875"/>
      <c r="J48" s="875"/>
      <c r="K48" s="2107"/>
      <c r="L48" s="2107"/>
      <c r="M48" s="2107"/>
      <c r="N48" s="875"/>
      <c r="O48" s="875"/>
      <c r="P48" s="875"/>
      <c r="Q48" s="875"/>
      <c r="R48" s="875"/>
      <c r="S48" s="875"/>
      <c r="T48" s="875"/>
      <c r="U48" s="875"/>
    </row>
    <row r="49" spans="1:21" s="920" customFormat="1" ht="14.25" customHeight="1" x14ac:dyDescent="0.25">
      <c r="A49" s="1113"/>
      <c r="B49" s="617"/>
      <c r="C49" s="663" t="s">
        <v>1869</v>
      </c>
      <c r="D49" s="2042" t="s">
        <v>1275</v>
      </c>
      <c r="E49" s="433"/>
      <c r="F49" s="310">
        <v>300</v>
      </c>
      <c r="G49" s="312">
        <v>300</v>
      </c>
      <c r="H49" s="519">
        <f t="shared" si="7"/>
        <v>100</v>
      </c>
      <c r="I49" s="875"/>
      <c r="J49" s="875"/>
      <c r="K49" s="2107"/>
      <c r="L49" s="2107"/>
      <c r="M49" s="2107"/>
      <c r="N49" s="875"/>
      <c r="O49" s="875"/>
      <c r="P49" s="875"/>
      <c r="Q49" s="875"/>
      <c r="R49" s="875"/>
      <c r="S49" s="875"/>
      <c r="T49" s="875"/>
      <c r="U49" s="875"/>
    </row>
    <row r="50" spans="1:21" s="920" customFormat="1" ht="14.25" customHeight="1" x14ac:dyDescent="0.25">
      <c r="A50" s="1113">
        <v>3299</v>
      </c>
      <c r="B50" s="617">
        <v>5321</v>
      </c>
      <c r="C50" s="663"/>
      <c r="D50" s="664" t="s">
        <v>1078</v>
      </c>
      <c r="E50" s="433"/>
      <c r="F50" s="311">
        <f>F51</f>
        <v>10</v>
      </c>
      <c r="G50" s="311">
        <f>G51</f>
        <v>10</v>
      </c>
      <c r="H50" s="2066">
        <f t="shared" si="7"/>
        <v>100</v>
      </c>
      <c r="I50" s="875"/>
      <c r="J50" s="875"/>
      <c r="K50" s="2107"/>
      <c r="L50" s="2107">
        <v>10000</v>
      </c>
      <c r="M50" s="2107">
        <v>10000</v>
      </c>
      <c r="N50" s="875"/>
      <c r="O50" s="875"/>
      <c r="P50" s="875"/>
      <c r="Q50" s="875"/>
      <c r="R50" s="875"/>
      <c r="S50" s="875"/>
      <c r="T50" s="875"/>
      <c r="U50" s="875"/>
    </row>
    <row r="51" spans="1:21" s="920" customFormat="1" ht="14.25" customHeight="1" x14ac:dyDescent="0.25">
      <c r="A51" s="1113"/>
      <c r="B51" s="617"/>
      <c r="C51" s="2047" t="s">
        <v>1830</v>
      </c>
      <c r="D51" s="2042" t="s">
        <v>1204</v>
      </c>
      <c r="E51" s="433"/>
      <c r="F51" s="310">
        <v>10</v>
      </c>
      <c r="G51" s="312">
        <v>10</v>
      </c>
      <c r="H51" s="519">
        <f t="shared" si="7"/>
        <v>100</v>
      </c>
      <c r="I51" s="875"/>
      <c r="J51" s="875"/>
      <c r="K51" s="2107"/>
      <c r="L51" s="2107"/>
      <c r="M51" s="2107"/>
      <c r="N51" s="875"/>
      <c r="O51" s="875"/>
      <c r="P51" s="875"/>
      <c r="Q51" s="875"/>
      <c r="R51" s="875"/>
      <c r="S51" s="875"/>
      <c r="T51" s="875"/>
      <c r="U51" s="875"/>
    </row>
    <row r="52" spans="1:21" s="920" customFormat="1" ht="14.25" customHeight="1" x14ac:dyDescent="0.25">
      <c r="A52" s="648">
        <v>3299</v>
      </c>
      <c r="B52" s="617">
        <v>5339</v>
      </c>
      <c r="C52" s="518"/>
      <c r="D52" s="1351" t="s">
        <v>1111</v>
      </c>
      <c r="E52" s="433"/>
      <c r="F52" s="311">
        <f>F53</f>
        <v>3000</v>
      </c>
      <c r="G52" s="311">
        <f>G53</f>
        <v>3000</v>
      </c>
      <c r="H52" s="2066">
        <f t="shared" si="7"/>
        <v>100</v>
      </c>
      <c r="I52" s="875"/>
      <c r="J52" s="875"/>
      <c r="K52" s="2107"/>
      <c r="L52" s="2107">
        <v>3000000</v>
      </c>
      <c r="M52" s="2107">
        <v>3000000</v>
      </c>
      <c r="N52" s="875"/>
      <c r="O52" s="875"/>
      <c r="P52" s="875"/>
      <c r="Q52" s="875"/>
      <c r="R52" s="875"/>
      <c r="S52" s="875"/>
      <c r="T52" s="875"/>
      <c r="U52" s="875"/>
    </row>
    <row r="53" spans="1:21" s="920" customFormat="1" ht="14.25" customHeight="1" x14ac:dyDescent="0.25">
      <c r="A53" s="648"/>
      <c r="B53" s="617"/>
      <c r="C53" s="518" t="s">
        <v>1869</v>
      </c>
      <c r="D53" s="2042" t="s">
        <v>1275</v>
      </c>
      <c r="E53" s="433"/>
      <c r="F53" s="312">
        <v>3000</v>
      </c>
      <c r="G53" s="312">
        <v>3000</v>
      </c>
      <c r="H53" s="2067">
        <f t="shared" si="7"/>
        <v>100</v>
      </c>
      <c r="I53" s="875"/>
      <c r="J53" s="875"/>
      <c r="K53" s="2107"/>
      <c r="L53" s="2107"/>
      <c r="M53" s="2107"/>
      <c r="N53" s="875"/>
      <c r="O53" s="875"/>
      <c r="P53" s="875"/>
      <c r="Q53" s="875"/>
      <c r="R53" s="875"/>
      <c r="S53" s="875"/>
      <c r="T53" s="875"/>
      <c r="U53" s="875"/>
    </row>
    <row r="54" spans="1:21" s="920" customFormat="1" ht="14.25" customHeight="1" x14ac:dyDescent="0.25">
      <c r="A54" s="1113">
        <v>3319</v>
      </c>
      <c r="B54" s="617">
        <v>5222</v>
      </c>
      <c r="C54" s="518"/>
      <c r="D54" s="2073" t="s">
        <v>300</v>
      </c>
      <c r="E54" s="312"/>
      <c r="F54" s="311">
        <f>+F55</f>
        <v>15</v>
      </c>
      <c r="G54" s="311">
        <f>+G55</f>
        <v>15</v>
      </c>
      <c r="H54" s="517">
        <f t="shared" ref="H54:H105" si="9">(G54/F54)*100</f>
        <v>100</v>
      </c>
      <c r="I54" s="875"/>
      <c r="J54" s="875"/>
      <c r="K54" s="2107"/>
      <c r="L54" s="2107">
        <v>15000</v>
      </c>
      <c r="M54" s="2107">
        <v>15000</v>
      </c>
      <c r="N54" s="875"/>
      <c r="O54" s="875"/>
      <c r="P54" s="875"/>
      <c r="Q54" s="875"/>
      <c r="R54" s="875"/>
      <c r="S54" s="875"/>
      <c r="T54" s="875"/>
      <c r="U54" s="875"/>
    </row>
    <row r="55" spans="1:21" s="920" customFormat="1" ht="14.25" customHeight="1" x14ac:dyDescent="0.2">
      <c r="A55" s="1113"/>
      <c r="B55" s="617"/>
      <c r="C55" s="637" t="s">
        <v>1788</v>
      </c>
      <c r="D55" s="2072" t="s">
        <v>1437</v>
      </c>
      <c r="E55" s="312"/>
      <c r="F55" s="310">
        <v>15</v>
      </c>
      <c r="G55" s="312">
        <v>15</v>
      </c>
      <c r="H55" s="519">
        <f t="shared" si="9"/>
        <v>100</v>
      </c>
      <c r="I55" s="875"/>
      <c r="J55" s="875"/>
      <c r="K55" s="2107"/>
      <c r="L55" s="2107"/>
      <c r="M55" s="2107"/>
      <c r="N55" s="875"/>
      <c r="O55" s="875"/>
      <c r="P55" s="875"/>
      <c r="Q55" s="875"/>
      <c r="R55" s="875"/>
      <c r="S55" s="875"/>
      <c r="T55" s="875"/>
      <c r="U55" s="875"/>
    </row>
    <row r="56" spans="1:21" s="920" customFormat="1" ht="15.75" customHeight="1" x14ac:dyDescent="0.25">
      <c r="A56" s="1113">
        <v>3419</v>
      </c>
      <c r="B56" s="617">
        <v>5212</v>
      </c>
      <c r="C56" s="518"/>
      <c r="D56" s="616" t="s">
        <v>610</v>
      </c>
      <c r="E56" s="312"/>
      <c r="F56" s="311">
        <f>F57+F58+F59</f>
        <v>325</v>
      </c>
      <c r="G56" s="311">
        <f>G57+G58+G59</f>
        <v>325</v>
      </c>
      <c r="H56" s="517">
        <f t="shared" si="9"/>
        <v>100</v>
      </c>
      <c r="I56" s="875"/>
      <c r="J56" s="875"/>
      <c r="K56" s="2107"/>
      <c r="L56" s="2107">
        <v>325000</v>
      </c>
      <c r="M56" s="2107">
        <v>325000</v>
      </c>
      <c r="N56" s="875"/>
      <c r="O56" s="875"/>
      <c r="P56" s="875"/>
      <c r="Q56" s="875"/>
      <c r="R56" s="875"/>
      <c r="S56" s="875"/>
      <c r="T56" s="875"/>
      <c r="U56" s="875"/>
    </row>
    <row r="57" spans="1:21" s="920" customFormat="1" ht="15.75" customHeight="1" x14ac:dyDescent="0.2">
      <c r="A57" s="1113"/>
      <c r="B57" s="617"/>
      <c r="C57" s="637" t="s">
        <v>1787</v>
      </c>
      <c r="D57" s="2046" t="s">
        <v>292</v>
      </c>
      <c r="E57" s="312"/>
      <c r="F57" s="310">
        <v>230</v>
      </c>
      <c r="G57" s="312">
        <v>230</v>
      </c>
      <c r="H57" s="519">
        <f t="shared" si="9"/>
        <v>100</v>
      </c>
      <c r="I57" s="875"/>
      <c r="J57" s="907"/>
      <c r="K57" s="2107"/>
      <c r="L57" s="2107"/>
      <c r="M57" s="2107"/>
      <c r="N57" s="875"/>
      <c r="O57" s="875"/>
      <c r="P57" s="875"/>
      <c r="Q57" s="875"/>
      <c r="R57" s="875"/>
      <c r="S57" s="875"/>
      <c r="T57" s="875"/>
      <c r="U57" s="875"/>
    </row>
    <row r="58" spans="1:21" s="920" customFormat="1" ht="15.75" customHeight="1" x14ac:dyDescent="0.2">
      <c r="A58" s="1113"/>
      <c r="B58" s="617"/>
      <c r="C58" s="637" t="s">
        <v>1788</v>
      </c>
      <c r="D58" s="2072" t="s">
        <v>1437</v>
      </c>
      <c r="E58" s="312"/>
      <c r="F58" s="310">
        <v>45</v>
      </c>
      <c r="G58" s="312">
        <v>45</v>
      </c>
      <c r="H58" s="519">
        <f t="shared" si="9"/>
        <v>100</v>
      </c>
      <c r="I58" s="875"/>
      <c r="J58" s="875"/>
      <c r="K58" s="2107"/>
      <c r="L58" s="2107"/>
      <c r="M58" s="2107"/>
      <c r="N58" s="875"/>
      <c r="O58" s="875"/>
      <c r="P58" s="875"/>
      <c r="Q58" s="875"/>
      <c r="R58" s="875"/>
      <c r="S58" s="875"/>
      <c r="T58" s="875"/>
      <c r="U58" s="875"/>
    </row>
    <row r="59" spans="1:21" s="920" customFormat="1" x14ac:dyDescent="0.2">
      <c r="A59" s="1113"/>
      <c r="B59" s="617"/>
      <c r="C59" s="637" t="s">
        <v>1761</v>
      </c>
      <c r="D59" s="2046" t="s">
        <v>806</v>
      </c>
      <c r="E59" s="312"/>
      <c r="F59" s="310">
        <v>50</v>
      </c>
      <c r="G59" s="312">
        <v>50</v>
      </c>
      <c r="H59" s="519">
        <f t="shared" si="9"/>
        <v>100</v>
      </c>
      <c r="I59" s="875"/>
      <c r="J59" s="875"/>
      <c r="K59" s="2107"/>
      <c r="L59" s="2107"/>
      <c r="M59" s="2107"/>
      <c r="N59" s="875"/>
      <c r="O59" s="875"/>
      <c r="P59" s="875"/>
      <c r="Q59" s="875"/>
      <c r="R59" s="875"/>
      <c r="S59" s="875"/>
      <c r="T59" s="875"/>
      <c r="U59" s="875"/>
    </row>
    <row r="60" spans="1:21" s="920" customFormat="1" ht="15.75" customHeight="1" x14ac:dyDescent="0.25">
      <c r="A60" s="1113">
        <v>3419</v>
      </c>
      <c r="B60" s="617">
        <v>5213</v>
      </c>
      <c r="C60" s="637"/>
      <c r="D60" s="2070" t="s">
        <v>301</v>
      </c>
      <c r="E60" s="311">
        <f>E61+E62+E63</f>
        <v>950</v>
      </c>
      <c r="F60" s="311">
        <f t="shared" ref="F60:G60" si="10">F61+F62+F63</f>
        <v>4000</v>
      </c>
      <c r="G60" s="311">
        <f t="shared" si="10"/>
        <v>4000</v>
      </c>
      <c r="H60" s="1123">
        <f t="shared" si="9"/>
        <v>100</v>
      </c>
      <c r="I60" s="875"/>
      <c r="J60" s="875"/>
      <c r="K60" s="2107">
        <v>950000</v>
      </c>
      <c r="L60" s="2107">
        <v>4000000</v>
      </c>
      <c r="M60" s="2107">
        <v>4000000</v>
      </c>
      <c r="N60" s="875"/>
      <c r="O60" s="875"/>
      <c r="P60" s="875"/>
      <c r="Q60" s="875"/>
      <c r="R60" s="875"/>
      <c r="S60" s="875"/>
      <c r="T60" s="875"/>
      <c r="U60" s="875"/>
    </row>
    <row r="61" spans="1:21" s="920" customFormat="1" ht="15.75" customHeight="1" x14ac:dyDescent="0.2">
      <c r="A61" s="1113"/>
      <c r="B61" s="617"/>
      <c r="C61" s="637" t="s">
        <v>1787</v>
      </c>
      <c r="D61" s="2046" t="s">
        <v>292</v>
      </c>
      <c r="E61" s="312">
        <v>950</v>
      </c>
      <c r="F61" s="310">
        <v>1430</v>
      </c>
      <c r="G61" s="312">
        <v>1430</v>
      </c>
      <c r="H61" s="519">
        <f t="shared" si="9"/>
        <v>100</v>
      </c>
      <c r="I61" s="875"/>
      <c r="J61" s="875"/>
      <c r="K61" s="2107"/>
      <c r="L61" s="2107"/>
      <c r="M61" s="2107"/>
      <c r="N61" s="875"/>
      <c r="O61" s="875"/>
      <c r="P61" s="875"/>
      <c r="Q61" s="875"/>
      <c r="R61" s="875"/>
      <c r="S61" s="875"/>
      <c r="T61" s="875"/>
      <c r="U61" s="875"/>
    </row>
    <row r="62" spans="1:21" s="920" customFormat="1" ht="15.75" customHeight="1" x14ac:dyDescent="0.2">
      <c r="A62" s="1113"/>
      <c r="B62" s="617"/>
      <c r="C62" s="637" t="s">
        <v>1788</v>
      </c>
      <c r="D62" s="2072" t="s">
        <v>1437</v>
      </c>
      <c r="E62" s="312"/>
      <c r="F62" s="310">
        <v>50</v>
      </c>
      <c r="G62" s="312">
        <v>50</v>
      </c>
      <c r="H62" s="519">
        <f t="shared" si="9"/>
        <v>100</v>
      </c>
      <c r="I62" s="875"/>
      <c r="J62" s="875"/>
      <c r="K62" s="2107"/>
      <c r="L62" s="2107"/>
      <c r="M62" s="2107"/>
      <c r="N62" s="875"/>
      <c r="O62" s="875"/>
      <c r="P62" s="875"/>
      <c r="Q62" s="875"/>
      <c r="R62" s="875"/>
      <c r="S62" s="875"/>
      <c r="T62" s="875"/>
      <c r="U62" s="875"/>
    </row>
    <row r="63" spans="1:21" s="920" customFormat="1" ht="15.75" customHeight="1" x14ac:dyDescent="0.2">
      <c r="A63" s="1113"/>
      <c r="B63" s="617"/>
      <c r="C63" s="518" t="s">
        <v>1865</v>
      </c>
      <c r="D63" s="2074" t="s">
        <v>627</v>
      </c>
      <c r="E63" s="312"/>
      <c r="F63" s="310">
        <v>2520</v>
      </c>
      <c r="G63" s="312">
        <v>2520</v>
      </c>
      <c r="H63" s="519">
        <f t="shared" si="9"/>
        <v>100</v>
      </c>
      <c r="I63" s="875"/>
      <c r="J63" s="875"/>
      <c r="K63" s="2107"/>
      <c r="L63" s="2107"/>
      <c r="M63" s="2107"/>
      <c r="N63" s="875"/>
      <c r="O63" s="875"/>
      <c r="P63" s="875"/>
      <c r="Q63" s="875"/>
      <c r="R63" s="875"/>
      <c r="S63" s="875"/>
      <c r="T63" s="875"/>
      <c r="U63" s="875"/>
    </row>
    <row r="64" spans="1:21" s="920" customFormat="1" ht="15.75" customHeight="1" x14ac:dyDescent="0.25">
      <c r="A64" s="1113">
        <v>3419</v>
      </c>
      <c r="B64" s="617">
        <v>5221</v>
      </c>
      <c r="C64" s="518"/>
      <c r="D64" s="2070" t="s">
        <v>524</v>
      </c>
      <c r="E64" s="311">
        <f>E65</f>
        <v>1500</v>
      </c>
      <c r="F64" s="311">
        <f>F65+F66+F67</f>
        <v>1865</v>
      </c>
      <c r="G64" s="311">
        <f>G65+G66+G67</f>
        <v>1865</v>
      </c>
      <c r="H64" s="517">
        <f t="shared" si="9"/>
        <v>100</v>
      </c>
      <c r="I64" s="875"/>
      <c r="J64" s="875"/>
      <c r="K64" s="2107">
        <v>1500000</v>
      </c>
      <c r="L64" s="2107">
        <v>1865000</v>
      </c>
      <c r="M64" s="2107">
        <v>1865000</v>
      </c>
      <c r="N64" s="875"/>
      <c r="O64" s="875"/>
      <c r="P64" s="875"/>
      <c r="Q64" s="875"/>
      <c r="R64" s="875"/>
      <c r="S64" s="875"/>
      <c r="T64" s="875"/>
      <c r="U64" s="875"/>
    </row>
    <row r="65" spans="1:21" s="920" customFormat="1" ht="15.75" customHeight="1" x14ac:dyDescent="0.2">
      <c r="A65" s="1113"/>
      <c r="B65" s="617"/>
      <c r="C65" s="637" t="s">
        <v>1787</v>
      </c>
      <c r="D65" s="2046" t="s">
        <v>292</v>
      </c>
      <c r="E65" s="312">
        <v>1500</v>
      </c>
      <c r="F65" s="310">
        <v>1500</v>
      </c>
      <c r="G65" s="312">
        <v>1500</v>
      </c>
      <c r="H65" s="519">
        <f t="shared" ref="H65:H67" si="11">(G65/F65)*100</f>
        <v>100</v>
      </c>
      <c r="I65" s="875"/>
      <c r="J65" s="875"/>
      <c r="K65" s="2107"/>
      <c r="L65" s="2107"/>
      <c r="M65" s="2107"/>
      <c r="N65" s="875"/>
      <c r="O65" s="875"/>
      <c r="P65" s="875"/>
      <c r="Q65" s="875"/>
      <c r="R65" s="875"/>
      <c r="S65" s="875"/>
      <c r="T65" s="875"/>
      <c r="U65" s="875"/>
    </row>
    <row r="66" spans="1:21" s="920" customFormat="1" ht="15.75" customHeight="1" x14ac:dyDescent="0.2">
      <c r="A66" s="1113"/>
      <c r="B66" s="617"/>
      <c r="C66" s="637" t="s">
        <v>1788</v>
      </c>
      <c r="D66" s="2072" t="s">
        <v>1437</v>
      </c>
      <c r="E66" s="312"/>
      <c r="F66" s="310">
        <v>15</v>
      </c>
      <c r="G66" s="312">
        <v>15</v>
      </c>
      <c r="H66" s="519">
        <f t="shared" si="11"/>
        <v>100</v>
      </c>
      <c r="I66" s="875"/>
      <c r="J66" s="875"/>
      <c r="K66" s="2107"/>
      <c r="L66" s="2107"/>
      <c r="M66" s="2107"/>
      <c r="N66" s="875"/>
      <c r="O66" s="875"/>
      <c r="P66" s="875"/>
      <c r="Q66" s="875"/>
      <c r="R66" s="875"/>
      <c r="S66" s="875"/>
      <c r="T66" s="875"/>
      <c r="U66" s="875"/>
    </row>
    <row r="67" spans="1:21" s="920" customFormat="1" ht="15.75" customHeight="1" thickBot="1" x14ac:dyDescent="0.25">
      <c r="A67" s="2079"/>
      <c r="B67" s="618"/>
      <c r="C67" s="640" t="s">
        <v>1865</v>
      </c>
      <c r="D67" s="2914" t="s">
        <v>627</v>
      </c>
      <c r="E67" s="429"/>
      <c r="F67" s="428">
        <v>350</v>
      </c>
      <c r="G67" s="429">
        <v>350</v>
      </c>
      <c r="H67" s="2083">
        <f t="shared" si="11"/>
        <v>100</v>
      </c>
      <c r="I67" s="875"/>
      <c r="J67" s="875"/>
      <c r="K67" s="2107"/>
      <c r="L67" s="2107"/>
      <c r="M67" s="2107"/>
      <c r="N67" s="875"/>
      <c r="O67" s="875"/>
      <c r="P67" s="875"/>
      <c r="Q67" s="875"/>
      <c r="R67" s="875"/>
      <c r="S67" s="875"/>
      <c r="T67" s="875"/>
      <c r="U67" s="875"/>
    </row>
    <row r="68" spans="1:21" s="920" customFormat="1" ht="15.75" customHeight="1" thickTop="1" x14ac:dyDescent="0.2">
      <c r="A68" s="647"/>
      <c r="B68" s="647"/>
      <c r="C68" s="663"/>
      <c r="D68" s="2912"/>
      <c r="E68" s="310"/>
      <c r="F68" s="310"/>
      <c r="G68" s="310"/>
      <c r="H68" s="546"/>
      <c r="I68" s="875"/>
      <c r="J68" s="875"/>
      <c r="K68" s="2107"/>
      <c r="L68" s="2107"/>
      <c r="M68" s="2107"/>
      <c r="N68" s="875"/>
      <c r="O68" s="875"/>
      <c r="P68" s="875"/>
      <c r="Q68" s="875"/>
      <c r="R68" s="875"/>
      <c r="S68" s="875"/>
      <c r="T68" s="875"/>
      <c r="U68" s="875"/>
    </row>
    <row r="69" spans="1:21" s="920" customFormat="1" ht="15.75" customHeight="1" x14ac:dyDescent="0.2">
      <c r="A69" s="647"/>
      <c r="B69" s="647"/>
      <c r="C69" s="663"/>
      <c r="D69" s="2912"/>
      <c r="E69" s="310"/>
      <c r="F69" s="310"/>
      <c r="G69" s="310"/>
      <c r="H69" s="546"/>
      <c r="I69" s="875"/>
      <c r="J69" s="875"/>
      <c r="K69" s="2107"/>
      <c r="L69" s="2107"/>
      <c r="M69" s="2107"/>
      <c r="N69" s="875"/>
      <c r="O69" s="875"/>
      <c r="P69" s="875"/>
      <c r="Q69" s="875"/>
      <c r="R69" s="875"/>
      <c r="S69" s="875"/>
      <c r="T69" s="875"/>
      <c r="U69" s="875"/>
    </row>
    <row r="70" spans="1:21" s="920" customFormat="1" ht="15.75" customHeight="1" x14ac:dyDescent="0.2">
      <c r="A70" s="647"/>
      <c r="B70" s="647"/>
      <c r="C70" s="663"/>
      <c r="D70" s="2912"/>
      <c r="E70" s="310"/>
      <c r="F70" s="310"/>
      <c r="G70" s="310"/>
      <c r="H70" s="546"/>
      <c r="I70" s="875"/>
      <c r="J70" s="875"/>
      <c r="K70" s="2107"/>
      <c r="L70" s="2107"/>
      <c r="M70" s="2107"/>
      <c r="N70" s="875"/>
      <c r="O70" s="875"/>
      <c r="P70" s="875"/>
      <c r="Q70" s="875"/>
      <c r="R70" s="875"/>
      <c r="S70" s="875"/>
      <c r="T70" s="875"/>
      <c r="U70" s="875"/>
    </row>
    <row r="71" spans="1:21" s="920" customFormat="1" ht="15.75" customHeight="1" x14ac:dyDescent="0.2">
      <c r="A71" s="647"/>
      <c r="B71" s="647"/>
      <c r="C71" s="663"/>
      <c r="D71" s="2912"/>
      <c r="E71" s="310"/>
      <c r="F71" s="310"/>
      <c r="G71" s="310"/>
      <c r="H71" s="546"/>
      <c r="I71" s="875"/>
      <c r="J71" s="875"/>
      <c r="K71" s="2107"/>
      <c r="L71" s="2107"/>
      <c r="M71" s="2107"/>
      <c r="N71" s="875"/>
      <c r="O71" s="875"/>
      <c r="P71" s="875"/>
      <c r="Q71" s="875"/>
      <c r="R71" s="875"/>
      <c r="S71" s="875"/>
      <c r="T71" s="875"/>
      <c r="U71" s="875"/>
    </row>
    <row r="72" spans="1:21" s="920" customFormat="1" ht="15.75" customHeight="1" x14ac:dyDescent="0.2">
      <c r="A72" s="647"/>
      <c r="B72" s="647"/>
      <c r="C72" s="663"/>
      <c r="D72" s="2912"/>
      <c r="E72" s="310"/>
      <c r="F72" s="310"/>
      <c r="G72" s="310"/>
      <c r="H72" s="546"/>
      <c r="I72" s="875"/>
      <c r="J72" s="875"/>
      <c r="K72" s="2107"/>
      <c r="L72" s="2107"/>
      <c r="M72" s="2107"/>
      <c r="N72" s="875"/>
      <c r="O72" s="875"/>
      <c r="P72" s="875"/>
      <c r="Q72" s="875"/>
      <c r="R72" s="875"/>
      <c r="S72" s="875"/>
      <c r="T72" s="875"/>
      <c r="U72" s="875"/>
    </row>
    <row r="73" spans="1:21" s="920" customFormat="1" ht="15.75" customHeight="1" x14ac:dyDescent="0.2">
      <c r="A73" s="647"/>
      <c r="B73" s="647"/>
      <c r="C73" s="663"/>
      <c r="D73" s="2912"/>
      <c r="E73" s="310"/>
      <c r="F73" s="310"/>
      <c r="G73" s="310"/>
      <c r="H73" s="546"/>
      <c r="I73" s="875"/>
      <c r="J73" s="875"/>
      <c r="K73" s="2107"/>
      <c r="L73" s="2107"/>
      <c r="M73" s="2107"/>
      <c r="N73" s="875"/>
      <c r="O73" s="875"/>
      <c r="P73" s="875"/>
      <c r="Q73" s="875"/>
      <c r="R73" s="875"/>
      <c r="S73" s="875"/>
      <c r="T73" s="875"/>
      <c r="U73" s="875"/>
    </row>
    <row r="74" spans="1:21" s="920" customFormat="1" ht="15.75" customHeight="1" thickBot="1" x14ac:dyDescent="0.25">
      <c r="A74" s="650"/>
      <c r="B74" s="650"/>
      <c r="C74" s="2080"/>
      <c r="D74" s="2913"/>
      <c r="E74" s="428"/>
      <c r="F74" s="428"/>
      <c r="G74" s="428"/>
      <c r="H74" s="1353" t="s">
        <v>1101</v>
      </c>
      <c r="I74" s="875"/>
      <c r="J74" s="875"/>
      <c r="K74" s="2107"/>
      <c r="L74" s="2107"/>
      <c r="M74" s="2107"/>
      <c r="N74" s="875"/>
      <c r="O74" s="875"/>
      <c r="P74" s="875"/>
      <c r="Q74" s="875"/>
      <c r="R74" s="875"/>
      <c r="S74" s="875"/>
      <c r="T74" s="875"/>
      <c r="U74" s="875"/>
    </row>
    <row r="75" spans="1:21" s="920" customFormat="1" ht="15.75" customHeight="1" thickTop="1" thickBot="1" x14ac:dyDescent="0.25">
      <c r="A75" s="586" t="s">
        <v>149</v>
      </c>
      <c r="B75" s="587" t="s">
        <v>150</v>
      </c>
      <c r="C75" s="615" t="s">
        <v>639</v>
      </c>
      <c r="D75" s="589" t="s">
        <v>151</v>
      </c>
      <c r="E75" s="589" t="s">
        <v>569</v>
      </c>
      <c r="F75" s="589" t="s">
        <v>570</v>
      </c>
      <c r="G75" s="589" t="s">
        <v>797</v>
      </c>
      <c r="H75" s="590" t="s">
        <v>798</v>
      </c>
      <c r="I75" s="875"/>
      <c r="J75" s="875"/>
      <c r="K75" s="2107"/>
      <c r="L75" s="2107"/>
      <c r="M75" s="2107"/>
      <c r="N75" s="875"/>
      <c r="O75" s="875"/>
      <c r="P75" s="875"/>
      <c r="Q75" s="875"/>
      <c r="R75" s="875"/>
      <c r="S75" s="875"/>
      <c r="T75" s="875"/>
      <c r="U75" s="875"/>
    </row>
    <row r="76" spans="1:21" s="920" customFormat="1" ht="15.75" customHeight="1" thickTop="1" thickBot="1" x14ac:dyDescent="0.25">
      <c r="A76" s="525">
        <v>1</v>
      </c>
      <c r="B76" s="526">
        <v>2</v>
      </c>
      <c r="C76" s="526">
        <v>3</v>
      </c>
      <c r="D76" s="526">
        <v>4</v>
      </c>
      <c r="E76" s="526">
        <v>5</v>
      </c>
      <c r="F76" s="512">
        <v>6</v>
      </c>
      <c r="G76" s="512">
        <v>7</v>
      </c>
      <c r="H76" s="591" t="s">
        <v>54</v>
      </c>
      <c r="I76" s="875"/>
      <c r="J76" s="875"/>
      <c r="K76" s="2107"/>
      <c r="L76" s="2107"/>
      <c r="M76" s="2107"/>
      <c r="N76" s="875"/>
      <c r="O76" s="875"/>
      <c r="P76" s="875"/>
      <c r="Q76" s="875"/>
      <c r="R76" s="875"/>
      <c r="S76" s="875"/>
      <c r="T76" s="875"/>
      <c r="U76" s="875"/>
    </row>
    <row r="77" spans="1:21" s="875" customFormat="1" ht="15.75" thickTop="1" x14ac:dyDescent="0.25">
      <c r="A77" s="1113">
        <v>3419</v>
      </c>
      <c r="B77" s="617">
        <v>5222</v>
      </c>
      <c r="C77" s="1231"/>
      <c r="D77" s="2073" t="s">
        <v>300</v>
      </c>
      <c r="E77" s="311">
        <f>E78+E79+E80+E81</f>
        <v>48950</v>
      </c>
      <c r="F77" s="311">
        <f>F78+F79+F80+F81</f>
        <v>57246</v>
      </c>
      <c r="G77" s="311">
        <f>G78+G79+G80+G81</f>
        <v>57132</v>
      </c>
      <c r="H77" s="1123">
        <f t="shared" si="9"/>
        <v>99.800859448695107</v>
      </c>
      <c r="K77" s="2107">
        <v>48950000</v>
      </c>
      <c r="L77" s="2107">
        <v>57246451</v>
      </c>
      <c r="M77" s="2107">
        <v>57132208</v>
      </c>
    </row>
    <row r="78" spans="1:21" s="875" customFormat="1" x14ac:dyDescent="0.2">
      <c r="A78" s="1113"/>
      <c r="B78" s="617"/>
      <c r="C78" s="637" t="s">
        <v>1787</v>
      </c>
      <c r="D78" s="2046" t="s">
        <v>292</v>
      </c>
      <c r="E78" s="312">
        <v>11250</v>
      </c>
      <c r="F78" s="310">
        <v>9470</v>
      </c>
      <c r="G78" s="312">
        <v>9470</v>
      </c>
      <c r="H78" s="519">
        <f t="shared" si="9"/>
        <v>100</v>
      </c>
      <c r="K78" s="2107"/>
      <c r="L78" s="2107"/>
      <c r="M78" s="2107"/>
    </row>
    <row r="79" spans="1:21" s="875" customFormat="1" ht="15" x14ac:dyDescent="0.25">
      <c r="A79" s="1113"/>
      <c r="B79" s="617"/>
      <c r="C79" s="637" t="s">
        <v>1788</v>
      </c>
      <c r="D79" s="2072" t="s">
        <v>1437</v>
      </c>
      <c r="E79" s="311"/>
      <c r="F79" s="310">
        <v>975</v>
      </c>
      <c r="G79" s="312">
        <v>970</v>
      </c>
      <c r="H79" s="519">
        <f t="shared" si="9"/>
        <v>99.487179487179489</v>
      </c>
      <c r="K79" s="2107"/>
      <c r="L79" s="2107"/>
      <c r="M79" s="2107"/>
    </row>
    <row r="80" spans="1:21" s="875" customFormat="1" ht="15" x14ac:dyDescent="0.25">
      <c r="A80" s="1113"/>
      <c r="B80" s="617"/>
      <c r="C80" s="518" t="s">
        <v>1761</v>
      </c>
      <c r="D80" s="2046" t="s">
        <v>806</v>
      </c>
      <c r="E80" s="311"/>
      <c r="F80" s="310">
        <v>5030</v>
      </c>
      <c r="G80" s="312">
        <v>5030</v>
      </c>
      <c r="H80" s="519">
        <f t="shared" si="9"/>
        <v>100</v>
      </c>
      <c r="K80" s="2107"/>
      <c r="L80" s="2107"/>
      <c r="M80" s="2107"/>
    </row>
    <row r="81" spans="1:13" s="875" customFormat="1" x14ac:dyDescent="0.2">
      <c r="A81" s="1113"/>
      <c r="B81" s="617"/>
      <c r="C81" s="518" t="s">
        <v>1865</v>
      </c>
      <c r="D81" s="2074" t="s">
        <v>627</v>
      </c>
      <c r="E81" s="312">
        <v>37700</v>
      </c>
      <c r="F81" s="310">
        <v>41771</v>
      </c>
      <c r="G81" s="312">
        <v>41662</v>
      </c>
      <c r="H81" s="519">
        <f t="shared" si="9"/>
        <v>99.739053410260709</v>
      </c>
      <c r="K81" s="2107"/>
      <c r="L81" s="2107"/>
      <c r="M81" s="2107"/>
    </row>
    <row r="82" spans="1:13" s="875" customFormat="1" ht="15" x14ac:dyDescent="0.25">
      <c r="A82" s="1113">
        <v>3419</v>
      </c>
      <c r="B82" s="617">
        <v>5229</v>
      </c>
      <c r="C82" s="518"/>
      <c r="D82" s="2070" t="s">
        <v>1019</v>
      </c>
      <c r="E82" s="311">
        <f>E83</f>
        <v>2200</v>
      </c>
      <c r="F82" s="311">
        <f t="shared" ref="F82:G82" si="12">F83</f>
        <v>200</v>
      </c>
      <c r="G82" s="311">
        <f t="shared" si="12"/>
        <v>150</v>
      </c>
      <c r="H82" s="517">
        <f t="shared" si="9"/>
        <v>75</v>
      </c>
      <c r="K82" s="2107">
        <v>2200000</v>
      </c>
      <c r="L82" s="2107">
        <v>200000</v>
      </c>
      <c r="M82" s="2107">
        <v>150000</v>
      </c>
    </row>
    <row r="83" spans="1:13" s="875" customFormat="1" x14ac:dyDescent="0.2">
      <c r="A83" s="1113"/>
      <c r="B83" s="617"/>
      <c r="C83" s="518" t="s">
        <v>1761</v>
      </c>
      <c r="D83" s="2046" t="s">
        <v>806</v>
      </c>
      <c r="E83" s="312">
        <v>2200</v>
      </c>
      <c r="F83" s="312">
        <v>200</v>
      </c>
      <c r="G83" s="432">
        <v>150</v>
      </c>
      <c r="H83" s="519">
        <f t="shared" si="9"/>
        <v>75</v>
      </c>
      <c r="K83" s="2107"/>
      <c r="L83" s="2107"/>
      <c r="M83" s="2107"/>
    </row>
    <row r="84" spans="1:13" s="875" customFormat="1" ht="15" x14ac:dyDescent="0.25">
      <c r="A84" s="1113">
        <v>3419</v>
      </c>
      <c r="B84" s="617">
        <v>5321</v>
      </c>
      <c r="C84" s="518"/>
      <c r="D84" s="664" t="s">
        <v>1078</v>
      </c>
      <c r="E84" s="312"/>
      <c r="F84" s="311">
        <f>F85</f>
        <v>20</v>
      </c>
      <c r="G84" s="311">
        <f>G85</f>
        <v>20</v>
      </c>
      <c r="H84" s="517">
        <f t="shared" si="9"/>
        <v>100</v>
      </c>
      <c r="K84" s="2107"/>
      <c r="L84" s="2107">
        <v>20000</v>
      </c>
      <c r="M84" s="2107">
        <v>20000</v>
      </c>
    </row>
    <row r="85" spans="1:13" s="875" customFormat="1" x14ac:dyDescent="0.2">
      <c r="A85" s="1113"/>
      <c r="B85" s="617"/>
      <c r="C85" s="637" t="s">
        <v>1788</v>
      </c>
      <c r="D85" s="2072" t="s">
        <v>1437</v>
      </c>
      <c r="E85" s="312"/>
      <c r="F85" s="312">
        <v>20</v>
      </c>
      <c r="G85" s="432">
        <v>20</v>
      </c>
      <c r="H85" s="519">
        <f t="shared" si="9"/>
        <v>100</v>
      </c>
      <c r="K85" s="2107"/>
      <c r="L85" s="2107"/>
      <c r="M85" s="2107"/>
    </row>
    <row r="86" spans="1:13" s="875" customFormat="1" ht="15" x14ac:dyDescent="0.25">
      <c r="A86" s="1113">
        <v>3419</v>
      </c>
      <c r="B86" s="617">
        <v>5493</v>
      </c>
      <c r="C86" s="518"/>
      <c r="D86" s="1006" t="s">
        <v>628</v>
      </c>
      <c r="E86" s="312"/>
      <c r="F86" s="311">
        <f>F87+F88+F89</f>
        <v>799</v>
      </c>
      <c r="G86" s="311">
        <f>G87+G88+G89</f>
        <v>797</v>
      </c>
      <c r="H86" s="1123">
        <f t="shared" si="9"/>
        <v>99.749687108886107</v>
      </c>
      <c r="K86" s="2107"/>
      <c r="L86" s="2107">
        <v>799000</v>
      </c>
      <c r="M86" s="2107">
        <v>797000</v>
      </c>
    </row>
    <row r="87" spans="1:13" s="875" customFormat="1" x14ac:dyDescent="0.2">
      <c r="A87" s="1113"/>
      <c r="B87" s="617"/>
      <c r="C87" s="637" t="s">
        <v>1787</v>
      </c>
      <c r="D87" s="2046" t="s">
        <v>292</v>
      </c>
      <c r="E87" s="312"/>
      <c r="F87" s="310">
        <v>225</v>
      </c>
      <c r="G87" s="312">
        <v>225</v>
      </c>
      <c r="H87" s="519">
        <f t="shared" si="9"/>
        <v>100</v>
      </c>
      <c r="K87" s="2107"/>
      <c r="L87" s="2107"/>
      <c r="M87" s="2107"/>
    </row>
    <row r="88" spans="1:13" s="875" customFormat="1" x14ac:dyDescent="0.2">
      <c r="A88" s="1113"/>
      <c r="B88" s="617"/>
      <c r="C88" s="637" t="s">
        <v>1788</v>
      </c>
      <c r="D88" s="2072" t="s">
        <v>1437</v>
      </c>
      <c r="E88" s="312"/>
      <c r="F88" s="310">
        <v>553</v>
      </c>
      <c r="G88" s="312">
        <v>553</v>
      </c>
      <c r="H88" s="519">
        <f t="shared" si="9"/>
        <v>100</v>
      </c>
      <c r="K88" s="2107"/>
      <c r="L88" s="2107"/>
      <c r="M88" s="2107"/>
    </row>
    <row r="89" spans="1:13" s="875" customFormat="1" x14ac:dyDescent="0.2">
      <c r="A89" s="1113"/>
      <c r="B89" s="617"/>
      <c r="C89" s="518" t="s">
        <v>1865</v>
      </c>
      <c r="D89" s="2074" t="s">
        <v>627</v>
      </c>
      <c r="E89" s="312"/>
      <c r="F89" s="310">
        <v>21</v>
      </c>
      <c r="G89" s="312">
        <v>19</v>
      </c>
      <c r="H89" s="519">
        <f t="shared" si="9"/>
        <v>90.476190476190482</v>
      </c>
      <c r="J89" s="907">
        <f>E12+E17+E18+E24+E29+E33+E36+E40+E77+E82+E60+E41+E64</f>
        <v>69544</v>
      </c>
      <c r="K89" s="907">
        <f>F86+F84+F60+F56+F50+F40+F38+F36+F35+F33+F29+F24+F18+F17+F12+F10+F41+F44+F64+F77+F47+F54+F82+F52+F22</f>
        <v>91379</v>
      </c>
      <c r="L89" s="907">
        <f>G86+G84+G60+G56+G50+G40+G38+G36+G35+G33+G29+G24+G18+G17+G12+G10+G41+G44+G64+G77+G47+G54+G82+G52+G22</f>
        <v>90725</v>
      </c>
      <c r="M89" s="2107"/>
    </row>
    <row r="90" spans="1:13" s="875" customFormat="1" ht="15" x14ac:dyDescent="0.25">
      <c r="A90" s="1113">
        <v>3429</v>
      </c>
      <c r="B90" s="617">
        <v>5212</v>
      </c>
      <c r="C90" s="637"/>
      <c r="D90" s="616" t="s">
        <v>610</v>
      </c>
      <c r="E90" s="312"/>
      <c r="F90" s="309">
        <f>F91</f>
        <v>35</v>
      </c>
      <c r="G90" s="311">
        <f>G91</f>
        <v>35</v>
      </c>
      <c r="H90" s="517">
        <f t="shared" si="9"/>
        <v>100</v>
      </c>
      <c r="K90" s="2107"/>
      <c r="L90" s="2107">
        <v>35000</v>
      </c>
      <c r="M90" s="2107">
        <v>35000</v>
      </c>
    </row>
    <row r="91" spans="1:13" s="875" customFormat="1" x14ac:dyDescent="0.2">
      <c r="A91" s="1113"/>
      <c r="B91" s="617"/>
      <c r="C91" s="637" t="s">
        <v>1788</v>
      </c>
      <c r="D91" s="2072" t="s">
        <v>1437</v>
      </c>
      <c r="E91" s="312"/>
      <c r="F91" s="310">
        <v>35</v>
      </c>
      <c r="G91" s="312">
        <v>35</v>
      </c>
      <c r="H91" s="519">
        <f t="shared" si="9"/>
        <v>100</v>
      </c>
      <c r="J91" s="907"/>
      <c r="K91" s="2107"/>
      <c r="L91" s="2107"/>
      <c r="M91" s="2107"/>
    </row>
    <row r="92" spans="1:13" s="875" customFormat="1" ht="15" x14ac:dyDescent="0.25">
      <c r="A92" s="1113">
        <v>3429</v>
      </c>
      <c r="B92" s="617">
        <v>5221</v>
      </c>
      <c r="C92" s="637"/>
      <c r="D92" s="2070" t="s">
        <v>524</v>
      </c>
      <c r="E92" s="312"/>
      <c r="F92" s="311">
        <f>F93</f>
        <v>50</v>
      </c>
      <c r="G92" s="311">
        <f>G93</f>
        <v>50</v>
      </c>
      <c r="H92" s="517">
        <f t="shared" si="9"/>
        <v>100</v>
      </c>
      <c r="K92" s="2107"/>
      <c r="L92" s="2107">
        <v>50000</v>
      </c>
      <c r="M92" s="2107">
        <v>50000</v>
      </c>
    </row>
    <row r="93" spans="1:13" s="875" customFormat="1" x14ac:dyDescent="0.2">
      <c r="A93" s="1113"/>
      <c r="B93" s="617"/>
      <c r="C93" s="637" t="s">
        <v>1787</v>
      </c>
      <c r="D93" s="2046" t="s">
        <v>292</v>
      </c>
      <c r="E93" s="312"/>
      <c r="F93" s="312">
        <v>50</v>
      </c>
      <c r="G93" s="312">
        <v>50</v>
      </c>
      <c r="H93" s="519">
        <f t="shared" si="9"/>
        <v>100</v>
      </c>
      <c r="K93" s="2107"/>
      <c r="L93" s="2107"/>
      <c r="M93" s="2107"/>
    </row>
    <row r="94" spans="1:13" s="875" customFormat="1" ht="15" x14ac:dyDescent="0.25">
      <c r="A94" s="1113">
        <v>3429</v>
      </c>
      <c r="B94" s="617">
        <v>5222</v>
      </c>
      <c r="C94" s="2075"/>
      <c r="D94" s="2071" t="s">
        <v>300</v>
      </c>
      <c r="E94" s="312"/>
      <c r="F94" s="311">
        <f>F95+F96</f>
        <v>555</v>
      </c>
      <c r="G94" s="311">
        <f>G95+G96</f>
        <v>555</v>
      </c>
      <c r="H94" s="517">
        <f>(G94/F94)*100</f>
        <v>100</v>
      </c>
      <c r="K94" s="2107"/>
      <c r="L94" s="2107">
        <v>555000</v>
      </c>
      <c r="M94" s="2107">
        <v>555000</v>
      </c>
    </row>
    <row r="95" spans="1:13" s="875" customFormat="1" x14ac:dyDescent="0.2">
      <c r="A95" s="1113"/>
      <c r="B95" s="617"/>
      <c r="C95" s="637" t="s">
        <v>1787</v>
      </c>
      <c r="D95" s="2046" t="s">
        <v>292</v>
      </c>
      <c r="E95" s="312"/>
      <c r="F95" s="310">
        <v>230</v>
      </c>
      <c r="G95" s="312">
        <v>230</v>
      </c>
      <c r="H95" s="519">
        <f t="shared" si="9"/>
        <v>100</v>
      </c>
      <c r="K95" s="2107"/>
      <c r="L95" s="2107"/>
      <c r="M95" s="2107"/>
    </row>
    <row r="96" spans="1:13" s="875" customFormat="1" x14ac:dyDescent="0.2">
      <c r="A96" s="1113"/>
      <c r="B96" s="617"/>
      <c r="C96" s="637" t="s">
        <v>1788</v>
      </c>
      <c r="D96" s="2072" t="s">
        <v>1437</v>
      </c>
      <c r="E96" s="312"/>
      <c r="F96" s="310">
        <v>325</v>
      </c>
      <c r="G96" s="312">
        <v>325</v>
      </c>
      <c r="H96" s="519">
        <f t="shared" si="9"/>
        <v>100</v>
      </c>
      <c r="I96" s="882"/>
      <c r="K96" s="2107"/>
      <c r="L96" s="2107"/>
      <c r="M96" s="2107"/>
    </row>
    <row r="97" spans="1:13" s="875" customFormat="1" ht="15" x14ac:dyDescent="0.25">
      <c r="A97" s="648">
        <v>3429</v>
      </c>
      <c r="B97" s="617">
        <v>5229</v>
      </c>
      <c r="C97" s="637"/>
      <c r="D97" s="2076" t="s">
        <v>1019</v>
      </c>
      <c r="E97" s="312"/>
      <c r="F97" s="311">
        <f>F98</f>
        <v>25</v>
      </c>
      <c r="G97" s="311">
        <f>G98</f>
        <v>25</v>
      </c>
      <c r="H97" s="2066">
        <f t="shared" si="9"/>
        <v>100</v>
      </c>
      <c r="K97" s="2107"/>
      <c r="L97" s="2107">
        <v>25000</v>
      </c>
      <c r="M97" s="2107">
        <v>25000</v>
      </c>
    </row>
    <row r="98" spans="1:13" s="875" customFormat="1" x14ac:dyDescent="0.2">
      <c r="A98" s="648"/>
      <c r="B98" s="617"/>
      <c r="C98" s="637" t="s">
        <v>1788</v>
      </c>
      <c r="D98" s="2077" t="s">
        <v>1437</v>
      </c>
      <c r="E98" s="312"/>
      <c r="F98" s="312">
        <v>25</v>
      </c>
      <c r="G98" s="312">
        <v>25</v>
      </c>
      <c r="H98" s="2067">
        <f t="shared" si="9"/>
        <v>100</v>
      </c>
      <c r="K98" s="2107"/>
      <c r="L98" s="2107"/>
      <c r="M98" s="2107"/>
    </row>
    <row r="99" spans="1:13" s="875" customFormat="1" ht="15" x14ac:dyDescent="0.25">
      <c r="A99" s="1113">
        <v>3429</v>
      </c>
      <c r="B99" s="617">
        <v>5321</v>
      </c>
      <c r="C99" s="637"/>
      <c r="D99" s="664" t="s">
        <v>1078</v>
      </c>
      <c r="E99" s="311">
        <f>E100</f>
        <v>500</v>
      </c>
      <c r="F99" s="311">
        <f>F100+F101</f>
        <v>520</v>
      </c>
      <c r="G99" s="311">
        <f>G100+G101</f>
        <v>520</v>
      </c>
      <c r="H99" s="517">
        <f t="shared" si="9"/>
        <v>100</v>
      </c>
      <c r="K99" s="2107">
        <v>500000</v>
      </c>
      <c r="L99" s="2107">
        <v>520000</v>
      </c>
      <c r="M99" s="2107">
        <v>520000</v>
      </c>
    </row>
    <row r="100" spans="1:13" s="875" customFormat="1" x14ac:dyDescent="0.2">
      <c r="A100" s="1113"/>
      <c r="B100" s="617"/>
      <c r="C100" s="637" t="s">
        <v>1787</v>
      </c>
      <c r="D100" s="2046" t="s">
        <v>292</v>
      </c>
      <c r="E100" s="312">
        <v>500</v>
      </c>
      <c r="F100" s="310">
        <v>500</v>
      </c>
      <c r="G100" s="312">
        <v>500</v>
      </c>
      <c r="H100" s="519">
        <f t="shared" si="9"/>
        <v>100</v>
      </c>
      <c r="K100" s="2107"/>
      <c r="L100" s="2107"/>
      <c r="M100" s="2107"/>
    </row>
    <row r="101" spans="1:13" s="875" customFormat="1" x14ac:dyDescent="0.2">
      <c r="A101" s="1113"/>
      <c r="B101" s="617"/>
      <c r="C101" s="637" t="s">
        <v>1788</v>
      </c>
      <c r="D101" s="2072" t="s">
        <v>1437</v>
      </c>
      <c r="E101" s="312"/>
      <c r="F101" s="310">
        <v>20</v>
      </c>
      <c r="G101" s="312">
        <v>20</v>
      </c>
      <c r="H101" s="519">
        <f t="shared" si="9"/>
        <v>100</v>
      </c>
      <c r="K101" s="2107"/>
      <c r="L101" s="2107"/>
      <c r="M101" s="2107"/>
    </row>
    <row r="102" spans="1:13" s="875" customFormat="1" ht="15" x14ac:dyDescent="0.25">
      <c r="A102" s="1113">
        <v>3429</v>
      </c>
      <c r="B102" s="617">
        <v>5493</v>
      </c>
      <c r="C102" s="637"/>
      <c r="D102" s="1006" t="s">
        <v>628</v>
      </c>
      <c r="E102" s="312"/>
      <c r="F102" s="309">
        <f>F103</f>
        <v>65</v>
      </c>
      <c r="G102" s="311">
        <f>G103</f>
        <v>65</v>
      </c>
      <c r="H102" s="517">
        <f t="shared" si="9"/>
        <v>100</v>
      </c>
      <c r="K102" s="2107"/>
      <c r="L102" s="2107">
        <v>65000</v>
      </c>
      <c r="M102" s="2107">
        <v>65000</v>
      </c>
    </row>
    <row r="103" spans="1:13" s="875" customFormat="1" x14ac:dyDescent="0.2">
      <c r="A103" s="1113"/>
      <c r="B103" s="617"/>
      <c r="C103" s="637" t="s">
        <v>1788</v>
      </c>
      <c r="D103" s="2072" t="s">
        <v>1437</v>
      </c>
      <c r="E103" s="312"/>
      <c r="F103" s="310">
        <v>65</v>
      </c>
      <c r="G103" s="312">
        <v>65</v>
      </c>
      <c r="H103" s="519">
        <f t="shared" si="9"/>
        <v>100</v>
      </c>
      <c r="K103" s="2107"/>
      <c r="L103" s="2107"/>
      <c r="M103" s="2107"/>
    </row>
    <row r="104" spans="1:13" s="875" customFormat="1" ht="15" x14ac:dyDescent="0.25">
      <c r="A104" s="1113">
        <v>3792</v>
      </c>
      <c r="B104" s="617">
        <v>5164</v>
      </c>
      <c r="C104" s="649"/>
      <c r="D104" s="1006" t="s">
        <v>157</v>
      </c>
      <c r="E104" s="311">
        <f>E105</f>
        <v>20</v>
      </c>
      <c r="F104" s="311">
        <f t="shared" ref="F104:G104" si="13">F105</f>
        <v>20</v>
      </c>
      <c r="G104" s="311">
        <f t="shared" si="13"/>
        <v>20</v>
      </c>
      <c r="H104" s="517">
        <f t="shared" si="9"/>
        <v>100</v>
      </c>
      <c r="K104" s="2107">
        <v>20000</v>
      </c>
      <c r="L104" s="2107">
        <v>20000</v>
      </c>
      <c r="M104" s="2107">
        <v>20000</v>
      </c>
    </row>
    <row r="105" spans="1:13" s="875" customFormat="1" x14ac:dyDescent="0.2">
      <c r="A105" s="1113"/>
      <c r="B105" s="617"/>
      <c r="C105" s="518" t="s">
        <v>1824</v>
      </c>
      <c r="D105" s="2046" t="s">
        <v>338</v>
      </c>
      <c r="E105" s="312">
        <v>20</v>
      </c>
      <c r="F105" s="310">
        <v>20</v>
      </c>
      <c r="G105" s="312">
        <v>20</v>
      </c>
      <c r="H105" s="519">
        <f t="shared" si="9"/>
        <v>100</v>
      </c>
      <c r="K105" s="2107"/>
      <c r="L105" s="2107"/>
      <c r="M105" s="2107"/>
    </row>
    <row r="106" spans="1:13" s="875" customFormat="1" ht="15" x14ac:dyDescent="0.25">
      <c r="A106" s="1113">
        <v>3792</v>
      </c>
      <c r="B106" s="617">
        <v>5169</v>
      </c>
      <c r="C106" s="518"/>
      <c r="D106" s="1006" t="s">
        <v>769</v>
      </c>
      <c r="E106" s="311">
        <f>E107</f>
        <v>70</v>
      </c>
      <c r="F106" s="311">
        <f t="shared" ref="F106:G106" si="14">F107</f>
        <v>32</v>
      </c>
      <c r="G106" s="311">
        <f t="shared" si="14"/>
        <v>30</v>
      </c>
      <c r="H106" s="1123">
        <f t="shared" ref="H106:H120" si="15">(G106/F106)*100</f>
        <v>93.75</v>
      </c>
      <c r="K106" s="2107">
        <v>70000</v>
      </c>
      <c r="L106" s="2107">
        <v>32030</v>
      </c>
      <c r="M106" s="2107">
        <v>30360</v>
      </c>
    </row>
    <row r="107" spans="1:13" s="875" customFormat="1" x14ac:dyDescent="0.2">
      <c r="A107" s="1113"/>
      <c r="B107" s="617"/>
      <c r="C107" s="663" t="s">
        <v>1824</v>
      </c>
      <c r="D107" s="2042" t="s">
        <v>338</v>
      </c>
      <c r="E107" s="312">
        <v>70</v>
      </c>
      <c r="F107" s="310">
        <v>32</v>
      </c>
      <c r="G107" s="312">
        <v>30</v>
      </c>
      <c r="H107" s="519">
        <f t="shared" si="15"/>
        <v>93.75</v>
      </c>
      <c r="K107" s="2107"/>
      <c r="L107" s="2107"/>
      <c r="M107" s="2107"/>
    </row>
    <row r="108" spans="1:13" s="875" customFormat="1" ht="15" x14ac:dyDescent="0.25">
      <c r="A108" s="1113">
        <v>3792</v>
      </c>
      <c r="B108" s="617">
        <v>5175</v>
      </c>
      <c r="C108" s="663"/>
      <c r="D108" s="372" t="s">
        <v>605</v>
      </c>
      <c r="E108" s="311">
        <f>E109</f>
        <v>20</v>
      </c>
      <c r="F108" s="311">
        <f t="shared" ref="F108:G108" si="16">F109</f>
        <v>58</v>
      </c>
      <c r="G108" s="311">
        <f t="shared" si="16"/>
        <v>58</v>
      </c>
      <c r="H108" s="517">
        <f t="shared" si="15"/>
        <v>100</v>
      </c>
      <c r="K108" s="2107">
        <v>20000</v>
      </c>
      <c r="L108" s="2107">
        <v>57970</v>
      </c>
      <c r="M108" s="2107">
        <v>57968</v>
      </c>
    </row>
    <row r="109" spans="1:13" s="875" customFormat="1" x14ac:dyDescent="0.2">
      <c r="A109" s="1113"/>
      <c r="B109" s="617"/>
      <c r="C109" s="663" t="s">
        <v>1824</v>
      </c>
      <c r="D109" s="2042" t="s">
        <v>338</v>
      </c>
      <c r="E109" s="312">
        <v>20</v>
      </c>
      <c r="F109" s="310">
        <v>58</v>
      </c>
      <c r="G109" s="312">
        <v>58</v>
      </c>
      <c r="H109" s="519">
        <f t="shared" si="15"/>
        <v>100</v>
      </c>
      <c r="K109" s="2107"/>
      <c r="L109" s="2107"/>
      <c r="M109" s="2107"/>
    </row>
    <row r="110" spans="1:13" s="875" customFormat="1" ht="15" x14ac:dyDescent="0.25">
      <c r="A110" s="1113">
        <v>3792</v>
      </c>
      <c r="B110" s="617">
        <v>5221</v>
      </c>
      <c r="C110" s="518"/>
      <c r="D110" s="2070" t="s">
        <v>524</v>
      </c>
      <c r="E110" s="312"/>
      <c r="F110" s="311">
        <f>F111</f>
        <v>36</v>
      </c>
      <c r="G110" s="311">
        <f>G111</f>
        <v>36</v>
      </c>
      <c r="H110" s="2066">
        <f t="shared" si="15"/>
        <v>100</v>
      </c>
      <c r="K110" s="2107"/>
      <c r="L110" s="2107">
        <v>36000</v>
      </c>
      <c r="M110" s="2107">
        <v>36000</v>
      </c>
    </row>
    <row r="111" spans="1:13" s="875" customFormat="1" x14ac:dyDescent="0.2">
      <c r="A111" s="1113"/>
      <c r="B111" s="617"/>
      <c r="C111" s="663" t="s">
        <v>1868</v>
      </c>
      <c r="D111" s="2042" t="s">
        <v>1651</v>
      </c>
      <c r="E111" s="312"/>
      <c r="F111" s="310">
        <v>36</v>
      </c>
      <c r="G111" s="312">
        <v>36</v>
      </c>
      <c r="H111" s="519">
        <f t="shared" si="15"/>
        <v>100</v>
      </c>
      <c r="K111" s="2107"/>
      <c r="L111" s="2107"/>
      <c r="M111" s="2107"/>
    </row>
    <row r="112" spans="1:13" s="875" customFormat="1" ht="15" x14ac:dyDescent="0.25">
      <c r="A112" s="1113">
        <v>3792</v>
      </c>
      <c r="B112" s="617">
        <v>5222</v>
      </c>
      <c r="C112" s="663"/>
      <c r="D112" s="2071" t="s">
        <v>300</v>
      </c>
      <c r="E112" s="312"/>
      <c r="F112" s="311">
        <f>F113</f>
        <v>72</v>
      </c>
      <c r="G112" s="311">
        <f>G113</f>
        <v>72</v>
      </c>
      <c r="H112" s="2066">
        <f t="shared" si="15"/>
        <v>100</v>
      </c>
      <c r="K112" s="2107"/>
      <c r="L112" s="2107">
        <v>72000</v>
      </c>
      <c r="M112" s="2107">
        <v>72000</v>
      </c>
    </row>
    <row r="113" spans="1:14" s="875" customFormat="1" x14ac:dyDescent="0.2">
      <c r="A113" s="1113"/>
      <c r="B113" s="617"/>
      <c r="C113" s="663" t="s">
        <v>1868</v>
      </c>
      <c r="D113" s="2042" t="s">
        <v>1651</v>
      </c>
      <c r="E113" s="312"/>
      <c r="F113" s="310">
        <v>72</v>
      </c>
      <c r="G113" s="312">
        <v>72</v>
      </c>
      <c r="H113" s="519">
        <f t="shared" si="15"/>
        <v>100</v>
      </c>
      <c r="K113" s="2107"/>
      <c r="L113" s="2107"/>
      <c r="M113" s="2107"/>
    </row>
    <row r="114" spans="1:14" s="875" customFormat="1" ht="15" x14ac:dyDescent="0.25">
      <c r="A114" s="1113">
        <v>3792</v>
      </c>
      <c r="B114" s="617">
        <v>5321</v>
      </c>
      <c r="C114" s="663"/>
      <c r="D114" s="664" t="s">
        <v>1078</v>
      </c>
      <c r="E114" s="312"/>
      <c r="F114" s="311">
        <f>F115+F116</f>
        <v>226</v>
      </c>
      <c r="G114" s="311">
        <f>G115+G116</f>
        <v>225</v>
      </c>
      <c r="H114" s="517">
        <f t="shared" si="15"/>
        <v>99.557522123893804</v>
      </c>
      <c r="K114" s="2107"/>
      <c r="L114" s="2107">
        <v>226000</v>
      </c>
      <c r="M114" s="2107">
        <v>224531</v>
      </c>
    </row>
    <row r="115" spans="1:14" s="875" customFormat="1" x14ac:dyDescent="0.2">
      <c r="A115" s="1113"/>
      <c r="B115" s="617"/>
      <c r="C115" s="663" t="s">
        <v>1824</v>
      </c>
      <c r="D115" s="2042" t="s">
        <v>338</v>
      </c>
      <c r="E115" s="312"/>
      <c r="F115" s="310">
        <v>190</v>
      </c>
      <c r="G115" s="312">
        <v>189</v>
      </c>
      <c r="H115" s="519">
        <f t="shared" si="15"/>
        <v>99.473684210526315</v>
      </c>
      <c r="K115" s="2107"/>
      <c r="L115" s="2107"/>
      <c r="M115" s="2107"/>
    </row>
    <row r="116" spans="1:14" s="875" customFormat="1" x14ac:dyDescent="0.2">
      <c r="A116" s="1113"/>
      <c r="B116" s="617"/>
      <c r="C116" s="663" t="s">
        <v>1868</v>
      </c>
      <c r="D116" s="2042" t="s">
        <v>1651</v>
      </c>
      <c r="E116" s="312"/>
      <c r="F116" s="310">
        <v>36</v>
      </c>
      <c r="G116" s="312">
        <v>36</v>
      </c>
      <c r="H116" s="519">
        <f t="shared" si="15"/>
        <v>100</v>
      </c>
      <c r="K116" s="2107"/>
      <c r="L116" s="2107"/>
      <c r="M116" s="2107"/>
    </row>
    <row r="117" spans="1:14" s="875" customFormat="1" ht="15" x14ac:dyDescent="0.25">
      <c r="A117" s="1113">
        <v>3792</v>
      </c>
      <c r="B117" s="617">
        <v>5336</v>
      </c>
      <c r="C117" s="663"/>
      <c r="D117" s="2078" t="s">
        <v>842</v>
      </c>
      <c r="E117" s="312"/>
      <c r="F117" s="311">
        <f>F118</f>
        <v>36</v>
      </c>
      <c r="G117" s="311">
        <f>G118</f>
        <v>36</v>
      </c>
      <c r="H117" s="2066">
        <f t="shared" si="15"/>
        <v>100</v>
      </c>
      <c r="K117" s="2108"/>
      <c r="L117" s="2107">
        <v>36000</v>
      </c>
      <c r="M117" s="2107">
        <v>36000</v>
      </c>
    </row>
    <row r="118" spans="1:14" s="875" customFormat="1" x14ac:dyDescent="0.2">
      <c r="A118" s="1113"/>
      <c r="B118" s="617"/>
      <c r="C118" s="663" t="s">
        <v>1868</v>
      </c>
      <c r="D118" s="2042" t="s">
        <v>1651</v>
      </c>
      <c r="E118" s="312"/>
      <c r="F118" s="310">
        <v>36</v>
      </c>
      <c r="G118" s="312">
        <v>36</v>
      </c>
      <c r="H118" s="519">
        <f t="shared" si="15"/>
        <v>100</v>
      </c>
      <c r="K118" s="2107"/>
      <c r="L118" s="2107"/>
      <c r="M118" s="2107"/>
    </row>
    <row r="119" spans="1:14" s="875" customFormat="1" ht="15" x14ac:dyDescent="0.25">
      <c r="A119" s="1113">
        <v>6402</v>
      </c>
      <c r="B119" s="617">
        <v>5363</v>
      </c>
      <c r="C119" s="663"/>
      <c r="D119" s="1405" t="s">
        <v>1353</v>
      </c>
      <c r="E119" s="312"/>
      <c r="F119" s="309">
        <v>108</v>
      </c>
      <c r="G119" s="311">
        <v>108</v>
      </c>
      <c r="H119" s="2066">
        <f t="shared" si="15"/>
        <v>100</v>
      </c>
      <c r="K119" s="2107"/>
      <c r="L119" s="2107">
        <v>107508.14</v>
      </c>
      <c r="M119" s="2107">
        <v>107508.14</v>
      </c>
    </row>
    <row r="120" spans="1:14" s="875" customFormat="1" ht="15" x14ac:dyDescent="0.25">
      <c r="A120" s="1113">
        <v>6402</v>
      </c>
      <c r="B120" s="617">
        <v>5364</v>
      </c>
      <c r="C120" s="663"/>
      <c r="D120" s="3108" t="s">
        <v>1015</v>
      </c>
      <c r="E120" s="312"/>
      <c r="F120" s="311">
        <f>F122</f>
        <v>2079</v>
      </c>
      <c r="G120" s="311">
        <f>G122</f>
        <v>2079</v>
      </c>
      <c r="H120" s="2066">
        <f t="shared" si="15"/>
        <v>100</v>
      </c>
      <c r="K120" s="2107"/>
      <c r="L120" s="2107">
        <v>2078904.04</v>
      </c>
      <c r="M120" s="2107">
        <v>2078904.04</v>
      </c>
    </row>
    <row r="121" spans="1:14" s="875" customFormat="1" ht="15" x14ac:dyDescent="0.25">
      <c r="A121" s="1113"/>
      <c r="B121" s="617"/>
      <c r="C121" s="663"/>
      <c r="D121" s="3108"/>
      <c r="E121" s="312"/>
      <c r="F121" s="311"/>
      <c r="G121" s="311"/>
      <c r="H121" s="2066"/>
      <c r="K121" s="2107"/>
      <c r="L121" s="2107"/>
      <c r="M121" s="2107"/>
    </row>
    <row r="122" spans="1:14" s="875" customFormat="1" ht="15.75" thickBot="1" x14ac:dyDescent="0.3">
      <c r="A122" s="2079"/>
      <c r="B122" s="618"/>
      <c r="C122" s="2080" t="s">
        <v>1786</v>
      </c>
      <c r="D122" s="2081" t="s">
        <v>836</v>
      </c>
      <c r="E122" s="2082"/>
      <c r="F122" s="428">
        <v>2079</v>
      </c>
      <c r="G122" s="429">
        <v>2079</v>
      </c>
      <c r="H122" s="2083">
        <f>(G122/F122)*100</f>
        <v>100</v>
      </c>
      <c r="K122" s="2107"/>
      <c r="L122" s="2107"/>
      <c r="M122" s="2107"/>
    </row>
    <row r="123" spans="1:14" s="356" customFormat="1" ht="35.25" customHeight="1" thickTop="1" thickBot="1" x14ac:dyDescent="0.3">
      <c r="A123" s="1911" t="s">
        <v>225</v>
      </c>
      <c r="B123" s="652"/>
      <c r="C123" s="958"/>
      <c r="D123" s="652"/>
      <c r="E123" s="634">
        <f>J89+J123</f>
        <v>70154</v>
      </c>
      <c r="F123" s="634">
        <f>K89+K123</f>
        <v>95296</v>
      </c>
      <c r="G123" s="634">
        <f>L89+L123</f>
        <v>94639</v>
      </c>
      <c r="H123" s="760">
        <f>(G123/F123)*100</f>
        <v>99.310569173942241</v>
      </c>
      <c r="J123" s="1053">
        <f>E104+E106+E108+E99</f>
        <v>610</v>
      </c>
      <c r="K123" s="1053">
        <f>F94+F97+F99+F102+F104+F106+F108+F110+F112+F114+F120+F117+F90+F92+F119</f>
        <v>3917</v>
      </c>
      <c r="L123" s="1053">
        <f>G94+G97+G99+G102+G104+G106+G108+G110+G112+G114+G120+G117+G90+G92+G119</f>
        <v>3914</v>
      </c>
      <c r="M123" s="1052"/>
      <c r="N123" s="1052"/>
    </row>
    <row r="124" spans="1:14" s="875" customFormat="1" ht="15.75" thickTop="1" x14ac:dyDescent="0.25">
      <c r="A124" s="905"/>
      <c r="B124" s="905"/>
      <c r="C124" s="878"/>
      <c r="D124" s="883"/>
      <c r="E124" s="1108"/>
      <c r="F124" s="1109"/>
      <c r="G124" s="1109"/>
      <c r="H124" s="1057"/>
    </row>
    <row r="125" spans="1:14" s="356" customFormat="1" ht="18" x14ac:dyDescent="0.25">
      <c r="A125" s="354"/>
      <c r="B125" s="355"/>
      <c r="C125" s="140"/>
      <c r="D125" s="355"/>
      <c r="E125" s="17"/>
      <c r="F125" s="17"/>
      <c r="G125" s="17"/>
      <c r="H125" s="191"/>
      <c r="K125" s="1056"/>
      <c r="L125" s="1056"/>
    </row>
    <row r="126" spans="1:14" ht="18.75" customHeight="1" x14ac:dyDescent="0.25">
      <c r="A126" s="97" t="s">
        <v>770</v>
      </c>
      <c r="B126" s="598"/>
      <c r="C126" s="620"/>
      <c r="D126" s="758"/>
      <c r="E126" s="622"/>
      <c r="F126" s="759"/>
      <c r="G126" s="622"/>
      <c r="H126" s="602"/>
    </row>
    <row r="127" spans="1:14" ht="16.5" thickBot="1" x14ac:dyDescent="0.3">
      <c r="A127" s="97"/>
      <c r="B127" s="28"/>
      <c r="C127" s="140"/>
      <c r="D127" s="10"/>
      <c r="E127" s="447"/>
      <c r="F127" s="447"/>
      <c r="G127" s="166"/>
      <c r="H127" s="1353" t="s">
        <v>148</v>
      </c>
    </row>
    <row r="128" spans="1:14" s="106" customFormat="1" ht="20.25" customHeight="1" thickTop="1" thickBot="1" x14ac:dyDescent="0.25">
      <c r="A128" s="586" t="s">
        <v>149</v>
      </c>
      <c r="B128" s="587" t="s">
        <v>150</v>
      </c>
      <c r="C128" s="615" t="s">
        <v>639</v>
      </c>
      <c r="D128" s="589" t="s">
        <v>151</v>
      </c>
      <c r="E128" s="589" t="s">
        <v>569</v>
      </c>
      <c r="F128" s="589" t="s">
        <v>570</v>
      </c>
      <c r="G128" s="589" t="s">
        <v>797</v>
      </c>
      <c r="H128" s="590" t="s">
        <v>798</v>
      </c>
    </row>
    <row r="129" spans="1:21" s="375" customFormat="1" ht="13.5" thickTop="1" thickBot="1" x14ac:dyDescent="0.25">
      <c r="A129" s="525">
        <v>1</v>
      </c>
      <c r="B129" s="526">
        <v>2</v>
      </c>
      <c r="C129" s="526">
        <v>3</v>
      </c>
      <c r="D129" s="526">
        <v>4</v>
      </c>
      <c r="E129" s="526">
        <v>5</v>
      </c>
      <c r="F129" s="512">
        <v>6</v>
      </c>
      <c r="G129" s="512">
        <v>7</v>
      </c>
      <c r="H129" s="591" t="s">
        <v>54</v>
      </c>
      <c r="I129" s="106"/>
    </row>
    <row r="130" spans="1:21" s="920" customFormat="1" ht="15.75" customHeight="1" thickTop="1" x14ac:dyDescent="0.25">
      <c r="A130" s="2084">
        <v>3299</v>
      </c>
      <c r="B130" s="659">
        <v>6359</v>
      </c>
      <c r="C130" s="2085"/>
      <c r="D130" s="713" t="s">
        <v>837</v>
      </c>
      <c r="E130" s="363">
        <f>E131</f>
        <v>10300</v>
      </c>
      <c r="F130" s="363">
        <f t="shared" ref="F130:G130" si="17">F131</f>
        <v>0</v>
      </c>
      <c r="G130" s="363">
        <f t="shared" si="17"/>
        <v>0</v>
      </c>
      <c r="H130" s="2086">
        <v>0</v>
      </c>
      <c r="I130" s="875"/>
      <c r="J130" s="875"/>
      <c r="K130" s="875"/>
      <c r="L130" s="875"/>
      <c r="M130" s="875"/>
      <c r="N130" s="875"/>
      <c r="O130" s="875"/>
      <c r="P130" s="875"/>
      <c r="Q130" s="875"/>
      <c r="R130" s="875"/>
      <c r="S130" s="875"/>
      <c r="T130" s="875"/>
      <c r="U130" s="875"/>
    </row>
    <row r="131" spans="1:21" s="920" customFormat="1" ht="13.5" customHeight="1" x14ac:dyDescent="0.2">
      <c r="A131" s="648"/>
      <c r="B131" s="617"/>
      <c r="C131" s="518" t="s">
        <v>1869</v>
      </c>
      <c r="D131" s="2042" t="s">
        <v>1275</v>
      </c>
      <c r="E131" s="312">
        <v>10300</v>
      </c>
      <c r="F131" s="312">
        <v>0</v>
      </c>
      <c r="G131" s="312">
        <v>0</v>
      </c>
      <c r="H131" s="2087">
        <v>0</v>
      </c>
      <c r="I131" s="875"/>
      <c r="J131" s="875"/>
      <c r="K131" s="875"/>
      <c r="L131" s="875"/>
      <c r="M131" s="875"/>
      <c r="N131" s="875"/>
      <c r="O131" s="875"/>
      <c r="P131" s="875"/>
      <c r="Q131" s="875"/>
      <c r="R131" s="875"/>
      <c r="S131" s="875"/>
      <c r="T131" s="875"/>
      <c r="U131" s="875"/>
    </row>
    <row r="132" spans="1:21" s="920" customFormat="1" ht="13.5" customHeight="1" x14ac:dyDescent="0.25">
      <c r="A132" s="1113">
        <v>3419</v>
      </c>
      <c r="B132" s="617">
        <v>6321</v>
      </c>
      <c r="C132" s="663"/>
      <c r="D132" s="372" t="s">
        <v>1653</v>
      </c>
      <c r="E132" s="310"/>
      <c r="F132" s="311">
        <f>F133</f>
        <v>200</v>
      </c>
      <c r="G132" s="311">
        <f>G133</f>
        <v>200</v>
      </c>
      <c r="H132" s="2040">
        <f t="shared" ref="H132:H140" si="18">(G132/F132)*100</f>
        <v>100</v>
      </c>
      <c r="I132" s="875"/>
      <c r="J132" s="875"/>
      <c r="K132" s="875"/>
      <c r="L132" s="875"/>
      <c r="M132" s="875"/>
      <c r="N132" s="875"/>
      <c r="O132" s="875"/>
      <c r="P132" s="875"/>
      <c r="Q132" s="875"/>
      <c r="R132" s="875"/>
      <c r="S132" s="875"/>
      <c r="T132" s="875"/>
      <c r="U132" s="875"/>
    </row>
    <row r="133" spans="1:21" s="920" customFormat="1" ht="13.5" customHeight="1" x14ac:dyDescent="0.2">
      <c r="A133" s="1113"/>
      <c r="B133" s="617"/>
      <c r="C133" s="2047" t="s">
        <v>1787</v>
      </c>
      <c r="D133" s="2042" t="s">
        <v>292</v>
      </c>
      <c r="E133" s="310"/>
      <c r="F133" s="312">
        <v>200</v>
      </c>
      <c r="G133" s="312">
        <v>200</v>
      </c>
      <c r="H133" s="2041">
        <f t="shared" si="18"/>
        <v>100</v>
      </c>
      <c r="I133" s="875"/>
      <c r="J133" s="875"/>
      <c r="K133" s="875"/>
      <c r="L133" s="875"/>
      <c r="M133" s="875"/>
      <c r="N133" s="875"/>
      <c r="O133" s="875"/>
      <c r="P133" s="875"/>
      <c r="Q133" s="875"/>
      <c r="R133" s="875"/>
      <c r="S133" s="875"/>
      <c r="T133" s="875"/>
      <c r="U133" s="875"/>
    </row>
    <row r="134" spans="1:21" s="920" customFormat="1" ht="13.5" customHeight="1" x14ac:dyDescent="0.25">
      <c r="A134" s="1113">
        <v>3419</v>
      </c>
      <c r="B134" s="617">
        <v>6341</v>
      </c>
      <c r="C134" s="663"/>
      <c r="D134" s="372" t="s">
        <v>227</v>
      </c>
      <c r="E134" s="310"/>
      <c r="F134" s="311">
        <f>F135</f>
        <v>600</v>
      </c>
      <c r="G134" s="311">
        <f>G135</f>
        <v>600</v>
      </c>
      <c r="H134" s="2040">
        <f t="shared" si="18"/>
        <v>100</v>
      </c>
      <c r="I134" s="875"/>
      <c r="J134" s="875"/>
      <c r="K134" s="875"/>
      <c r="L134" s="875"/>
      <c r="M134" s="875"/>
      <c r="N134" s="875"/>
      <c r="O134" s="875"/>
      <c r="P134" s="875"/>
      <c r="Q134" s="875"/>
      <c r="R134" s="875"/>
      <c r="S134" s="875"/>
      <c r="T134" s="875"/>
      <c r="U134" s="875"/>
    </row>
    <row r="135" spans="1:21" s="920" customFormat="1" ht="13.5" customHeight="1" x14ac:dyDescent="0.2">
      <c r="A135" s="1113"/>
      <c r="B135" s="617"/>
      <c r="C135" s="2047" t="s">
        <v>1787</v>
      </c>
      <c r="D135" s="2042" t="s">
        <v>292</v>
      </c>
      <c r="E135" s="310"/>
      <c r="F135" s="312">
        <f>100+500</f>
        <v>600</v>
      </c>
      <c r="G135" s="312">
        <f>100+500</f>
        <v>600</v>
      </c>
      <c r="H135" s="2041">
        <f t="shared" si="18"/>
        <v>100</v>
      </c>
      <c r="I135" s="875"/>
      <c r="J135" s="875"/>
      <c r="K135" s="875"/>
      <c r="L135" s="875"/>
      <c r="M135" s="875"/>
      <c r="N135" s="875"/>
      <c r="O135" s="875"/>
      <c r="P135" s="875"/>
      <c r="Q135" s="875"/>
      <c r="R135" s="875"/>
      <c r="S135" s="875"/>
      <c r="T135" s="875"/>
      <c r="U135" s="875"/>
    </row>
    <row r="136" spans="1:21" s="875" customFormat="1" ht="15" x14ac:dyDescent="0.25">
      <c r="A136" s="1113">
        <v>3419</v>
      </c>
      <c r="B136" s="617">
        <v>6322</v>
      </c>
      <c r="C136" s="2047"/>
      <c r="D136" s="2088" t="s">
        <v>629</v>
      </c>
      <c r="E136" s="310"/>
      <c r="F136" s="311">
        <f>F137+F138</f>
        <v>5550</v>
      </c>
      <c r="G136" s="311">
        <f>G137+G138</f>
        <v>5550</v>
      </c>
      <c r="H136" s="2040">
        <f t="shared" si="18"/>
        <v>100</v>
      </c>
    </row>
    <row r="137" spans="1:21" s="875" customFormat="1" x14ac:dyDescent="0.2">
      <c r="A137" s="1113"/>
      <c r="B137" s="617"/>
      <c r="C137" s="2047" t="s">
        <v>1787</v>
      </c>
      <c r="D137" s="2042" t="s">
        <v>292</v>
      </c>
      <c r="E137" s="310"/>
      <c r="F137" s="312">
        <v>5300</v>
      </c>
      <c r="G137" s="312">
        <v>5300</v>
      </c>
      <c r="H137" s="2041">
        <f t="shared" si="18"/>
        <v>100</v>
      </c>
    </row>
    <row r="138" spans="1:21" s="875" customFormat="1" x14ac:dyDescent="0.2">
      <c r="A138" s="1113"/>
      <c r="B138" s="617"/>
      <c r="C138" s="518" t="s">
        <v>1761</v>
      </c>
      <c r="D138" s="2046" t="s">
        <v>806</v>
      </c>
      <c r="E138" s="310"/>
      <c r="F138" s="312">
        <v>250</v>
      </c>
      <c r="G138" s="312">
        <v>250</v>
      </c>
      <c r="H138" s="2041">
        <f t="shared" si="18"/>
        <v>100</v>
      </c>
    </row>
    <row r="139" spans="1:21" s="875" customFormat="1" ht="15" x14ac:dyDescent="0.25">
      <c r="A139" s="1113">
        <v>3429</v>
      </c>
      <c r="B139" s="617">
        <v>6322</v>
      </c>
      <c r="C139" s="2047"/>
      <c r="D139" s="372" t="s">
        <v>62</v>
      </c>
      <c r="E139" s="310"/>
      <c r="F139" s="311">
        <f>F140</f>
        <v>250</v>
      </c>
      <c r="G139" s="311">
        <f>G140</f>
        <v>250</v>
      </c>
      <c r="H139" s="2040">
        <f t="shared" si="18"/>
        <v>100</v>
      </c>
    </row>
    <row r="140" spans="1:21" s="875" customFormat="1" ht="15" thickBot="1" x14ac:dyDescent="0.25">
      <c r="A140" s="1113"/>
      <c r="B140" s="617"/>
      <c r="C140" s="2047" t="s">
        <v>1787</v>
      </c>
      <c r="D140" s="2042" t="s">
        <v>292</v>
      </c>
      <c r="E140" s="310"/>
      <c r="F140" s="312">
        <v>250</v>
      </c>
      <c r="G140" s="312">
        <v>250</v>
      </c>
      <c r="H140" s="2041">
        <f t="shared" si="18"/>
        <v>100</v>
      </c>
    </row>
    <row r="141" spans="1:21" s="356" customFormat="1" ht="35.25" customHeight="1" thickTop="1" thickBot="1" x14ac:dyDescent="0.3">
      <c r="A141" s="592" t="s">
        <v>224</v>
      </c>
      <c r="B141" s="593"/>
      <c r="C141" s="619"/>
      <c r="D141" s="595"/>
      <c r="E141" s="841">
        <f>E130</f>
        <v>10300</v>
      </c>
      <c r="F141" s="596">
        <f>F130+F136+F139+F134+F132</f>
        <v>6600</v>
      </c>
      <c r="G141" s="596">
        <f>G130+G136+G139+G134+G132</f>
        <v>6600</v>
      </c>
      <c r="H141" s="953">
        <f>(G141/F141)*100</f>
        <v>100</v>
      </c>
      <c r="J141" s="1053"/>
      <c r="K141" s="1053"/>
      <c r="L141" s="1053"/>
      <c r="M141" s="1052"/>
      <c r="N141" s="1052"/>
    </row>
    <row r="142" spans="1:21" ht="16.5" customHeight="1" thickTop="1" x14ac:dyDescent="0.25">
      <c r="B142" s="598"/>
      <c r="C142" s="620"/>
      <c r="D142" s="758"/>
      <c r="E142" s="622"/>
      <c r="F142" s="373"/>
      <c r="G142" s="759"/>
      <c r="H142" s="602"/>
    </row>
    <row r="143" spans="1:21" ht="15.75" x14ac:dyDescent="0.25">
      <c r="A143" s="2372" t="s">
        <v>1990</v>
      </c>
      <c r="C143" s="761"/>
      <c r="D143" s="641"/>
      <c r="E143" s="622"/>
      <c r="F143" s="657"/>
      <c r="G143" s="622"/>
    </row>
    <row r="144" spans="1:21" ht="16.5" thickBot="1" x14ac:dyDescent="0.3">
      <c r="A144" s="97"/>
      <c r="C144" s="761"/>
      <c r="D144" s="641"/>
      <c r="E144" s="622"/>
      <c r="F144" s="657"/>
      <c r="G144" s="622"/>
      <c r="H144" s="1353" t="s">
        <v>148</v>
      </c>
    </row>
    <row r="145" spans="1:13" s="106" customFormat="1" ht="20.25" customHeight="1" thickTop="1" thickBot="1" x14ac:dyDescent="0.25">
      <c r="A145" s="586" t="s">
        <v>149</v>
      </c>
      <c r="B145" s="587" t="s">
        <v>150</v>
      </c>
      <c r="C145" s="615" t="s">
        <v>639</v>
      </c>
      <c r="D145" s="658" t="s">
        <v>151</v>
      </c>
      <c r="E145" s="589" t="s">
        <v>569</v>
      </c>
      <c r="F145" s="589" t="s">
        <v>570</v>
      </c>
      <c r="G145" s="589" t="s">
        <v>797</v>
      </c>
      <c r="H145" s="590" t="s">
        <v>798</v>
      </c>
    </row>
    <row r="146" spans="1:13" s="375" customFormat="1" ht="13.5" thickTop="1" thickBot="1" x14ac:dyDescent="0.25">
      <c r="A146" s="525">
        <v>1</v>
      </c>
      <c r="B146" s="526">
        <v>2</v>
      </c>
      <c r="C146" s="526">
        <v>3</v>
      </c>
      <c r="D146" s="526">
        <v>4</v>
      </c>
      <c r="E146" s="526">
        <v>5</v>
      </c>
      <c r="F146" s="512">
        <v>6</v>
      </c>
      <c r="G146" s="512">
        <v>7</v>
      </c>
      <c r="H146" s="591" t="s">
        <v>54</v>
      </c>
      <c r="I146" s="106"/>
    </row>
    <row r="147" spans="1:13" s="875" customFormat="1" ht="15.75" thickTop="1" x14ac:dyDescent="0.25">
      <c r="A147" s="1113">
        <v>3299</v>
      </c>
      <c r="B147" s="515">
        <v>5331</v>
      </c>
      <c r="C147" s="663"/>
      <c r="D147" s="664" t="s">
        <v>829</v>
      </c>
      <c r="E147" s="311">
        <f>E148+E149+E150+E151</f>
        <v>8083</v>
      </c>
      <c r="F147" s="311">
        <f>F148+F149+F150+F151</f>
        <v>6894</v>
      </c>
      <c r="G147" s="311">
        <v>0</v>
      </c>
      <c r="H147" s="2040">
        <v>0</v>
      </c>
      <c r="J147" s="920"/>
    </row>
    <row r="148" spans="1:13" s="875" customFormat="1" x14ac:dyDescent="0.2">
      <c r="A148" s="1113"/>
      <c r="B148" s="515"/>
      <c r="C148" s="663" t="s">
        <v>1812</v>
      </c>
      <c r="D148" s="515" t="s">
        <v>63</v>
      </c>
      <c r="E148" s="310">
        <v>433</v>
      </c>
      <c r="F148" s="312">
        <v>0</v>
      </c>
      <c r="G148" s="312">
        <v>0</v>
      </c>
      <c r="H148" s="2041">
        <v>0</v>
      </c>
      <c r="J148" s="920"/>
      <c r="K148" s="2095">
        <v>433000</v>
      </c>
      <c r="L148" s="2095"/>
      <c r="M148" s="2095"/>
    </row>
    <row r="149" spans="1:13" s="875" customFormat="1" x14ac:dyDescent="0.2">
      <c r="A149" s="1113"/>
      <c r="B149" s="515"/>
      <c r="C149" s="663" t="s">
        <v>1840</v>
      </c>
      <c r="D149" s="2042" t="s">
        <v>838</v>
      </c>
      <c r="E149" s="310">
        <v>5600</v>
      </c>
      <c r="F149" s="312">
        <v>5591</v>
      </c>
      <c r="G149" s="312">
        <v>0</v>
      </c>
      <c r="H149" s="2041">
        <v>0</v>
      </c>
      <c r="J149" s="920"/>
      <c r="K149" s="2095">
        <v>5600000</v>
      </c>
      <c r="L149" s="2095">
        <v>5591000</v>
      </c>
      <c r="M149" s="2095"/>
    </row>
    <row r="150" spans="1:13" s="875" customFormat="1" x14ac:dyDescent="0.2">
      <c r="A150" s="1113"/>
      <c r="B150" s="515"/>
      <c r="C150" s="663" t="s">
        <v>1837</v>
      </c>
      <c r="D150" s="2043" t="s">
        <v>1644</v>
      </c>
      <c r="E150" s="310">
        <v>1700</v>
      </c>
      <c r="F150" s="312">
        <v>1214</v>
      </c>
      <c r="G150" s="312">
        <v>0</v>
      </c>
      <c r="H150" s="2041">
        <v>0</v>
      </c>
      <c r="J150" s="920"/>
      <c r="K150" s="2095">
        <v>1700000</v>
      </c>
      <c r="L150" s="2095">
        <v>1214000</v>
      </c>
      <c r="M150" s="2095"/>
    </row>
    <row r="151" spans="1:13" s="875" customFormat="1" ht="25.5" x14ac:dyDescent="0.2">
      <c r="A151" s="1113"/>
      <c r="B151" s="515"/>
      <c r="C151" s="2044" t="s">
        <v>1831</v>
      </c>
      <c r="D151" s="2043" t="s">
        <v>1832</v>
      </c>
      <c r="E151" s="1090">
        <v>350</v>
      </c>
      <c r="F151" s="1089">
        <v>89</v>
      </c>
      <c r="G151" s="1089">
        <v>0</v>
      </c>
      <c r="H151" s="2045">
        <v>0</v>
      </c>
      <c r="J151" s="920"/>
      <c r="K151" s="2095">
        <v>350000</v>
      </c>
      <c r="L151" s="2095">
        <v>88500</v>
      </c>
      <c r="M151" s="2095"/>
    </row>
    <row r="152" spans="1:13" s="875" customFormat="1" ht="15" x14ac:dyDescent="0.25">
      <c r="A152" s="1113">
        <v>3792</v>
      </c>
      <c r="B152" s="617">
        <v>5331</v>
      </c>
      <c r="C152" s="663"/>
      <c r="D152" s="664" t="s">
        <v>829</v>
      </c>
      <c r="E152" s="309">
        <v>340</v>
      </c>
      <c r="F152" s="311">
        <v>0</v>
      </c>
      <c r="G152" s="311">
        <v>0</v>
      </c>
      <c r="H152" s="2040">
        <v>0</v>
      </c>
      <c r="K152" s="2095"/>
      <c r="L152" s="2095"/>
      <c r="M152" s="2095"/>
    </row>
    <row r="153" spans="1:13" s="875" customFormat="1" x14ac:dyDescent="0.2">
      <c r="A153" s="1113"/>
      <c r="B153" s="617"/>
      <c r="C153" s="663" t="s">
        <v>1824</v>
      </c>
      <c r="D153" s="2042" t="s">
        <v>338</v>
      </c>
      <c r="E153" s="310">
        <v>340</v>
      </c>
      <c r="F153" s="438">
        <v>0</v>
      </c>
      <c r="G153" s="312">
        <v>0</v>
      </c>
      <c r="H153" s="2041">
        <v>0</v>
      </c>
      <c r="K153" s="2095">
        <v>340000</v>
      </c>
      <c r="L153" s="2095"/>
      <c r="M153" s="2095"/>
    </row>
    <row r="154" spans="1:13" s="875" customFormat="1" ht="15" x14ac:dyDescent="0.25">
      <c r="A154" s="1113" t="s">
        <v>473</v>
      </c>
      <c r="B154" s="617">
        <v>5331</v>
      </c>
      <c r="C154" s="663"/>
      <c r="D154" s="664" t="s">
        <v>829</v>
      </c>
      <c r="E154" s="433">
        <f>SUM(E155:E164)</f>
        <v>356698</v>
      </c>
      <c r="F154" s="433">
        <f t="shared" ref="F154:G154" si="19">SUM(F155:F164)</f>
        <v>61472</v>
      </c>
      <c r="G154" s="433">
        <f t="shared" si="19"/>
        <v>61472</v>
      </c>
      <c r="H154" s="2040">
        <f>(G154/F154)*100</f>
        <v>100</v>
      </c>
      <c r="K154" s="2095"/>
      <c r="L154" s="2095"/>
      <c r="M154" s="2095"/>
    </row>
    <row r="155" spans="1:13" s="875" customFormat="1" x14ac:dyDescent="0.2">
      <c r="A155" s="1113"/>
      <c r="B155" s="617"/>
      <c r="C155" s="637" t="s">
        <v>1787</v>
      </c>
      <c r="D155" s="2046" t="s">
        <v>292</v>
      </c>
      <c r="E155" s="310">
        <v>200</v>
      </c>
      <c r="F155" s="312">
        <v>200</v>
      </c>
      <c r="G155" s="312">
        <v>200</v>
      </c>
      <c r="H155" s="2041">
        <f t="shared" ref="H155:H164" si="20">(G155/F155)*100</f>
        <v>100</v>
      </c>
      <c r="K155" s="2095">
        <v>200000</v>
      </c>
      <c r="L155" s="2095">
        <v>200000</v>
      </c>
      <c r="M155" s="2095">
        <v>200000</v>
      </c>
    </row>
    <row r="156" spans="1:13" s="875" customFormat="1" ht="15" x14ac:dyDescent="0.25">
      <c r="A156" s="1113"/>
      <c r="B156" s="1351"/>
      <c r="C156" s="663" t="s">
        <v>1811</v>
      </c>
      <c r="D156" s="515" t="s">
        <v>630</v>
      </c>
      <c r="E156" s="435">
        <v>72159</v>
      </c>
      <c r="F156" s="438">
        <v>12018</v>
      </c>
      <c r="G156" s="438">
        <v>12018</v>
      </c>
      <c r="H156" s="2041">
        <f t="shared" si="20"/>
        <v>100</v>
      </c>
      <c r="K156" s="2095">
        <v>72159000</v>
      </c>
      <c r="L156" s="2095">
        <v>12018000</v>
      </c>
      <c r="M156" s="2095">
        <v>12018000</v>
      </c>
    </row>
    <row r="157" spans="1:13" s="875" customFormat="1" ht="15" x14ac:dyDescent="0.25">
      <c r="A157" s="1113"/>
      <c r="B157" s="1351"/>
      <c r="C157" s="663" t="s">
        <v>1761</v>
      </c>
      <c r="D157" s="2042" t="s">
        <v>806</v>
      </c>
      <c r="E157" s="435"/>
      <c r="F157" s="438">
        <v>252</v>
      </c>
      <c r="G157" s="438">
        <v>252</v>
      </c>
      <c r="H157" s="2041">
        <f t="shared" si="20"/>
        <v>100</v>
      </c>
      <c r="K157" s="2095"/>
      <c r="L157" s="2095">
        <v>251990</v>
      </c>
      <c r="M157" s="2095">
        <v>251990</v>
      </c>
    </row>
    <row r="158" spans="1:13" s="875" customFormat="1" ht="15" x14ac:dyDescent="0.25">
      <c r="A158" s="1113"/>
      <c r="B158" s="1351"/>
      <c r="C158" s="663" t="s">
        <v>1812</v>
      </c>
      <c r="D158" s="515" t="s">
        <v>63</v>
      </c>
      <c r="E158" s="435">
        <v>283174</v>
      </c>
      <c r="F158" s="438">
        <v>47842</v>
      </c>
      <c r="G158" s="438">
        <v>47842</v>
      </c>
      <c r="H158" s="2041">
        <f t="shared" si="20"/>
        <v>100</v>
      </c>
      <c r="K158" s="2095">
        <v>283174000</v>
      </c>
      <c r="L158" s="2095">
        <v>47842000</v>
      </c>
      <c r="M158" s="2095">
        <v>47842000</v>
      </c>
    </row>
    <row r="159" spans="1:13" s="875" customFormat="1" ht="15" x14ac:dyDescent="0.25">
      <c r="A159" s="1113"/>
      <c r="B159" s="1351"/>
      <c r="C159" s="663" t="s">
        <v>1841</v>
      </c>
      <c r="D159" s="515" t="s">
        <v>23</v>
      </c>
      <c r="E159" s="435">
        <v>108</v>
      </c>
      <c r="F159" s="438">
        <v>0</v>
      </c>
      <c r="G159" s="312">
        <v>0</v>
      </c>
      <c r="H159" s="2041">
        <v>0</v>
      </c>
      <c r="K159" s="2095">
        <v>108000</v>
      </c>
      <c r="L159" s="2095"/>
      <c r="M159" s="2095"/>
    </row>
    <row r="160" spans="1:13" s="875" customFormat="1" ht="15" x14ac:dyDescent="0.25">
      <c r="A160" s="1113"/>
      <c r="B160" s="1351"/>
      <c r="C160" s="663" t="s">
        <v>1817</v>
      </c>
      <c r="D160" s="515" t="s">
        <v>1160</v>
      </c>
      <c r="E160" s="435">
        <v>1057</v>
      </c>
      <c r="F160" s="438">
        <v>172</v>
      </c>
      <c r="G160" s="312">
        <v>172</v>
      </c>
      <c r="H160" s="2041">
        <f t="shared" si="20"/>
        <v>100</v>
      </c>
      <c r="K160" s="2095">
        <v>1057000</v>
      </c>
      <c r="L160" s="2095">
        <v>172000</v>
      </c>
      <c r="M160" s="2095">
        <v>172000</v>
      </c>
    </row>
    <row r="161" spans="1:13" s="875" customFormat="1" ht="15" x14ac:dyDescent="0.25">
      <c r="A161" s="1113"/>
      <c r="B161" s="1351"/>
      <c r="C161" s="663" t="s">
        <v>1824</v>
      </c>
      <c r="D161" s="2042" t="s">
        <v>338</v>
      </c>
      <c r="E161" s="435"/>
      <c r="F161" s="438">
        <v>136</v>
      </c>
      <c r="G161" s="312">
        <v>136</v>
      </c>
      <c r="H161" s="2041">
        <f t="shared" si="20"/>
        <v>100</v>
      </c>
      <c r="K161" s="2095"/>
      <c r="L161" s="2095">
        <v>136000</v>
      </c>
      <c r="M161" s="2095">
        <v>136000</v>
      </c>
    </row>
    <row r="162" spans="1:13" s="875" customFormat="1" ht="15" x14ac:dyDescent="0.25">
      <c r="A162" s="1113"/>
      <c r="B162" s="1351"/>
      <c r="C162" s="2047" t="s">
        <v>1830</v>
      </c>
      <c r="D162" s="2042" t="s">
        <v>1204</v>
      </c>
      <c r="E162" s="435"/>
      <c r="F162" s="438">
        <v>105</v>
      </c>
      <c r="G162" s="312">
        <v>105</v>
      </c>
      <c r="H162" s="2041">
        <f t="shared" si="20"/>
        <v>100</v>
      </c>
      <c r="K162" s="2095"/>
      <c r="L162" s="2095">
        <v>105000</v>
      </c>
      <c r="M162" s="2095">
        <v>105000</v>
      </c>
    </row>
    <row r="163" spans="1:13" s="875" customFormat="1" ht="15" x14ac:dyDescent="0.25">
      <c r="A163" s="1113"/>
      <c r="B163" s="1351"/>
      <c r="C163" s="663" t="s">
        <v>1837</v>
      </c>
      <c r="D163" s="2043" t="s">
        <v>1644</v>
      </c>
      <c r="E163" s="435"/>
      <c r="F163" s="438">
        <v>486</v>
      </c>
      <c r="G163" s="312">
        <v>486</v>
      </c>
      <c r="H163" s="2041">
        <f t="shared" si="20"/>
        <v>100</v>
      </c>
      <c r="K163" s="2095"/>
      <c r="L163" s="2095">
        <v>486000</v>
      </c>
      <c r="M163" s="2095">
        <v>486000</v>
      </c>
    </row>
    <row r="164" spans="1:13" s="875" customFormat="1" ht="26.25" x14ac:dyDescent="0.25">
      <c r="A164" s="1113"/>
      <c r="B164" s="1351"/>
      <c r="C164" s="2044" t="s">
        <v>1831</v>
      </c>
      <c r="D164" s="2043" t="s">
        <v>1832</v>
      </c>
      <c r="E164" s="435"/>
      <c r="F164" s="2035">
        <v>261</v>
      </c>
      <c r="G164" s="1089">
        <v>261</v>
      </c>
      <c r="H164" s="2045">
        <f t="shared" si="20"/>
        <v>100</v>
      </c>
      <c r="K164" s="2095"/>
      <c r="L164" s="2095">
        <v>261500</v>
      </c>
      <c r="M164" s="2095">
        <v>261500</v>
      </c>
    </row>
    <row r="165" spans="1:13" ht="15" x14ac:dyDescent="0.25">
      <c r="A165" s="1113"/>
      <c r="B165" s="762">
        <v>5336</v>
      </c>
      <c r="C165" s="1971"/>
      <c r="D165" s="616" t="s">
        <v>1740</v>
      </c>
      <c r="E165" s="310"/>
      <c r="F165" s="311">
        <f>SUM(F166:F202)</f>
        <v>2013768</v>
      </c>
      <c r="G165" s="311">
        <f>SUM(G166:G202)</f>
        <v>2013768</v>
      </c>
      <c r="H165" s="892">
        <f t="shared" ref="H165:H202" si="21">(G165/F165)*100</f>
        <v>100</v>
      </c>
      <c r="K165" s="2095"/>
      <c r="L165" s="2095"/>
      <c r="M165" s="2095"/>
    </row>
    <row r="166" spans="1:13" x14ac:dyDescent="0.2">
      <c r="A166" s="1113"/>
      <c r="B166" s="762"/>
      <c r="C166" s="878" t="s">
        <v>1806</v>
      </c>
      <c r="D166" s="91" t="s">
        <v>1115</v>
      </c>
      <c r="E166" s="310"/>
      <c r="F166" s="312">
        <v>2566</v>
      </c>
      <c r="G166" s="312">
        <v>2566</v>
      </c>
      <c r="H166" s="893">
        <f t="shared" si="21"/>
        <v>100</v>
      </c>
      <c r="K166" s="2095"/>
      <c r="L166" s="2095">
        <v>2566000</v>
      </c>
      <c r="M166" s="2095">
        <v>2566000</v>
      </c>
    </row>
    <row r="167" spans="1:13" ht="15" customHeight="1" x14ac:dyDescent="0.2">
      <c r="A167" s="1113"/>
      <c r="B167" s="762"/>
      <c r="C167" s="518" t="s">
        <v>1784</v>
      </c>
      <c r="D167" s="3101" t="s">
        <v>523</v>
      </c>
      <c r="E167" s="310"/>
      <c r="F167" s="312">
        <v>477</v>
      </c>
      <c r="G167" s="312">
        <v>477</v>
      </c>
      <c r="H167" s="893">
        <f t="shared" si="21"/>
        <v>100</v>
      </c>
      <c r="K167" s="2095"/>
      <c r="L167" s="2095">
        <v>476520</v>
      </c>
      <c r="M167" s="2095">
        <v>476520</v>
      </c>
    </row>
    <row r="168" spans="1:13" ht="15" customHeight="1" x14ac:dyDescent="0.25">
      <c r="A168" s="1113"/>
      <c r="B168" s="762"/>
      <c r="C168" s="518"/>
      <c r="D168" s="3101"/>
      <c r="E168" s="310"/>
      <c r="F168" s="311"/>
      <c r="G168" s="311"/>
      <c r="H168" s="892"/>
      <c r="K168" s="2095"/>
      <c r="L168" s="2095"/>
      <c r="M168" s="2095"/>
    </row>
    <row r="169" spans="1:13" ht="15" customHeight="1" x14ac:dyDescent="0.2">
      <c r="A169" s="1113"/>
      <c r="B169" s="762"/>
      <c r="C169" s="518" t="s">
        <v>1842</v>
      </c>
      <c r="D169" s="3101" t="s">
        <v>1645</v>
      </c>
      <c r="E169" s="310"/>
      <c r="F169" s="312">
        <v>137</v>
      </c>
      <c r="G169" s="312">
        <v>137</v>
      </c>
      <c r="H169" s="893">
        <f t="shared" si="21"/>
        <v>100</v>
      </c>
      <c r="K169" s="2095"/>
      <c r="L169" s="2095">
        <v>137120</v>
      </c>
      <c r="M169" s="2095">
        <v>137120</v>
      </c>
    </row>
    <row r="170" spans="1:13" ht="15" customHeight="1" x14ac:dyDescent="0.25">
      <c r="A170" s="1113"/>
      <c r="B170" s="762"/>
      <c r="C170" s="518"/>
      <c r="D170" s="3102"/>
      <c r="E170" s="310"/>
      <c r="F170" s="311"/>
      <c r="G170" s="311"/>
      <c r="H170" s="892"/>
      <c r="K170" s="2095"/>
      <c r="L170" s="2095"/>
      <c r="M170" s="2095"/>
    </row>
    <row r="171" spans="1:13" ht="15" customHeight="1" x14ac:dyDescent="0.2">
      <c r="A171" s="1113"/>
      <c r="B171" s="762"/>
      <c r="C171" s="518" t="s">
        <v>1843</v>
      </c>
      <c r="D171" s="3101" t="s">
        <v>1646</v>
      </c>
      <c r="E171" s="310"/>
      <c r="F171" s="312">
        <v>7</v>
      </c>
      <c r="G171" s="312">
        <v>7</v>
      </c>
      <c r="H171" s="893">
        <f t="shared" si="21"/>
        <v>100</v>
      </c>
      <c r="K171" s="2095"/>
      <c r="L171" s="2095">
        <v>6750</v>
      </c>
      <c r="M171" s="2095">
        <v>6750</v>
      </c>
    </row>
    <row r="172" spans="1:13" ht="15" customHeight="1" x14ac:dyDescent="0.25">
      <c r="A172" s="1113"/>
      <c r="B172" s="762"/>
      <c r="C172" s="518"/>
      <c r="D172" s="3102"/>
      <c r="E172" s="310"/>
      <c r="F172" s="311"/>
      <c r="G172" s="311"/>
      <c r="H172" s="892"/>
      <c r="K172" s="2095"/>
      <c r="L172" s="2095"/>
      <c r="M172" s="2095"/>
    </row>
    <row r="173" spans="1:13" x14ac:dyDescent="0.2">
      <c r="A173" s="1113"/>
      <c r="B173" s="762"/>
      <c r="C173" s="888" t="s">
        <v>1836</v>
      </c>
      <c r="D173" s="2034" t="s">
        <v>1647</v>
      </c>
      <c r="E173" s="310"/>
      <c r="F173" s="312">
        <v>18</v>
      </c>
      <c r="G173" s="312">
        <v>18</v>
      </c>
      <c r="H173" s="893">
        <f t="shared" si="21"/>
        <v>100</v>
      </c>
      <c r="K173" s="2095"/>
      <c r="L173" s="2095">
        <v>17910</v>
      </c>
      <c r="M173" s="2095">
        <v>17910</v>
      </c>
    </row>
    <row r="174" spans="1:13" ht="15" customHeight="1" x14ac:dyDescent="0.2">
      <c r="A174" s="1113"/>
      <c r="B174" s="762"/>
      <c r="C174" s="887" t="s">
        <v>1821</v>
      </c>
      <c r="D174" s="1363" t="s">
        <v>525</v>
      </c>
      <c r="E174" s="310"/>
      <c r="F174" s="312">
        <v>250</v>
      </c>
      <c r="G174" s="312">
        <v>250</v>
      </c>
      <c r="H174" s="893">
        <f t="shared" si="21"/>
        <v>100</v>
      </c>
      <c r="K174" s="2095"/>
      <c r="L174" s="2095">
        <v>250200</v>
      </c>
      <c r="M174" s="2095">
        <v>250200</v>
      </c>
    </row>
    <row r="175" spans="1:13" ht="15" customHeight="1" x14ac:dyDescent="0.2">
      <c r="A175" s="1113"/>
      <c r="B175" s="762"/>
      <c r="C175" s="3106" t="s">
        <v>1844</v>
      </c>
      <c r="D175" s="3098" t="s">
        <v>1273</v>
      </c>
      <c r="E175" s="310"/>
      <c r="F175" s="312">
        <v>581</v>
      </c>
      <c r="G175" s="312">
        <v>581</v>
      </c>
      <c r="H175" s="893">
        <f t="shared" si="21"/>
        <v>100</v>
      </c>
      <c r="K175" s="2095"/>
      <c r="L175" s="2095">
        <v>580970.84</v>
      </c>
      <c r="M175" s="2095">
        <v>580970.84</v>
      </c>
    </row>
    <row r="176" spans="1:13" ht="15" customHeight="1" x14ac:dyDescent="0.2">
      <c r="A176" s="1113"/>
      <c r="B176" s="762"/>
      <c r="C176" s="3107"/>
      <c r="D176" s="3098"/>
      <c r="E176" s="310"/>
      <c r="F176" s="312"/>
      <c r="G176" s="312"/>
      <c r="H176" s="893"/>
      <c r="K176" s="2095"/>
      <c r="L176" s="2095"/>
      <c r="M176" s="2095"/>
    </row>
    <row r="177" spans="1:13" ht="15" customHeight="1" x14ac:dyDescent="0.2">
      <c r="A177" s="1113"/>
      <c r="B177" s="762"/>
      <c r="C177" s="1058" t="s">
        <v>1833</v>
      </c>
      <c r="D177" s="3098" t="s">
        <v>1274</v>
      </c>
      <c r="E177" s="310"/>
      <c r="F177" s="312">
        <v>96</v>
      </c>
      <c r="G177" s="312">
        <v>96</v>
      </c>
      <c r="H177" s="893">
        <f t="shared" si="21"/>
        <v>100</v>
      </c>
      <c r="K177" s="2095"/>
      <c r="L177" s="2095">
        <v>96000</v>
      </c>
      <c r="M177" s="2095">
        <v>96000</v>
      </c>
    </row>
    <row r="178" spans="1:13" ht="12.75" customHeight="1" x14ac:dyDescent="0.2">
      <c r="A178" s="1113"/>
      <c r="B178" s="762"/>
      <c r="C178" s="1087"/>
      <c r="D178" s="3098"/>
      <c r="E178" s="310"/>
      <c r="F178" s="312"/>
      <c r="G178" s="312"/>
      <c r="H178" s="893"/>
      <c r="K178" s="2095"/>
      <c r="L178" s="2095"/>
      <c r="M178" s="2095"/>
    </row>
    <row r="179" spans="1:13" ht="12.75" customHeight="1" x14ac:dyDescent="0.2">
      <c r="A179" s="1113"/>
      <c r="B179" s="762"/>
      <c r="C179" s="887" t="s">
        <v>1827</v>
      </c>
      <c r="D179" s="1365" t="s">
        <v>1317</v>
      </c>
      <c r="E179" s="310"/>
      <c r="F179" s="312">
        <v>1539</v>
      </c>
      <c r="G179" s="312">
        <v>1539</v>
      </c>
      <c r="H179" s="893">
        <f t="shared" si="21"/>
        <v>100</v>
      </c>
      <c r="K179" s="2095"/>
      <c r="L179" s="2095">
        <v>1539493</v>
      </c>
      <c r="M179" s="2095">
        <v>1539493</v>
      </c>
    </row>
    <row r="180" spans="1:13" ht="12.75" customHeight="1" x14ac:dyDescent="0.2">
      <c r="A180" s="1113"/>
      <c r="B180" s="762"/>
      <c r="C180" s="1087" t="s">
        <v>1816</v>
      </c>
      <c r="D180" s="1365" t="s">
        <v>1458</v>
      </c>
      <c r="E180" s="310"/>
      <c r="F180" s="312">
        <v>96</v>
      </c>
      <c r="G180" s="312">
        <v>96</v>
      </c>
      <c r="H180" s="893">
        <f t="shared" si="21"/>
        <v>100</v>
      </c>
      <c r="K180" s="2095"/>
      <c r="L180" s="2095">
        <v>96000</v>
      </c>
      <c r="M180" s="2095">
        <v>96000</v>
      </c>
    </row>
    <row r="181" spans="1:13" ht="12.75" customHeight="1" x14ac:dyDescent="0.2">
      <c r="A181" s="1113"/>
      <c r="B181" s="762"/>
      <c r="C181" s="887" t="s">
        <v>1818</v>
      </c>
      <c r="D181" s="1908" t="s">
        <v>1639</v>
      </c>
      <c r="E181" s="310"/>
      <c r="F181" s="312">
        <v>13253</v>
      </c>
      <c r="G181" s="312">
        <v>13253</v>
      </c>
      <c r="H181" s="893">
        <f t="shared" si="21"/>
        <v>100</v>
      </c>
      <c r="K181" s="2095"/>
      <c r="L181" s="2095">
        <v>13253365.6</v>
      </c>
      <c r="M181" s="2095">
        <v>13253365.6</v>
      </c>
    </row>
    <row r="182" spans="1:13" ht="12.75" customHeight="1" x14ac:dyDescent="0.2">
      <c r="A182" s="1113"/>
      <c r="B182" s="762"/>
      <c r="C182" s="887" t="s">
        <v>1828</v>
      </c>
      <c r="D182" s="3068" t="s">
        <v>1642</v>
      </c>
      <c r="E182" s="310"/>
      <c r="F182" s="312">
        <v>1090</v>
      </c>
      <c r="G182" s="312">
        <v>1090</v>
      </c>
      <c r="H182" s="893">
        <f t="shared" si="21"/>
        <v>100</v>
      </c>
      <c r="K182" s="2095"/>
      <c r="L182" s="2095">
        <v>1089920</v>
      </c>
      <c r="M182" s="2095">
        <v>1089920</v>
      </c>
    </row>
    <row r="183" spans="1:13" ht="12.75" customHeight="1" x14ac:dyDescent="0.2">
      <c r="A183" s="1113"/>
      <c r="B183" s="762"/>
      <c r="C183" s="887"/>
      <c r="D183" s="3068"/>
      <c r="E183" s="310"/>
      <c r="F183" s="312"/>
      <c r="G183" s="312"/>
      <c r="H183" s="893"/>
      <c r="K183" s="2095"/>
      <c r="L183" s="2095"/>
      <c r="M183" s="2095"/>
    </row>
    <row r="184" spans="1:13" ht="12.75" customHeight="1" x14ac:dyDescent="0.2">
      <c r="A184" s="1113"/>
      <c r="B184" s="762"/>
      <c r="C184" s="887"/>
      <c r="D184" s="3068"/>
      <c r="E184" s="310"/>
      <c r="F184" s="312"/>
      <c r="G184" s="312"/>
      <c r="H184" s="893"/>
      <c r="K184" s="2095"/>
      <c r="L184" s="2095"/>
      <c r="M184" s="2095"/>
    </row>
    <row r="185" spans="1:13" ht="12.75" customHeight="1" x14ac:dyDescent="0.2">
      <c r="A185" s="1113"/>
      <c r="B185" s="762"/>
      <c r="C185" s="887" t="s">
        <v>1808</v>
      </c>
      <c r="D185" s="1366" t="s">
        <v>1643</v>
      </c>
      <c r="E185" s="310"/>
      <c r="F185" s="312">
        <v>54045</v>
      </c>
      <c r="G185" s="312">
        <v>54045</v>
      </c>
      <c r="H185" s="893">
        <f t="shared" si="21"/>
        <v>100</v>
      </c>
      <c r="K185" s="2095"/>
      <c r="L185" s="2095">
        <v>54045026</v>
      </c>
      <c r="M185" s="2095">
        <v>54045026</v>
      </c>
    </row>
    <row r="186" spans="1:13" ht="12.75" customHeight="1" x14ac:dyDescent="0.2">
      <c r="A186" s="1113"/>
      <c r="B186" s="762"/>
      <c r="C186" s="887" t="s">
        <v>1845</v>
      </c>
      <c r="D186" s="1931" t="s">
        <v>1846</v>
      </c>
      <c r="E186" s="310"/>
      <c r="F186" s="312">
        <v>50</v>
      </c>
      <c r="G186" s="312">
        <v>50</v>
      </c>
      <c r="H186" s="893">
        <f t="shared" si="21"/>
        <v>100</v>
      </c>
      <c r="K186" s="2095"/>
      <c r="L186" s="2095">
        <v>50000</v>
      </c>
      <c r="M186" s="2095">
        <v>50000</v>
      </c>
    </row>
    <row r="187" spans="1:13" ht="12.75" customHeight="1" x14ac:dyDescent="0.2">
      <c r="A187" s="1113"/>
      <c r="B187" s="762"/>
      <c r="C187" s="887" t="s">
        <v>1834</v>
      </c>
      <c r="D187" s="1931" t="s">
        <v>1835</v>
      </c>
      <c r="E187" s="310"/>
      <c r="F187" s="312">
        <v>23</v>
      </c>
      <c r="G187" s="312">
        <v>23</v>
      </c>
      <c r="H187" s="893">
        <f t="shared" si="21"/>
        <v>100</v>
      </c>
      <c r="K187" s="2095"/>
      <c r="L187" s="2095">
        <v>23069.200000000001</v>
      </c>
      <c r="M187" s="2095">
        <v>23069.200000000001</v>
      </c>
    </row>
    <row r="188" spans="1:13" ht="12.75" customHeight="1" x14ac:dyDescent="0.2">
      <c r="A188" s="1113"/>
      <c r="B188" s="762"/>
      <c r="C188" s="887" t="s">
        <v>1838</v>
      </c>
      <c r="D188" s="1931" t="s">
        <v>1839</v>
      </c>
      <c r="E188" s="310"/>
      <c r="F188" s="312">
        <v>20</v>
      </c>
      <c r="G188" s="312">
        <v>20</v>
      </c>
      <c r="H188" s="893">
        <f t="shared" si="21"/>
        <v>100</v>
      </c>
      <c r="K188" s="2095"/>
      <c r="L188" s="2095">
        <v>19953</v>
      </c>
      <c r="M188" s="2095">
        <v>19953</v>
      </c>
    </row>
    <row r="189" spans="1:13" ht="25.5" x14ac:dyDescent="0.2">
      <c r="A189" s="1113"/>
      <c r="B189" s="762"/>
      <c r="C189" s="887" t="s">
        <v>1809</v>
      </c>
      <c r="D189" s="2036" t="s">
        <v>1810</v>
      </c>
      <c r="E189" s="310"/>
      <c r="F189" s="1089">
        <v>9431</v>
      </c>
      <c r="G189" s="1089">
        <v>9431</v>
      </c>
      <c r="H189" s="1105">
        <f t="shared" si="21"/>
        <v>100</v>
      </c>
      <c r="K189" s="2095"/>
      <c r="L189" s="2095">
        <v>9431083</v>
      </c>
      <c r="M189" s="2095">
        <v>9431083</v>
      </c>
    </row>
    <row r="190" spans="1:13" ht="12.75" customHeight="1" x14ac:dyDescent="0.2">
      <c r="A190" s="1113"/>
      <c r="B190" s="762"/>
      <c r="C190" s="887" t="s">
        <v>1847</v>
      </c>
      <c r="D190" s="1366" t="s">
        <v>1648</v>
      </c>
      <c r="E190" s="310"/>
      <c r="F190" s="312">
        <v>142</v>
      </c>
      <c r="G190" s="312">
        <v>142</v>
      </c>
      <c r="H190" s="893">
        <f t="shared" si="21"/>
        <v>100</v>
      </c>
      <c r="K190" s="2095"/>
      <c r="L190" s="2095">
        <v>142000</v>
      </c>
      <c r="M190" s="2095">
        <v>142000</v>
      </c>
    </row>
    <row r="191" spans="1:13" ht="12.75" customHeight="1" x14ac:dyDescent="0.2">
      <c r="A191" s="1113"/>
      <c r="B191" s="762"/>
      <c r="C191" s="1087" t="s">
        <v>1819</v>
      </c>
      <c r="D191" s="957" t="s">
        <v>839</v>
      </c>
      <c r="E191" s="310"/>
      <c r="F191" s="312">
        <v>598</v>
      </c>
      <c r="G191" s="312">
        <v>598</v>
      </c>
      <c r="H191" s="893">
        <f t="shared" si="21"/>
        <v>100</v>
      </c>
      <c r="K191" s="2095"/>
      <c r="L191" s="2095">
        <v>597694</v>
      </c>
      <c r="M191" s="2095">
        <v>597694</v>
      </c>
    </row>
    <row r="192" spans="1:13" ht="12.75" customHeight="1" x14ac:dyDescent="0.2">
      <c r="A192" s="1113"/>
      <c r="B192" s="762"/>
      <c r="C192" s="1087" t="s">
        <v>1848</v>
      </c>
      <c r="D192" s="1915" t="s">
        <v>1753</v>
      </c>
      <c r="E192" s="310"/>
      <c r="F192" s="312">
        <v>988</v>
      </c>
      <c r="G192" s="312">
        <v>988</v>
      </c>
      <c r="H192" s="893">
        <f t="shared" si="21"/>
        <v>100</v>
      </c>
      <c r="K192" s="2095"/>
      <c r="L192" s="2095">
        <v>988000</v>
      </c>
      <c r="M192" s="2095">
        <v>988000</v>
      </c>
    </row>
    <row r="193" spans="1:13" ht="12.75" customHeight="1" x14ac:dyDescent="0.2">
      <c r="A193" s="1113"/>
      <c r="B193" s="762"/>
      <c r="C193" s="887" t="s">
        <v>1829</v>
      </c>
      <c r="D193" s="3109" t="s">
        <v>840</v>
      </c>
      <c r="E193" s="310"/>
      <c r="F193" s="312">
        <v>84</v>
      </c>
      <c r="G193" s="312">
        <v>84</v>
      </c>
      <c r="H193" s="893">
        <f t="shared" si="21"/>
        <v>100</v>
      </c>
      <c r="K193" s="2095"/>
      <c r="L193" s="2095">
        <v>84186</v>
      </c>
      <c r="M193" s="2095">
        <v>84186</v>
      </c>
    </row>
    <row r="194" spans="1:13" ht="12.75" customHeight="1" x14ac:dyDescent="0.2">
      <c r="A194" s="1113"/>
      <c r="B194" s="762"/>
      <c r="C194" s="887"/>
      <c r="D194" s="3109"/>
      <c r="E194" s="310"/>
      <c r="F194" s="312"/>
      <c r="G194" s="312"/>
      <c r="H194" s="893"/>
      <c r="K194" s="2095"/>
      <c r="L194" s="2095"/>
      <c r="M194" s="2095"/>
    </row>
    <row r="195" spans="1:13" ht="12.75" customHeight="1" x14ac:dyDescent="0.2">
      <c r="A195" s="1113"/>
      <c r="B195" s="762"/>
      <c r="C195" s="887" t="s">
        <v>1826</v>
      </c>
      <c r="D195" s="3098" t="s">
        <v>1649</v>
      </c>
      <c r="E195" s="310"/>
      <c r="F195" s="312">
        <v>130</v>
      </c>
      <c r="G195" s="312">
        <v>130</v>
      </c>
      <c r="H195" s="893">
        <f t="shared" si="21"/>
        <v>100</v>
      </c>
      <c r="K195" s="2095"/>
      <c r="L195" s="2095">
        <v>130000</v>
      </c>
      <c r="M195" s="2095">
        <v>130000</v>
      </c>
    </row>
    <row r="196" spans="1:13" ht="12.75" customHeight="1" x14ac:dyDescent="0.2">
      <c r="A196" s="1113"/>
      <c r="B196" s="762"/>
      <c r="C196" s="887"/>
      <c r="D196" s="3098"/>
      <c r="E196" s="310"/>
      <c r="F196" s="312"/>
      <c r="G196" s="312"/>
      <c r="H196" s="893"/>
      <c r="K196" s="2095"/>
      <c r="L196" s="2095"/>
      <c r="M196" s="2095"/>
    </row>
    <row r="197" spans="1:13" x14ac:dyDescent="0.2">
      <c r="A197" s="1113"/>
      <c r="B197" s="762"/>
      <c r="C197" s="888" t="s">
        <v>1807</v>
      </c>
      <c r="D197" s="1155" t="s">
        <v>24</v>
      </c>
      <c r="E197" s="310"/>
      <c r="F197" s="312">
        <v>1878813</v>
      </c>
      <c r="G197" s="312">
        <v>1878813</v>
      </c>
      <c r="H197" s="893">
        <f t="shared" si="21"/>
        <v>100</v>
      </c>
      <c r="K197" s="2095"/>
      <c r="L197" s="2095">
        <v>1878813000</v>
      </c>
      <c r="M197" s="2095">
        <v>1878813000</v>
      </c>
    </row>
    <row r="198" spans="1:13" ht="25.5" x14ac:dyDescent="0.2">
      <c r="A198" s="648"/>
      <c r="B198" s="762"/>
      <c r="C198" s="887" t="s">
        <v>1825</v>
      </c>
      <c r="D198" s="2028" t="s">
        <v>841</v>
      </c>
      <c r="E198" s="312"/>
      <c r="F198" s="1089">
        <v>625</v>
      </c>
      <c r="G198" s="1089">
        <v>625</v>
      </c>
      <c r="H198" s="2037">
        <f t="shared" si="21"/>
        <v>100</v>
      </c>
      <c r="K198" s="2095"/>
      <c r="L198" s="2095">
        <v>625179</v>
      </c>
      <c r="M198" s="2095">
        <v>625179</v>
      </c>
    </row>
    <row r="199" spans="1:13" x14ac:dyDescent="0.2">
      <c r="A199" s="648"/>
      <c r="B199" s="762"/>
      <c r="C199" s="1138" t="s">
        <v>1849</v>
      </c>
      <c r="D199" s="1194" t="s">
        <v>843</v>
      </c>
      <c r="E199" s="312"/>
      <c r="F199" s="312">
        <v>991</v>
      </c>
      <c r="G199" s="312">
        <v>991</v>
      </c>
      <c r="H199" s="1156">
        <f t="shared" si="21"/>
        <v>100</v>
      </c>
      <c r="K199" s="2095"/>
      <c r="L199" s="2095">
        <v>990740.32</v>
      </c>
      <c r="M199" s="2095">
        <v>990740.32</v>
      </c>
    </row>
    <row r="200" spans="1:13" x14ac:dyDescent="0.2">
      <c r="A200" s="648"/>
      <c r="B200" s="762"/>
      <c r="C200" s="1138" t="s">
        <v>1813</v>
      </c>
      <c r="D200" s="1366" t="s">
        <v>1815</v>
      </c>
      <c r="E200" s="312"/>
      <c r="F200" s="312">
        <v>6316</v>
      </c>
      <c r="G200" s="312">
        <v>6316</v>
      </c>
      <c r="H200" s="1156">
        <f t="shared" si="21"/>
        <v>100</v>
      </c>
      <c r="K200" s="2095"/>
      <c r="L200" s="2095">
        <v>6315539.25</v>
      </c>
      <c r="M200" s="2095">
        <v>6315539.25</v>
      </c>
    </row>
    <row r="201" spans="1:13" x14ac:dyDescent="0.2">
      <c r="A201" s="648"/>
      <c r="B201" s="762"/>
      <c r="C201" s="1138" t="s">
        <v>1850</v>
      </c>
      <c r="D201" s="1194" t="s">
        <v>843</v>
      </c>
      <c r="E201" s="312"/>
      <c r="F201" s="312">
        <v>5614</v>
      </c>
      <c r="G201" s="352">
        <v>5614</v>
      </c>
      <c r="H201" s="1156">
        <f t="shared" si="21"/>
        <v>100</v>
      </c>
      <c r="K201" s="2095"/>
      <c r="L201" s="2095">
        <v>5614194.9100000001</v>
      </c>
      <c r="M201" s="2095">
        <v>5614194.9100000001</v>
      </c>
    </row>
    <row r="202" spans="1:13" ht="15" thickBot="1" x14ac:dyDescent="0.25">
      <c r="A202" s="2038"/>
      <c r="B202" s="1910"/>
      <c r="C202" s="965" t="s">
        <v>1814</v>
      </c>
      <c r="D202" s="2039" t="s">
        <v>1815</v>
      </c>
      <c r="E202" s="429"/>
      <c r="F202" s="429">
        <v>35788</v>
      </c>
      <c r="G202" s="439">
        <v>35788</v>
      </c>
      <c r="H202" s="1909">
        <f t="shared" si="21"/>
        <v>100</v>
      </c>
      <c r="K202" s="2095"/>
      <c r="L202" s="2095">
        <v>35788055.75</v>
      </c>
      <c r="M202" s="2095">
        <v>35788055.75</v>
      </c>
    </row>
    <row r="203" spans="1:13" s="356" customFormat="1" ht="35.25" customHeight="1" thickTop="1" thickBot="1" x14ac:dyDescent="0.3">
      <c r="A203" s="592" t="s">
        <v>2170</v>
      </c>
      <c r="B203" s="593"/>
      <c r="C203" s="619"/>
      <c r="D203" s="595"/>
      <c r="E203" s="596">
        <f>E154+E152+E147</f>
        <v>365121</v>
      </c>
      <c r="F203" s="596">
        <f>F147+F152+F154+F165</f>
        <v>2082134</v>
      </c>
      <c r="G203" s="596">
        <f>G147+G152+G154+G165</f>
        <v>2075240</v>
      </c>
      <c r="H203" s="608">
        <f>(G203/F203)*100</f>
        <v>99.668897390849963</v>
      </c>
      <c r="J203" s="1157"/>
      <c r="K203" s="2100">
        <f>SUM(K148:K202)</f>
        <v>365121000</v>
      </c>
      <c r="L203" s="2100"/>
      <c r="M203" s="2100"/>
    </row>
    <row r="204" spans="1:13" s="356" customFormat="1" ht="20.25" customHeight="1" thickTop="1" x14ac:dyDescent="0.25">
      <c r="A204" s="354"/>
      <c r="B204" s="355"/>
      <c r="C204" s="140"/>
      <c r="D204" s="355"/>
      <c r="E204" s="17"/>
      <c r="F204" s="17"/>
      <c r="G204" s="17"/>
      <c r="H204" s="764"/>
      <c r="J204" s="1157"/>
      <c r="K204" s="1157"/>
      <c r="L204" s="635"/>
    </row>
    <row r="205" spans="1:13" s="356" customFormat="1" ht="20.25" customHeight="1" x14ac:dyDescent="0.25">
      <c r="A205" s="354"/>
      <c r="B205" s="355"/>
      <c r="C205" s="140"/>
      <c r="D205" s="355"/>
      <c r="E205" s="17"/>
      <c r="F205" s="17"/>
      <c r="G205" s="17"/>
      <c r="H205" s="764"/>
      <c r="J205" s="1157"/>
      <c r="K205" s="1157"/>
      <c r="L205" s="635"/>
    </row>
    <row r="206" spans="1:13" s="356" customFormat="1" ht="20.25" customHeight="1" x14ac:dyDescent="0.25">
      <c r="A206" s="354"/>
      <c r="B206" s="355"/>
      <c r="C206" s="140"/>
      <c r="D206" s="355"/>
      <c r="E206" s="17"/>
      <c r="F206" s="17"/>
      <c r="G206" s="17"/>
      <c r="H206" s="764"/>
      <c r="J206" s="1157"/>
      <c r="K206" s="1157"/>
      <c r="L206" s="635"/>
    </row>
    <row r="207" spans="1:13" s="356" customFormat="1" ht="20.25" customHeight="1" x14ac:dyDescent="0.25">
      <c r="A207" s="354"/>
      <c r="B207" s="355"/>
      <c r="C207" s="140"/>
      <c r="D207" s="355"/>
      <c r="E207" s="17"/>
      <c r="F207" s="17"/>
      <c r="G207" s="17"/>
      <c r="H207" s="764"/>
      <c r="J207" s="1157"/>
      <c r="K207" s="1157"/>
      <c r="L207" s="635"/>
    </row>
    <row r="208" spans="1:13" s="356" customFormat="1" ht="20.25" customHeight="1" x14ac:dyDescent="0.25">
      <c r="A208" s="354"/>
      <c r="B208" s="355"/>
      <c r="C208" s="140"/>
      <c r="D208" s="355"/>
      <c r="E208" s="17"/>
      <c r="F208" s="17"/>
      <c r="G208" s="17"/>
      <c r="H208" s="764"/>
      <c r="J208" s="1157"/>
      <c r="K208" s="1157"/>
      <c r="L208" s="635"/>
    </row>
    <row r="209" spans="1:21" s="356" customFormat="1" ht="20.25" customHeight="1" x14ac:dyDescent="0.25">
      <c r="A209" s="354"/>
      <c r="B209" s="355"/>
      <c r="C209" s="140"/>
      <c r="D209" s="355"/>
      <c r="E209" s="17"/>
      <c r="F209" s="17"/>
      <c r="G209" s="17"/>
      <c r="H209" s="764"/>
      <c r="J209" s="1157"/>
      <c r="K209" s="1157"/>
      <c r="L209" s="635"/>
    </row>
    <row r="210" spans="1:21" s="356" customFormat="1" ht="20.25" customHeight="1" x14ac:dyDescent="0.25">
      <c r="A210" s="354"/>
      <c r="B210" s="355"/>
      <c r="C210" s="140"/>
      <c r="D210" s="355"/>
      <c r="E210" s="17"/>
      <c r="F210" s="17"/>
      <c r="G210" s="17"/>
      <c r="H210" s="764"/>
      <c r="J210" s="1157"/>
      <c r="K210" s="1157"/>
      <c r="L210" s="635"/>
    </row>
    <row r="211" spans="1:21" s="356" customFormat="1" ht="20.25" customHeight="1" x14ac:dyDescent="0.25">
      <c r="A211" s="354"/>
      <c r="B211" s="355"/>
      <c r="C211" s="140"/>
      <c r="D211" s="355"/>
      <c r="E211" s="17"/>
      <c r="F211" s="17"/>
      <c r="G211" s="17"/>
      <c r="H211" s="764"/>
      <c r="J211" s="1157"/>
      <c r="K211" s="1157"/>
      <c r="L211" s="635"/>
    </row>
    <row r="212" spans="1:21" s="356" customFormat="1" ht="20.25" customHeight="1" x14ac:dyDescent="0.25">
      <c r="A212" s="354"/>
      <c r="B212" s="355"/>
      <c r="C212" s="140"/>
      <c r="D212" s="355"/>
      <c r="E212" s="17"/>
      <c r="F212" s="17"/>
      <c r="G212" s="17"/>
      <c r="H212" s="764"/>
      <c r="J212" s="1157"/>
      <c r="K212" s="1157"/>
      <c r="L212" s="635"/>
    </row>
    <row r="213" spans="1:21" ht="15.75" x14ac:dyDescent="0.25">
      <c r="A213" s="97" t="s">
        <v>2169</v>
      </c>
    </row>
    <row r="214" spans="1:21" ht="16.5" thickBot="1" x14ac:dyDescent="0.3">
      <c r="A214" s="97"/>
      <c r="C214" s="761"/>
      <c r="D214" s="641"/>
      <c r="E214" s="622"/>
      <c r="F214" s="657"/>
      <c r="G214" s="622"/>
      <c r="H214" s="1353" t="s">
        <v>148</v>
      </c>
    </row>
    <row r="215" spans="1:21" s="106" customFormat="1" ht="20.25" customHeight="1" thickTop="1" thickBot="1" x14ac:dyDescent="0.25">
      <c r="A215" s="586" t="s">
        <v>149</v>
      </c>
      <c r="B215" s="587" t="s">
        <v>150</v>
      </c>
      <c r="C215" s="615" t="s">
        <v>639</v>
      </c>
      <c r="D215" s="658" t="s">
        <v>151</v>
      </c>
      <c r="E215" s="589" t="s">
        <v>569</v>
      </c>
      <c r="F215" s="589" t="s">
        <v>570</v>
      </c>
      <c r="G215" s="589" t="s">
        <v>797</v>
      </c>
      <c r="H215" s="590" t="s">
        <v>798</v>
      </c>
    </row>
    <row r="216" spans="1:21" s="375" customFormat="1" ht="13.5" thickTop="1" thickBot="1" x14ac:dyDescent="0.25">
      <c r="A216" s="525">
        <v>1</v>
      </c>
      <c r="B216" s="526">
        <v>2</v>
      </c>
      <c r="C216" s="526">
        <v>3</v>
      </c>
      <c r="D216" s="526">
        <v>4</v>
      </c>
      <c r="E216" s="526">
        <v>5</v>
      </c>
      <c r="F216" s="512">
        <v>6</v>
      </c>
      <c r="G216" s="512">
        <v>7</v>
      </c>
      <c r="H216" s="591" t="s">
        <v>54</v>
      </c>
      <c r="I216" s="106"/>
    </row>
    <row r="217" spans="1:21" s="375" customFormat="1" ht="15.75" thickTop="1" x14ac:dyDescent="0.25">
      <c r="A217" s="50"/>
      <c r="B217" s="19">
        <v>5212</v>
      </c>
      <c r="C217" s="1115"/>
      <c r="D217" s="664" t="s">
        <v>610</v>
      </c>
      <c r="E217" s="1073"/>
      <c r="F217" s="402">
        <f>F218+F219</f>
        <v>5481</v>
      </c>
      <c r="G217" s="402">
        <f>G218+G219</f>
        <v>5481</v>
      </c>
      <c r="H217" s="1092">
        <f>(G217/F217)*100</f>
        <v>100</v>
      </c>
      <c r="I217" s="106"/>
    </row>
    <row r="218" spans="1:21" s="375" customFormat="1" ht="25.5" x14ac:dyDescent="0.2">
      <c r="A218" s="50"/>
      <c r="B218" s="19"/>
      <c r="C218" s="2049" t="s">
        <v>1851</v>
      </c>
      <c r="D218" s="2048" t="s">
        <v>1852</v>
      </c>
      <c r="E218" s="1073"/>
      <c r="F218" s="2050">
        <v>61</v>
      </c>
      <c r="G218" s="2050">
        <v>61</v>
      </c>
      <c r="H218" s="2051">
        <f>(G218/F218)*100</f>
        <v>100</v>
      </c>
      <c r="I218" s="106"/>
      <c r="L218" s="2095">
        <v>60715</v>
      </c>
      <c r="M218" s="2095">
        <v>60715</v>
      </c>
    </row>
    <row r="219" spans="1:21" s="375" customFormat="1" x14ac:dyDescent="0.2">
      <c r="A219" s="1358"/>
      <c r="B219" s="1073"/>
      <c r="C219" s="878" t="s">
        <v>1853</v>
      </c>
      <c r="D219" s="1047" t="s">
        <v>348</v>
      </c>
      <c r="E219" s="1073"/>
      <c r="F219" s="1122">
        <v>5420</v>
      </c>
      <c r="G219" s="1122">
        <v>5420</v>
      </c>
      <c r="H219" s="893">
        <f>(G219/F219)*100</f>
        <v>100</v>
      </c>
      <c r="I219" s="106"/>
      <c r="L219" s="2095">
        <v>5420157</v>
      </c>
      <c r="M219" s="2095">
        <v>5420157</v>
      </c>
    </row>
    <row r="220" spans="1:21" s="875" customFormat="1" ht="15" x14ac:dyDescent="0.25">
      <c r="A220" s="50"/>
      <c r="B220" s="31">
        <v>5213</v>
      </c>
      <c r="C220" s="1107"/>
      <c r="D220" s="954" t="s">
        <v>301</v>
      </c>
      <c r="E220" s="71"/>
      <c r="F220" s="311">
        <f>SUM(F222:F233)</f>
        <v>162910</v>
      </c>
      <c r="G220" s="311">
        <f>SUM(G222:G233)</f>
        <v>162830</v>
      </c>
      <c r="H220" s="892">
        <f>(G220/F220)*100</f>
        <v>99.950893131176727</v>
      </c>
      <c r="I220" s="24"/>
      <c r="J220" s="4"/>
      <c r="K220" s="4"/>
      <c r="L220" s="2095"/>
      <c r="M220" s="2096"/>
      <c r="N220" s="24"/>
      <c r="O220" s="24"/>
      <c r="P220" s="24"/>
      <c r="Q220" s="24"/>
      <c r="R220" s="24"/>
      <c r="S220" s="24"/>
      <c r="T220" s="24"/>
      <c r="U220" s="24"/>
    </row>
    <row r="221" spans="1:21" s="875" customFormat="1" ht="15" x14ac:dyDescent="0.25">
      <c r="A221" s="50"/>
      <c r="B221" s="91"/>
      <c r="C221" s="1360"/>
      <c r="D221" s="1101" t="s">
        <v>347</v>
      </c>
      <c r="E221" s="71"/>
      <c r="F221" s="837"/>
      <c r="G221" s="312"/>
      <c r="H221" s="893"/>
      <c r="L221" s="2095"/>
      <c r="M221" s="1986"/>
    </row>
    <row r="222" spans="1:21" s="875" customFormat="1" ht="15" x14ac:dyDescent="0.25">
      <c r="A222" s="50"/>
      <c r="B222" s="19"/>
      <c r="C222" s="903" t="s">
        <v>1788</v>
      </c>
      <c r="D222" s="1287" t="s">
        <v>1437</v>
      </c>
      <c r="E222" s="71"/>
      <c r="F222" s="310">
        <v>20</v>
      </c>
      <c r="G222" s="312">
        <v>20</v>
      </c>
      <c r="H222" s="893">
        <f t="shared" ref="H222:H234" si="22">(G222/F222)*100</f>
        <v>100</v>
      </c>
      <c r="L222" s="2095"/>
      <c r="M222" s="1986"/>
    </row>
    <row r="223" spans="1:21" s="875" customFormat="1" ht="15" x14ac:dyDescent="0.25">
      <c r="A223" s="50"/>
      <c r="B223" s="19"/>
      <c r="C223" s="663" t="s">
        <v>1824</v>
      </c>
      <c r="D223" s="2042" t="s">
        <v>338</v>
      </c>
      <c r="E223" s="71"/>
      <c r="F223" s="310">
        <v>14</v>
      </c>
      <c r="G223" s="312">
        <v>14</v>
      </c>
      <c r="H223" s="893">
        <f t="shared" si="22"/>
        <v>100</v>
      </c>
      <c r="L223" s="2095"/>
      <c r="M223" s="1986"/>
    </row>
    <row r="224" spans="1:21" s="875" customFormat="1" ht="15" x14ac:dyDescent="0.25">
      <c r="A224" s="50"/>
      <c r="B224" s="19"/>
      <c r="C224" s="888" t="s">
        <v>1840</v>
      </c>
      <c r="D224" s="936" t="s">
        <v>838</v>
      </c>
      <c r="E224" s="71"/>
      <c r="F224" s="310">
        <v>9</v>
      </c>
      <c r="G224" s="312">
        <v>9</v>
      </c>
      <c r="H224" s="893">
        <f t="shared" si="22"/>
        <v>100</v>
      </c>
      <c r="L224" s="2095"/>
      <c r="M224" s="1986"/>
    </row>
    <row r="225" spans="1:21" s="875" customFormat="1" ht="15" x14ac:dyDescent="0.25">
      <c r="A225" s="50"/>
      <c r="B225" s="19"/>
      <c r="C225" s="888" t="s">
        <v>1821</v>
      </c>
      <c r="D225" s="3105" t="s">
        <v>1637</v>
      </c>
      <c r="E225" s="71"/>
      <c r="F225" s="310">
        <v>36</v>
      </c>
      <c r="G225" s="312">
        <v>36</v>
      </c>
      <c r="H225" s="893">
        <f t="shared" si="22"/>
        <v>100</v>
      </c>
      <c r="L225" s="2095">
        <v>35500</v>
      </c>
      <c r="M225" s="1986">
        <v>35500</v>
      </c>
    </row>
    <row r="226" spans="1:21" s="875" customFormat="1" ht="15" x14ac:dyDescent="0.25">
      <c r="A226" s="50"/>
      <c r="B226" s="19"/>
      <c r="C226" s="888"/>
      <c r="D226" s="3068"/>
      <c r="E226" s="71"/>
      <c r="F226" s="310"/>
      <c r="G226" s="312"/>
      <c r="H226" s="893"/>
      <c r="L226" s="2095"/>
      <c r="M226" s="1986"/>
    </row>
    <row r="227" spans="1:21" s="875" customFormat="1" ht="15" x14ac:dyDescent="0.25">
      <c r="A227" s="50"/>
      <c r="B227" s="91"/>
      <c r="C227" s="887" t="s">
        <v>1827</v>
      </c>
      <c r="D227" s="1365" t="s">
        <v>1317</v>
      </c>
      <c r="E227" s="71"/>
      <c r="F227" s="310">
        <v>2</v>
      </c>
      <c r="G227" s="312">
        <v>2</v>
      </c>
      <c r="H227" s="893">
        <f t="shared" si="22"/>
        <v>100</v>
      </c>
      <c r="I227" s="907"/>
      <c r="L227" s="2095">
        <v>1815</v>
      </c>
      <c r="M227" s="1986">
        <v>1815</v>
      </c>
    </row>
    <row r="228" spans="1:21" s="875" customFormat="1" ht="15" x14ac:dyDescent="0.25">
      <c r="A228" s="50"/>
      <c r="B228" s="91"/>
      <c r="C228" s="887" t="s">
        <v>1816</v>
      </c>
      <c r="D228" s="1908" t="s">
        <v>1638</v>
      </c>
      <c r="E228" s="71"/>
      <c r="F228" s="310">
        <v>12</v>
      </c>
      <c r="G228" s="312">
        <v>12</v>
      </c>
      <c r="H228" s="893">
        <f t="shared" si="22"/>
        <v>100</v>
      </c>
      <c r="I228" s="907"/>
      <c r="L228" s="2095">
        <v>12000</v>
      </c>
      <c r="M228" s="1986">
        <v>12000</v>
      </c>
    </row>
    <row r="229" spans="1:21" s="875" customFormat="1" ht="15" x14ac:dyDescent="0.25">
      <c r="A229" s="50"/>
      <c r="B229" s="91"/>
      <c r="C229" s="887" t="s">
        <v>1818</v>
      </c>
      <c r="D229" s="1908" t="s">
        <v>1639</v>
      </c>
      <c r="E229" s="71"/>
      <c r="F229" s="310">
        <v>350</v>
      </c>
      <c r="G229" s="312">
        <v>350</v>
      </c>
      <c r="H229" s="893">
        <f t="shared" si="22"/>
        <v>100</v>
      </c>
      <c r="I229" s="907"/>
      <c r="L229" s="2095">
        <v>350278</v>
      </c>
      <c r="M229" s="1986">
        <v>350278</v>
      </c>
    </row>
    <row r="230" spans="1:21" s="875" customFormat="1" ht="25.5" x14ac:dyDescent="0.25">
      <c r="A230" s="50"/>
      <c r="B230" s="91"/>
      <c r="C230" s="887" t="s">
        <v>1851</v>
      </c>
      <c r="D230" s="2029" t="s">
        <v>1852</v>
      </c>
      <c r="E230" s="71"/>
      <c r="F230" s="1090">
        <v>1914</v>
      </c>
      <c r="G230" s="1089">
        <v>1914</v>
      </c>
      <c r="H230" s="1105">
        <f t="shared" si="22"/>
        <v>100</v>
      </c>
      <c r="I230" s="907"/>
      <c r="L230" s="2095">
        <v>1913536</v>
      </c>
      <c r="M230" s="1986">
        <v>1913536</v>
      </c>
    </row>
    <row r="231" spans="1:21" s="875" customFormat="1" ht="15" x14ac:dyDescent="0.25">
      <c r="A231" s="1116"/>
      <c r="B231" s="19"/>
      <c r="C231" s="888" t="s">
        <v>1853</v>
      </c>
      <c r="D231" s="1359" t="s">
        <v>348</v>
      </c>
      <c r="E231" s="71"/>
      <c r="F231" s="310">
        <v>158764</v>
      </c>
      <c r="G231" s="312">
        <v>158684</v>
      </c>
      <c r="H231" s="893">
        <f t="shared" si="22"/>
        <v>99.949610742989591</v>
      </c>
      <c r="L231" s="2095">
        <f>158685369+79717</f>
        <v>158765086</v>
      </c>
      <c r="M231" s="1986">
        <v>158685369</v>
      </c>
    </row>
    <row r="232" spans="1:21" s="875" customFormat="1" ht="25.5" x14ac:dyDescent="0.25">
      <c r="A232" s="1116"/>
      <c r="B232" s="19"/>
      <c r="C232" s="887" t="s">
        <v>1854</v>
      </c>
      <c r="D232" s="1916" t="s">
        <v>844</v>
      </c>
      <c r="E232" s="71"/>
      <c r="F232" s="1090">
        <v>1693</v>
      </c>
      <c r="G232" s="1089">
        <v>1693</v>
      </c>
      <c r="H232" s="1105">
        <f t="shared" si="22"/>
        <v>100</v>
      </c>
      <c r="L232" s="2095">
        <v>1693399</v>
      </c>
      <c r="M232" s="1986">
        <v>1693399</v>
      </c>
    </row>
    <row r="233" spans="1:21" s="875" customFormat="1" ht="25.5" x14ac:dyDescent="0.25">
      <c r="A233" s="1116"/>
      <c r="B233" s="19"/>
      <c r="C233" s="1087" t="s">
        <v>1825</v>
      </c>
      <c r="D233" s="1915" t="s">
        <v>841</v>
      </c>
      <c r="E233" s="71"/>
      <c r="F233" s="1090">
        <v>96</v>
      </c>
      <c r="G233" s="1089">
        <v>96</v>
      </c>
      <c r="H233" s="1105">
        <f t="shared" si="22"/>
        <v>100</v>
      </c>
      <c r="L233" s="2095">
        <v>96343</v>
      </c>
      <c r="M233" s="2098">
        <v>96343</v>
      </c>
    </row>
    <row r="234" spans="1:21" s="875" customFormat="1" ht="15" x14ac:dyDescent="0.25">
      <c r="A234" s="50"/>
      <c r="B234" s="31">
        <v>5221</v>
      </c>
      <c r="C234" s="1361"/>
      <c r="D234" s="1101" t="s">
        <v>524</v>
      </c>
      <c r="E234" s="71"/>
      <c r="F234" s="311">
        <f>SUM(F236:F240)</f>
        <v>64710</v>
      </c>
      <c r="G234" s="311">
        <f>SUM(G236:G240)</f>
        <v>64710</v>
      </c>
      <c r="H234" s="892">
        <f t="shared" si="22"/>
        <v>100</v>
      </c>
      <c r="I234" s="24"/>
      <c r="J234" s="24"/>
      <c r="K234" s="24"/>
      <c r="L234" s="2095"/>
      <c r="M234" s="2096"/>
      <c r="N234" s="24"/>
      <c r="O234" s="24"/>
      <c r="P234" s="24"/>
      <c r="Q234" s="24"/>
      <c r="R234" s="24"/>
      <c r="S234" s="24"/>
      <c r="T234" s="24"/>
      <c r="U234" s="24"/>
    </row>
    <row r="235" spans="1:21" s="875" customFormat="1" ht="14.25" customHeight="1" x14ac:dyDescent="0.25">
      <c r="A235" s="50"/>
      <c r="B235" s="91"/>
      <c r="C235" s="1360"/>
      <c r="D235" s="1101" t="s">
        <v>347</v>
      </c>
      <c r="E235" s="71"/>
      <c r="F235" s="837"/>
      <c r="G235" s="312"/>
      <c r="H235" s="893"/>
      <c r="L235" s="2095"/>
      <c r="M235" s="1986"/>
    </row>
    <row r="236" spans="1:21" s="875" customFormat="1" ht="14.25" customHeight="1" x14ac:dyDescent="0.25">
      <c r="A236" s="50"/>
      <c r="B236" s="91"/>
      <c r="C236" s="887" t="s">
        <v>1821</v>
      </c>
      <c r="D236" s="1363" t="s">
        <v>525</v>
      </c>
      <c r="E236" s="71"/>
      <c r="F236" s="310">
        <v>26</v>
      </c>
      <c r="G236" s="312">
        <v>26</v>
      </c>
      <c r="H236" s="1105">
        <f t="shared" ref="H236:H241" si="23">(G236/F236)*100</f>
        <v>100</v>
      </c>
      <c r="L236" s="2095">
        <v>26100</v>
      </c>
      <c r="M236" s="1986">
        <v>26100</v>
      </c>
    </row>
    <row r="237" spans="1:21" s="875" customFormat="1" ht="14.25" customHeight="1" x14ac:dyDescent="0.25">
      <c r="A237" s="50"/>
      <c r="B237" s="91"/>
      <c r="C237" s="887" t="s">
        <v>1816</v>
      </c>
      <c r="D237" s="1908" t="s">
        <v>1638</v>
      </c>
      <c r="E237" s="71"/>
      <c r="F237" s="310">
        <v>20</v>
      </c>
      <c r="G237" s="312">
        <v>20</v>
      </c>
      <c r="H237" s="1105">
        <f t="shared" si="23"/>
        <v>100</v>
      </c>
      <c r="L237" s="2095">
        <v>20000</v>
      </c>
      <c r="M237" s="1986">
        <v>20000</v>
      </c>
    </row>
    <row r="238" spans="1:21" s="875" customFormat="1" ht="25.5" x14ac:dyDescent="0.25">
      <c r="A238" s="50"/>
      <c r="B238" s="91"/>
      <c r="C238" s="887" t="s">
        <v>1851</v>
      </c>
      <c r="D238" s="2029" t="s">
        <v>1852</v>
      </c>
      <c r="E238" s="71"/>
      <c r="F238" s="1090">
        <v>683</v>
      </c>
      <c r="G238" s="1089">
        <v>683</v>
      </c>
      <c r="H238" s="1105">
        <f t="shared" si="23"/>
        <v>100</v>
      </c>
      <c r="L238" s="2095">
        <v>683141</v>
      </c>
      <c r="M238" s="1986">
        <v>683141</v>
      </c>
    </row>
    <row r="239" spans="1:21" s="875" customFormat="1" ht="15" x14ac:dyDescent="0.25">
      <c r="A239" s="50"/>
      <c r="B239" s="1048"/>
      <c r="C239" s="888" t="s">
        <v>1853</v>
      </c>
      <c r="D239" s="1359" t="s">
        <v>349</v>
      </c>
      <c r="E239" s="71"/>
      <c r="F239" s="310">
        <v>60960</v>
      </c>
      <c r="G239" s="352">
        <v>60960</v>
      </c>
      <c r="H239" s="893">
        <f t="shared" si="23"/>
        <v>100</v>
      </c>
      <c r="I239" s="24"/>
      <c r="J239" s="24"/>
      <c r="K239" s="24"/>
      <c r="L239" s="2095">
        <v>60959945</v>
      </c>
      <c r="M239" s="2096">
        <v>60959945</v>
      </c>
      <c r="N239" s="24"/>
      <c r="O239" s="24"/>
      <c r="P239" s="24"/>
      <c r="Q239" s="24"/>
      <c r="R239" s="24"/>
      <c r="S239" s="24"/>
      <c r="T239" s="24"/>
      <c r="U239" s="24"/>
    </row>
    <row r="240" spans="1:21" s="875" customFormat="1" ht="25.5" x14ac:dyDescent="0.25">
      <c r="A240" s="50"/>
      <c r="B240" s="1048"/>
      <c r="C240" s="887" t="s">
        <v>1854</v>
      </c>
      <c r="D240" s="1916" t="s">
        <v>844</v>
      </c>
      <c r="E240" s="71"/>
      <c r="F240" s="1090">
        <v>3021</v>
      </c>
      <c r="G240" s="1117">
        <v>3021</v>
      </c>
      <c r="H240" s="1105">
        <f t="shared" si="23"/>
        <v>100</v>
      </c>
      <c r="I240" s="24"/>
      <c r="J240" s="24"/>
      <c r="K240" s="24"/>
      <c r="L240" s="2095">
        <v>3021006</v>
      </c>
      <c r="M240" s="2096">
        <v>3021006</v>
      </c>
      <c r="N240" s="24"/>
      <c r="O240" s="24"/>
      <c r="P240" s="24"/>
      <c r="Q240" s="24"/>
      <c r="R240" s="24"/>
      <c r="S240" s="24"/>
      <c r="T240" s="24"/>
      <c r="U240" s="24"/>
    </row>
    <row r="241" spans="1:21" s="875" customFormat="1" ht="15" x14ac:dyDescent="0.25">
      <c r="A241" s="50"/>
      <c r="B241" s="31">
        <v>5222</v>
      </c>
      <c r="C241" s="1361"/>
      <c r="D241" s="1101" t="s">
        <v>1018</v>
      </c>
      <c r="E241" s="71"/>
      <c r="F241" s="311">
        <f>SUM(F243:F245)</f>
        <v>6826</v>
      </c>
      <c r="G241" s="311">
        <f>SUM(G243:G245)</f>
        <v>6826</v>
      </c>
      <c r="H241" s="892">
        <f t="shared" si="23"/>
        <v>100</v>
      </c>
      <c r="I241" s="24"/>
      <c r="J241" s="24"/>
      <c r="K241" s="24"/>
      <c r="L241" s="2095"/>
      <c r="M241" s="2096"/>
      <c r="N241" s="24"/>
      <c r="O241" s="24"/>
      <c r="P241" s="24"/>
      <c r="Q241" s="24"/>
      <c r="R241" s="24"/>
      <c r="S241" s="24"/>
      <c r="T241" s="24"/>
      <c r="U241" s="24"/>
    </row>
    <row r="242" spans="1:21" s="24" customFormat="1" ht="15" x14ac:dyDescent="0.25">
      <c r="A242" s="50"/>
      <c r="B242" s="91"/>
      <c r="C242" s="1360"/>
      <c r="D242" s="1101" t="s">
        <v>347</v>
      </c>
      <c r="E242" s="71"/>
      <c r="F242" s="837"/>
      <c r="G242" s="312"/>
      <c r="H242" s="893"/>
      <c r="I242" s="875"/>
      <c r="J242" s="875"/>
      <c r="K242" s="875"/>
      <c r="L242" s="2095"/>
      <c r="M242" s="1986"/>
      <c r="N242" s="875"/>
      <c r="O242" s="875"/>
      <c r="P242" s="875"/>
      <c r="Q242" s="875"/>
      <c r="R242" s="875"/>
      <c r="S242" s="875"/>
      <c r="T242" s="875"/>
      <c r="U242" s="875"/>
    </row>
    <row r="243" spans="1:21" s="24" customFormat="1" ht="25.5" x14ac:dyDescent="0.25">
      <c r="A243" s="50"/>
      <c r="B243" s="91"/>
      <c r="C243" s="887" t="s">
        <v>1851</v>
      </c>
      <c r="D243" s="2029" t="s">
        <v>1852</v>
      </c>
      <c r="E243" s="71"/>
      <c r="F243" s="1090">
        <v>78</v>
      </c>
      <c r="G243" s="1089">
        <v>78</v>
      </c>
      <c r="H243" s="893">
        <f>(G243/F243)*100</f>
        <v>100</v>
      </c>
      <c r="I243" s="875"/>
      <c r="J243" s="875"/>
      <c r="K243" s="875"/>
      <c r="L243" s="2095">
        <v>78176</v>
      </c>
      <c r="M243" s="2098">
        <v>78176</v>
      </c>
      <c r="N243" s="875"/>
      <c r="O243" s="875"/>
      <c r="P243" s="875"/>
      <c r="Q243" s="875"/>
      <c r="R243" s="875"/>
      <c r="S243" s="875"/>
      <c r="T243" s="875"/>
      <c r="U243" s="875"/>
    </row>
    <row r="244" spans="1:21" s="24" customFormat="1" ht="15" x14ac:dyDescent="0.25">
      <c r="A244" s="50"/>
      <c r="B244" s="91"/>
      <c r="C244" s="888" t="s">
        <v>1853</v>
      </c>
      <c r="D244" s="1359" t="s">
        <v>349</v>
      </c>
      <c r="E244" s="71"/>
      <c r="F244" s="310">
        <v>6327</v>
      </c>
      <c r="G244" s="312">
        <v>6327</v>
      </c>
      <c r="H244" s="893">
        <f>(G244/F244)*100</f>
        <v>100</v>
      </c>
      <c r="I244" s="875"/>
      <c r="J244" s="875"/>
      <c r="K244" s="875"/>
      <c r="L244" s="2095">
        <v>6327228</v>
      </c>
      <c r="M244" s="1986">
        <v>6327228</v>
      </c>
      <c r="N244" s="875"/>
      <c r="O244" s="875"/>
      <c r="P244" s="875"/>
      <c r="Q244" s="875"/>
      <c r="R244" s="875"/>
      <c r="S244" s="875"/>
      <c r="T244" s="875"/>
      <c r="U244" s="875"/>
    </row>
    <row r="245" spans="1:21" s="24" customFormat="1" ht="25.5" x14ac:dyDescent="0.25">
      <c r="A245" s="50"/>
      <c r="B245" s="91"/>
      <c r="C245" s="887" t="s">
        <v>1854</v>
      </c>
      <c r="D245" s="1916" t="s">
        <v>844</v>
      </c>
      <c r="E245" s="71"/>
      <c r="F245" s="1090">
        <v>421</v>
      </c>
      <c r="G245" s="1089">
        <v>421</v>
      </c>
      <c r="H245" s="1105">
        <f>(G245/F245)*100</f>
        <v>100</v>
      </c>
      <c r="I245" s="875"/>
      <c r="J245" s="875"/>
      <c r="K245" s="875"/>
      <c r="L245" s="2095">
        <v>420320</v>
      </c>
      <c r="M245" s="1986">
        <v>420320</v>
      </c>
      <c r="N245" s="875"/>
      <c r="O245" s="875"/>
      <c r="P245" s="875"/>
      <c r="Q245" s="875"/>
      <c r="R245" s="875"/>
      <c r="S245" s="875"/>
      <c r="T245" s="875"/>
      <c r="U245" s="875"/>
    </row>
    <row r="246" spans="1:21" s="24" customFormat="1" ht="15" x14ac:dyDescent="0.25">
      <c r="A246" s="50"/>
      <c r="B246" s="31">
        <v>5229</v>
      </c>
      <c r="C246" s="2052"/>
      <c r="D246" s="954" t="s">
        <v>1019</v>
      </c>
      <c r="E246" s="71"/>
      <c r="F246" s="311">
        <f>F247</f>
        <v>128</v>
      </c>
      <c r="G246" s="311">
        <f>G247</f>
        <v>128</v>
      </c>
      <c r="H246" s="892">
        <f t="shared" ref="H246:H247" si="24">(G246/F246)*100</f>
        <v>100</v>
      </c>
      <c r="I246" s="875"/>
      <c r="J246" s="875"/>
      <c r="K246" s="875"/>
      <c r="L246" s="2095"/>
      <c r="M246" s="1986"/>
      <c r="N246" s="875"/>
      <c r="O246" s="875"/>
      <c r="P246" s="875"/>
      <c r="Q246" s="875"/>
      <c r="R246" s="875"/>
      <c r="S246" s="875"/>
      <c r="T246" s="875"/>
      <c r="U246" s="875"/>
    </row>
    <row r="247" spans="1:21" s="24" customFormat="1" ht="15" x14ac:dyDescent="0.25">
      <c r="A247" s="50"/>
      <c r="B247" s="31"/>
      <c r="C247" s="888" t="s">
        <v>1853</v>
      </c>
      <c r="D247" s="1359" t="s">
        <v>349</v>
      </c>
      <c r="E247" s="71"/>
      <c r="F247" s="1090">
        <v>128</v>
      </c>
      <c r="G247" s="1089">
        <v>128</v>
      </c>
      <c r="H247" s="1105">
        <f t="shared" si="24"/>
        <v>100</v>
      </c>
      <c r="I247" s="875"/>
      <c r="J247" s="875"/>
      <c r="K247" s="875"/>
      <c r="L247" s="2095">
        <v>127584</v>
      </c>
      <c r="M247" s="1986">
        <v>127584</v>
      </c>
      <c r="N247" s="875"/>
      <c r="O247" s="875"/>
      <c r="P247" s="875"/>
      <c r="Q247" s="875"/>
      <c r="R247" s="875"/>
      <c r="S247" s="875"/>
      <c r="T247" s="875"/>
      <c r="U247" s="875"/>
    </row>
    <row r="248" spans="1:21" s="24" customFormat="1" ht="15" x14ac:dyDescent="0.25">
      <c r="A248" s="50"/>
      <c r="B248" s="91">
        <v>5493</v>
      </c>
      <c r="C248" s="887"/>
      <c r="D248" s="1006" t="s">
        <v>628</v>
      </c>
      <c r="E248" s="71">
        <f>E249</f>
        <v>1350</v>
      </c>
      <c r="F248" s="71">
        <f t="shared" ref="F248:G248" si="25">F249</f>
        <v>684</v>
      </c>
      <c r="G248" s="71">
        <f t="shared" si="25"/>
        <v>663</v>
      </c>
      <c r="H248" s="892">
        <f t="shared" ref="H248:H249" si="26">(G248/F248)*100</f>
        <v>96.929824561403507</v>
      </c>
      <c r="I248" s="875"/>
      <c r="J248" s="875"/>
      <c r="K248" s="875"/>
      <c r="L248" s="875"/>
      <c r="M248" s="875"/>
      <c r="N248" s="875"/>
      <c r="O248" s="875"/>
      <c r="P248" s="875"/>
      <c r="Q248" s="875"/>
      <c r="R248" s="875"/>
      <c r="S248" s="875"/>
      <c r="T248" s="875"/>
      <c r="U248" s="875"/>
    </row>
    <row r="249" spans="1:21" s="24" customFormat="1" ht="15" thickBot="1" x14ac:dyDescent="0.25">
      <c r="A249" s="895"/>
      <c r="B249" s="1112"/>
      <c r="C249" s="965" t="s">
        <v>1855</v>
      </c>
      <c r="D249" s="1355" t="s">
        <v>1641</v>
      </c>
      <c r="E249" s="914">
        <v>1350</v>
      </c>
      <c r="F249" s="1362">
        <v>684</v>
      </c>
      <c r="G249" s="1121">
        <v>663</v>
      </c>
      <c r="H249" s="1909">
        <f t="shared" si="26"/>
        <v>96.929824561403507</v>
      </c>
      <c r="I249" s="875"/>
      <c r="J249" s="875"/>
      <c r="K249" s="875"/>
      <c r="L249" s="875"/>
      <c r="M249" s="875"/>
      <c r="N249" s="875"/>
      <c r="O249" s="875"/>
      <c r="P249" s="875"/>
      <c r="Q249" s="875"/>
      <c r="R249" s="875"/>
      <c r="S249" s="875"/>
      <c r="T249" s="875"/>
      <c r="U249" s="875"/>
    </row>
    <row r="250" spans="1:21" s="356" customFormat="1" ht="35.25" customHeight="1" thickTop="1" thickBot="1" x14ac:dyDescent="0.3">
      <c r="A250" s="631" t="s">
        <v>2171</v>
      </c>
      <c r="B250" s="756"/>
      <c r="C250" s="633"/>
      <c r="D250" s="632"/>
      <c r="E250" s="634">
        <f>E248</f>
        <v>1350</v>
      </c>
      <c r="F250" s="1120">
        <f>F217+F220+F234+F241+F248+F246</f>
        <v>240739</v>
      </c>
      <c r="G250" s="1120">
        <f>G217+G220+G234+G241+G248+G246</f>
        <v>240638</v>
      </c>
      <c r="H250" s="765">
        <f>(G250/F250)*100</f>
        <v>99.958045850485377</v>
      </c>
      <c r="J250" s="635"/>
      <c r="K250" s="635"/>
      <c r="L250" s="2097">
        <f>L218+L219+L225+L227+L228+L229+L230+L231+L232+L236+L233+L237+L238+L239+L240+L243+L244+L245+L247</f>
        <v>240012329</v>
      </c>
      <c r="M250" s="2097">
        <f>M218+M219+M225+M227+M228+M229+M230+M231+M232+M236+M233+M237+M238+M239+M240+M243+M244+M245+M247</f>
        <v>239932612</v>
      </c>
    </row>
    <row r="251" spans="1:21" ht="15" thickTop="1" x14ac:dyDescent="0.2"/>
    <row r="255" spans="1:21" ht="15.75" x14ac:dyDescent="0.25">
      <c r="A255" s="766" t="s">
        <v>2172</v>
      </c>
    </row>
    <row r="256" spans="1:21" ht="16.5" thickBot="1" x14ac:dyDescent="0.3">
      <c r="A256" s="766"/>
      <c r="H256" s="1353" t="s">
        <v>1101</v>
      </c>
    </row>
    <row r="257" spans="1:15" s="106" customFormat="1" ht="20.25" customHeight="1" thickTop="1" thickBot="1" x14ac:dyDescent="0.25">
      <c r="A257" s="586" t="s">
        <v>149</v>
      </c>
      <c r="B257" s="767" t="s">
        <v>150</v>
      </c>
      <c r="C257" s="615" t="s">
        <v>345</v>
      </c>
      <c r="D257" s="589" t="s">
        <v>151</v>
      </c>
      <c r="E257" s="589" t="s">
        <v>569</v>
      </c>
      <c r="F257" s="589" t="s">
        <v>570</v>
      </c>
      <c r="G257" s="589" t="s">
        <v>797</v>
      </c>
      <c r="H257" s="590" t="s">
        <v>798</v>
      </c>
      <c r="J257" s="373"/>
      <c r="K257" s="373"/>
      <c r="L257" s="373"/>
      <c r="M257" s="373"/>
      <c r="N257" s="373"/>
      <c r="O257" s="373"/>
    </row>
    <row r="258" spans="1:15" s="375" customFormat="1" ht="13.5" thickTop="1" thickBot="1" x14ac:dyDescent="0.25">
      <c r="A258" s="525">
        <v>1</v>
      </c>
      <c r="B258" s="526">
        <v>2</v>
      </c>
      <c r="C258" s="526">
        <v>3</v>
      </c>
      <c r="D258" s="526">
        <v>4</v>
      </c>
      <c r="E258" s="526">
        <v>5</v>
      </c>
      <c r="F258" s="512">
        <v>6</v>
      </c>
      <c r="G258" s="512">
        <v>7</v>
      </c>
      <c r="H258" s="591" t="s">
        <v>54</v>
      </c>
      <c r="I258" s="106"/>
    </row>
    <row r="259" spans="1:15" s="920" customFormat="1" ht="14.25" customHeight="1" thickTop="1" x14ac:dyDescent="0.25">
      <c r="A259" s="2054"/>
      <c r="B259" s="216">
        <v>5333</v>
      </c>
      <c r="C259" s="2055"/>
      <c r="D259" s="3104" t="s">
        <v>1184</v>
      </c>
      <c r="E259" s="146"/>
      <c r="F259" s="363">
        <f>F261+F262+F263</f>
        <v>24850</v>
      </c>
      <c r="G259" s="363">
        <f>G261+G262+G263</f>
        <v>24850</v>
      </c>
      <c r="H259" s="2056">
        <f t="shared" ref="H259" si="27">(G259/F259)*100</f>
        <v>100</v>
      </c>
    </row>
    <row r="260" spans="1:15" s="920" customFormat="1" ht="14.25" customHeight="1" x14ac:dyDescent="0.25">
      <c r="A260" s="2057"/>
      <c r="B260" s="1114"/>
      <c r="C260" s="2058"/>
      <c r="D260" s="3068"/>
      <c r="E260" s="123"/>
      <c r="F260" s="311"/>
      <c r="G260" s="311"/>
      <c r="H260" s="2059"/>
    </row>
    <row r="261" spans="1:15" s="920" customFormat="1" ht="14.25" customHeight="1" x14ac:dyDescent="0.25">
      <c r="A261" s="2057"/>
      <c r="B261" s="1114"/>
      <c r="C261" s="887" t="s">
        <v>1808</v>
      </c>
      <c r="D261" s="2026" t="s">
        <v>1643</v>
      </c>
      <c r="E261" s="123"/>
      <c r="F261" s="312">
        <v>644</v>
      </c>
      <c r="G261" s="312">
        <v>644</v>
      </c>
      <c r="H261" s="1696">
        <f t="shared" ref="H261:H279" si="28">(G261/F261)*100</f>
        <v>100</v>
      </c>
    </row>
    <row r="262" spans="1:15" s="920" customFormat="1" ht="26.25" x14ac:dyDescent="0.25">
      <c r="A262" s="2057"/>
      <c r="B262" s="1114"/>
      <c r="C262" s="887" t="s">
        <v>1809</v>
      </c>
      <c r="D262" s="2036" t="s">
        <v>1810</v>
      </c>
      <c r="E262" s="123"/>
      <c r="F262" s="1089">
        <v>117</v>
      </c>
      <c r="G262" s="1089">
        <v>117</v>
      </c>
      <c r="H262" s="2051">
        <f t="shared" si="28"/>
        <v>100</v>
      </c>
    </row>
    <row r="263" spans="1:15" s="920" customFormat="1" ht="14.25" customHeight="1" thickBot="1" x14ac:dyDescent="0.3">
      <c r="A263" s="2057"/>
      <c r="B263" s="1114"/>
      <c r="C263" s="888" t="s">
        <v>1807</v>
      </c>
      <c r="D263" s="1051" t="s">
        <v>24</v>
      </c>
      <c r="E263" s="123"/>
      <c r="F263" s="312">
        <v>24089</v>
      </c>
      <c r="G263" s="312">
        <v>24089</v>
      </c>
      <c r="H263" s="1696">
        <f t="shared" si="28"/>
        <v>100</v>
      </c>
    </row>
    <row r="264" spans="1:15" s="920" customFormat="1" ht="14.25" customHeight="1" thickTop="1" x14ac:dyDescent="0.25">
      <c r="A264" s="2915"/>
      <c r="B264" s="2916"/>
      <c r="C264" s="1918"/>
      <c r="D264" s="2917"/>
      <c r="E264" s="2918"/>
      <c r="F264" s="1154"/>
      <c r="G264" s="1154"/>
      <c r="H264" s="1350"/>
    </row>
    <row r="265" spans="1:15" s="920" customFormat="1" ht="14.25" customHeight="1" x14ac:dyDescent="0.25">
      <c r="A265" s="2919"/>
      <c r="B265" s="2920"/>
      <c r="C265" s="878"/>
      <c r="D265" s="1356"/>
      <c r="E265" s="122"/>
      <c r="F265" s="310"/>
      <c r="G265" s="310"/>
      <c r="H265" s="418"/>
    </row>
    <row r="266" spans="1:15" s="920" customFormat="1" ht="14.25" customHeight="1" x14ac:dyDescent="0.25">
      <c r="A266" s="2919"/>
      <c r="B266" s="2920"/>
      <c r="C266" s="878"/>
      <c r="D266" s="1356"/>
      <c r="E266" s="122"/>
      <c r="F266" s="310"/>
      <c r="G266" s="310"/>
      <c r="H266" s="418"/>
    </row>
    <row r="267" spans="1:15" s="920" customFormat="1" ht="14.25" customHeight="1" x14ac:dyDescent="0.25">
      <c r="A267" s="2919"/>
      <c r="B267" s="2920"/>
      <c r="C267" s="878"/>
      <c r="D267" s="1356"/>
      <c r="E267" s="122"/>
      <c r="F267" s="310"/>
      <c r="G267" s="310"/>
      <c r="H267" s="418"/>
    </row>
    <row r="268" spans="1:15" s="920" customFormat="1" ht="14.25" customHeight="1" x14ac:dyDescent="0.25">
      <c r="A268" s="2919"/>
      <c r="B268" s="2920"/>
      <c r="C268" s="878"/>
      <c r="D268" s="1356"/>
      <c r="E268" s="122"/>
      <c r="F268" s="310"/>
      <c r="G268" s="310"/>
      <c r="H268" s="418"/>
    </row>
    <row r="269" spans="1:15" s="920" customFormat="1" ht="14.25" customHeight="1" x14ac:dyDescent="0.25">
      <c r="A269" s="2919"/>
      <c r="B269" s="2920"/>
      <c r="C269" s="878"/>
      <c r="D269" s="1356"/>
      <c r="E269" s="122"/>
      <c r="F269" s="310"/>
      <c r="G269" s="310"/>
      <c r="H269" s="418"/>
    </row>
    <row r="270" spans="1:15" s="920" customFormat="1" ht="14.25" customHeight="1" x14ac:dyDescent="0.25">
      <c r="A270" s="2919"/>
      <c r="B270" s="2920"/>
      <c r="C270" s="878"/>
      <c r="D270" s="1356"/>
      <c r="E270" s="122"/>
      <c r="F270" s="310"/>
      <c r="G270" s="310"/>
      <c r="H270" s="418"/>
    </row>
    <row r="271" spans="1:15" s="920" customFormat="1" ht="14.25" customHeight="1" x14ac:dyDescent="0.25">
      <c r="A271" s="2919"/>
      <c r="B271" s="2920"/>
      <c r="C271" s="878"/>
      <c r="D271" s="1356"/>
      <c r="E271" s="122"/>
      <c r="F271" s="310"/>
      <c r="G271" s="310"/>
      <c r="H271" s="418"/>
    </row>
    <row r="272" spans="1:15" s="920" customFormat="1" ht="14.25" customHeight="1" x14ac:dyDescent="0.25">
      <c r="A272" s="2919"/>
      <c r="B272" s="2920"/>
      <c r="C272" s="878"/>
      <c r="D272" s="1356"/>
      <c r="E272" s="122"/>
      <c r="F272" s="310"/>
      <c r="G272" s="310"/>
      <c r="H272" s="418"/>
    </row>
    <row r="273" spans="1:8" s="920" customFormat="1" ht="14.25" customHeight="1" x14ac:dyDescent="0.25">
      <c r="A273" s="2919"/>
      <c r="B273" s="2920"/>
      <c r="C273" s="878"/>
      <c r="D273" s="1356"/>
      <c r="E273" s="122"/>
      <c r="F273" s="310"/>
      <c r="G273" s="310"/>
      <c r="H273" s="418"/>
    </row>
    <row r="274" spans="1:8" s="920" customFormat="1" ht="14.25" customHeight="1" thickBot="1" x14ac:dyDescent="0.3">
      <c r="A274" s="2921"/>
      <c r="B274" s="2922"/>
      <c r="C274" s="2923"/>
      <c r="D274" s="2924"/>
      <c r="E274" s="2925"/>
      <c r="F274" s="428"/>
      <c r="G274" s="428"/>
      <c r="H274" s="1353" t="s">
        <v>1101</v>
      </c>
    </row>
    <row r="275" spans="1:8" s="920" customFormat="1" ht="14.25" customHeight="1" thickTop="1" thickBot="1" x14ac:dyDescent="0.25">
      <c r="A275" s="586" t="s">
        <v>149</v>
      </c>
      <c r="B275" s="767" t="s">
        <v>150</v>
      </c>
      <c r="C275" s="615" t="s">
        <v>345</v>
      </c>
      <c r="D275" s="589" t="s">
        <v>151</v>
      </c>
      <c r="E275" s="589" t="s">
        <v>569</v>
      </c>
      <c r="F275" s="589" t="s">
        <v>570</v>
      </c>
      <c r="G275" s="589" t="s">
        <v>797</v>
      </c>
      <c r="H275" s="590" t="s">
        <v>798</v>
      </c>
    </row>
    <row r="276" spans="1:8" s="920" customFormat="1" ht="14.25" customHeight="1" thickTop="1" thickBot="1" x14ac:dyDescent="0.25">
      <c r="A276" s="525">
        <v>1</v>
      </c>
      <c r="B276" s="526">
        <v>2</v>
      </c>
      <c r="C276" s="526">
        <v>3</v>
      </c>
      <c r="D276" s="526">
        <v>4</v>
      </c>
      <c r="E276" s="526">
        <v>5</v>
      </c>
      <c r="F276" s="512">
        <v>6</v>
      </c>
      <c r="G276" s="512">
        <v>7</v>
      </c>
      <c r="H276" s="591" t="s">
        <v>54</v>
      </c>
    </row>
    <row r="277" spans="1:8" s="920" customFormat="1" ht="14.25" customHeight="1" thickTop="1" x14ac:dyDescent="0.25">
      <c r="A277" s="2057"/>
      <c r="B277" s="95">
        <v>5339</v>
      </c>
      <c r="C277" s="888"/>
      <c r="D277" s="955" t="s">
        <v>1111</v>
      </c>
      <c r="E277" s="123"/>
      <c r="F277" s="311">
        <f>SUM(F278:F290)</f>
        <v>3201517</v>
      </c>
      <c r="G277" s="311">
        <f>SUM(G278:G290)</f>
        <v>3201157</v>
      </c>
      <c r="H277" s="1695">
        <f t="shared" si="28"/>
        <v>99.988755330676042</v>
      </c>
    </row>
    <row r="278" spans="1:8" s="920" customFormat="1" ht="14.25" customHeight="1" x14ac:dyDescent="0.25">
      <c r="A278" s="2057"/>
      <c r="B278" s="95"/>
      <c r="C278" s="888" t="s">
        <v>1836</v>
      </c>
      <c r="D278" s="2027" t="s">
        <v>1647</v>
      </c>
      <c r="E278" s="123"/>
      <c r="F278" s="312">
        <v>67</v>
      </c>
      <c r="G278" s="312">
        <v>67</v>
      </c>
      <c r="H278" s="1696">
        <f t="shared" si="28"/>
        <v>100</v>
      </c>
    </row>
    <row r="279" spans="1:8" s="920" customFormat="1" ht="14.25" customHeight="1" x14ac:dyDescent="0.25">
      <c r="A279" s="2057"/>
      <c r="B279" s="95"/>
      <c r="C279" s="888" t="s">
        <v>1821</v>
      </c>
      <c r="D279" s="3105" t="s">
        <v>1637</v>
      </c>
      <c r="E279" s="123"/>
      <c r="F279" s="312">
        <v>219</v>
      </c>
      <c r="G279" s="312">
        <v>219</v>
      </c>
      <c r="H279" s="1696">
        <f t="shared" si="28"/>
        <v>100</v>
      </c>
    </row>
    <row r="280" spans="1:8" s="920" customFormat="1" ht="14.25" customHeight="1" x14ac:dyDescent="0.25">
      <c r="A280" s="2057"/>
      <c r="B280" s="95"/>
      <c r="C280" s="888"/>
      <c r="D280" s="3068"/>
      <c r="E280" s="123"/>
      <c r="F280" s="312"/>
      <c r="G280" s="312"/>
      <c r="H280" s="1696"/>
    </row>
    <row r="281" spans="1:8" s="920" customFormat="1" ht="14.25" customHeight="1" x14ac:dyDescent="0.25">
      <c r="A281" s="2057"/>
      <c r="B281" s="95"/>
      <c r="C281" s="887" t="s">
        <v>1827</v>
      </c>
      <c r="D281" s="1365" t="s">
        <v>1317</v>
      </c>
      <c r="E281" s="123"/>
      <c r="F281" s="312">
        <v>62</v>
      </c>
      <c r="G281" s="312">
        <v>62</v>
      </c>
      <c r="H281" s="1696">
        <f t="shared" ref="H281:H287" si="29">(G281/F281)*100</f>
        <v>100</v>
      </c>
    </row>
    <row r="282" spans="1:8" s="920" customFormat="1" ht="14.25" customHeight="1" x14ac:dyDescent="0.25">
      <c r="A282" s="2057"/>
      <c r="B282" s="95"/>
      <c r="C282" s="888" t="s">
        <v>1856</v>
      </c>
      <c r="D282" s="2026" t="s">
        <v>1857</v>
      </c>
      <c r="E282" s="123"/>
      <c r="F282" s="312">
        <v>276</v>
      </c>
      <c r="G282" s="312">
        <v>276</v>
      </c>
      <c r="H282" s="1696">
        <f t="shared" si="29"/>
        <v>100</v>
      </c>
    </row>
    <row r="283" spans="1:8" s="920" customFormat="1" ht="26.25" x14ac:dyDescent="0.25">
      <c r="A283" s="2057"/>
      <c r="B283" s="95"/>
      <c r="C283" s="887" t="s">
        <v>1858</v>
      </c>
      <c r="D283" s="2026" t="s">
        <v>1859</v>
      </c>
      <c r="E283" s="123"/>
      <c r="F283" s="1089">
        <v>166</v>
      </c>
      <c r="G283" s="1089">
        <v>166</v>
      </c>
      <c r="H283" s="2051">
        <f t="shared" si="29"/>
        <v>100</v>
      </c>
    </row>
    <row r="284" spans="1:8" s="920" customFormat="1" ht="26.25" x14ac:dyDescent="0.25">
      <c r="A284" s="2057"/>
      <c r="B284" s="95"/>
      <c r="C284" s="887" t="s">
        <v>1828</v>
      </c>
      <c r="D284" s="2026" t="s">
        <v>1744</v>
      </c>
      <c r="E284" s="123"/>
      <c r="F284" s="1089">
        <v>3927</v>
      </c>
      <c r="G284" s="1089">
        <v>3927</v>
      </c>
      <c r="H284" s="2051">
        <f t="shared" si="29"/>
        <v>100</v>
      </c>
    </row>
    <row r="285" spans="1:8" s="920" customFormat="1" ht="14.25" customHeight="1" x14ac:dyDescent="0.25">
      <c r="A285" s="2057"/>
      <c r="B285" s="95"/>
      <c r="C285" s="888" t="s">
        <v>1808</v>
      </c>
      <c r="D285" s="2026" t="s">
        <v>1739</v>
      </c>
      <c r="E285" s="123"/>
      <c r="F285" s="312">
        <v>92228</v>
      </c>
      <c r="G285" s="312">
        <v>92228</v>
      </c>
      <c r="H285" s="1696">
        <f t="shared" si="29"/>
        <v>100</v>
      </c>
    </row>
    <row r="286" spans="1:8" s="920" customFormat="1" ht="26.25" x14ac:dyDescent="0.25">
      <c r="A286" s="2057"/>
      <c r="B286" s="95"/>
      <c r="C286" s="887" t="s">
        <v>1809</v>
      </c>
      <c r="D286" s="2036" t="s">
        <v>1810</v>
      </c>
      <c r="E286" s="123"/>
      <c r="F286" s="1089">
        <v>15504</v>
      </c>
      <c r="G286" s="1089">
        <v>15504</v>
      </c>
      <c r="H286" s="2051">
        <f t="shared" si="29"/>
        <v>100</v>
      </c>
    </row>
    <row r="287" spans="1:8" s="920" customFormat="1" ht="14.25" customHeight="1" x14ac:dyDescent="0.25">
      <c r="A287" s="2057"/>
      <c r="B287" s="95"/>
      <c r="C287" s="888" t="s">
        <v>1848</v>
      </c>
      <c r="D287" s="2027" t="s">
        <v>1752</v>
      </c>
      <c r="E287" s="123"/>
      <c r="F287" s="312">
        <v>529</v>
      </c>
      <c r="G287" s="312">
        <v>529</v>
      </c>
      <c r="H287" s="1696">
        <f t="shared" si="29"/>
        <v>100</v>
      </c>
    </row>
    <row r="288" spans="1:8" s="920" customFormat="1" ht="14.25" customHeight="1" x14ac:dyDescent="0.25">
      <c r="A288" s="2057"/>
      <c r="B288" s="1114"/>
      <c r="C288" s="888" t="s">
        <v>1807</v>
      </c>
      <c r="D288" s="1051" t="s">
        <v>24</v>
      </c>
      <c r="E288" s="123"/>
      <c r="F288" s="312">
        <v>3081736</v>
      </c>
      <c r="G288" s="312">
        <v>3081376</v>
      </c>
      <c r="H288" s="1696">
        <f>(G288/F288)*100</f>
        <v>99.988318272558061</v>
      </c>
    </row>
    <row r="289" spans="1:19" s="920" customFormat="1" ht="57.75" x14ac:dyDescent="0.25">
      <c r="A289" s="2057"/>
      <c r="B289" s="1114"/>
      <c r="C289" s="887" t="s">
        <v>1860</v>
      </c>
      <c r="D289" s="2053" t="s">
        <v>1861</v>
      </c>
      <c r="E289" s="123"/>
      <c r="F289" s="1089">
        <v>39</v>
      </c>
      <c r="G289" s="1089">
        <v>39</v>
      </c>
      <c r="H289" s="2051">
        <f>(G289/F289)*100</f>
        <v>100</v>
      </c>
    </row>
    <row r="290" spans="1:19" s="920" customFormat="1" ht="30" thickBot="1" x14ac:dyDescent="0.3">
      <c r="A290" s="2060"/>
      <c r="B290" s="2061"/>
      <c r="C290" s="965" t="s">
        <v>1825</v>
      </c>
      <c r="D290" s="2062" t="s">
        <v>1741</v>
      </c>
      <c r="E290" s="181"/>
      <c r="F290" s="1121">
        <v>6764</v>
      </c>
      <c r="G290" s="1121">
        <v>6764</v>
      </c>
      <c r="H290" s="2063">
        <f>(G290/F290)*100</f>
        <v>100</v>
      </c>
    </row>
    <row r="291" spans="1:19" s="772" customFormat="1" ht="26.25" customHeight="1" thickTop="1" thickBot="1" x14ac:dyDescent="0.3">
      <c r="A291" s="768" t="s">
        <v>2173</v>
      </c>
      <c r="B291" s="769"/>
      <c r="C291" s="770"/>
      <c r="D291" s="769"/>
      <c r="E291" s="1119">
        <v>0</v>
      </c>
      <c r="F291" s="1118">
        <f>F259+F277</f>
        <v>3226367</v>
      </c>
      <c r="G291" s="1118">
        <f>G259+G277</f>
        <v>3226007</v>
      </c>
      <c r="H291" s="771">
        <f>(G291/F291)*100</f>
        <v>99.988841938936275</v>
      </c>
      <c r="J291" s="497"/>
      <c r="K291" s="497"/>
      <c r="L291" s="497"/>
    </row>
    <row r="292" spans="1:19" s="772" customFormat="1" ht="26.25" customHeight="1" thickTop="1" x14ac:dyDescent="0.25">
      <c r="A292" s="2926"/>
      <c r="B292" s="2927"/>
      <c r="C292" s="2928"/>
      <c r="D292" s="2927"/>
      <c r="E292" s="2929"/>
      <c r="F292" s="2930"/>
      <c r="G292" s="2930"/>
      <c r="H292" s="2931"/>
      <c r="J292" s="497"/>
      <c r="K292" s="497"/>
      <c r="L292" s="497"/>
    </row>
    <row r="293" spans="1:19" s="772" customFormat="1" ht="26.25" customHeight="1" x14ac:dyDescent="0.25">
      <c r="A293" s="2926"/>
      <c r="B293" s="2927"/>
      <c r="C293" s="2928"/>
      <c r="D293" s="2927"/>
      <c r="E293" s="2929"/>
      <c r="F293" s="2930"/>
      <c r="G293" s="2930"/>
      <c r="H293" s="2931"/>
      <c r="J293" s="497"/>
      <c r="K293" s="497"/>
      <c r="L293" s="497"/>
    </row>
    <row r="294" spans="1:19" s="772" customFormat="1" ht="26.25" customHeight="1" x14ac:dyDescent="0.25">
      <c r="A294" s="2926"/>
      <c r="B294" s="2927"/>
      <c r="C294" s="2928"/>
      <c r="D294" s="2927"/>
      <c r="E294" s="2929"/>
      <c r="F294" s="2930"/>
      <c r="G294" s="2930"/>
      <c r="H294" s="2931"/>
      <c r="J294" s="497"/>
      <c r="K294" s="497"/>
      <c r="L294" s="497"/>
    </row>
    <row r="297" spans="1:19" ht="16.5" x14ac:dyDescent="0.25">
      <c r="A297" s="357" t="s">
        <v>185</v>
      </c>
      <c r="B297" s="358"/>
      <c r="C297" s="359"/>
      <c r="D297" s="360"/>
      <c r="E297" s="540">
        <f>SUM(E298:E301)</f>
        <v>80454</v>
      </c>
      <c r="F297" s="540">
        <f>SUM(F298:F301)</f>
        <v>101896</v>
      </c>
      <c r="G297" s="540">
        <f>SUM(G298:G302)</f>
        <v>101239</v>
      </c>
      <c r="H297" s="660">
        <f>(G297/F297)*100</f>
        <v>99.355224935228065</v>
      </c>
      <c r="L297" s="374"/>
      <c r="M297" s="374"/>
      <c r="N297" s="374"/>
      <c r="Q297" s="1611">
        <f>SUM(Q298:Q302)</f>
        <v>80454000</v>
      </c>
      <c r="R297" s="1611">
        <f t="shared" ref="R297:S297" si="30">SUM(R298:R302)</f>
        <v>101895873.18000001</v>
      </c>
      <c r="S297" s="1611">
        <f t="shared" si="30"/>
        <v>101237759.18000001</v>
      </c>
    </row>
    <row r="298" spans="1:19" ht="15" x14ac:dyDescent="0.2">
      <c r="A298" s="520" t="s">
        <v>242</v>
      </c>
      <c r="B298" s="666"/>
      <c r="C298" s="1159"/>
      <c r="D298" s="667"/>
      <c r="E298" s="545">
        <f>E123</f>
        <v>70154</v>
      </c>
      <c r="F298" s="545">
        <f>F123-F300</f>
        <v>95116</v>
      </c>
      <c r="G298" s="545">
        <f>G123-G300-G302</f>
        <v>94459</v>
      </c>
      <c r="H298" s="773">
        <f>(G298/F298)*100</f>
        <v>99.309264477059585</v>
      </c>
      <c r="L298" s="374"/>
      <c r="M298" s="374"/>
      <c r="N298" s="374"/>
      <c r="Q298" s="1437">
        <f>K12+K17+K18+K24+K29+K33+K36+K40+K41+K60+K64+K77+K82+K84+K86+K99+K104+K106+K108</f>
        <v>70154000</v>
      </c>
      <c r="R298" s="1437">
        <f>L11+L13+L14+L15+L16+L17+L19+L20+L21+L22+L24+L29+L33+L35+L38+L40+L41+L44+L47+L50+L52+L54+L56+L60+L64+L77+L82+L84+L86+L90+L92+L94+L97+L99+L102+L104+L106+L108+L110+L112+L114+L117+L119+L120-R300</f>
        <v>95115873.180000007</v>
      </c>
      <c r="S298" s="1437">
        <f>M11+M13+M14+M15+M16+M17+M19+M20+M21+M22+M24+M29+M33+M35+M38+M40+M41+M44+M47+M50+M52+M54+M56+M60+M64+M77+M82+M84+M86+M90+M92+M94+M97+M99+M102+M104+M106+M108+M110+M112+M114+M117+M119+M120-S300-18</f>
        <v>94457759.180000007</v>
      </c>
    </row>
    <row r="299" spans="1:19" ht="15" x14ac:dyDescent="0.2">
      <c r="A299" s="520" t="s">
        <v>243</v>
      </c>
      <c r="B299" s="1160"/>
      <c r="C299" s="1159"/>
      <c r="D299" s="1161"/>
      <c r="E299" s="545">
        <f>E141</f>
        <v>10300</v>
      </c>
      <c r="F299" s="545">
        <f>F141</f>
        <v>6600</v>
      </c>
      <c r="G299" s="545">
        <f>G141</f>
        <v>6600</v>
      </c>
      <c r="H299" s="773">
        <f>(G299/F299)*100</f>
        <v>100</v>
      </c>
      <c r="I299" s="374"/>
      <c r="J299" s="374"/>
      <c r="L299" s="374"/>
      <c r="M299" s="374"/>
      <c r="N299" s="374"/>
      <c r="Q299" s="1437">
        <v>10300000</v>
      </c>
      <c r="R299" s="1437">
        <v>6600000</v>
      </c>
      <c r="S299" s="1437">
        <v>6600000</v>
      </c>
    </row>
    <row r="300" spans="1:19" ht="15" x14ac:dyDescent="0.2">
      <c r="A300" s="520" t="s">
        <v>191</v>
      </c>
      <c r="B300" s="1160"/>
      <c r="C300" s="1159"/>
      <c r="D300" s="1161"/>
      <c r="E300" s="545">
        <v>0</v>
      </c>
      <c r="F300" s="545">
        <f>F111+F113+F116+F118</f>
        <v>180</v>
      </c>
      <c r="G300" s="545">
        <f>G111+G113+G116+G118</f>
        <v>180</v>
      </c>
      <c r="H300" s="773">
        <f>(G300/F300)*100</f>
        <v>100</v>
      </c>
      <c r="L300" s="374"/>
      <c r="M300" s="374"/>
      <c r="N300" s="374"/>
      <c r="Q300" s="1437">
        <v>0</v>
      </c>
      <c r="R300" s="1437">
        <v>180000</v>
      </c>
      <c r="S300" s="1437">
        <v>180000</v>
      </c>
    </row>
    <row r="301" spans="1:19" ht="15" x14ac:dyDescent="0.2">
      <c r="A301" s="520" t="s">
        <v>1034</v>
      </c>
      <c r="B301" s="1160"/>
      <c r="C301" s="1159"/>
      <c r="D301" s="1161"/>
      <c r="E301" s="545">
        <v>0</v>
      </c>
      <c r="F301" s="545">
        <v>0</v>
      </c>
      <c r="G301" s="545">
        <v>0</v>
      </c>
      <c r="H301" s="773">
        <v>0</v>
      </c>
      <c r="L301" s="755"/>
      <c r="M301" s="755"/>
      <c r="N301" s="755"/>
      <c r="Q301" s="1437">
        <v>0</v>
      </c>
      <c r="R301" s="1437">
        <v>0</v>
      </c>
      <c r="S301" s="1437">
        <v>0</v>
      </c>
    </row>
    <row r="302" spans="1:19" ht="15" x14ac:dyDescent="0.2">
      <c r="A302" s="520" t="s">
        <v>424</v>
      </c>
      <c r="B302" s="1160"/>
      <c r="C302" s="1159"/>
      <c r="D302" s="1161"/>
      <c r="E302" s="545">
        <v>0</v>
      </c>
      <c r="F302" s="545">
        <v>0</v>
      </c>
      <c r="G302" s="545">
        <v>0</v>
      </c>
      <c r="H302" s="656">
        <v>0</v>
      </c>
      <c r="Q302" s="1437">
        <v>0</v>
      </c>
      <c r="R302" s="1437">
        <v>0</v>
      </c>
      <c r="S302" s="1437">
        <v>0</v>
      </c>
    </row>
    <row r="303" spans="1:19" ht="15" x14ac:dyDescent="0.2">
      <c r="A303" s="520"/>
      <c r="B303" s="1160"/>
      <c r="C303" s="1159"/>
      <c r="D303" s="1161"/>
      <c r="E303" s="545"/>
      <c r="F303" s="545"/>
      <c r="G303" s="545"/>
      <c r="H303" s="656"/>
    </row>
    <row r="304" spans="1:19" ht="16.5" x14ac:dyDescent="0.25">
      <c r="A304" s="645" t="s">
        <v>244</v>
      </c>
      <c r="B304" s="1160"/>
      <c r="C304" s="1159"/>
      <c r="D304" s="1161"/>
      <c r="E304" s="540">
        <f>SUM(E305:E308)</f>
        <v>365121</v>
      </c>
      <c r="F304" s="540">
        <f>SUM(F305:F308)</f>
        <v>2082134</v>
      </c>
      <c r="G304" s="540">
        <f>SUM(G305:G308)</f>
        <v>2075240</v>
      </c>
      <c r="H304" s="660">
        <f>(G304/F304)*100</f>
        <v>99.668897390849963</v>
      </c>
      <c r="Q304" s="1611">
        <f>SUM(Q305:Q308)</f>
        <v>365121000</v>
      </c>
      <c r="R304" s="1611">
        <f>SUM(R305:R308)</f>
        <v>2082133959.8700001</v>
      </c>
      <c r="S304" s="1611">
        <f>SUM(S305:S308)</f>
        <v>2075240459.8700001</v>
      </c>
    </row>
    <row r="305" spans="1:19" ht="15" x14ac:dyDescent="0.2">
      <c r="A305" s="520" t="s">
        <v>2161</v>
      </c>
      <c r="B305" s="1160"/>
      <c r="C305" s="1159"/>
      <c r="D305" s="1161"/>
      <c r="E305" s="545">
        <f>E203</f>
        <v>365121</v>
      </c>
      <c r="F305" s="545">
        <f>F203-F307</f>
        <v>68366</v>
      </c>
      <c r="G305" s="545">
        <f>G203-G307</f>
        <v>61472</v>
      </c>
      <c r="H305" s="773">
        <f>(G305/F305)*100</f>
        <v>89.916040136910155</v>
      </c>
      <c r="K305" s="3103"/>
      <c r="L305" s="374"/>
      <c r="M305" s="374"/>
      <c r="N305" s="374"/>
      <c r="Q305" s="1437">
        <f>K203</f>
        <v>365121000</v>
      </c>
      <c r="R305" s="1437">
        <f>L148+L149+L150+L151+L155+L156+L157+L158+L159+L160+L161+L162+L163+L164</f>
        <v>68365990</v>
      </c>
      <c r="S305" s="1437">
        <f>M155+M156+M157+M158+M160+M161+M162+M163+M164</f>
        <v>61472490</v>
      </c>
    </row>
    <row r="306" spans="1:19" ht="15" x14ac:dyDescent="0.2">
      <c r="A306" s="520" t="s">
        <v>1035</v>
      </c>
      <c r="B306" s="1160"/>
      <c r="C306" s="1159"/>
      <c r="D306" s="1161"/>
      <c r="E306" s="545">
        <v>0</v>
      </c>
      <c r="F306" s="545">
        <v>0</v>
      </c>
      <c r="G306" s="545">
        <v>0</v>
      </c>
      <c r="H306" s="773">
        <v>0</v>
      </c>
      <c r="K306" s="3103"/>
      <c r="Q306" s="1437">
        <v>0</v>
      </c>
      <c r="R306" s="1437">
        <v>0</v>
      </c>
      <c r="S306" s="1437">
        <v>0</v>
      </c>
    </row>
    <row r="307" spans="1:19" ht="15" x14ac:dyDescent="0.2">
      <c r="A307" s="520" t="s">
        <v>2149</v>
      </c>
      <c r="B307" s="1352"/>
      <c r="E307" s="545">
        <v>0</v>
      </c>
      <c r="F307" s="545">
        <f>F165</f>
        <v>2013768</v>
      </c>
      <c r="G307" s="545">
        <f>G165</f>
        <v>2013768</v>
      </c>
      <c r="H307" s="773">
        <f>(G307/F307)*100</f>
        <v>100</v>
      </c>
      <c r="I307" s="374"/>
      <c r="J307" s="374"/>
      <c r="Q307" s="1437">
        <v>0</v>
      </c>
      <c r="R307" s="1437">
        <f>L166+L167+L169+L171+L173+L174+L175+L177+L179+L180+L181+L182+L185+L186+L187+L188+L189+L190+L191+L192+L193+L195+L197+L198+L199+L200+L201+L202</f>
        <v>2013767969.8700001</v>
      </c>
      <c r="S307" s="1437">
        <f>M166+M167+M169+M171+M173+M174+M175+M177+M179+M180+M181+M182+M185+M186+M187+M188+M189+M190+M191+M192+M193+M195+M197+M198+M199+M200+M201+M202</f>
        <v>2013767969.8700001</v>
      </c>
    </row>
    <row r="308" spans="1:19" ht="15" x14ac:dyDescent="0.2">
      <c r="A308" s="520" t="s">
        <v>2150</v>
      </c>
      <c r="B308" s="1352"/>
      <c r="E308" s="545">
        <v>0</v>
      </c>
      <c r="F308" s="545">
        <v>0</v>
      </c>
      <c r="G308" s="545">
        <v>0</v>
      </c>
      <c r="H308" s="773">
        <v>0</v>
      </c>
      <c r="K308" s="3103"/>
      <c r="L308" s="374"/>
      <c r="M308" s="374"/>
      <c r="N308" s="374"/>
      <c r="Q308" s="1437">
        <v>0</v>
      </c>
      <c r="R308" s="1437">
        <v>0</v>
      </c>
      <c r="S308" s="1437">
        <v>0</v>
      </c>
    </row>
    <row r="309" spans="1:19" ht="15" x14ac:dyDescent="0.2">
      <c r="A309" s="520"/>
      <c r="B309" s="1160"/>
      <c r="C309" s="1159"/>
      <c r="D309" s="1159"/>
      <c r="E309" s="545"/>
      <c r="F309" s="545"/>
      <c r="G309" s="545"/>
      <c r="H309" s="656"/>
      <c r="K309" s="3103"/>
    </row>
    <row r="310" spans="1:19" ht="15.75" x14ac:dyDescent="0.25">
      <c r="A310" s="766" t="s">
        <v>186</v>
      </c>
      <c r="B310" s="1160"/>
      <c r="C310" s="1159"/>
      <c r="D310" s="1159"/>
      <c r="E310" s="540">
        <f>SUM(E311:E314)</f>
        <v>1350</v>
      </c>
      <c r="F310" s="540">
        <f>SUM(F311:F314)</f>
        <v>240739</v>
      </c>
      <c r="G310" s="540">
        <f>SUM(G311:G314)</f>
        <v>240638</v>
      </c>
      <c r="H310" s="660">
        <f>(G310/F310)*100</f>
        <v>99.958045850485377</v>
      </c>
      <c r="K310" s="3103"/>
      <c r="L310" s="374"/>
      <c r="M310" s="374"/>
      <c r="N310" s="374"/>
      <c r="Q310" s="1611">
        <f>SUM(Q311:Q314)</f>
        <v>1350000</v>
      </c>
      <c r="R310" s="1611">
        <f>SUM(R311:R314)</f>
        <v>240739579</v>
      </c>
      <c r="S310" s="1611">
        <f>SUM(S311:S314)</f>
        <v>240638154</v>
      </c>
    </row>
    <row r="311" spans="1:19" ht="15" x14ac:dyDescent="0.2">
      <c r="A311" s="520" t="s">
        <v>2162</v>
      </c>
      <c r="B311" s="1160"/>
      <c r="C311" s="1159"/>
      <c r="D311" s="1159"/>
      <c r="E311" s="545">
        <f>E250</f>
        <v>1350</v>
      </c>
      <c r="F311" s="545">
        <f>F250-F313</f>
        <v>727</v>
      </c>
      <c r="G311" s="545">
        <f>G250-G313</f>
        <v>706</v>
      </c>
      <c r="H311" s="661">
        <f>(G311/F311)*100</f>
        <v>97.111416781292974</v>
      </c>
      <c r="I311" s="374"/>
      <c r="K311" s="3103"/>
      <c r="Q311" s="1437">
        <v>1350000</v>
      </c>
      <c r="R311" s="1437">
        <v>727250</v>
      </c>
      <c r="S311" s="1437">
        <v>705542</v>
      </c>
    </row>
    <row r="312" spans="1:19" ht="15" x14ac:dyDescent="0.2">
      <c r="A312" s="520" t="s">
        <v>2163</v>
      </c>
      <c r="B312" s="1160"/>
      <c r="C312" s="1159"/>
      <c r="D312" s="1159"/>
      <c r="E312" s="545">
        <v>0</v>
      </c>
      <c r="F312" s="545">
        <v>0</v>
      </c>
      <c r="G312" s="545">
        <v>0</v>
      </c>
      <c r="H312" s="661">
        <v>0</v>
      </c>
      <c r="L312" s="374"/>
      <c r="M312" s="374"/>
      <c r="N312" s="374"/>
      <c r="Q312" s="1437">
        <v>0</v>
      </c>
      <c r="R312" s="1437">
        <v>0</v>
      </c>
      <c r="S312" s="1437">
        <v>0</v>
      </c>
    </row>
    <row r="313" spans="1:19" ht="15" x14ac:dyDescent="0.2">
      <c r="A313" s="520" t="s">
        <v>191</v>
      </c>
      <c r="B313" s="1160"/>
      <c r="C313" s="1159"/>
      <c r="D313" s="1159"/>
      <c r="E313" s="545">
        <v>0</v>
      </c>
      <c r="F313" s="545">
        <f>F219+F225+F228+F229+F227+F231+F232+F233+F236+F239+F240+F244+F245+F218+F230+F237+F238+F243+F247</f>
        <v>240012</v>
      </c>
      <c r="G313" s="545">
        <f>G219+G225+G228+G229+G227+G231+G232+G233+G236+G239+G240+G244+G245+G218+G230+G237+G238+G243+G247</f>
        <v>239932</v>
      </c>
      <c r="H313" s="661">
        <f>(G313/F313)*100</f>
        <v>99.966668333250013</v>
      </c>
      <c r="Q313" s="1437">
        <v>0</v>
      </c>
      <c r="R313" s="1437">
        <f>L250</f>
        <v>240012329</v>
      </c>
      <c r="S313" s="1437">
        <f>M250</f>
        <v>239932612</v>
      </c>
    </row>
    <row r="314" spans="1:19" ht="15" x14ac:dyDescent="0.2">
      <c r="A314" s="520" t="s">
        <v>1034</v>
      </c>
      <c r="B314" s="1160"/>
      <c r="C314" s="1159"/>
      <c r="D314" s="1159"/>
      <c r="E314" s="545">
        <v>0</v>
      </c>
      <c r="F314" s="545">
        <v>0</v>
      </c>
      <c r="G314" s="545">
        <v>0</v>
      </c>
      <c r="H314" s="661">
        <v>0</v>
      </c>
      <c r="L314" s="374"/>
      <c r="M314" s="374"/>
      <c r="N314" s="374"/>
      <c r="Q314" s="1437">
        <v>0</v>
      </c>
      <c r="R314" s="1437">
        <v>0</v>
      </c>
      <c r="S314" s="1437">
        <v>0</v>
      </c>
    </row>
    <row r="315" spans="1:19" ht="15" x14ac:dyDescent="0.2">
      <c r="A315" s="520"/>
      <c r="B315" s="1160"/>
      <c r="C315" s="1159"/>
      <c r="D315" s="1159"/>
      <c r="E315" s="545"/>
      <c r="F315" s="545"/>
      <c r="G315" s="545"/>
      <c r="H315" s="656"/>
      <c r="K315" s="374">
        <f>E141</f>
        <v>10300</v>
      </c>
      <c r="L315" s="374">
        <f>F141</f>
        <v>6600</v>
      </c>
      <c r="M315" s="374">
        <f>G141</f>
        <v>6600</v>
      </c>
      <c r="N315" s="374" t="s">
        <v>1459</v>
      </c>
    </row>
    <row r="316" spans="1:19" ht="15.75" x14ac:dyDescent="0.25">
      <c r="A316" s="774" t="s">
        <v>472</v>
      </c>
      <c r="B316" s="1160"/>
      <c r="C316" s="1159"/>
      <c r="D316" s="1159"/>
      <c r="E316" s="540">
        <f>SUM(E317:E320)</f>
        <v>0</v>
      </c>
      <c r="F316" s="540">
        <f>SUM(F317:F320)</f>
        <v>3226367</v>
      </c>
      <c r="G316" s="540">
        <f>SUM(G317:G320)</f>
        <v>3226007</v>
      </c>
      <c r="H316" s="660">
        <f>(G316/F316)*100</f>
        <v>99.988841938936275</v>
      </c>
      <c r="K316" s="1912">
        <f>E123+E203+E250+E291</f>
        <v>436625</v>
      </c>
      <c r="L316" s="1912">
        <f>F123+F203+F250+F291</f>
        <v>5644536</v>
      </c>
      <c r="M316" s="1912">
        <f>G123+G203+G250+G291</f>
        <v>5636524</v>
      </c>
      <c r="N316" s="1913" t="s">
        <v>1460</v>
      </c>
      <c r="Q316" s="1611">
        <f>SUM(Q317:Q320)</f>
        <v>0</v>
      </c>
      <c r="R316" s="1611">
        <f>SUM(R317:R320)</f>
        <v>3226366813</v>
      </c>
      <c r="S316" s="1611">
        <f>SUM(S317:S320)</f>
        <v>3226007370.9699998</v>
      </c>
    </row>
    <row r="317" spans="1:19" ht="15" x14ac:dyDescent="0.2">
      <c r="A317" s="520" t="s">
        <v>2162</v>
      </c>
      <c r="B317" s="1160"/>
      <c r="C317" s="1159"/>
      <c r="D317" s="1159"/>
      <c r="E317" s="545">
        <f>E291</f>
        <v>0</v>
      </c>
      <c r="F317" s="545">
        <f>F291-F319</f>
        <v>0</v>
      </c>
      <c r="G317" s="545">
        <f>G291-G319</f>
        <v>0</v>
      </c>
      <c r="H317" s="773">
        <v>0</v>
      </c>
      <c r="K317" s="374">
        <f>K315+K316</f>
        <v>446925</v>
      </c>
      <c r="L317" s="374">
        <f>L315+L316</f>
        <v>5651136</v>
      </c>
      <c r="M317" s="374">
        <f>M315+M316</f>
        <v>5643124</v>
      </c>
      <c r="N317" s="373" t="s">
        <v>1652</v>
      </c>
      <c r="Q317" s="1437">
        <v>0</v>
      </c>
      <c r="R317" s="1437">
        <v>0</v>
      </c>
      <c r="S317" s="1437">
        <v>0</v>
      </c>
    </row>
    <row r="318" spans="1:19" ht="15" x14ac:dyDescent="0.2">
      <c r="A318" s="520" t="s">
        <v>2164</v>
      </c>
      <c r="B318" s="1160"/>
      <c r="C318" s="1159"/>
      <c r="D318" s="1159"/>
      <c r="E318" s="545">
        <v>0</v>
      </c>
      <c r="F318" s="545">
        <v>0</v>
      </c>
      <c r="G318" s="545">
        <v>0</v>
      </c>
      <c r="H318" s="773">
        <v>0</v>
      </c>
      <c r="Q318" s="1437">
        <v>0</v>
      </c>
      <c r="R318" s="1437">
        <v>0</v>
      </c>
      <c r="S318" s="1437">
        <v>0</v>
      </c>
    </row>
    <row r="319" spans="1:19" ht="15" x14ac:dyDescent="0.2">
      <c r="A319" s="520" t="s">
        <v>191</v>
      </c>
      <c r="B319" s="1160"/>
      <c r="C319" s="1159"/>
      <c r="D319" s="1159"/>
      <c r="E319" s="545">
        <v>0</v>
      </c>
      <c r="F319" s="545">
        <f>F261+F262+F263+F278+F279+F281+F282+F283+F284+F285+F286+F287+F288+F289+F290</f>
        <v>3226367</v>
      </c>
      <c r="G319" s="545">
        <f>G261+G262+G263+G278+G279+G281+G282+G283+G284+G285+G286+G287+G288+G289+G290</f>
        <v>3226007</v>
      </c>
      <c r="H319" s="773">
        <f>(G319/F319)*100</f>
        <v>99.988841938936275</v>
      </c>
      <c r="J319" s="755">
        <f>J320+J322</f>
        <v>446925</v>
      </c>
      <c r="K319" s="755">
        <f>K320+K322</f>
        <v>5651136</v>
      </c>
      <c r="L319" s="755">
        <f>L320+L322</f>
        <v>5643124</v>
      </c>
      <c r="M319" s="373" t="s">
        <v>1206</v>
      </c>
      <c r="Q319" s="1437">
        <v>0</v>
      </c>
      <c r="R319" s="1437">
        <v>3226366813</v>
      </c>
      <c r="S319" s="1437">
        <v>3226007370.9699998</v>
      </c>
    </row>
    <row r="320" spans="1:19" ht="15" x14ac:dyDescent="0.2">
      <c r="A320" s="520" t="s">
        <v>1034</v>
      </c>
      <c r="B320" s="1160"/>
      <c r="C320" s="1159"/>
      <c r="D320" s="1159"/>
      <c r="E320" s="545">
        <v>0</v>
      </c>
      <c r="F320" s="545">
        <v>0</v>
      </c>
      <c r="G320" s="545">
        <v>0</v>
      </c>
      <c r="H320" s="773">
        <v>0</v>
      </c>
      <c r="J320" s="374">
        <f>E123+E141</f>
        <v>80454</v>
      </c>
      <c r="K320" s="374">
        <f>F123+F141</f>
        <v>101896</v>
      </c>
      <c r="L320" s="374">
        <f>G123+G141</f>
        <v>101239</v>
      </c>
      <c r="M320" s="373" t="s">
        <v>662</v>
      </c>
      <c r="Q320" s="1437">
        <v>0</v>
      </c>
      <c r="R320" s="1437">
        <v>0</v>
      </c>
      <c r="S320" s="1437">
        <v>0</v>
      </c>
    </row>
    <row r="321" spans="1:19" ht="15" x14ac:dyDescent="0.2">
      <c r="A321" s="520"/>
      <c r="B321" s="1160"/>
      <c r="C321" s="1159"/>
      <c r="D321" s="1159"/>
      <c r="E321" s="545"/>
      <c r="F321" s="545"/>
      <c r="G321" s="545"/>
      <c r="H321" s="773"/>
      <c r="I321" s="374"/>
      <c r="J321" s="755">
        <f>E320+E319+E314+E313+E308+E307+E301+E300</f>
        <v>0</v>
      </c>
      <c r="K321" s="755">
        <f>F300+F301+F307+F308+F313+F314+F319+F320</f>
        <v>5480327</v>
      </c>
      <c r="L321" s="755">
        <f>G300+G301+G307+G308+G313+G314+G319+G320</f>
        <v>5479887</v>
      </c>
      <c r="M321" s="373" t="s">
        <v>226</v>
      </c>
      <c r="Q321" s="1437"/>
      <c r="R321" s="1437"/>
      <c r="S321" s="1437"/>
    </row>
    <row r="322" spans="1:19" ht="14.25" customHeight="1" x14ac:dyDescent="0.2">
      <c r="J322" s="374">
        <f>E316+E310+E304</f>
        <v>366471</v>
      </c>
      <c r="K322" s="374">
        <f>F304+F310+F316</f>
        <v>5549240</v>
      </c>
      <c r="L322" s="374">
        <f>G304+G310+G316</f>
        <v>5541885</v>
      </c>
      <c r="M322" s="373" t="s">
        <v>1205</v>
      </c>
    </row>
    <row r="323" spans="1:19" s="58" customFormat="1" ht="47.25" customHeight="1" thickBot="1" x14ac:dyDescent="0.4">
      <c r="A323" s="3076" t="s">
        <v>800</v>
      </c>
      <c r="B323" s="3076"/>
      <c r="C323" s="3076"/>
      <c r="D323" s="3076"/>
      <c r="E323" s="1147">
        <f>E297+E304+E310+E316</f>
        <v>446925</v>
      </c>
      <c r="F323" s="1147">
        <f>F297+F304+F310+F316</f>
        <v>5651136</v>
      </c>
      <c r="G323" s="1147">
        <f>G297+G304+G310+G316</f>
        <v>5643124</v>
      </c>
      <c r="H323" s="646">
        <f>(G323/F323)*100</f>
        <v>99.858223196185691</v>
      </c>
      <c r="Q323" s="2099">
        <f>Q316+Q310+Q304+Q297</f>
        <v>446925000</v>
      </c>
      <c r="R323" s="2099">
        <f t="shared" ref="R323:S323" si="31">R316+R310+R304+R297</f>
        <v>5651136225.0500002</v>
      </c>
      <c r="S323" s="2099">
        <f t="shared" si="31"/>
        <v>5643123744.0200005</v>
      </c>
    </row>
    <row r="324" spans="1:19" ht="15" thickTop="1" x14ac:dyDescent="0.2"/>
    <row r="326" spans="1:19" x14ac:dyDescent="0.2">
      <c r="H326" s="497"/>
    </row>
  </sheetData>
  <mergeCells count="18">
    <mergeCell ref="C175:C176"/>
    <mergeCell ref="D167:D168"/>
    <mergeCell ref="D225:D226"/>
    <mergeCell ref="D120:D121"/>
    <mergeCell ref="D175:D176"/>
    <mergeCell ref="D177:D178"/>
    <mergeCell ref="D193:D194"/>
    <mergeCell ref="A323:D323"/>
    <mergeCell ref="K305:K306"/>
    <mergeCell ref="D259:D260"/>
    <mergeCell ref="K308:K309"/>
    <mergeCell ref="K310:K311"/>
    <mergeCell ref="D279:D280"/>
    <mergeCell ref="D195:D196"/>
    <mergeCell ref="D182:D184"/>
    <mergeCell ref="D22:D23"/>
    <mergeCell ref="D169:D170"/>
    <mergeCell ref="D171:D172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7" firstPageNumber="37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  <rowBreaks count="1" manualBreakCount="1">
    <brk id="73" max="7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 enableFormatConditionsCalculation="0">
    <tabColor rgb="FF00B0F0"/>
  </sheetPr>
  <dimension ref="A1:AA2395"/>
  <sheetViews>
    <sheetView showGridLines="0" view="pageBreakPreview" topLeftCell="A28" zoomScaleNormal="100" zoomScaleSheetLayoutView="100" workbookViewId="0">
      <selection activeCell="E64" sqref="E64"/>
    </sheetView>
  </sheetViews>
  <sheetFormatPr defaultRowHeight="12.75" x14ac:dyDescent="0.2"/>
  <cols>
    <col min="1" max="1" width="4.85546875" style="373" customWidth="1"/>
    <col min="2" max="2" width="4.85546875" style="598" customWidth="1"/>
    <col min="3" max="3" width="5.140625" style="373" customWidth="1"/>
    <col min="4" max="4" width="9.7109375" style="670" customWidth="1"/>
    <col min="5" max="5" width="47.28515625" style="373" customWidth="1"/>
    <col min="6" max="6" width="14.42578125" style="374" customWidth="1"/>
    <col min="7" max="8" width="13.5703125" style="374" customWidth="1"/>
    <col min="9" max="9" width="7.42578125" style="1125" customWidth="1"/>
    <col min="10" max="15" width="0" style="373" hidden="1" customWidth="1"/>
    <col min="16" max="16" width="2.28515625" style="373" customWidth="1"/>
    <col min="17" max="17" width="9.140625" style="373"/>
    <col min="18" max="18" width="9.7109375" style="373" customWidth="1"/>
    <col min="19" max="19" width="9.5703125" style="373" customWidth="1"/>
    <col min="20" max="20" width="10.140625" style="373" customWidth="1"/>
    <col min="21" max="256" width="9.140625" style="373"/>
    <col min="257" max="259" width="4.7109375" style="373" customWidth="1"/>
    <col min="260" max="260" width="9" style="373" customWidth="1"/>
    <col min="261" max="261" width="47.28515625" style="373" customWidth="1"/>
    <col min="262" max="262" width="11.5703125" style="373" customWidth="1"/>
    <col min="263" max="264" width="13.5703125" style="373" customWidth="1"/>
    <col min="265" max="265" width="7.42578125" style="373" customWidth="1"/>
    <col min="266" max="271" width="0" style="373" hidden="1" customWidth="1"/>
    <col min="272" max="272" width="2.28515625" style="373" customWidth="1"/>
    <col min="273" max="273" width="9.140625" style="373"/>
    <col min="274" max="274" width="9.7109375" style="373" customWidth="1"/>
    <col min="275" max="275" width="9.5703125" style="373" customWidth="1"/>
    <col min="276" max="276" width="10.140625" style="373" customWidth="1"/>
    <col min="277" max="512" width="9.140625" style="373"/>
    <col min="513" max="515" width="4.7109375" style="373" customWidth="1"/>
    <col min="516" max="516" width="9" style="373" customWidth="1"/>
    <col min="517" max="517" width="47.28515625" style="373" customWidth="1"/>
    <col min="518" max="518" width="11.5703125" style="373" customWidth="1"/>
    <col min="519" max="520" width="13.5703125" style="373" customWidth="1"/>
    <col min="521" max="521" width="7.42578125" style="373" customWidth="1"/>
    <col min="522" max="527" width="0" style="373" hidden="1" customWidth="1"/>
    <col min="528" max="528" width="2.28515625" style="373" customWidth="1"/>
    <col min="529" max="529" width="9.140625" style="373"/>
    <col min="530" max="530" width="9.7109375" style="373" customWidth="1"/>
    <col min="531" max="531" width="9.5703125" style="373" customWidth="1"/>
    <col min="532" max="532" width="10.140625" style="373" customWidth="1"/>
    <col min="533" max="768" width="9.140625" style="373"/>
    <col min="769" max="771" width="4.7109375" style="373" customWidth="1"/>
    <col min="772" max="772" width="9" style="373" customWidth="1"/>
    <col min="773" max="773" width="47.28515625" style="373" customWidth="1"/>
    <col min="774" max="774" width="11.5703125" style="373" customWidth="1"/>
    <col min="775" max="776" width="13.5703125" style="373" customWidth="1"/>
    <col min="777" max="777" width="7.42578125" style="373" customWidth="1"/>
    <col min="778" max="783" width="0" style="373" hidden="1" customWidth="1"/>
    <col min="784" max="784" width="2.28515625" style="373" customWidth="1"/>
    <col min="785" max="785" width="9.140625" style="373"/>
    <col min="786" max="786" width="9.7109375" style="373" customWidth="1"/>
    <col min="787" max="787" width="9.5703125" style="373" customWidth="1"/>
    <col min="788" max="788" width="10.140625" style="373" customWidth="1"/>
    <col min="789" max="1024" width="9.140625" style="373"/>
    <col min="1025" max="1027" width="4.7109375" style="373" customWidth="1"/>
    <col min="1028" max="1028" width="9" style="373" customWidth="1"/>
    <col min="1029" max="1029" width="47.28515625" style="373" customWidth="1"/>
    <col min="1030" max="1030" width="11.5703125" style="373" customWidth="1"/>
    <col min="1031" max="1032" width="13.5703125" style="373" customWidth="1"/>
    <col min="1033" max="1033" width="7.42578125" style="373" customWidth="1"/>
    <col min="1034" max="1039" width="0" style="373" hidden="1" customWidth="1"/>
    <col min="1040" max="1040" width="2.28515625" style="373" customWidth="1"/>
    <col min="1041" max="1041" width="9.140625" style="373"/>
    <col min="1042" max="1042" width="9.7109375" style="373" customWidth="1"/>
    <col min="1043" max="1043" width="9.5703125" style="373" customWidth="1"/>
    <col min="1044" max="1044" width="10.140625" style="373" customWidth="1"/>
    <col min="1045" max="1280" width="9.140625" style="373"/>
    <col min="1281" max="1283" width="4.7109375" style="373" customWidth="1"/>
    <col min="1284" max="1284" width="9" style="373" customWidth="1"/>
    <col min="1285" max="1285" width="47.28515625" style="373" customWidth="1"/>
    <col min="1286" max="1286" width="11.5703125" style="373" customWidth="1"/>
    <col min="1287" max="1288" width="13.5703125" style="373" customWidth="1"/>
    <col min="1289" max="1289" width="7.42578125" style="373" customWidth="1"/>
    <col min="1290" max="1295" width="0" style="373" hidden="1" customWidth="1"/>
    <col min="1296" max="1296" width="2.28515625" style="373" customWidth="1"/>
    <col min="1297" max="1297" width="9.140625" style="373"/>
    <col min="1298" max="1298" width="9.7109375" style="373" customWidth="1"/>
    <col min="1299" max="1299" width="9.5703125" style="373" customWidth="1"/>
    <col min="1300" max="1300" width="10.140625" style="373" customWidth="1"/>
    <col min="1301" max="1536" width="9.140625" style="373"/>
    <col min="1537" max="1539" width="4.7109375" style="373" customWidth="1"/>
    <col min="1540" max="1540" width="9" style="373" customWidth="1"/>
    <col min="1541" max="1541" width="47.28515625" style="373" customWidth="1"/>
    <col min="1542" max="1542" width="11.5703125" style="373" customWidth="1"/>
    <col min="1543" max="1544" width="13.5703125" style="373" customWidth="1"/>
    <col min="1545" max="1545" width="7.42578125" style="373" customWidth="1"/>
    <col min="1546" max="1551" width="0" style="373" hidden="1" customWidth="1"/>
    <col min="1552" max="1552" width="2.28515625" style="373" customWidth="1"/>
    <col min="1553" max="1553" width="9.140625" style="373"/>
    <col min="1554" max="1554" width="9.7109375" style="373" customWidth="1"/>
    <col min="1555" max="1555" width="9.5703125" style="373" customWidth="1"/>
    <col min="1556" max="1556" width="10.140625" style="373" customWidth="1"/>
    <col min="1557" max="1792" width="9.140625" style="373"/>
    <col min="1793" max="1795" width="4.7109375" style="373" customWidth="1"/>
    <col min="1796" max="1796" width="9" style="373" customWidth="1"/>
    <col min="1797" max="1797" width="47.28515625" style="373" customWidth="1"/>
    <col min="1798" max="1798" width="11.5703125" style="373" customWidth="1"/>
    <col min="1799" max="1800" width="13.5703125" style="373" customWidth="1"/>
    <col min="1801" max="1801" width="7.42578125" style="373" customWidth="1"/>
    <col min="1802" max="1807" width="0" style="373" hidden="1" customWidth="1"/>
    <col min="1808" max="1808" width="2.28515625" style="373" customWidth="1"/>
    <col min="1809" max="1809" width="9.140625" style="373"/>
    <col min="1810" max="1810" width="9.7109375" style="373" customWidth="1"/>
    <col min="1811" max="1811" width="9.5703125" style="373" customWidth="1"/>
    <col min="1812" max="1812" width="10.140625" style="373" customWidth="1"/>
    <col min="1813" max="2048" width="9.140625" style="373"/>
    <col min="2049" max="2051" width="4.7109375" style="373" customWidth="1"/>
    <col min="2052" max="2052" width="9" style="373" customWidth="1"/>
    <col min="2053" max="2053" width="47.28515625" style="373" customWidth="1"/>
    <col min="2054" max="2054" width="11.5703125" style="373" customWidth="1"/>
    <col min="2055" max="2056" width="13.5703125" style="373" customWidth="1"/>
    <col min="2057" max="2057" width="7.42578125" style="373" customWidth="1"/>
    <col min="2058" max="2063" width="0" style="373" hidden="1" customWidth="1"/>
    <col min="2064" max="2064" width="2.28515625" style="373" customWidth="1"/>
    <col min="2065" max="2065" width="9.140625" style="373"/>
    <col min="2066" max="2066" width="9.7109375" style="373" customWidth="1"/>
    <col min="2067" max="2067" width="9.5703125" style="373" customWidth="1"/>
    <col min="2068" max="2068" width="10.140625" style="373" customWidth="1"/>
    <col min="2069" max="2304" width="9.140625" style="373"/>
    <col min="2305" max="2307" width="4.7109375" style="373" customWidth="1"/>
    <col min="2308" max="2308" width="9" style="373" customWidth="1"/>
    <col min="2309" max="2309" width="47.28515625" style="373" customWidth="1"/>
    <col min="2310" max="2310" width="11.5703125" style="373" customWidth="1"/>
    <col min="2311" max="2312" width="13.5703125" style="373" customWidth="1"/>
    <col min="2313" max="2313" width="7.42578125" style="373" customWidth="1"/>
    <col min="2314" max="2319" width="0" style="373" hidden="1" customWidth="1"/>
    <col min="2320" max="2320" width="2.28515625" style="373" customWidth="1"/>
    <col min="2321" max="2321" width="9.140625" style="373"/>
    <col min="2322" max="2322" width="9.7109375" style="373" customWidth="1"/>
    <col min="2323" max="2323" width="9.5703125" style="373" customWidth="1"/>
    <col min="2324" max="2324" width="10.140625" style="373" customWidth="1"/>
    <col min="2325" max="2560" width="9.140625" style="373"/>
    <col min="2561" max="2563" width="4.7109375" style="373" customWidth="1"/>
    <col min="2564" max="2564" width="9" style="373" customWidth="1"/>
    <col min="2565" max="2565" width="47.28515625" style="373" customWidth="1"/>
    <col min="2566" max="2566" width="11.5703125" style="373" customWidth="1"/>
    <col min="2567" max="2568" width="13.5703125" style="373" customWidth="1"/>
    <col min="2569" max="2569" width="7.42578125" style="373" customWidth="1"/>
    <col min="2570" max="2575" width="0" style="373" hidden="1" customWidth="1"/>
    <col min="2576" max="2576" width="2.28515625" style="373" customWidth="1"/>
    <col min="2577" max="2577" width="9.140625" style="373"/>
    <col min="2578" max="2578" width="9.7109375" style="373" customWidth="1"/>
    <col min="2579" max="2579" width="9.5703125" style="373" customWidth="1"/>
    <col min="2580" max="2580" width="10.140625" style="373" customWidth="1"/>
    <col min="2581" max="2816" width="9.140625" style="373"/>
    <col min="2817" max="2819" width="4.7109375" style="373" customWidth="1"/>
    <col min="2820" max="2820" width="9" style="373" customWidth="1"/>
    <col min="2821" max="2821" width="47.28515625" style="373" customWidth="1"/>
    <col min="2822" max="2822" width="11.5703125" style="373" customWidth="1"/>
    <col min="2823" max="2824" width="13.5703125" style="373" customWidth="1"/>
    <col min="2825" max="2825" width="7.42578125" style="373" customWidth="1"/>
    <col min="2826" max="2831" width="0" style="373" hidden="1" customWidth="1"/>
    <col min="2832" max="2832" width="2.28515625" style="373" customWidth="1"/>
    <col min="2833" max="2833" width="9.140625" style="373"/>
    <col min="2834" max="2834" width="9.7109375" style="373" customWidth="1"/>
    <col min="2835" max="2835" width="9.5703125" style="373" customWidth="1"/>
    <col min="2836" max="2836" width="10.140625" style="373" customWidth="1"/>
    <col min="2837" max="3072" width="9.140625" style="373"/>
    <col min="3073" max="3075" width="4.7109375" style="373" customWidth="1"/>
    <col min="3076" max="3076" width="9" style="373" customWidth="1"/>
    <col min="3077" max="3077" width="47.28515625" style="373" customWidth="1"/>
    <col min="3078" max="3078" width="11.5703125" style="373" customWidth="1"/>
    <col min="3079" max="3080" width="13.5703125" style="373" customWidth="1"/>
    <col min="3081" max="3081" width="7.42578125" style="373" customWidth="1"/>
    <col min="3082" max="3087" width="0" style="373" hidden="1" customWidth="1"/>
    <col min="3088" max="3088" width="2.28515625" style="373" customWidth="1"/>
    <col min="3089" max="3089" width="9.140625" style="373"/>
    <col min="3090" max="3090" width="9.7109375" style="373" customWidth="1"/>
    <col min="3091" max="3091" width="9.5703125" style="373" customWidth="1"/>
    <col min="3092" max="3092" width="10.140625" style="373" customWidth="1"/>
    <col min="3093" max="3328" width="9.140625" style="373"/>
    <col min="3329" max="3331" width="4.7109375" style="373" customWidth="1"/>
    <col min="3332" max="3332" width="9" style="373" customWidth="1"/>
    <col min="3333" max="3333" width="47.28515625" style="373" customWidth="1"/>
    <col min="3334" max="3334" width="11.5703125" style="373" customWidth="1"/>
    <col min="3335" max="3336" width="13.5703125" style="373" customWidth="1"/>
    <col min="3337" max="3337" width="7.42578125" style="373" customWidth="1"/>
    <col min="3338" max="3343" width="0" style="373" hidden="1" customWidth="1"/>
    <col min="3344" max="3344" width="2.28515625" style="373" customWidth="1"/>
    <col min="3345" max="3345" width="9.140625" style="373"/>
    <col min="3346" max="3346" width="9.7109375" style="373" customWidth="1"/>
    <col min="3347" max="3347" width="9.5703125" style="373" customWidth="1"/>
    <col min="3348" max="3348" width="10.140625" style="373" customWidth="1"/>
    <col min="3349" max="3584" width="9.140625" style="373"/>
    <col min="3585" max="3587" width="4.7109375" style="373" customWidth="1"/>
    <col min="3588" max="3588" width="9" style="373" customWidth="1"/>
    <col min="3589" max="3589" width="47.28515625" style="373" customWidth="1"/>
    <col min="3590" max="3590" width="11.5703125" style="373" customWidth="1"/>
    <col min="3591" max="3592" width="13.5703125" style="373" customWidth="1"/>
    <col min="3593" max="3593" width="7.42578125" style="373" customWidth="1"/>
    <col min="3594" max="3599" width="0" style="373" hidden="1" customWidth="1"/>
    <col min="3600" max="3600" width="2.28515625" style="373" customWidth="1"/>
    <col min="3601" max="3601" width="9.140625" style="373"/>
    <col min="3602" max="3602" width="9.7109375" style="373" customWidth="1"/>
    <col min="3603" max="3603" width="9.5703125" style="373" customWidth="1"/>
    <col min="3604" max="3604" width="10.140625" style="373" customWidth="1"/>
    <col min="3605" max="3840" width="9.140625" style="373"/>
    <col min="3841" max="3843" width="4.7109375" style="373" customWidth="1"/>
    <col min="3844" max="3844" width="9" style="373" customWidth="1"/>
    <col min="3845" max="3845" width="47.28515625" style="373" customWidth="1"/>
    <col min="3846" max="3846" width="11.5703125" style="373" customWidth="1"/>
    <col min="3847" max="3848" width="13.5703125" style="373" customWidth="1"/>
    <col min="3849" max="3849" width="7.42578125" style="373" customWidth="1"/>
    <col min="3850" max="3855" width="0" style="373" hidden="1" customWidth="1"/>
    <col min="3856" max="3856" width="2.28515625" style="373" customWidth="1"/>
    <col min="3857" max="3857" width="9.140625" style="373"/>
    <col min="3858" max="3858" width="9.7109375" style="373" customWidth="1"/>
    <col min="3859" max="3859" width="9.5703125" style="373" customWidth="1"/>
    <col min="3860" max="3860" width="10.140625" style="373" customWidth="1"/>
    <col min="3861" max="4096" width="9.140625" style="373"/>
    <col min="4097" max="4099" width="4.7109375" style="373" customWidth="1"/>
    <col min="4100" max="4100" width="9" style="373" customWidth="1"/>
    <col min="4101" max="4101" width="47.28515625" style="373" customWidth="1"/>
    <col min="4102" max="4102" width="11.5703125" style="373" customWidth="1"/>
    <col min="4103" max="4104" width="13.5703125" style="373" customWidth="1"/>
    <col min="4105" max="4105" width="7.42578125" style="373" customWidth="1"/>
    <col min="4106" max="4111" width="0" style="373" hidden="1" customWidth="1"/>
    <col min="4112" max="4112" width="2.28515625" style="373" customWidth="1"/>
    <col min="4113" max="4113" width="9.140625" style="373"/>
    <col min="4114" max="4114" width="9.7109375" style="373" customWidth="1"/>
    <col min="4115" max="4115" width="9.5703125" style="373" customWidth="1"/>
    <col min="4116" max="4116" width="10.140625" style="373" customWidth="1"/>
    <col min="4117" max="4352" width="9.140625" style="373"/>
    <col min="4353" max="4355" width="4.7109375" style="373" customWidth="1"/>
    <col min="4356" max="4356" width="9" style="373" customWidth="1"/>
    <col min="4357" max="4357" width="47.28515625" style="373" customWidth="1"/>
    <col min="4358" max="4358" width="11.5703125" style="373" customWidth="1"/>
    <col min="4359" max="4360" width="13.5703125" style="373" customWidth="1"/>
    <col min="4361" max="4361" width="7.42578125" style="373" customWidth="1"/>
    <col min="4362" max="4367" width="0" style="373" hidden="1" customWidth="1"/>
    <col min="4368" max="4368" width="2.28515625" style="373" customWidth="1"/>
    <col min="4369" max="4369" width="9.140625" style="373"/>
    <col min="4370" max="4370" width="9.7109375" style="373" customWidth="1"/>
    <col min="4371" max="4371" width="9.5703125" style="373" customWidth="1"/>
    <col min="4372" max="4372" width="10.140625" style="373" customWidth="1"/>
    <col min="4373" max="4608" width="9.140625" style="373"/>
    <col min="4609" max="4611" width="4.7109375" style="373" customWidth="1"/>
    <col min="4612" max="4612" width="9" style="373" customWidth="1"/>
    <col min="4613" max="4613" width="47.28515625" style="373" customWidth="1"/>
    <col min="4614" max="4614" width="11.5703125" style="373" customWidth="1"/>
    <col min="4615" max="4616" width="13.5703125" style="373" customWidth="1"/>
    <col min="4617" max="4617" width="7.42578125" style="373" customWidth="1"/>
    <col min="4618" max="4623" width="0" style="373" hidden="1" customWidth="1"/>
    <col min="4624" max="4624" width="2.28515625" style="373" customWidth="1"/>
    <col min="4625" max="4625" width="9.140625" style="373"/>
    <col min="4626" max="4626" width="9.7109375" style="373" customWidth="1"/>
    <col min="4627" max="4627" width="9.5703125" style="373" customWidth="1"/>
    <col min="4628" max="4628" width="10.140625" style="373" customWidth="1"/>
    <col min="4629" max="4864" width="9.140625" style="373"/>
    <col min="4865" max="4867" width="4.7109375" style="373" customWidth="1"/>
    <col min="4868" max="4868" width="9" style="373" customWidth="1"/>
    <col min="4869" max="4869" width="47.28515625" style="373" customWidth="1"/>
    <col min="4870" max="4870" width="11.5703125" style="373" customWidth="1"/>
    <col min="4871" max="4872" width="13.5703125" style="373" customWidth="1"/>
    <col min="4873" max="4873" width="7.42578125" style="373" customWidth="1"/>
    <col min="4874" max="4879" width="0" style="373" hidden="1" customWidth="1"/>
    <col min="4880" max="4880" width="2.28515625" style="373" customWidth="1"/>
    <col min="4881" max="4881" width="9.140625" style="373"/>
    <col min="4882" max="4882" width="9.7109375" style="373" customWidth="1"/>
    <col min="4883" max="4883" width="9.5703125" style="373" customWidth="1"/>
    <col min="4884" max="4884" width="10.140625" style="373" customWidth="1"/>
    <col min="4885" max="5120" width="9.140625" style="373"/>
    <col min="5121" max="5123" width="4.7109375" style="373" customWidth="1"/>
    <col min="5124" max="5124" width="9" style="373" customWidth="1"/>
    <col min="5125" max="5125" width="47.28515625" style="373" customWidth="1"/>
    <col min="5126" max="5126" width="11.5703125" style="373" customWidth="1"/>
    <col min="5127" max="5128" width="13.5703125" style="373" customWidth="1"/>
    <col min="5129" max="5129" width="7.42578125" style="373" customWidth="1"/>
    <col min="5130" max="5135" width="0" style="373" hidden="1" customWidth="1"/>
    <col min="5136" max="5136" width="2.28515625" style="373" customWidth="1"/>
    <col min="5137" max="5137" width="9.140625" style="373"/>
    <col min="5138" max="5138" width="9.7109375" style="373" customWidth="1"/>
    <col min="5139" max="5139" width="9.5703125" style="373" customWidth="1"/>
    <col min="5140" max="5140" width="10.140625" style="373" customWidth="1"/>
    <col min="5141" max="5376" width="9.140625" style="373"/>
    <col min="5377" max="5379" width="4.7109375" style="373" customWidth="1"/>
    <col min="5380" max="5380" width="9" style="373" customWidth="1"/>
    <col min="5381" max="5381" width="47.28515625" style="373" customWidth="1"/>
    <col min="5382" max="5382" width="11.5703125" style="373" customWidth="1"/>
    <col min="5383" max="5384" width="13.5703125" style="373" customWidth="1"/>
    <col min="5385" max="5385" width="7.42578125" style="373" customWidth="1"/>
    <col min="5386" max="5391" width="0" style="373" hidden="1" customWidth="1"/>
    <col min="5392" max="5392" width="2.28515625" style="373" customWidth="1"/>
    <col min="5393" max="5393" width="9.140625" style="373"/>
    <col min="5394" max="5394" width="9.7109375" style="373" customWidth="1"/>
    <col min="5395" max="5395" width="9.5703125" style="373" customWidth="1"/>
    <col min="5396" max="5396" width="10.140625" style="373" customWidth="1"/>
    <col min="5397" max="5632" width="9.140625" style="373"/>
    <col min="5633" max="5635" width="4.7109375" style="373" customWidth="1"/>
    <col min="5636" max="5636" width="9" style="373" customWidth="1"/>
    <col min="5637" max="5637" width="47.28515625" style="373" customWidth="1"/>
    <col min="5638" max="5638" width="11.5703125" style="373" customWidth="1"/>
    <col min="5639" max="5640" width="13.5703125" style="373" customWidth="1"/>
    <col min="5641" max="5641" width="7.42578125" style="373" customWidth="1"/>
    <col min="5642" max="5647" width="0" style="373" hidden="1" customWidth="1"/>
    <col min="5648" max="5648" width="2.28515625" style="373" customWidth="1"/>
    <col min="5649" max="5649" width="9.140625" style="373"/>
    <col min="5650" max="5650" width="9.7109375" style="373" customWidth="1"/>
    <col min="5651" max="5651" width="9.5703125" style="373" customWidth="1"/>
    <col min="5652" max="5652" width="10.140625" style="373" customWidth="1"/>
    <col min="5653" max="5888" width="9.140625" style="373"/>
    <col min="5889" max="5891" width="4.7109375" style="373" customWidth="1"/>
    <col min="5892" max="5892" width="9" style="373" customWidth="1"/>
    <col min="5893" max="5893" width="47.28515625" style="373" customWidth="1"/>
    <col min="5894" max="5894" width="11.5703125" style="373" customWidth="1"/>
    <col min="5895" max="5896" width="13.5703125" style="373" customWidth="1"/>
    <col min="5897" max="5897" width="7.42578125" style="373" customWidth="1"/>
    <col min="5898" max="5903" width="0" style="373" hidden="1" customWidth="1"/>
    <col min="5904" max="5904" width="2.28515625" style="373" customWidth="1"/>
    <col min="5905" max="5905" width="9.140625" style="373"/>
    <col min="5906" max="5906" width="9.7109375" style="373" customWidth="1"/>
    <col min="5907" max="5907" width="9.5703125" style="373" customWidth="1"/>
    <col min="5908" max="5908" width="10.140625" style="373" customWidth="1"/>
    <col min="5909" max="6144" width="9.140625" style="373"/>
    <col min="6145" max="6147" width="4.7109375" style="373" customWidth="1"/>
    <col min="6148" max="6148" width="9" style="373" customWidth="1"/>
    <col min="6149" max="6149" width="47.28515625" style="373" customWidth="1"/>
    <col min="6150" max="6150" width="11.5703125" style="373" customWidth="1"/>
    <col min="6151" max="6152" width="13.5703125" style="373" customWidth="1"/>
    <col min="6153" max="6153" width="7.42578125" style="373" customWidth="1"/>
    <col min="6154" max="6159" width="0" style="373" hidden="1" customWidth="1"/>
    <col min="6160" max="6160" width="2.28515625" style="373" customWidth="1"/>
    <col min="6161" max="6161" width="9.140625" style="373"/>
    <col min="6162" max="6162" width="9.7109375" style="373" customWidth="1"/>
    <col min="6163" max="6163" width="9.5703125" style="373" customWidth="1"/>
    <col min="6164" max="6164" width="10.140625" style="373" customWidth="1"/>
    <col min="6165" max="6400" width="9.140625" style="373"/>
    <col min="6401" max="6403" width="4.7109375" style="373" customWidth="1"/>
    <col min="6404" max="6404" width="9" style="373" customWidth="1"/>
    <col min="6405" max="6405" width="47.28515625" style="373" customWidth="1"/>
    <col min="6406" max="6406" width="11.5703125" style="373" customWidth="1"/>
    <col min="6407" max="6408" width="13.5703125" style="373" customWidth="1"/>
    <col min="6409" max="6409" width="7.42578125" style="373" customWidth="1"/>
    <col min="6410" max="6415" width="0" style="373" hidden="1" customWidth="1"/>
    <col min="6416" max="6416" width="2.28515625" style="373" customWidth="1"/>
    <col min="6417" max="6417" width="9.140625" style="373"/>
    <col min="6418" max="6418" width="9.7109375" style="373" customWidth="1"/>
    <col min="6419" max="6419" width="9.5703125" style="373" customWidth="1"/>
    <col min="6420" max="6420" width="10.140625" style="373" customWidth="1"/>
    <col min="6421" max="6656" width="9.140625" style="373"/>
    <col min="6657" max="6659" width="4.7109375" style="373" customWidth="1"/>
    <col min="6660" max="6660" width="9" style="373" customWidth="1"/>
    <col min="6661" max="6661" width="47.28515625" style="373" customWidth="1"/>
    <col min="6662" max="6662" width="11.5703125" style="373" customWidth="1"/>
    <col min="6663" max="6664" width="13.5703125" style="373" customWidth="1"/>
    <col min="6665" max="6665" width="7.42578125" style="373" customWidth="1"/>
    <col min="6666" max="6671" width="0" style="373" hidden="1" customWidth="1"/>
    <col min="6672" max="6672" width="2.28515625" style="373" customWidth="1"/>
    <col min="6673" max="6673" width="9.140625" style="373"/>
    <col min="6674" max="6674" width="9.7109375" style="373" customWidth="1"/>
    <col min="6675" max="6675" width="9.5703125" style="373" customWidth="1"/>
    <col min="6676" max="6676" width="10.140625" style="373" customWidth="1"/>
    <col min="6677" max="6912" width="9.140625" style="373"/>
    <col min="6913" max="6915" width="4.7109375" style="373" customWidth="1"/>
    <col min="6916" max="6916" width="9" style="373" customWidth="1"/>
    <col min="6917" max="6917" width="47.28515625" style="373" customWidth="1"/>
    <col min="6918" max="6918" width="11.5703125" style="373" customWidth="1"/>
    <col min="6919" max="6920" width="13.5703125" style="373" customWidth="1"/>
    <col min="6921" max="6921" width="7.42578125" style="373" customWidth="1"/>
    <col min="6922" max="6927" width="0" style="373" hidden="1" customWidth="1"/>
    <col min="6928" max="6928" width="2.28515625" style="373" customWidth="1"/>
    <col min="6929" max="6929" width="9.140625" style="373"/>
    <col min="6930" max="6930" width="9.7109375" style="373" customWidth="1"/>
    <col min="6931" max="6931" width="9.5703125" style="373" customWidth="1"/>
    <col min="6932" max="6932" width="10.140625" style="373" customWidth="1"/>
    <col min="6933" max="7168" width="9.140625" style="373"/>
    <col min="7169" max="7171" width="4.7109375" style="373" customWidth="1"/>
    <col min="7172" max="7172" width="9" style="373" customWidth="1"/>
    <col min="7173" max="7173" width="47.28515625" style="373" customWidth="1"/>
    <col min="7174" max="7174" width="11.5703125" style="373" customWidth="1"/>
    <col min="7175" max="7176" width="13.5703125" style="373" customWidth="1"/>
    <col min="7177" max="7177" width="7.42578125" style="373" customWidth="1"/>
    <col min="7178" max="7183" width="0" style="373" hidden="1" customWidth="1"/>
    <col min="7184" max="7184" width="2.28515625" style="373" customWidth="1"/>
    <col min="7185" max="7185" width="9.140625" style="373"/>
    <col min="7186" max="7186" width="9.7109375" style="373" customWidth="1"/>
    <col min="7187" max="7187" width="9.5703125" style="373" customWidth="1"/>
    <col min="7188" max="7188" width="10.140625" style="373" customWidth="1"/>
    <col min="7189" max="7424" width="9.140625" style="373"/>
    <col min="7425" max="7427" width="4.7109375" style="373" customWidth="1"/>
    <col min="7428" max="7428" width="9" style="373" customWidth="1"/>
    <col min="7429" max="7429" width="47.28515625" style="373" customWidth="1"/>
    <col min="7430" max="7430" width="11.5703125" style="373" customWidth="1"/>
    <col min="7431" max="7432" width="13.5703125" style="373" customWidth="1"/>
    <col min="7433" max="7433" width="7.42578125" style="373" customWidth="1"/>
    <col min="7434" max="7439" width="0" style="373" hidden="1" customWidth="1"/>
    <col min="7440" max="7440" width="2.28515625" style="373" customWidth="1"/>
    <col min="7441" max="7441" width="9.140625" style="373"/>
    <col min="7442" max="7442" width="9.7109375" style="373" customWidth="1"/>
    <col min="7443" max="7443" width="9.5703125" style="373" customWidth="1"/>
    <col min="7444" max="7444" width="10.140625" style="373" customWidth="1"/>
    <col min="7445" max="7680" width="9.140625" style="373"/>
    <col min="7681" max="7683" width="4.7109375" style="373" customWidth="1"/>
    <col min="7684" max="7684" width="9" style="373" customWidth="1"/>
    <col min="7685" max="7685" width="47.28515625" style="373" customWidth="1"/>
    <col min="7686" max="7686" width="11.5703125" style="373" customWidth="1"/>
    <col min="7687" max="7688" width="13.5703125" style="373" customWidth="1"/>
    <col min="7689" max="7689" width="7.42578125" style="373" customWidth="1"/>
    <col min="7690" max="7695" width="0" style="373" hidden="1" customWidth="1"/>
    <col min="7696" max="7696" width="2.28515625" style="373" customWidth="1"/>
    <col min="7697" max="7697" width="9.140625" style="373"/>
    <col min="7698" max="7698" width="9.7109375" style="373" customWidth="1"/>
    <col min="7699" max="7699" width="9.5703125" style="373" customWidth="1"/>
    <col min="7700" max="7700" width="10.140625" style="373" customWidth="1"/>
    <col min="7701" max="7936" width="9.140625" style="373"/>
    <col min="7937" max="7939" width="4.7109375" style="373" customWidth="1"/>
    <col min="7940" max="7940" width="9" style="373" customWidth="1"/>
    <col min="7941" max="7941" width="47.28515625" style="373" customWidth="1"/>
    <col min="7942" max="7942" width="11.5703125" style="373" customWidth="1"/>
    <col min="7943" max="7944" width="13.5703125" style="373" customWidth="1"/>
    <col min="7945" max="7945" width="7.42578125" style="373" customWidth="1"/>
    <col min="7946" max="7951" width="0" style="373" hidden="1" customWidth="1"/>
    <col min="7952" max="7952" width="2.28515625" style="373" customWidth="1"/>
    <col min="7953" max="7953" width="9.140625" style="373"/>
    <col min="7954" max="7954" width="9.7109375" style="373" customWidth="1"/>
    <col min="7955" max="7955" width="9.5703125" style="373" customWidth="1"/>
    <col min="7956" max="7956" width="10.140625" style="373" customWidth="1"/>
    <col min="7957" max="8192" width="9.140625" style="373"/>
    <col min="8193" max="8195" width="4.7109375" style="373" customWidth="1"/>
    <col min="8196" max="8196" width="9" style="373" customWidth="1"/>
    <col min="8197" max="8197" width="47.28515625" style="373" customWidth="1"/>
    <col min="8198" max="8198" width="11.5703125" style="373" customWidth="1"/>
    <col min="8199" max="8200" width="13.5703125" style="373" customWidth="1"/>
    <col min="8201" max="8201" width="7.42578125" style="373" customWidth="1"/>
    <col min="8202" max="8207" width="0" style="373" hidden="1" customWidth="1"/>
    <col min="8208" max="8208" width="2.28515625" style="373" customWidth="1"/>
    <col min="8209" max="8209" width="9.140625" style="373"/>
    <col min="8210" max="8210" width="9.7109375" style="373" customWidth="1"/>
    <col min="8211" max="8211" width="9.5703125" style="373" customWidth="1"/>
    <col min="8212" max="8212" width="10.140625" style="373" customWidth="1"/>
    <col min="8213" max="8448" width="9.140625" style="373"/>
    <col min="8449" max="8451" width="4.7109375" style="373" customWidth="1"/>
    <col min="8452" max="8452" width="9" style="373" customWidth="1"/>
    <col min="8453" max="8453" width="47.28515625" style="373" customWidth="1"/>
    <col min="8454" max="8454" width="11.5703125" style="373" customWidth="1"/>
    <col min="8455" max="8456" width="13.5703125" style="373" customWidth="1"/>
    <col min="8457" max="8457" width="7.42578125" style="373" customWidth="1"/>
    <col min="8458" max="8463" width="0" style="373" hidden="1" customWidth="1"/>
    <col min="8464" max="8464" width="2.28515625" style="373" customWidth="1"/>
    <col min="8465" max="8465" width="9.140625" style="373"/>
    <col min="8466" max="8466" width="9.7109375" style="373" customWidth="1"/>
    <col min="8467" max="8467" width="9.5703125" style="373" customWidth="1"/>
    <col min="8468" max="8468" width="10.140625" style="373" customWidth="1"/>
    <col min="8469" max="8704" width="9.140625" style="373"/>
    <col min="8705" max="8707" width="4.7109375" style="373" customWidth="1"/>
    <col min="8708" max="8708" width="9" style="373" customWidth="1"/>
    <col min="8709" max="8709" width="47.28515625" style="373" customWidth="1"/>
    <col min="8710" max="8710" width="11.5703125" style="373" customWidth="1"/>
    <col min="8711" max="8712" width="13.5703125" style="373" customWidth="1"/>
    <col min="8713" max="8713" width="7.42578125" style="373" customWidth="1"/>
    <col min="8714" max="8719" width="0" style="373" hidden="1" customWidth="1"/>
    <col min="8720" max="8720" width="2.28515625" style="373" customWidth="1"/>
    <col min="8721" max="8721" width="9.140625" style="373"/>
    <col min="8722" max="8722" width="9.7109375" style="373" customWidth="1"/>
    <col min="8723" max="8723" width="9.5703125" style="373" customWidth="1"/>
    <col min="8724" max="8724" width="10.140625" style="373" customWidth="1"/>
    <col min="8725" max="8960" width="9.140625" style="373"/>
    <col min="8961" max="8963" width="4.7109375" style="373" customWidth="1"/>
    <col min="8964" max="8964" width="9" style="373" customWidth="1"/>
    <col min="8965" max="8965" width="47.28515625" style="373" customWidth="1"/>
    <col min="8966" max="8966" width="11.5703125" style="373" customWidth="1"/>
    <col min="8967" max="8968" width="13.5703125" style="373" customWidth="1"/>
    <col min="8969" max="8969" width="7.42578125" style="373" customWidth="1"/>
    <col min="8970" max="8975" width="0" style="373" hidden="1" customWidth="1"/>
    <col min="8976" max="8976" width="2.28515625" style="373" customWidth="1"/>
    <col min="8977" max="8977" width="9.140625" style="373"/>
    <col min="8978" max="8978" width="9.7109375" style="373" customWidth="1"/>
    <col min="8979" max="8979" width="9.5703125" style="373" customWidth="1"/>
    <col min="8980" max="8980" width="10.140625" style="373" customWidth="1"/>
    <col min="8981" max="9216" width="9.140625" style="373"/>
    <col min="9217" max="9219" width="4.7109375" style="373" customWidth="1"/>
    <col min="9220" max="9220" width="9" style="373" customWidth="1"/>
    <col min="9221" max="9221" width="47.28515625" style="373" customWidth="1"/>
    <col min="9222" max="9222" width="11.5703125" style="373" customWidth="1"/>
    <col min="9223" max="9224" width="13.5703125" style="373" customWidth="1"/>
    <col min="9225" max="9225" width="7.42578125" style="373" customWidth="1"/>
    <col min="9226" max="9231" width="0" style="373" hidden="1" customWidth="1"/>
    <col min="9232" max="9232" width="2.28515625" style="373" customWidth="1"/>
    <col min="9233" max="9233" width="9.140625" style="373"/>
    <col min="9234" max="9234" width="9.7109375" style="373" customWidth="1"/>
    <col min="9235" max="9235" width="9.5703125" style="373" customWidth="1"/>
    <col min="9236" max="9236" width="10.140625" style="373" customWidth="1"/>
    <col min="9237" max="9472" width="9.140625" style="373"/>
    <col min="9473" max="9475" width="4.7109375" style="373" customWidth="1"/>
    <col min="9476" max="9476" width="9" style="373" customWidth="1"/>
    <col min="9477" max="9477" width="47.28515625" style="373" customWidth="1"/>
    <col min="9478" max="9478" width="11.5703125" style="373" customWidth="1"/>
    <col min="9479" max="9480" width="13.5703125" style="373" customWidth="1"/>
    <col min="9481" max="9481" width="7.42578125" style="373" customWidth="1"/>
    <col min="9482" max="9487" width="0" style="373" hidden="1" customWidth="1"/>
    <col min="9488" max="9488" width="2.28515625" style="373" customWidth="1"/>
    <col min="9489" max="9489" width="9.140625" style="373"/>
    <col min="9490" max="9490" width="9.7109375" style="373" customWidth="1"/>
    <col min="9491" max="9491" width="9.5703125" style="373" customWidth="1"/>
    <col min="9492" max="9492" width="10.140625" style="373" customWidth="1"/>
    <col min="9493" max="9728" width="9.140625" style="373"/>
    <col min="9729" max="9731" width="4.7109375" style="373" customWidth="1"/>
    <col min="9732" max="9732" width="9" style="373" customWidth="1"/>
    <col min="9733" max="9733" width="47.28515625" style="373" customWidth="1"/>
    <col min="9734" max="9734" width="11.5703125" style="373" customWidth="1"/>
    <col min="9735" max="9736" width="13.5703125" style="373" customWidth="1"/>
    <col min="9737" max="9737" width="7.42578125" style="373" customWidth="1"/>
    <col min="9738" max="9743" width="0" style="373" hidden="1" customWidth="1"/>
    <col min="9744" max="9744" width="2.28515625" style="373" customWidth="1"/>
    <col min="9745" max="9745" width="9.140625" style="373"/>
    <col min="9746" max="9746" width="9.7109375" style="373" customWidth="1"/>
    <col min="9747" max="9747" width="9.5703125" style="373" customWidth="1"/>
    <col min="9748" max="9748" width="10.140625" style="373" customWidth="1"/>
    <col min="9749" max="9984" width="9.140625" style="373"/>
    <col min="9985" max="9987" width="4.7109375" style="373" customWidth="1"/>
    <col min="9988" max="9988" width="9" style="373" customWidth="1"/>
    <col min="9989" max="9989" width="47.28515625" style="373" customWidth="1"/>
    <col min="9990" max="9990" width="11.5703125" style="373" customWidth="1"/>
    <col min="9991" max="9992" width="13.5703125" style="373" customWidth="1"/>
    <col min="9993" max="9993" width="7.42578125" style="373" customWidth="1"/>
    <col min="9994" max="9999" width="0" style="373" hidden="1" customWidth="1"/>
    <col min="10000" max="10000" width="2.28515625" style="373" customWidth="1"/>
    <col min="10001" max="10001" width="9.140625" style="373"/>
    <col min="10002" max="10002" width="9.7109375" style="373" customWidth="1"/>
    <col min="10003" max="10003" width="9.5703125" style="373" customWidth="1"/>
    <col min="10004" max="10004" width="10.140625" style="373" customWidth="1"/>
    <col min="10005" max="10240" width="9.140625" style="373"/>
    <col min="10241" max="10243" width="4.7109375" style="373" customWidth="1"/>
    <col min="10244" max="10244" width="9" style="373" customWidth="1"/>
    <col min="10245" max="10245" width="47.28515625" style="373" customWidth="1"/>
    <col min="10246" max="10246" width="11.5703125" style="373" customWidth="1"/>
    <col min="10247" max="10248" width="13.5703125" style="373" customWidth="1"/>
    <col min="10249" max="10249" width="7.42578125" style="373" customWidth="1"/>
    <col min="10250" max="10255" width="0" style="373" hidden="1" customWidth="1"/>
    <col min="10256" max="10256" width="2.28515625" style="373" customWidth="1"/>
    <col min="10257" max="10257" width="9.140625" style="373"/>
    <col min="10258" max="10258" width="9.7109375" style="373" customWidth="1"/>
    <col min="10259" max="10259" width="9.5703125" style="373" customWidth="1"/>
    <col min="10260" max="10260" width="10.140625" style="373" customWidth="1"/>
    <col min="10261" max="10496" width="9.140625" style="373"/>
    <col min="10497" max="10499" width="4.7109375" style="373" customWidth="1"/>
    <col min="10500" max="10500" width="9" style="373" customWidth="1"/>
    <col min="10501" max="10501" width="47.28515625" style="373" customWidth="1"/>
    <col min="10502" max="10502" width="11.5703125" style="373" customWidth="1"/>
    <col min="10503" max="10504" width="13.5703125" style="373" customWidth="1"/>
    <col min="10505" max="10505" width="7.42578125" style="373" customWidth="1"/>
    <col min="10506" max="10511" width="0" style="373" hidden="1" customWidth="1"/>
    <col min="10512" max="10512" width="2.28515625" style="373" customWidth="1"/>
    <col min="10513" max="10513" width="9.140625" style="373"/>
    <col min="10514" max="10514" width="9.7109375" style="373" customWidth="1"/>
    <col min="10515" max="10515" width="9.5703125" style="373" customWidth="1"/>
    <col min="10516" max="10516" width="10.140625" style="373" customWidth="1"/>
    <col min="10517" max="10752" width="9.140625" style="373"/>
    <col min="10753" max="10755" width="4.7109375" style="373" customWidth="1"/>
    <col min="10756" max="10756" width="9" style="373" customWidth="1"/>
    <col min="10757" max="10757" width="47.28515625" style="373" customWidth="1"/>
    <col min="10758" max="10758" width="11.5703125" style="373" customWidth="1"/>
    <col min="10759" max="10760" width="13.5703125" style="373" customWidth="1"/>
    <col min="10761" max="10761" width="7.42578125" style="373" customWidth="1"/>
    <col min="10762" max="10767" width="0" style="373" hidden="1" customWidth="1"/>
    <col min="10768" max="10768" width="2.28515625" style="373" customWidth="1"/>
    <col min="10769" max="10769" width="9.140625" style="373"/>
    <col min="10770" max="10770" width="9.7109375" style="373" customWidth="1"/>
    <col min="10771" max="10771" width="9.5703125" style="373" customWidth="1"/>
    <col min="10772" max="10772" width="10.140625" style="373" customWidth="1"/>
    <col min="10773" max="11008" width="9.140625" style="373"/>
    <col min="11009" max="11011" width="4.7109375" style="373" customWidth="1"/>
    <col min="11012" max="11012" width="9" style="373" customWidth="1"/>
    <col min="11013" max="11013" width="47.28515625" style="373" customWidth="1"/>
    <col min="11014" max="11014" width="11.5703125" style="373" customWidth="1"/>
    <col min="11015" max="11016" width="13.5703125" style="373" customWidth="1"/>
    <col min="11017" max="11017" width="7.42578125" style="373" customWidth="1"/>
    <col min="11018" max="11023" width="0" style="373" hidden="1" customWidth="1"/>
    <col min="11024" max="11024" width="2.28515625" style="373" customWidth="1"/>
    <col min="11025" max="11025" width="9.140625" style="373"/>
    <col min="11026" max="11026" width="9.7109375" style="373" customWidth="1"/>
    <col min="11027" max="11027" width="9.5703125" style="373" customWidth="1"/>
    <col min="11028" max="11028" width="10.140625" style="373" customWidth="1"/>
    <col min="11029" max="11264" width="9.140625" style="373"/>
    <col min="11265" max="11267" width="4.7109375" style="373" customWidth="1"/>
    <col min="11268" max="11268" width="9" style="373" customWidth="1"/>
    <col min="11269" max="11269" width="47.28515625" style="373" customWidth="1"/>
    <col min="11270" max="11270" width="11.5703125" style="373" customWidth="1"/>
    <col min="11271" max="11272" width="13.5703125" style="373" customWidth="1"/>
    <col min="11273" max="11273" width="7.42578125" style="373" customWidth="1"/>
    <col min="11274" max="11279" width="0" style="373" hidden="1" customWidth="1"/>
    <col min="11280" max="11280" width="2.28515625" style="373" customWidth="1"/>
    <col min="11281" max="11281" width="9.140625" style="373"/>
    <col min="11282" max="11282" width="9.7109375" style="373" customWidth="1"/>
    <col min="11283" max="11283" width="9.5703125" style="373" customWidth="1"/>
    <col min="11284" max="11284" width="10.140625" style="373" customWidth="1"/>
    <col min="11285" max="11520" width="9.140625" style="373"/>
    <col min="11521" max="11523" width="4.7109375" style="373" customWidth="1"/>
    <col min="11524" max="11524" width="9" style="373" customWidth="1"/>
    <col min="11525" max="11525" width="47.28515625" style="373" customWidth="1"/>
    <col min="11526" max="11526" width="11.5703125" style="373" customWidth="1"/>
    <col min="11527" max="11528" width="13.5703125" style="373" customWidth="1"/>
    <col min="11529" max="11529" width="7.42578125" style="373" customWidth="1"/>
    <col min="11530" max="11535" width="0" style="373" hidden="1" customWidth="1"/>
    <col min="11536" max="11536" width="2.28515625" style="373" customWidth="1"/>
    <col min="11537" max="11537" width="9.140625" style="373"/>
    <col min="11538" max="11538" width="9.7109375" style="373" customWidth="1"/>
    <col min="11539" max="11539" width="9.5703125" style="373" customWidth="1"/>
    <col min="11540" max="11540" width="10.140625" style="373" customWidth="1"/>
    <col min="11541" max="11776" width="9.140625" style="373"/>
    <col min="11777" max="11779" width="4.7109375" style="373" customWidth="1"/>
    <col min="11780" max="11780" width="9" style="373" customWidth="1"/>
    <col min="11781" max="11781" width="47.28515625" style="373" customWidth="1"/>
    <col min="11782" max="11782" width="11.5703125" style="373" customWidth="1"/>
    <col min="11783" max="11784" width="13.5703125" style="373" customWidth="1"/>
    <col min="11785" max="11785" width="7.42578125" style="373" customWidth="1"/>
    <col min="11786" max="11791" width="0" style="373" hidden="1" customWidth="1"/>
    <col min="11792" max="11792" width="2.28515625" style="373" customWidth="1"/>
    <col min="11793" max="11793" width="9.140625" style="373"/>
    <col min="11794" max="11794" width="9.7109375" style="373" customWidth="1"/>
    <col min="11795" max="11795" width="9.5703125" style="373" customWidth="1"/>
    <col min="11796" max="11796" width="10.140625" style="373" customWidth="1"/>
    <col min="11797" max="12032" width="9.140625" style="373"/>
    <col min="12033" max="12035" width="4.7109375" style="373" customWidth="1"/>
    <col min="12036" max="12036" width="9" style="373" customWidth="1"/>
    <col min="12037" max="12037" width="47.28515625" style="373" customWidth="1"/>
    <col min="12038" max="12038" width="11.5703125" style="373" customWidth="1"/>
    <col min="12039" max="12040" width="13.5703125" style="373" customWidth="1"/>
    <col min="12041" max="12041" width="7.42578125" style="373" customWidth="1"/>
    <col min="12042" max="12047" width="0" style="373" hidden="1" customWidth="1"/>
    <col min="12048" max="12048" width="2.28515625" style="373" customWidth="1"/>
    <col min="12049" max="12049" width="9.140625" style="373"/>
    <col min="12050" max="12050" width="9.7109375" style="373" customWidth="1"/>
    <col min="12051" max="12051" width="9.5703125" style="373" customWidth="1"/>
    <col min="12052" max="12052" width="10.140625" style="373" customWidth="1"/>
    <col min="12053" max="12288" width="9.140625" style="373"/>
    <col min="12289" max="12291" width="4.7109375" style="373" customWidth="1"/>
    <col min="12292" max="12292" width="9" style="373" customWidth="1"/>
    <col min="12293" max="12293" width="47.28515625" style="373" customWidth="1"/>
    <col min="12294" max="12294" width="11.5703125" style="373" customWidth="1"/>
    <col min="12295" max="12296" width="13.5703125" style="373" customWidth="1"/>
    <col min="12297" max="12297" width="7.42578125" style="373" customWidth="1"/>
    <col min="12298" max="12303" width="0" style="373" hidden="1" customWidth="1"/>
    <col min="12304" max="12304" width="2.28515625" style="373" customWidth="1"/>
    <col min="12305" max="12305" width="9.140625" style="373"/>
    <col min="12306" max="12306" width="9.7109375" style="373" customWidth="1"/>
    <col min="12307" max="12307" width="9.5703125" style="373" customWidth="1"/>
    <col min="12308" max="12308" width="10.140625" style="373" customWidth="1"/>
    <col min="12309" max="12544" width="9.140625" style="373"/>
    <col min="12545" max="12547" width="4.7109375" style="373" customWidth="1"/>
    <col min="12548" max="12548" width="9" style="373" customWidth="1"/>
    <col min="12549" max="12549" width="47.28515625" style="373" customWidth="1"/>
    <col min="12550" max="12550" width="11.5703125" style="373" customWidth="1"/>
    <col min="12551" max="12552" width="13.5703125" style="373" customWidth="1"/>
    <col min="12553" max="12553" width="7.42578125" style="373" customWidth="1"/>
    <col min="12554" max="12559" width="0" style="373" hidden="1" customWidth="1"/>
    <col min="12560" max="12560" width="2.28515625" style="373" customWidth="1"/>
    <col min="12561" max="12561" width="9.140625" style="373"/>
    <col min="12562" max="12562" width="9.7109375" style="373" customWidth="1"/>
    <col min="12563" max="12563" width="9.5703125" style="373" customWidth="1"/>
    <col min="12564" max="12564" width="10.140625" style="373" customWidth="1"/>
    <col min="12565" max="12800" width="9.140625" style="373"/>
    <col min="12801" max="12803" width="4.7109375" style="373" customWidth="1"/>
    <col min="12804" max="12804" width="9" style="373" customWidth="1"/>
    <col min="12805" max="12805" width="47.28515625" style="373" customWidth="1"/>
    <col min="12806" max="12806" width="11.5703125" style="373" customWidth="1"/>
    <col min="12807" max="12808" width="13.5703125" style="373" customWidth="1"/>
    <col min="12809" max="12809" width="7.42578125" style="373" customWidth="1"/>
    <col min="12810" max="12815" width="0" style="373" hidden="1" customWidth="1"/>
    <col min="12816" max="12816" width="2.28515625" style="373" customWidth="1"/>
    <col min="12817" max="12817" width="9.140625" style="373"/>
    <col min="12818" max="12818" width="9.7109375" style="373" customWidth="1"/>
    <col min="12819" max="12819" width="9.5703125" style="373" customWidth="1"/>
    <col min="12820" max="12820" width="10.140625" style="373" customWidth="1"/>
    <col min="12821" max="13056" width="9.140625" style="373"/>
    <col min="13057" max="13059" width="4.7109375" style="373" customWidth="1"/>
    <col min="13060" max="13060" width="9" style="373" customWidth="1"/>
    <col min="13061" max="13061" width="47.28515625" style="373" customWidth="1"/>
    <col min="13062" max="13062" width="11.5703125" style="373" customWidth="1"/>
    <col min="13063" max="13064" width="13.5703125" style="373" customWidth="1"/>
    <col min="13065" max="13065" width="7.42578125" style="373" customWidth="1"/>
    <col min="13066" max="13071" width="0" style="373" hidden="1" customWidth="1"/>
    <col min="13072" max="13072" width="2.28515625" style="373" customWidth="1"/>
    <col min="13073" max="13073" width="9.140625" style="373"/>
    <col min="13074" max="13074" width="9.7109375" style="373" customWidth="1"/>
    <col min="13075" max="13075" width="9.5703125" style="373" customWidth="1"/>
    <col min="13076" max="13076" width="10.140625" style="373" customWidth="1"/>
    <col min="13077" max="13312" width="9.140625" style="373"/>
    <col min="13313" max="13315" width="4.7109375" style="373" customWidth="1"/>
    <col min="13316" max="13316" width="9" style="373" customWidth="1"/>
    <col min="13317" max="13317" width="47.28515625" style="373" customWidth="1"/>
    <col min="13318" max="13318" width="11.5703125" style="373" customWidth="1"/>
    <col min="13319" max="13320" width="13.5703125" style="373" customWidth="1"/>
    <col min="13321" max="13321" width="7.42578125" style="373" customWidth="1"/>
    <col min="13322" max="13327" width="0" style="373" hidden="1" customWidth="1"/>
    <col min="13328" max="13328" width="2.28515625" style="373" customWidth="1"/>
    <col min="13329" max="13329" width="9.140625" style="373"/>
    <col min="13330" max="13330" width="9.7109375" style="373" customWidth="1"/>
    <col min="13331" max="13331" width="9.5703125" style="373" customWidth="1"/>
    <col min="13332" max="13332" width="10.140625" style="373" customWidth="1"/>
    <col min="13333" max="13568" width="9.140625" style="373"/>
    <col min="13569" max="13571" width="4.7109375" style="373" customWidth="1"/>
    <col min="13572" max="13572" width="9" style="373" customWidth="1"/>
    <col min="13573" max="13573" width="47.28515625" style="373" customWidth="1"/>
    <col min="13574" max="13574" width="11.5703125" style="373" customWidth="1"/>
    <col min="13575" max="13576" width="13.5703125" style="373" customWidth="1"/>
    <col min="13577" max="13577" width="7.42578125" style="373" customWidth="1"/>
    <col min="13578" max="13583" width="0" style="373" hidden="1" customWidth="1"/>
    <col min="13584" max="13584" width="2.28515625" style="373" customWidth="1"/>
    <col min="13585" max="13585" width="9.140625" style="373"/>
    <col min="13586" max="13586" width="9.7109375" style="373" customWidth="1"/>
    <col min="13587" max="13587" width="9.5703125" style="373" customWidth="1"/>
    <col min="13588" max="13588" width="10.140625" style="373" customWidth="1"/>
    <col min="13589" max="13824" width="9.140625" style="373"/>
    <col min="13825" max="13827" width="4.7109375" style="373" customWidth="1"/>
    <col min="13828" max="13828" width="9" style="373" customWidth="1"/>
    <col min="13829" max="13829" width="47.28515625" style="373" customWidth="1"/>
    <col min="13830" max="13830" width="11.5703125" style="373" customWidth="1"/>
    <col min="13831" max="13832" width="13.5703125" style="373" customWidth="1"/>
    <col min="13833" max="13833" width="7.42578125" style="373" customWidth="1"/>
    <col min="13834" max="13839" width="0" style="373" hidden="1" customWidth="1"/>
    <col min="13840" max="13840" width="2.28515625" style="373" customWidth="1"/>
    <col min="13841" max="13841" width="9.140625" style="373"/>
    <col min="13842" max="13842" width="9.7109375" style="373" customWidth="1"/>
    <col min="13843" max="13843" width="9.5703125" style="373" customWidth="1"/>
    <col min="13844" max="13844" width="10.140625" style="373" customWidth="1"/>
    <col min="13845" max="14080" width="9.140625" style="373"/>
    <col min="14081" max="14083" width="4.7109375" style="373" customWidth="1"/>
    <col min="14084" max="14084" width="9" style="373" customWidth="1"/>
    <col min="14085" max="14085" width="47.28515625" style="373" customWidth="1"/>
    <col min="14086" max="14086" width="11.5703125" style="373" customWidth="1"/>
    <col min="14087" max="14088" width="13.5703125" style="373" customWidth="1"/>
    <col min="14089" max="14089" width="7.42578125" style="373" customWidth="1"/>
    <col min="14090" max="14095" width="0" style="373" hidden="1" customWidth="1"/>
    <col min="14096" max="14096" width="2.28515625" style="373" customWidth="1"/>
    <col min="14097" max="14097" width="9.140625" style="373"/>
    <col min="14098" max="14098" width="9.7109375" style="373" customWidth="1"/>
    <col min="14099" max="14099" width="9.5703125" style="373" customWidth="1"/>
    <col min="14100" max="14100" width="10.140625" style="373" customWidth="1"/>
    <col min="14101" max="14336" width="9.140625" style="373"/>
    <col min="14337" max="14339" width="4.7109375" style="373" customWidth="1"/>
    <col min="14340" max="14340" width="9" style="373" customWidth="1"/>
    <col min="14341" max="14341" width="47.28515625" style="373" customWidth="1"/>
    <col min="14342" max="14342" width="11.5703125" style="373" customWidth="1"/>
    <col min="14343" max="14344" width="13.5703125" style="373" customWidth="1"/>
    <col min="14345" max="14345" width="7.42578125" style="373" customWidth="1"/>
    <col min="14346" max="14351" width="0" style="373" hidden="1" customWidth="1"/>
    <col min="14352" max="14352" width="2.28515625" style="373" customWidth="1"/>
    <col min="14353" max="14353" width="9.140625" style="373"/>
    <col min="14354" max="14354" width="9.7109375" style="373" customWidth="1"/>
    <col min="14355" max="14355" width="9.5703125" style="373" customWidth="1"/>
    <col min="14356" max="14356" width="10.140625" style="373" customWidth="1"/>
    <col min="14357" max="14592" width="9.140625" style="373"/>
    <col min="14593" max="14595" width="4.7109375" style="373" customWidth="1"/>
    <col min="14596" max="14596" width="9" style="373" customWidth="1"/>
    <col min="14597" max="14597" width="47.28515625" style="373" customWidth="1"/>
    <col min="14598" max="14598" width="11.5703125" style="373" customWidth="1"/>
    <col min="14599" max="14600" width="13.5703125" style="373" customWidth="1"/>
    <col min="14601" max="14601" width="7.42578125" style="373" customWidth="1"/>
    <col min="14602" max="14607" width="0" style="373" hidden="1" customWidth="1"/>
    <col min="14608" max="14608" width="2.28515625" style="373" customWidth="1"/>
    <col min="14609" max="14609" width="9.140625" style="373"/>
    <col min="14610" max="14610" width="9.7109375" style="373" customWidth="1"/>
    <col min="14611" max="14611" width="9.5703125" style="373" customWidth="1"/>
    <col min="14612" max="14612" width="10.140625" style="373" customWidth="1"/>
    <col min="14613" max="14848" width="9.140625" style="373"/>
    <col min="14849" max="14851" width="4.7109375" style="373" customWidth="1"/>
    <col min="14852" max="14852" width="9" style="373" customWidth="1"/>
    <col min="14853" max="14853" width="47.28515625" style="373" customWidth="1"/>
    <col min="14854" max="14854" width="11.5703125" style="373" customWidth="1"/>
    <col min="14855" max="14856" width="13.5703125" style="373" customWidth="1"/>
    <col min="14857" max="14857" width="7.42578125" style="373" customWidth="1"/>
    <col min="14858" max="14863" width="0" style="373" hidden="1" customWidth="1"/>
    <col min="14864" max="14864" width="2.28515625" style="373" customWidth="1"/>
    <col min="14865" max="14865" width="9.140625" style="373"/>
    <col min="14866" max="14866" width="9.7109375" style="373" customWidth="1"/>
    <col min="14867" max="14867" width="9.5703125" style="373" customWidth="1"/>
    <col min="14868" max="14868" width="10.140625" style="373" customWidth="1"/>
    <col min="14869" max="15104" width="9.140625" style="373"/>
    <col min="15105" max="15107" width="4.7109375" style="373" customWidth="1"/>
    <col min="15108" max="15108" width="9" style="373" customWidth="1"/>
    <col min="15109" max="15109" width="47.28515625" style="373" customWidth="1"/>
    <col min="15110" max="15110" width="11.5703125" style="373" customWidth="1"/>
    <col min="15111" max="15112" width="13.5703125" style="373" customWidth="1"/>
    <col min="15113" max="15113" width="7.42578125" style="373" customWidth="1"/>
    <col min="15114" max="15119" width="0" style="373" hidden="1" customWidth="1"/>
    <col min="15120" max="15120" width="2.28515625" style="373" customWidth="1"/>
    <col min="15121" max="15121" width="9.140625" style="373"/>
    <col min="15122" max="15122" width="9.7109375" style="373" customWidth="1"/>
    <col min="15123" max="15123" width="9.5703125" style="373" customWidth="1"/>
    <col min="15124" max="15124" width="10.140625" style="373" customWidth="1"/>
    <col min="15125" max="15360" width="9.140625" style="373"/>
    <col min="15361" max="15363" width="4.7109375" style="373" customWidth="1"/>
    <col min="15364" max="15364" width="9" style="373" customWidth="1"/>
    <col min="15365" max="15365" width="47.28515625" style="373" customWidth="1"/>
    <col min="15366" max="15366" width="11.5703125" style="373" customWidth="1"/>
    <col min="15367" max="15368" width="13.5703125" style="373" customWidth="1"/>
    <col min="15369" max="15369" width="7.42578125" style="373" customWidth="1"/>
    <col min="15370" max="15375" width="0" style="373" hidden="1" customWidth="1"/>
    <col min="15376" max="15376" width="2.28515625" style="373" customWidth="1"/>
    <col min="15377" max="15377" width="9.140625" style="373"/>
    <col min="15378" max="15378" width="9.7109375" style="373" customWidth="1"/>
    <col min="15379" max="15379" width="9.5703125" style="373" customWidth="1"/>
    <col min="15380" max="15380" width="10.140625" style="373" customWidth="1"/>
    <col min="15381" max="15616" width="9.140625" style="373"/>
    <col min="15617" max="15619" width="4.7109375" style="373" customWidth="1"/>
    <col min="15620" max="15620" width="9" style="373" customWidth="1"/>
    <col min="15621" max="15621" width="47.28515625" style="373" customWidth="1"/>
    <col min="15622" max="15622" width="11.5703125" style="373" customWidth="1"/>
    <col min="15623" max="15624" width="13.5703125" style="373" customWidth="1"/>
    <col min="15625" max="15625" width="7.42578125" style="373" customWidth="1"/>
    <col min="15626" max="15631" width="0" style="373" hidden="1" customWidth="1"/>
    <col min="15632" max="15632" width="2.28515625" style="373" customWidth="1"/>
    <col min="15633" max="15633" width="9.140625" style="373"/>
    <col min="15634" max="15634" width="9.7109375" style="373" customWidth="1"/>
    <col min="15635" max="15635" width="9.5703125" style="373" customWidth="1"/>
    <col min="15636" max="15636" width="10.140625" style="373" customWidth="1"/>
    <col min="15637" max="15872" width="9.140625" style="373"/>
    <col min="15873" max="15875" width="4.7109375" style="373" customWidth="1"/>
    <col min="15876" max="15876" width="9" style="373" customWidth="1"/>
    <col min="15877" max="15877" width="47.28515625" style="373" customWidth="1"/>
    <col min="15878" max="15878" width="11.5703125" style="373" customWidth="1"/>
    <col min="15879" max="15880" width="13.5703125" style="373" customWidth="1"/>
    <col min="15881" max="15881" width="7.42578125" style="373" customWidth="1"/>
    <col min="15882" max="15887" width="0" style="373" hidden="1" customWidth="1"/>
    <col min="15888" max="15888" width="2.28515625" style="373" customWidth="1"/>
    <col min="15889" max="15889" width="9.140625" style="373"/>
    <col min="15890" max="15890" width="9.7109375" style="373" customWidth="1"/>
    <col min="15891" max="15891" width="9.5703125" style="373" customWidth="1"/>
    <col min="15892" max="15892" width="10.140625" style="373" customWidth="1"/>
    <col min="15893" max="16128" width="9.140625" style="373"/>
    <col min="16129" max="16131" width="4.7109375" style="373" customWidth="1"/>
    <col min="16132" max="16132" width="9" style="373" customWidth="1"/>
    <col min="16133" max="16133" width="47.28515625" style="373" customWidth="1"/>
    <col min="16134" max="16134" width="11.5703125" style="373" customWidth="1"/>
    <col min="16135" max="16136" width="13.5703125" style="373" customWidth="1"/>
    <col min="16137" max="16137" width="7.42578125" style="373" customWidth="1"/>
    <col min="16138" max="16143" width="0" style="373" hidden="1" customWidth="1"/>
    <col min="16144" max="16144" width="2.28515625" style="373" customWidth="1"/>
    <col min="16145" max="16145" width="9.140625" style="373"/>
    <col min="16146" max="16146" width="9.7109375" style="373" customWidth="1"/>
    <col min="16147" max="16147" width="9.5703125" style="373" customWidth="1"/>
    <col min="16148" max="16148" width="10.140625" style="373" customWidth="1"/>
    <col min="16149" max="16384" width="9.140625" style="373"/>
  </cols>
  <sheetData>
    <row r="1" spans="1:10" ht="18.75" thickBot="1" x14ac:dyDescent="0.3">
      <c r="A1" s="448" t="s">
        <v>643</v>
      </c>
      <c r="B1" s="449"/>
      <c r="C1" s="462"/>
      <c r="D1" s="463"/>
      <c r="E1" s="1124"/>
      <c r="F1" s="451"/>
      <c r="G1" s="452" t="s">
        <v>644</v>
      </c>
      <c r="J1" s="17"/>
    </row>
    <row r="2" spans="1:10" ht="12.75" customHeight="1" x14ac:dyDescent="0.25">
      <c r="B2" s="6"/>
      <c r="C2" s="28"/>
      <c r="D2" s="63"/>
      <c r="E2" s="10"/>
      <c r="F2" s="303"/>
      <c r="G2" s="303"/>
      <c r="H2" s="179"/>
      <c r="I2" s="211"/>
      <c r="J2" s="17"/>
    </row>
    <row r="3" spans="1:10" ht="12.75" customHeight="1" x14ac:dyDescent="0.2">
      <c r="A3" s="67" t="s">
        <v>336</v>
      </c>
      <c r="B3" s="28"/>
      <c r="C3" s="496" t="s">
        <v>1866</v>
      </c>
      <c r="D3" s="583"/>
      <c r="E3" s="303"/>
      <c r="F3" s="179"/>
      <c r="G3" s="180"/>
      <c r="H3" s="180"/>
    </row>
    <row r="4" spans="1:10" ht="12.75" customHeight="1" x14ac:dyDescent="0.25">
      <c r="A4" s="6"/>
      <c r="B4" s="28"/>
      <c r="C4" s="1981" t="s">
        <v>422</v>
      </c>
      <c r="D4" s="374"/>
      <c r="E4" s="303"/>
      <c r="F4" s="179"/>
      <c r="G4" s="180"/>
      <c r="H4" s="180"/>
    </row>
    <row r="5" spans="1:10" ht="12.75" customHeight="1" x14ac:dyDescent="0.25">
      <c r="A5" s="6"/>
      <c r="B5" s="28"/>
      <c r="C5" s="1981"/>
      <c r="D5" s="374"/>
      <c r="E5" s="303"/>
      <c r="F5" s="179"/>
      <c r="G5" s="180"/>
      <c r="H5" s="180"/>
    </row>
    <row r="6" spans="1:10" ht="12.75" customHeight="1" x14ac:dyDescent="0.25">
      <c r="B6" s="6"/>
      <c r="C6" s="28"/>
      <c r="D6" s="63"/>
      <c r="E6" s="10"/>
      <c r="F6" s="303"/>
      <c r="G6" s="303"/>
      <c r="H6" s="179"/>
      <c r="I6" s="211"/>
      <c r="J6" s="17"/>
    </row>
    <row r="7" spans="1:10" ht="18" x14ac:dyDescent="0.25">
      <c r="A7" s="33" t="s">
        <v>564</v>
      </c>
      <c r="B7" s="33"/>
      <c r="C7" s="28"/>
      <c r="D7" s="63"/>
      <c r="E7" s="10"/>
      <c r="F7" s="303"/>
      <c r="G7" s="303"/>
      <c r="H7" s="179"/>
      <c r="I7" s="211"/>
      <c r="J7" s="17"/>
    </row>
    <row r="8" spans="1:10" ht="18" x14ac:dyDescent="0.25">
      <c r="A8" s="33"/>
      <c r="B8" s="33"/>
      <c r="C8" s="28"/>
      <c r="D8" s="63"/>
      <c r="E8" s="10"/>
      <c r="F8" s="303"/>
      <c r="G8" s="303"/>
      <c r="H8" s="179"/>
      <c r="I8" s="211"/>
      <c r="J8" s="17"/>
    </row>
    <row r="9" spans="1:10" ht="13.5" thickBot="1" x14ac:dyDescent="0.25">
      <c r="A9" s="421" t="s">
        <v>235</v>
      </c>
      <c r="B9" s="584"/>
      <c r="C9" s="584"/>
      <c r="D9" s="671"/>
      <c r="E9" s="585"/>
      <c r="H9" s="574"/>
      <c r="I9" s="1125" t="s">
        <v>1101</v>
      </c>
    </row>
    <row r="10" spans="1:10" s="106" customFormat="1" thickTop="1" thickBot="1" x14ac:dyDescent="0.25">
      <c r="A10" s="586" t="s">
        <v>565</v>
      </c>
      <c r="B10" s="658" t="s">
        <v>149</v>
      </c>
      <c r="C10" s="587" t="s">
        <v>150</v>
      </c>
      <c r="D10" s="589" t="s">
        <v>639</v>
      </c>
      <c r="E10" s="589" t="s">
        <v>151</v>
      </c>
      <c r="F10" s="589" t="s">
        <v>569</v>
      </c>
      <c r="G10" s="589" t="s">
        <v>570</v>
      </c>
      <c r="H10" s="589" t="s">
        <v>797</v>
      </c>
      <c r="I10" s="674" t="s">
        <v>798</v>
      </c>
    </row>
    <row r="11" spans="1:10" s="375" customFormat="1" ht="20.25" customHeight="1" thickTop="1" thickBot="1" x14ac:dyDescent="0.25">
      <c r="A11" s="525">
        <v>1</v>
      </c>
      <c r="B11" s="526">
        <v>2</v>
      </c>
      <c r="C11" s="526">
        <v>3</v>
      </c>
      <c r="D11" s="526">
        <v>4</v>
      </c>
      <c r="E11" s="526">
        <v>5</v>
      </c>
      <c r="F11" s="512">
        <v>6</v>
      </c>
      <c r="G11" s="512">
        <v>7</v>
      </c>
      <c r="H11" s="513">
        <v>8</v>
      </c>
      <c r="I11" s="591" t="s">
        <v>689</v>
      </c>
    </row>
    <row r="12" spans="1:10" ht="15.75" thickTop="1" x14ac:dyDescent="0.25">
      <c r="A12" s="420">
        <v>1000</v>
      </c>
      <c r="B12" s="651">
        <v>3111</v>
      </c>
      <c r="C12" s="617">
        <v>5336</v>
      </c>
      <c r="D12" s="527"/>
      <c r="E12" s="616" t="s">
        <v>1282</v>
      </c>
      <c r="F12" s="700"/>
      <c r="G12" s="700">
        <f>G13+G14</f>
        <v>1159</v>
      </c>
      <c r="H12" s="700">
        <f>H13+H14</f>
        <v>1159</v>
      </c>
      <c r="I12" s="691">
        <f t="shared" ref="I12:I25" si="0">(H12/G12)*100</f>
        <v>100</v>
      </c>
    </row>
    <row r="13" spans="1:10" ht="15" x14ac:dyDescent="0.25">
      <c r="A13" s="420"/>
      <c r="B13" s="651"/>
      <c r="C13" s="617"/>
      <c r="D13" s="518" t="s">
        <v>1806</v>
      </c>
      <c r="E13" s="441" t="s">
        <v>860</v>
      </c>
      <c r="F13" s="700"/>
      <c r="G13" s="692">
        <v>385</v>
      </c>
      <c r="H13" s="692">
        <v>385</v>
      </c>
      <c r="I13" s="684">
        <f t="shared" si="0"/>
        <v>100</v>
      </c>
    </row>
    <row r="14" spans="1:10" ht="14.25" x14ac:dyDescent="0.2">
      <c r="A14" s="420"/>
      <c r="B14" s="651"/>
      <c r="C14" s="617"/>
      <c r="D14" s="518" t="s">
        <v>1807</v>
      </c>
      <c r="E14" s="442" t="s">
        <v>716</v>
      </c>
      <c r="F14" s="689"/>
      <c r="G14" s="689">
        <v>774</v>
      </c>
      <c r="H14" s="689">
        <v>774</v>
      </c>
      <c r="I14" s="684">
        <f t="shared" si="0"/>
        <v>100</v>
      </c>
    </row>
    <row r="15" spans="1:10" ht="15" x14ac:dyDescent="0.25">
      <c r="A15" s="420">
        <v>1000</v>
      </c>
      <c r="B15" s="651">
        <v>3113</v>
      </c>
      <c r="C15" s="651">
        <v>5336</v>
      </c>
      <c r="D15" s="527"/>
      <c r="E15" s="616" t="s">
        <v>1282</v>
      </c>
      <c r="F15" s="700"/>
      <c r="G15" s="700">
        <f>G19+G17+G16+G18</f>
        <v>5461</v>
      </c>
      <c r="H15" s="700">
        <f>H19+H17+H16+H18</f>
        <v>5461</v>
      </c>
      <c r="I15" s="691">
        <f t="shared" si="0"/>
        <v>100</v>
      </c>
    </row>
    <row r="16" spans="1:10" ht="14.25" x14ac:dyDescent="0.2">
      <c r="A16" s="420"/>
      <c r="B16" s="651"/>
      <c r="C16" s="651"/>
      <c r="D16" s="518" t="s">
        <v>1806</v>
      </c>
      <c r="E16" s="441" t="s">
        <v>860</v>
      </c>
      <c r="F16" s="689"/>
      <c r="G16" s="689">
        <v>1848</v>
      </c>
      <c r="H16" s="689">
        <v>1848</v>
      </c>
      <c r="I16" s="684">
        <f t="shared" ref="I16:I18" si="1">(H16/G16)*100</f>
        <v>100</v>
      </c>
    </row>
    <row r="17" spans="1:20" ht="15" x14ac:dyDescent="0.2">
      <c r="A17" s="420"/>
      <c r="B17" s="651"/>
      <c r="C17" s="651"/>
      <c r="D17" s="887" t="s">
        <v>1808</v>
      </c>
      <c r="E17" s="1676" t="s">
        <v>1739</v>
      </c>
      <c r="F17" s="1221"/>
      <c r="G17" s="1224">
        <v>172</v>
      </c>
      <c r="H17" s="1224">
        <v>172</v>
      </c>
      <c r="I17" s="1066">
        <f t="shared" si="1"/>
        <v>100</v>
      </c>
    </row>
    <row r="18" spans="1:20" ht="28.5" x14ac:dyDescent="0.2">
      <c r="A18" s="420"/>
      <c r="B18" s="651"/>
      <c r="C18" s="651"/>
      <c r="D18" s="887" t="s">
        <v>1809</v>
      </c>
      <c r="E18" s="1174" t="s">
        <v>1810</v>
      </c>
      <c r="F18" s="1221"/>
      <c r="G18" s="1224">
        <v>26</v>
      </c>
      <c r="H18" s="1224">
        <v>26</v>
      </c>
      <c r="I18" s="1066">
        <f t="shared" si="1"/>
        <v>100</v>
      </c>
    </row>
    <row r="19" spans="1:20" ht="14.25" x14ac:dyDescent="0.2">
      <c r="A19" s="420"/>
      <c r="B19" s="651"/>
      <c r="C19" s="651"/>
      <c r="D19" s="518" t="s">
        <v>1807</v>
      </c>
      <c r="E19" s="442" t="s">
        <v>716</v>
      </c>
      <c r="F19" s="689"/>
      <c r="G19" s="689">
        <v>3415</v>
      </c>
      <c r="H19" s="689">
        <v>3415</v>
      </c>
      <c r="I19" s="684">
        <f t="shared" si="0"/>
        <v>100</v>
      </c>
    </row>
    <row r="20" spans="1:20" ht="15" x14ac:dyDescent="0.25">
      <c r="A20" s="420">
        <v>1000</v>
      </c>
      <c r="B20" s="651">
        <v>3141</v>
      </c>
      <c r="C20" s="651">
        <v>5336</v>
      </c>
      <c r="D20" s="527"/>
      <c r="E20" s="616" t="s">
        <v>1282</v>
      </c>
      <c r="F20" s="690"/>
      <c r="G20" s="700">
        <f>G21+G22</f>
        <v>739</v>
      </c>
      <c r="H20" s="700">
        <f>H21+H22</f>
        <v>739</v>
      </c>
      <c r="I20" s="693">
        <f t="shared" si="0"/>
        <v>100</v>
      </c>
    </row>
    <row r="21" spans="1:20" ht="15" x14ac:dyDescent="0.25">
      <c r="A21" s="420"/>
      <c r="B21" s="651"/>
      <c r="C21" s="651"/>
      <c r="D21" s="518" t="s">
        <v>1806</v>
      </c>
      <c r="E21" s="441" t="s">
        <v>715</v>
      </c>
      <c r="F21" s="690"/>
      <c r="G21" s="689">
        <v>333</v>
      </c>
      <c r="H21" s="689">
        <v>333</v>
      </c>
      <c r="I21" s="684">
        <f t="shared" ref="I21" si="2">(H21/G21)*100</f>
        <v>100</v>
      </c>
    </row>
    <row r="22" spans="1:20" ht="15" x14ac:dyDescent="0.25">
      <c r="A22" s="420"/>
      <c r="B22" s="651"/>
      <c r="C22" s="651"/>
      <c r="D22" s="518" t="s">
        <v>1807</v>
      </c>
      <c r="E22" s="442" t="s">
        <v>716</v>
      </c>
      <c r="F22" s="690"/>
      <c r="G22" s="689">
        <v>406</v>
      </c>
      <c r="H22" s="689">
        <v>406</v>
      </c>
      <c r="I22" s="684">
        <f t="shared" si="0"/>
        <v>100</v>
      </c>
    </row>
    <row r="23" spans="1:20" ht="15" x14ac:dyDescent="0.25">
      <c r="A23" s="420">
        <v>1000</v>
      </c>
      <c r="B23" s="651">
        <v>3143</v>
      </c>
      <c r="C23" s="651">
        <v>5336</v>
      </c>
      <c r="D23" s="712"/>
      <c r="E23" s="616" t="s">
        <v>1282</v>
      </c>
      <c r="F23" s="690"/>
      <c r="G23" s="690">
        <v>489</v>
      </c>
      <c r="H23" s="690">
        <v>489</v>
      </c>
      <c r="I23" s="691">
        <f t="shared" si="0"/>
        <v>100</v>
      </c>
    </row>
    <row r="24" spans="1:20" ht="15.75" thickBot="1" x14ac:dyDescent="0.3">
      <c r="A24" s="420"/>
      <c r="B24" s="651"/>
      <c r="C24" s="651"/>
      <c r="D24" s="518" t="s">
        <v>1807</v>
      </c>
      <c r="E24" s="442" t="s">
        <v>716</v>
      </c>
      <c r="F24" s="690"/>
      <c r="G24" s="689">
        <v>490</v>
      </c>
      <c r="H24" s="689">
        <v>490</v>
      </c>
      <c r="I24" s="684">
        <f t="shared" si="0"/>
        <v>100</v>
      </c>
    </row>
    <row r="25" spans="1:20" ht="17.25" thickTop="1" thickBot="1" x14ac:dyDescent="0.3">
      <c r="A25" s="3110" t="s">
        <v>1000</v>
      </c>
      <c r="B25" s="3111"/>
      <c r="C25" s="3111"/>
      <c r="D25" s="3111"/>
      <c r="E25" s="3111"/>
      <c r="F25" s="715">
        <v>0</v>
      </c>
      <c r="G25" s="715">
        <f>G12+G15+G20+G23</f>
        <v>7848</v>
      </c>
      <c r="H25" s="715">
        <f>H12+H15+H20+H23</f>
        <v>7848</v>
      </c>
      <c r="I25" s="716">
        <f t="shared" si="0"/>
        <v>100</v>
      </c>
      <c r="R25" s="374">
        <f>F25</f>
        <v>0</v>
      </c>
      <c r="S25" s="374">
        <f>G25</f>
        <v>7848</v>
      </c>
      <c r="T25" s="374">
        <f>H25</f>
        <v>7848</v>
      </c>
    </row>
    <row r="26" spans="1:20" ht="18.75" thickTop="1" x14ac:dyDescent="0.25">
      <c r="A26" s="33"/>
      <c r="B26" s="33"/>
      <c r="C26" s="28"/>
      <c r="D26" s="63"/>
      <c r="E26" s="10"/>
      <c r="F26" s="303"/>
      <c r="G26" s="303"/>
      <c r="H26" s="179"/>
      <c r="I26" s="211"/>
      <c r="J26" s="17"/>
    </row>
    <row r="27" spans="1:20" ht="18" x14ac:dyDescent="0.25">
      <c r="A27" s="33"/>
      <c r="B27" s="33"/>
      <c r="C27" s="28"/>
      <c r="D27" s="63"/>
      <c r="E27" s="10"/>
      <c r="F27" s="303"/>
      <c r="G27" s="303"/>
      <c r="H27" s="179"/>
      <c r="I27" s="211"/>
      <c r="J27" s="17"/>
    </row>
    <row r="28" spans="1:20" ht="13.5" thickBot="1" x14ac:dyDescent="0.25">
      <c r="A28" s="421" t="s">
        <v>852</v>
      </c>
      <c r="B28" s="584"/>
      <c r="C28" s="584"/>
      <c r="D28" s="671"/>
      <c r="E28" s="585"/>
      <c r="H28" s="574"/>
      <c r="I28" s="1125" t="s">
        <v>148</v>
      </c>
    </row>
    <row r="29" spans="1:20" s="106" customFormat="1" ht="14.25" customHeight="1" thickTop="1" thickBot="1" x14ac:dyDescent="0.25">
      <c r="A29" s="586" t="s">
        <v>565</v>
      </c>
      <c r="B29" s="658" t="s">
        <v>149</v>
      </c>
      <c r="C29" s="587" t="s">
        <v>150</v>
      </c>
      <c r="D29" s="589" t="s">
        <v>639</v>
      </c>
      <c r="E29" s="589" t="s">
        <v>151</v>
      </c>
      <c r="F29" s="589" t="s">
        <v>569</v>
      </c>
      <c r="G29" s="589" t="s">
        <v>570</v>
      </c>
      <c r="H29" s="589" t="s">
        <v>797</v>
      </c>
      <c r="I29" s="674" t="s">
        <v>798</v>
      </c>
    </row>
    <row r="30" spans="1:20" s="375" customFormat="1" ht="13.5" thickTop="1" thickBot="1" x14ac:dyDescent="0.25">
      <c r="A30" s="525">
        <v>1</v>
      </c>
      <c r="B30" s="526">
        <v>2</v>
      </c>
      <c r="C30" s="526">
        <v>3</v>
      </c>
      <c r="D30" s="526">
        <v>4</v>
      </c>
      <c r="E30" s="526">
        <v>5</v>
      </c>
      <c r="F30" s="512">
        <v>6</v>
      </c>
      <c r="G30" s="512">
        <v>7</v>
      </c>
      <c r="H30" s="513">
        <v>8</v>
      </c>
      <c r="I30" s="591" t="s">
        <v>689</v>
      </c>
    </row>
    <row r="31" spans="1:20" ht="20.25" customHeight="1" thickTop="1" x14ac:dyDescent="0.25">
      <c r="A31" s="1126">
        <v>1001</v>
      </c>
      <c r="B31" s="659">
        <v>3112</v>
      </c>
      <c r="C31" s="659">
        <v>5331</v>
      </c>
      <c r="D31" s="694"/>
      <c r="E31" s="713" t="s">
        <v>858</v>
      </c>
      <c r="F31" s="714">
        <f>SUM(F32:F37)</f>
        <v>556</v>
      </c>
      <c r="G31" s="714">
        <f>G32+G33</f>
        <v>94</v>
      </c>
      <c r="H31" s="714">
        <f>H32+H33</f>
        <v>94</v>
      </c>
      <c r="I31" s="682">
        <f t="shared" ref="I31:I40" si="3">(H31/G31)*100</f>
        <v>100</v>
      </c>
    </row>
    <row r="32" spans="1:20" ht="14.25" x14ac:dyDescent="0.2">
      <c r="A32" s="420"/>
      <c r="B32" s="617"/>
      <c r="C32" s="617"/>
      <c r="D32" s="636" t="s">
        <v>1811</v>
      </c>
      <c r="E32" s="1162" t="s">
        <v>717</v>
      </c>
      <c r="F32" s="683">
        <v>46</v>
      </c>
      <c r="G32" s="683">
        <v>8</v>
      </c>
      <c r="H32" s="683">
        <v>8</v>
      </c>
      <c r="I32" s="679">
        <f t="shared" si="3"/>
        <v>100</v>
      </c>
    </row>
    <row r="33" spans="1:20" ht="14.25" x14ac:dyDescent="0.2">
      <c r="A33" s="420"/>
      <c r="B33" s="617"/>
      <c r="C33" s="617"/>
      <c r="D33" s="518" t="s">
        <v>1812</v>
      </c>
      <c r="E33" s="442" t="s">
        <v>63</v>
      </c>
      <c r="F33" s="683">
        <v>510</v>
      </c>
      <c r="G33" s="683">
        <v>86</v>
      </c>
      <c r="H33" s="683">
        <v>86</v>
      </c>
      <c r="I33" s="679">
        <f t="shared" si="3"/>
        <v>100</v>
      </c>
    </row>
    <row r="34" spans="1:20" ht="15" x14ac:dyDescent="0.25">
      <c r="A34" s="420">
        <v>1001</v>
      </c>
      <c r="B34" s="651">
        <v>3112</v>
      </c>
      <c r="C34" s="651">
        <v>5336</v>
      </c>
      <c r="D34" s="518"/>
      <c r="E34" s="616" t="s">
        <v>1282</v>
      </c>
      <c r="F34" s="700"/>
      <c r="G34" s="700">
        <f>G35+G37+G36</f>
        <v>2680</v>
      </c>
      <c r="H34" s="700">
        <f>H35+H37+H36</f>
        <v>2680</v>
      </c>
      <c r="I34" s="707">
        <f t="shared" si="3"/>
        <v>100</v>
      </c>
    </row>
    <row r="35" spans="1:20" ht="15" x14ac:dyDescent="0.2">
      <c r="A35" s="420"/>
      <c r="B35" s="651"/>
      <c r="C35" s="651"/>
      <c r="D35" s="887" t="s">
        <v>1808</v>
      </c>
      <c r="E35" s="1676" t="s">
        <v>1739</v>
      </c>
      <c r="F35" s="1221"/>
      <c r="G35" s="1224">
        <v>62</v>
      </c>
      <c r="H35" s="1224">
        <v>62</v>
      </c>
      <c r="I35" s="1066">
        <f t="shared" ref="I35:I36" si="4">(H35/G35)*100</f>
        <v>100</v>
      </c>
    </row>
    <row r="36" spans="1:20" ht="28.5" x14ac:dyDescent="0.2">
      <c r="A36" s="420"/>
      <c r="B36" s="651"/>
      <c r="C36" s="651"/>
      <c r="D36" s="887" t="s">
        <v>1809</v>
      </c>
      <c r="E36" s="2014" t="s">
        <v>1810</v>
      </c>
      <c r="F36" s="1221"/>
      <c r="G36" s="1224">
        <v>13</v>
      </c>
      <c r="H36" s="1224">
        <v>13</v>
      </c>
      <c r="I36" s="1066">
        <f t="shared" si="4"/>
        <v>100</v>
      </c>
    </row>
    <row r="37" spans="1:20" ht="14.25" x14ac:dyDescent="0.2">
      <c r="A37" s="420"/>
      <c r="B37" s="651"/>
      <c r="C37" s="651"/>
      <c r="D37" s="518" t="s">
        <v>1807</v>
      </c>
      <c r="E37" s="442" t="s">
        <v>716</v>
      </c>
      <c r="F37" s="689"/>
      <c r="G37" s="689">
        <v>2605</v>
      </c>
      <c r="H37" s="689">
        <v>2605</v>
      </c>
      <c r="I37" s="679">
        <f t="shared" si="3"/>
        <v>100</v>
      </c>
    </row>
    <row r="38" spans="1:20" ht="15" x14ac:dyDescent="0.25">
      <c r="A38" s="420">
        <v>1001</v>
      </c>
      <c r="B38" s="651">
        <v>3141</v>
      </c>
      <c r="C38" s="651">
        <v>5336</v>
      </c>
      <c r="D38" s="649"/>
      <c r="E38" s="616" t="s">
        <v>1282</v>
      </c>
      <c r="F38" s="690"/>
      <c r="G38" s="690">
        <f>G39</f>
        <v>45</v>
      </c>
      <c r="H38" s="690">
        <f>H39</f>
        <v>45</v>
      </c>
      <c r="I38" s="691">
        <f t="shared" si="3"/>
        <v>100</v>
      </c>
    </row>
    <row r="39" spans="1:20" ht="15" thickBot="1" x14ac:dyDescent="0.25">
      <c r="A39" s="420"/>
      <c r="B39" s="651"/>
      <c r="C39" s="651"/>
      <c r="D39" s="518" t="s">
        <v>1807</v>
      </c>
      <c r="E39" s="442" t="s">
        <v>716</v>
      </c>
      <c r="F39" s="689"/>
      <c r="G39" s="689">
        <v>45</v>
      </c>
      <c r="H39" s="689">
        <v>45</v>
      </c>
      <c r="I39" s="684">
        <f t="shared" si="3"/>
        <v>100</v>
      </c>
    </row>
    <row r="40" spans="1:20" ht="17.25" thickTop="1" thickBot="1" x14ac:dyDescent="0.3">
      <c r="A40" s="3110" t="s">
        <v>1000</v>
      </c>
      <c r="B40" s="3111"/>
      <c r="C40" s="3111"/>
      <c r="D40" s="3111"/>
      <c r="E40" s="3111"/>
      <c r="F40" s="715">
        <f>SUM(F31)</f>
        <v>556</v>
      </c>
      <c r="G40" s="715">
        <f>G31+G34+G38</f>
        <v>2819</v>
      </c>
      <c r="H40" s="715">
        <f>H31+H34+H38</f>
        <v>2819</v>
      </c>
      <c r="I40" s="716">
        <f t="shared" si="3"/>
        <v>100</v>
      </c>
      <c r="R40" s="374">
        <f>F40</f>
        <v>556</v>
      </c>
      <c r="S40" s="374">
        <f>G40</f>
        <v>2819</v>
      </c>
      <c r="T40" s="374">
        <f>H40</f>
        <v>2819</v>
      </c>
    </row>
    <row r="41" spans="1:20" ht="13.5" thickTop="1" x14ac:dyDescent="0.2"/>
    <row r="43" spans="1:20" ht="13.5" thickBot="1" x14ac:dyDescent="0.25">
      <c r="A43" s="421" t="s">
        <v>666</v>
      </c>
      <c r="I43" s="1125" t="s">
        <v>148</v>
      </c>
    </row>
    <row r="44" spans="1:20" s="106" customFormat="1" thickTop="1" thickBot="1" x14ac:dyDescent="0.25">
      <c r="A44" s="586" t="s">
        <v>565</v>
      </c>
      <c r="B44" s="658" t="s">
        <v>149</v>
      </c>
      <c r="C44" s="587" t="s">
        <v>150</v>
      </c>
      <c r="D44" s="589" t="s">
        <v>639</v>
      </c>
      <c r="E44" s="589" t="s">
        <v>151</v>
      </c>
      <c r="F44" s="589" t="s">
        <v>569</v>
      </c>
      <c r="G44" s="589" t="s">
        <v>570</v>
      </c>
      <c r="H44" s="589" t="s">
        <v>797</v>
      </c>
      <c r="I44" s="674" t="s">
        <v>798</v>
      </c>
    </row>
    <row r="45" spans="1:20" s="375" customFormat="1" ht="13.5" thickTop="1" thickBot="1" x14ac:dyDescent="0.25">
      <c r="A45" s="525">
        <v>1</v>
      </c>
      <c r="B45" s="526">
        <v>2</v>
      </c>
      <c r="C45" s="526">
        <v>3</v>
      </c>
      <c r="D45" s="526">
        <v>4</v>
      </c>
      <c r="E45" s="526">
        <v>5</v>
      </c>
      <c r="F45" s="512">
        <v>6</v>
      </c>
      <c r="G45" s="512">
        <v>7</v>
      </c>
      <c r="H45" s="513">
        <v>8</v>
      </c>
      <c r="I45" s="591" t="s">
        <v>689</v>
      </c>
    </row>
    <row r="46" spans="1:20" ht="15.75" thickTop="1" x14ac:dyDescent="0.25">
      <c r="A46" s="420">
        <v>1010</v>
      </c>
      <c r="B46" s="617">
        <v>3112</v>
      </c>
      <c r="C46" s="617">
        <v>5336</v>
      </c>
      <c r="D46" s="518"/>
      <c r="E46" s="616" t="s">
        <v>1282</v>
      </c>
      <c r="F46" s="1671"/>
      <c r="G46" s="705">
        <f>G47+G49+G48</f>
        <v>3170</v>
      </c>
      <c r="H46" s="705">
        <f>H47+H49+H48</f>
        <v>3170</v>
      </c>
      <c r="I46" s="707">
        <f t="shared" ref="I46:I54" si="5">(H46/G46)*100</f>
        <v>100</v>
      </c>
    </row>
    <row r="47" spans="1:20" ht="15" x14ac:dyDescent="0.2">
      <c r="A47" s="420"/>
      <c r="B47" s="617"/>
      <c r="C47" s="617"/>
      <c r="D47" s="887" t="s">
        <v>1808</v>
      </c>
      <c r="E47" s="1676" t="s">
        <v>1739</v>
      </c>
      <c r="F47" s="1221"/>
      <c r="G47" s="1224">
        <v>126</v>
      </c>
      <c r="H47" s="1224">
        <v>126</v>
      </c>
      <c r="I47" s="1066">
        <f t="shared" ref="I47:I48" si="6">(H47/G47)*100</f>
        <v>100</v>
      </c>
    </row>
    <row r="48" spans="1:20" ht="28.5" x14ac:dyDescent="0.2">
      <c r="A48" s="420"/>
      <c r="B48" s="617"/>
      <c r="C48" s="617"/>
      <c r="D48" s="887" t="s">
        <v>1809</v>
      </c>
      <c r="E48" s="2014" t="s">
        <v>1810</v>
      </c>
      <c r="F48" s="1221"/>
      <c r="G48" s="1224">
        <v>28</v>
      </c>
      <c r="H48" s="1224">
        <v>28</v>
      </c>
      <c r="I48" s="1066">
        <f t="shared" si="6"/>
        <v>100</v>
      </c>
    </row>
    <row r="49" spans="1:20" ht="14.25" x14ac:dyDescent="0.2">
      <c r="A49" s="420"/>
      <c r="B49" s="617"/>
      <c r="C49" s="617"/>
      <c r="D49" s="518" t="s">
        <v>1807</v>
      </c>
      <c r="E49" s="442" t="s">
        <v>716</v>
      </c>
      <c r="F49" s="683"/>
      <c r="G49" s="683">
        <v>3016</v>
      </c>
      <c r="H49" s="683">
        <v>3016</v>
      </c>
      <c r="I49" s="679">
        <f t="shared" si="5"/>
        <v>100</v>
      </c>
    </row>
    <row r="50" spans="1:20" ht="15" x14ac:dyDescent="0.25">
      <c r="A50" s="420">
        <v>1010</v>
      </c>
      <c r="B50" s="651">
        <v>3114</v>
      </c>
      <c r="C50" s="1128">
        <v>5331</v>
      </c>
      <c r="D50" s="697"/>
      <c r="E50" s="616" t="s">
        <v>858</v>
      </c>
      <c r="F50" s="690">
        <f>SUM(F51:F51)</f>
        <v>461</v>
      </c>
      <c r="G50" s="690">
        <f>SUM(G51:G51)</f>
        <v>76</v>
      </c>
      <c r="H50" s="690">
        <f>SUM(H51:H51)</f>
        <v>76</v>
      </c>
      <c r="I50" s="691">
        <f t="shared" si="5"/>
        <v>100</v>
      </c>
    </row>
    <row r="51" spans="1:20" ht="14.25" x14ac:dyDescent="0.2">
      <c r="A51" s="420"/>
      <c r="B51" s="617"/>
      <c r="C51" s="1127"/>
      <c r="D51" s="518" t="s">
        <v>1812</v>
      </c>
      <c r="E51" s="442" t="s">
        <v>63</v>
      </c>
      <c r="F51" s="683">
        <v>461</v>
      </c>
      <c r="G51" s="683">
        <v>76</v>
      </c>
      <c r="H51" s="683">
        <v>76</v>
      </c>
      <c r="I51" s="679">
        <f t="shared" si="5"/>
        <v>100</v>
      </c>
    </row>
    <row r="52" spans="1:20" ht="15" x14ac:dyDescent="0.25">
      <c r="A52" s="420">
        <v>1010</v>
      </c>
      <c r="B52" s="651">
        <v>3114</v>
      </c>
      <c r="C52" s="651">
        <v>5336</v>
      </c>
      <c r="D52" s="527"/>
      <c r="E52" s="616" t="s">
        <v>1282</v>
      </c>
      <c r="F52" s="700"/>
      <c r="G52" s="700">
        <f>G53</f>
        <v>2694</v>
      </c>
      <c r="H52" s="700">
        <f>H53</f>
        <v>2694</v>
      </c>
      <c r="I52" s="691">
        <f t="shared" si="5"/>
        <v>100</v>
      </c>
    </row>
    <row r="53" spans="1:20" ht="15.75" customHeight="1" thickBot="1" x14ac:dyDescent="0.3">
      <c r="A53" s="420"/>
      <c r="B53" s="651"/>
      <c r="C53" s="651"/>
      <c r="D53" s="518" t="s">
        <v>1807</v>
      </c>
      <c r="E53" s="442" t="s">
        <v>716</v>
      </c>
      <c r="F53" s="700"/>
      <c r="G53" s="692">
        <v>2694</v>
      </c>
      <c r="H53" s="692">
        <v>2694</v>
      </c>
      <c r="I53" s="679">
        <f t="shared" si="5"/>
        <v>100</v>
      </c>
    </row>
    <row r="54" spans="1:20" ht="15.75" customHeight="1" thickTop="1" thickBot="1" x14ac:dyDescent="0.3">
      <c r="A54" s="3110" t="s">
        <v>1000</v>
      </c>
      <c r="B54" s="3111"/>
      <c r="C54" s="3111"/>
      <c r="D54" s="3111"/>
      <c r="E54" s="3111"/>
      <c r="F54" s="680">
        <f>F50+F52+F46</f>
        <v>461</v>
      </c>
      <c r="G54" s="680">
        <f t="shared" ref="G54:H54" si="7">G50+G52+G46</f>
        <v>5940</v>
      </c>
      <c r="H54" s="680">
        <f t="shared" si="7"/>
        <v>5940</v>
      </c>
      <c r="I54" s="681">
        <f t="shared" si="5"/>
        <v>100</v>
      </c>
      <c r="R54" s="374">
        <f>F54</f>
        <v>461</v>
      </c>
      <c r="S54" s="374">
        <f>G54</f>
        <v>5940</v>
      </c>
      <c r="T54" s="374">
        <f>H54</f>
        <v>5940</v>
      </c>
    </row>
    <row r="55" spans="1:20" ht="15.75" customHeight="1" thickTop="1" x14ac:dyDescent="0.25">
      <c r="A55" s="361"/>
      <c r="B55" s="361"/>
      <c r="C55" s="361"/>
      <c r="D55" s="361"/>
      <c r="E55" s="361"/>
      <c r="F55" s="178"/>
      <c r="G55" s="178"/>
      <c r="H55" s="178"/>
      <c r="I55" s="207"/>
      <c r="R55" s="374"/>
      <c r="S55" s="374"/>
      <c r="T55" s="374"/>
    </row>
    <row r="56" spans="1:20" ht="15.75" customHeight="1" x14ac:dyDescent="0.25">
      <c r="A56" s="361"/>
      <c r="B56" s="361"/>
      <c r="C56" s="361"/>
      <c r="D56" s="361"/>
      <c r="E56" s="361"/>
      <c r="F56" s="178"/>
      <c r="G56" s="178"/>
      <c r="H56" s="178"/>
      <c r="I56" s="207"/>
      <c r="R56" s="374"/>
      <c r="S56" s="374"/>
      <c r="T56" s="374"/>
    </row>
    <row r="57" spans="1:20" ht="15.75" customHeight="1" x14ac:dyDescent="0.25">
      <c r="A57" s="361"/>
      <c r="B57" s="361"/>
      <c r="C57" s="361"/>
      <c r="D57" s="361"/>
      <c r="E57" s="361"/>
      <c r="F57" s="178"/>
      <c r="G57" s="178"/>
      <c r="H57" s="178"/>
      <c r="I57" s="207"/>
      <c r="R57" s="374"/>
      <c r="S57" s="374"/>
      <c r="T57" s="374"/>
    </row>
    <row r="58" spans="1:20" ht="15.75" customHeight="1" x14ac:dyDescent="0.25">
      <c r="A58" s="361"/>
      <c r="B58" s="361"/>
      <c r="C58" s="361"/>
      <c r="D58" s="361"/>
      <c r="E58" s="361"/>
      <c r="F58" s="178"/>
      <c r="G58" s="178"/>
      <c r="H58" s="178"/>
      <c r="I58" s="207"/>
      <c r="R58" s="374"/>
      <c r="S58" s="374"/>
      <c r="T58" s="374"/>
    </row>
    <row r="59" spans="1:20" ht="15.75" customHeight="1" x14ac:dyDescent="0.25">
      <c r="A59" s="361"/>
      <c r="B59" s="361"/>
      <c r="C59" s="361"/>
      <c r="D59" s="361"/>
      <c r="E59" s="361"/>
      <c r="F59" s="178"/>
      <c r="G59" s="178"/>
      <c r="H59" s="178"/>
      <c r="I59" s="207"/>
      <c r="R59" s="374"/>
      <c r="S59" s="374"/>
      <c r="T59" s="374"/>
    </row>
    <row r="60" spans="1:20" ht="15.75" customHeight="1" x14ac:dyDescent="0.25">
      <c r="A60" s="361"/>
      <c r="B60" s="361"/>
      <c r="C60" s="361"/>
      <c r="D60" s="361"/>
      <c r="E60" s="361"/>
      <c r="F60" s="178"/>
      <c r="G60" s="178"/>
      <c r="H60" s="178"/>
      <c r="I60" s="207"/>
      <c r="R60" s="374"/>
      <c r="S60" s="374"/>
      <c r="T60" s="374"/>
    </row>
    <row r="61" spans="1:20" ht="15.75" customHeight="1" x14ac:dyDescent="0.25">
      <c r="A61" s="361"/>
      <c r="B61" s="361"/>
      <c r="C61" s="361"/>
      <c r="D61" s="361"/>
      <c r="E61" s="361"/>
      <c r="F61" s="178"/>
      <c r="G61" s="178"/>
      <c r="H61" s="178"/>
      <c r="I61" s="207"/>
      <c r="R61" s="374"/>
      <c r="S61" s="374"/>
      <c r="T61" s="374"/>
    </row>
    <row r="62" spans="1:20" ht="15.75" customHeight="1" x14ac:dyDescent="0.25">
      <c r="A62" s="361"/>
      <c r="B62" s="361"/>
      <c r="C62" s="361"/>
      <c r="D62" s="361"/>
      <c r="E62" s="361"/>
      <c r="F62" s="178"/>
      <c r="G62" s="178"/>
      <c r="H62" s="178"/>
      <c r="I62" s="207"/>
      <c r="R62" s="374"/>
      <c r="S62" s="374"/>
      <c r="T62" s="374"/>
    </row>
    <row r="63" spans="1:20" ht="15.75" customHeight="1" x14ac:dyDescent="0.25">
      <c r="A63" s="361"/>
      <c r="B63" s="361"/>
      <c r="C63" s="361"/>
      <c r="D63" s="361"/>
      <c r="E63" s="361"/>
      <c r="F63" s="178"/>
      <c r="G63" s="178"/>
      <c r="H63" s="178"/>
      <c r="I63" s="207"/>
      <c r="R63" s="374"/>
      <c r="S63" s="374"/>
      <c r="T63" s="374"/>
    </row>
    <row r="64" spans="1:20" ht="15.75" customHeight="1" x14ac:dyDescent="0.25">
      <c r="A64" s="361"/>
      <c r="B64" s="361"/>
      <c r="C64" s="361"/>
      <c r="D64" s="361"/>
      <c r="E64" s="361"/>
      <c r="F64" s="178"/>
      <c r="G64" s="178"/>
      <c r="H64" s="178"/>
      <c r="I64" s="207"/>
      <c r="R64" s="374"/>
      <c r="S64" s="374"/>
      <c r="T64" s="374"/>
    </row>
    <row r="65" spans="1:20" ht="15.75" customHeight="1" x14ac:dyDescent="0.25">
      <c r="A65" s="361"/>
      <c r="B65" s="361"/>
      <c r="C65" s="361"/>
      <c r="D65" s="361"/>
      <c r="E65" s="361"/>
      <c r="F65" s="178"/>
      <c r="G65" s="178"/>
      <c r="H65" s="178"/>
      <c r="I65" s="207"/>
      <c r="R65" s="374"/>
      <c r="S65" s="374"/>
      <c r="T65" s="374"/>
    </row>
    <row r="66" spans="1:20" ht="15.75" customHeight="1" x14ac:dyDescent="0.25">
      <c r="A66" s="361"/>
      <c r="B66" s="361"/>
      <c r="C66" s="361"/>
      <c r="D66" s="361"/>
      <c r="E66" s="361"/>
      <c r="F66" s="178"/>
      <c r="G66" s="178"/>
      <c r="H66" s="178"/>
      <c r="I66" s="207"/>
      <c r="R66" s="374"/>
      <c r="S66" s="374"/>
      <c r="T66" s="374"/>
    </row>
    <row r="67" spans="1:20" ht="15.75" customHeight="1" x14ac:dyDescent="0.25">
      <c r="A67" s="361"/>
      <c r="B67" s="361"/>
      <c r="C67" s="361"/>
      <c r="D67" s="361"/>
      <c r="E67" s="361"/>
      <c r="F67" s="178"/>
      <c r="G67" s="178"/>
      <c r="H67" s="178"/>
      <c r="I67" s="207"/>
      <c r="R67" s="374"/>
      <c r="S67" s="374"/>
      <c r="T67" s="374"/>
    </row>
    <row r="68" spans="1:20" ht="15.75" customHeight="1" x14ac:dyDescent="0.25">
      <c r="A68" s="361"/>
      <c r="B68" s="361"/>
      <c r="C68" s="361"/>
      <c r="D68" s="361"/>
      <c r="E68" s="361"/>
      <c r="F68" s="178"/>
      <c r="G68" s="178"/>
      <c r="H68" s="178"/>
      <c r="I68" s="207"/>
      <c r="R68" s="374"/>
      <c r="S68" s="374"/>
      <c r="T68" s="374"/>
    </row>
    <row r="69" spans="1:20" ht="15.75" customHeight="1" x14ac:dyDescent="0.25">
      <c r="A69" s="361"/>
      <c r="B69" s="361"/>
      <c r="C69" s="361"/>
      <c r="D69" s="361"/>
      <c r="E69" s="361"/>
      <c r="F69" s="178"/>
      <c r="G69" s="178"/>
      <c r="H69" s="178"/>
      <c r="I69" s="207"/>
      <c r="R69" s="374"/>
      <c r="S69" s="374"/>
      <c r="T69" s="374"/>
    </row>
    <row r="70" spans="1:20" ht="15.75" customHeight="1" x14ac:dyDescent="0.25">
      <c r="A70" s="361"/>
      <c r="B70" s="361"/>
      <c r="C70" s="361"/>
      <c r="D70" s="361"/>
      <c r="E70" s="361"/>
      <c r="F70" s="178"/>
      <c r="G70" s="178"/>
      <c r="H70" s="178"/>
      <c r="I70" s="207"/>
      <c r="R70" s="374"/>
      <c r="S70" s="374"/>
      <c r="T70" s="374"/>
    </row>
    <row r="71" spans="1:20" ht="13.5" thickBot="1" x14ac:dyDescent="0.25">
      <c r="A71" s="421" t="s">
        <v>718</v>
      </c>
      <c r="I71" s="1125" t="s">
        <v>148</v>
      </c>
    </row>
    <row r="72" spans="1:20" s="106" customFormat="1" thickTop="1" thickBot="1" x14ac:dyDescent="0.25">
      <c r="A72" s="586" t="s">
        <v>565</v>
      </c>
      <c r="B72" s="658" t="s">
        <v>149</v>
      </c>
      <c r="C72" s="587" t="s">
        <v>150</v>
      </c>
      <c r="D72" s="589" t="s">
        <v>639</v>
      </c>
      <c r="E72" s="589" t="s">
        <v>151</v>
      </c>
      <c r="F72" s="589" t="s">
        <v>569</v>
      </c>
      <c r="G72" s="589" t="s">
        <v>570</v>
      </c>
      <c r="H72" s="589" t="s">
        <v>797</v>
      </c>
      <c r="I72" s="674" t="s">
        <v>798</v>
      </c>
    </row>
    <row r="73" spans="1:20" s="375" customFormat="1" ht="13.5" thickTop="1" thickBot="1" x14ac:dyDescent="0.25">
      <c r="A73" s="525">
        <v>1</v>
      </c>
      <c r="B73" s="526">
        <v>2</v>
      </c>
      <c r="C73" s="526">
        <v>3</v>
      </c>
      <c r="D73" s="526">
        <v>4</v>
      </c>
      <c r="E73" s="526">
        <v>5</v>
      </c>
      <c r="F73" s="512">
        <v>6</v>
      </c>
      <c r="G73" s="512">
        <v>7</v>
      </c>
      <c r="H73" s="513">
        <v>8</v>
      </c>
      <c r="I73" s="591" t="s">
        <v>689</v>
      </c>
    </row>
    <row r="74" spans="1:20" s="375" customFormat="1" ht="15.75" thickTop="1" x14ac:dyDescent="0.25">
      <c r="A74" s="1133">
        <v>1012</v>
      </c>
      <c r="B74" s="1672">
        <v>3112</v>
      </c>
      <c r="C74" s="1672">
        <v>5336</v>
      </c>
      <c r="D74" s="527"/>
      <c r="E74" s="616" t="s">
        <v>1282</v>
      </c>
      <c r="F74" s="1071"/>
      <c r="G74" s="994">
        <f>G75</f>
        <v>2121</v>
      </c>
      <c r="H74" s="994">
        <f>H75</f>
        <v>2121</v>
      </c>
      <c r="I74" s="677">
        <f t="shared" ref="I74:I95" si="8">(H74/G74)*100</f>
        <v>100</v>
      </c>
    </row>
    <row r="75" spans="1:20" s="375" customFormat="1" ht="14.25" x14ac:dyDescent="0.2">
      <c r="A75" s="719"/>
      <c r="B75" s="720"/>
      <c r="C75" s="720"/>
      <c r="D75" s="527" t="s">
        <v>1807</v>
      </c>
      <c r="E75" s="721" t="s">
        <v>716</v>
      </c>
      <c r="F75" s="1163"/>
      <c r="G75" s="1140">
        <v>2121</v>
      </c>
      <c r="H75" s="1140">
        <v>2121</v>
      </c>
      <c r="I75" s="679">
        <f t="shared" si="8"/>
        <v>100</v>
      </c>
    </row>
    <row r="76" spans="1:20" s="375" customFormat="1" ht="15" x14ac:dyDescent="0.25">
      <c r="A76" s="1133">
        <v>1012</v>
      </c>
      <c r="B76" s="617">
        <v>3113</v>
      </c>
      <c r="C76" s="1672">
        <v>5336</v>
      </c>
      <c r="D76" s="527"/>
      <c r="E76" s="616" t="s">
        <v>1282</v>
      </c>
      <c r="F76" s="1163"/>
      <c r="G76" s="994">
        <f>G77+G78</f>
        <v>204</v>
      </c>
      <c r="H76" s="994">
        <f>H77+H78</f>
        <v>204</v>
      </c>
      <c r="I76" s="677">
        <f t="shared" si="8"/>
        <v>100</v>
      </c>
    </row>
    <row r="77" spans="1:20" s="375" customFormat="1" ht="14.25" x14ac:dyDescent="0.2">
      <c r="A77" s="719"/>
      <c r="B77" s="720"/>
      <c r="C77" s="720"/>
      <c r="D77" s="527" t="s">
        <v>1813</v>
      </c>
      <c r="E77" s="1162" t="s">
        <v>1815</v>
      </c>
      <c r="F77" s="1163"/>
      <c r="G77" s="1140">
        <v>31</v>
      </c>
      <c r="H77" s="1140">
        <v>31</v>
      </c>
      <c r="I77" s="679">
        <f t="shared" si="8"/>
        <v>100</v>
      </c>
    </row>
    <row r="78" spans="1:20" s="375" customFormat="1" ht="14.25" x14ac:dyDescent="0.2">
      <c r="A78" s="719"/>
      <c r="B78" s="720"/>
      <c r="C78" s="720"/>
      <c r="D78" s="527" t="s">
        <v>1814</v>
      </c>
      <c r="E78" s="1162" t="s">
        <v>1815</v>
      </c>
      <c r="F78" s="1163"/>
      <c r="G78" s="1140">
        <v>173</v>
      </c>
      <c r="H78" s="1140">
        <v>173</v>
      </c>
      <c r="I78" s="679">
        <f t="shared" si="8"/>
        <v>100</v>
      </c>
    </row>
    <row r="79" spans="1:20" ht="15" x14ac:dyDescent="0.25">
      <c r="A79" s="420">
        <v>1012</v>
      </c>
      <c r="B79" s="617">
        <v>3114</v>
      </c>
      <c r="C79" s="617">
        <v>5331</v>
      </c>
      <c r="D79" s="675"/>
      <c r="E79" s="616" t="s">
        <v>858</v>
      </c>
      <c r="F79" s="690">
        <f>SUM(F80:F81)</f>
        <v>3626</v>
      </c>
      <c r="G79" s="690">
        <f>SUM(G80:G81)</f>
        <v>604</v>
      </c>
      <c r="H79" s="690">
        <f>SUM(H80:H81)</f>
        <v>604</v>
      </c>
      <c r="I79" s="677">
        <f t="shared" si="8"/>
        <v>100</v>
      </c>
    </row>
    <row r="80" spans="1:20" ht="14.25" x14ac:dyDescent="0.2">
      <c r="A80" s="420"/>
      <c r="B80" s="617"/>
      <c r="C80" s="617"/>
      <c r="D80" s="636" t="s">
        <v>1811</v>
      </c>
      <c r="E80" s="1162" t="s">
        <v>717</v>
      </c>
      <c r="F80" s="683">
        <v>746</v>
      </c>
      <c r="G80" s="683">
        <v>124</v>
      </c>
      <c r="H80" s="683">
        <v>124</v>
      </c>
      <c r="I80" s="679">
        <f t="shared" si="8"/>
        <v>100</v>
      </c>
    </row>
    <row r="81" spans="1:20" ht="14.25" x14ac:dyDescent="0.2">
      <c r="A81" s="420"/>
      <c r="B81" s="617"/>
      <c r="C81" s="1127"/>
      <c r="D81" s="518" t="s">
        <v>1812</v>
      </c>
      <c r="E81" s="442" t="s">
        <v>63</v>
      </c>
      <c r="F81" s="683">
        <v>2880</v>
      </c>
      <c r="G81" s="683">
        <v>480</v>
      </c>
      <c r="H81" s="683">
        <v>480</v>
      </c>
      <c r="I81" s="679">
        <f t="shared" si="8"/>
        <v>100</v>
      </c>
    </row>
    <row r="82" spans="1:20" ht="15" x14ac:dyDescent="0.25">
      <c r="A82" s="420">
        <v>1012</v>
      </c>
      <c r="B82" s="651">
        <v>3114</v>
      </c>
      <c r="C82" s="1128">
        <v>5336</v>
      </c>
      <c r="D82" s="527"/>
      <c r="E82" s="616" t="s">
        <v>1282</v>
      </c>
      <c r="F82" s="700"/>
      <c r="G82" s="700">
        <f>G85+G83+G84</f>
        <v>15314</v>
      </c>
      <c r="H82" s="700">
        <f>H85+H83+H84</f>
        <v>15314</v>
      </c>
      <c r="I82" s="691">
        <f t="shared" si="8"/>
        <v>100</v>
      </c>
    </row>
    <row r="83" spans="1:20" ht="15" x14ac:dyDescent="0.2">
      <c r="A83" s="420"/>
      <c r="B83" s="651"/>
      <c r="C83" s="1128"/>
      <c r="D83" s="887" t="s">
        <v>1808</v>
      </c>
      <c r="E83" s="1676" t="s">
        <v>1739</v>
      </c>
      <c r="F83" s="1221"/>
      <c r="G83" s="1224">
        <v>662</v>
      </c>
      <c r="H83" s="1224">
        <v>662</v>
      </c>
      <c r="I83" s="1066">
        <f t="shared" ref="I83:I84" si="9">(H83/G83)*100</f>
        <v>100</v>
      </c>
    </row>
    <row r="84" spans="1:20" ht="28.5" x14ac:dyDescent="0.2">
      <c r="A84" s="420"/>
      <c r="B84" s="651"/>
      <c r="C84" s="1128"/>
      <c r="D84" s="887" t="s">
        <v>1809</v>
      </c>
      <c r="E84" s="2014" t="s">
        <v>1810</v>
      </c>
      <c r="F84" s="1221"/>
      <c r="G84" s="1224">
        <v>145</v>
      </c>
      <c r="H84" s="1224">
        <v>145</v>
      </c>
      <c r="I84" s="1066">
        <f t="shared" si="9"/>
        <v>100</v>
      </c>
    </row>
    <row r="85" spans="1:20" ht="15" x14ac:dyDescent="0.25">
      <c r="A85" s="420"/>
      <c r="B85" s="651"/>
      <c r="C85" s="1128"/>
      <c r="D85" s="527" t="s">
        <v>1807</v>
      </c>
      <c r="E85" s="721" t="s">
        <v>716</v>
      </c>
      <c r="F85" s="700"/>
      <c r="G85" s="692">
        <v>14507</v>
      </c>
      <c r="H85" s="692">
        <v>14507</v>
      </c>
      <c r="I85" s="679">
        <f t="shared" si="8"/>
        <v>100</v>
      </c>
    </row>
    <row r="86" spans="1:20" ht="15" x14ac:dyDescent="0.25">
      <c r="A86" s="420">
        <v>1012</v>
      </c>
      <c r="B86" s="651">
        <v>3141</v>
      </c>
      <c r="C86" s="1128">
        <v>5336</v>
      </c>
      <c r="D86" s="527"/>
      <c r="E86" s="616" t="s">
        <v>1282</v>
      </c>
      <c r="F86" s="700"/>
      <c r="G86" s="700">
        <f>G87</f>
        <v>1072</v>
      </c>
      <c r="H86" s="700">
        <f>H87</f>
        <v>1072</v>
      </c>
      <c r="I86" s="693">
        <f t="shared" si="8"/>
        <v>100</v>
      </c>
    </row>
    <row r="87" spans="1:20" ht="14.25" x14ac:dyDescent="0.2">
      <c r="A87" s="420"/>
      <c r="B87" s="651"/>
      <c r="C87" s="1128"/>
      <c r="D87" s="527" t="s">
        <v>1807</v>
      </c>
      <c r="E87" s="721" t="s">
        <v>716</v>
      </c>
      <c r="F87" s="689"/>
      <c r="G87" s="689">
        <v>1072</v>
      </c>
      <c r="H87" s="689">
        <v>1072</v>
      </c>
      <c r="I87" s="684">
        <f t="shared" si="8"/>
        <v>100</v>
      </c>
    </row>
    <row r="88" spans="1:20" ht="15.75" customHeight="1" x14ac:dyDescent="0.25">
      <c r="A88" s="420">
        <v>1012</v>
      </c>
      <c r="B88" s="651">
        <v>3143</v>
      </c>
      <c r="C88" s="1128">
        <v>5336</v>
      </c>
      <c r="D88" s="697"/>
      <c r="E88" s="616" t="s">
        <v>1282</v>
      </c>
      <c r="F88" s="690"/>
      <c r="G88" s="690">
        <f>G89</f>
        <v>938</v>
      </c>
      <c r="H88" s="690">
        <f>H89</f>
        <v>938</v>
      </c>
      <c r="I88" s="691">
        <f t="shared" si="8"/>
        <v>100</v>
      </c>
    </row>
    <row r="89" spans="1:20" ht="15.75" customHeight="1" x14ac:dyDescent="0.2">
      <c r="A89" s="420"/>
      <c r="B89" s="651"/>
      <c r="C89" s="1128"/>
      <c r="D89" s="527" t="s">
        <v>1807</v>
      </c>
      <c r="E89" s="721" t="s">
        <v>716</v>
      </c>
      <c r="F89" s="689"/>
      <c r="G89" s="689">
        <v>938</v>
      </c>
      <c r="H89" s="689">
        <v>938</v>
      </c>
      <c r="I89" s="684">
        <f t="shared" si="8"/>
        <v>100</v>
      </c>
    </row>
    <row r="90" spans="1:20" ht="15.75" customHeight="1" x14ac:dyDescent="0.25">
      <c r="A90" s="420">
        <v>1012</v>
      </c>
      <c r="B90" s="617">
        <v>3145</v>
      </c>
      <c r="C90" s="1131">
        <v>5336</v>
      </c>
      <c r="D90" s="518"/>
      <c r="E90" s="616" t="s">
        <v>1282</v>
      </c>
      <c r="F90" s="1673"/>
      <c r="G90" s="705">
        <f>G91</f>
        <v>3147</v>
      </c>
      <c r="H90" s="705">
        <f>H91</f>
        <v>3147</v>
      </c>
      <c r="I90" s="693">
        <f t="shared" si="8"/>
        <v>100</v>
      </c>
    </row>
    <row r="91" spans="1:20" ht="15.75" customHeight="1" x14ac:dyDescent="0.2">
      <c r="A91" s="420"/>
      <c r="B91" s="617"/>
      <c r="C91" s="1127"/>
      <c r="D91" s="527" t="s">
        <v>1807</v>
      </c>
      <c r="E91" s="721" t="s">
        <v>716</v>
      </c>
      <c r="F91" s="678"/>
      <c r="G91" s="683">
        <v>3147</v>
      </c>
      <c r="H91" s="683">
        <v>3147</v>
      </c>
      <c r="I91" s="684">
        <f t="shared" si="8"/>
        <v>100</v>
      </c>
    </row>
    <row r="92" spans="1:20" ht="15.75" customHeight="1" x14ac:dyDescent="0.25">
      <c r="A92" s="420">
        <v>1012</v>
      </c>
      <c r="B92" s="617">
        <v>3146</v>
      </c>
      <c r="C92" s="1132">
        <v>5336</v>
      </c>
      <c r="D92" s="518"/>
      <c r="E92" s="616" t="s">
        <v>1282</v>
      </c>
      <c r="F92" s="1673"/>
      <c r="G92" s="705">
        <f>G93+G94</f>
        <v>6961</v>
      </c>
      <c r="H92" s="705">
        <f>H93+H94</f>
        <v>6961</v>
      </c>
      <c r="I92" s="693">
        <f t="shared" si="8"/>
        <v>100</v>
      </c>
    </row>
    <row r="93" spans="1:20" ht="15.75" customHeight="1" x14ac:dyDescent="0.25">
      <c r="A93" s="420"/>
      <c r="B93" s="617"/>
      <c r="C93" s="1132"/>
      <c r="D93" s="518" t="s">
        <v>1816</v>
      </c>
      <c r="E93" s="721" t="s">
        <v>1598</v>
      </c>
      <c r="F93" s="1673"/>
      <c r="G93" s="683">
        <v>41</v>
      </c>
      <c r="H93" s="683">
        <v>41</v>
      </c>
      <c r="I93" s="684">
        <f t="shared" si="8"/>
        <v>100</v>
      </c>
    </row>
    <row r="94" spans="1:20" ht="18" customHeight="1" thickBot="1" x14ac:dyDescent="0.3">
      <c r="A94" s="420"/>
      <c r="B94" s="617"/>
      <c r="C94" s="1132"/>
      <c r="D94" s="640" t="s">
        <v>1807</v>
      </c>
      <c r="E94" s="1130" t="s">
        <v>716</v>
      </c>
      <c r="F94" s="722"/>
      <c r="G94" s="723">
        <v>6920</v>
      </c>
      <c r="H94" s="723">
        <v>6920</v>
      </c>
      <c r="I94" s="724">
        <f t="shared" si="8"/>
        <v>100</v>
      </c>
    </row>
    <row r="95" spans="1:20" ht="16.5" thickTop="1" thickBot="1" x14ac:dyDescent="0.3">
      <c r="A95" s="3110" t="s">
        <v>1000</v>
      </c>
      <c r="B95" s="3111"/>
      <c r="C95" s="3111"/>
      <c r="D95" s="3126"/>
      <c r="E95" s="3126"/>
      <c r="F95" s="725">
        <f>F79+F74+F82+F86+F90+F92+F88+F76</f>
        <v>3626</v>
      </c>
      <c r="G95" s="725">
        <f>G79+G88+G74+G82+G86+G90+G92++G76</f>
        <v>30361</v>
      </c>
      <c r="H95" s="725">
        <f>H79+H88+H74+H82+H86+H90+H92+H76</f>
        <v>30361</v>
      </c>
      <c r="I95" s="710">
        <f t="shared" si="8"/>
        <v>100</v>
      </c>
      <c r="R95" s="374">
        <f>F95</f>
        <v>3626</v>
      </c>
      <c r="S95" s="374">
        <f>G95</f>
        <v>30361</v>
      </c>
      <c r="T95" s="374">
        <f>H95</f>
        <v>30361</v>
      </c>
    </row>
    <row r="96" spans="1:20" ht="10.5" customHeight="1" thickTop="1" x14ac:dyDescent="0.25">
      <c r="A96" s="361"/>
      <c r="B96" s="361"/>
      <c r="C96" s="361"/>
      <c r="D96" s="361"/>
      <c r="E96" s="361"/>
      <c r="F96" s="178"/>
      <c r="G96" s="178"/>
      <c r="H96" s="178"/>
      <c r="I96" s="207"/>
      <c r="R96" s="374"/>
      <c r="S96" s="374"/>
      <c r="T96" s="374"/>
    </row>
    <row r="97" spans="1:9" ht="20.25" customHeight="1" thickBot="1" x14ac:dyDescent="0.25">
      <c r="A97" s="421" t="s">
        <v>1404</v>
      </c>
      <c r="I97" s="1125" t="s">
        <v>148</v>
      </c>
    </row>
    <row r="98" spans="1:9" s="106" customFormat="1" thickTop="1" thickBot="1" x14ac:dyDescent="0.25">
      <c r="A98" s="586" t="s">
        <v>565</v>
      </c>
      <c r="B98" s="658" t="s">
        <v>149</v>
      </c>
      <c r="C98" s="587" t="s">
        <v>150</v>
      </c>
      <c r="D98" s="589" t="s">
        <v>639</v>
      </c>
      <c r="E98" s="589" t="s">
        <v>151</v>
      </c>
      <c r="F98" s="589" t="s">
        <v>569</v>
      </c>
      <c r="G98" s="589" t="s">
        <v>570</v>
      </c>
      <c r="H98" s="589" t="s">
        <v>797</v>
      </c>
      <c r="I98" s="674" t="s">
        <v>798</v>
      </c>
    </row>
    <row r="99" spans="1:9" s="375" customFormat="1" ht="13.5" thickTop="1" thickBot="1" x14ac:dyDescent="0.25">
      <c r="A99" s="525">
        <v>1</v>
      </c>
      <c r="B99" s="526">
        <v>2</v>
      </c>
      <c r="C99" s="526">
        <v>3</v>
      </c>
      <c r="D99" s="526">
        <v>4</v>
      </c>
      <c r="E99" s="526">
        <v>5</v>
      </c>
      <c r="F99" s="512">
        <v>6</v>
      </c>
      <c r="G99" s="512">
        <v>7</v>
      </c>
      <c r="H99" s="513">
        <v>8</v>
      </c>
      <c r="I99" s="591" t="s">
        <v>689</v>
      </c>
    </row>
    <row r="100" spans="1:9" ht="15.75" thickTop="1" x14ac:dyDescent="0.25">
      <c r="A100" s="420">
        <v>1013</v>
      </c>
      <c r="B100" s="651">
        <v>3112</v>
      </c>
      <c r="C100" s="1128">
        <v>5331</v>
      </c>
      <c r="D100" s="697"/>
      <c r="E100" s="616" t="s">
        <v>858</v>
      </c>
      <c r="F100" s="700">
        <f>F101</f>
        <v>113</v>
      </c>
      <c r="G100" s="700">
        <f t="shared" ref="G100:H100" si="10">G101</f>
        <v>0</v>
      </c>
      <c r="H100" s="700">
        <f t="shared" si="10"/>
        <v>0</v>
      </c>
      <c r="I100" s="707">
        <v>0</v>
      </c>
    </row>
    <row r="101" spans="1:9" ht="14.25" x14ac:dyDescent="0.2">
      <c r="A101" s="420"/>
      <c r="B101" s="651"/>
      <c r="C101" s="651"/>
      <c r="D101" s="518" t="s">
        <v>1812</v>
      </c>
      <c r="E101" s="442" t="s">
        <v>63</v>
      </c>
      <c r="F101" s="689">
        <v>113</v>
      </c>
      <c r="G101" s="689">
        <v>0</v>
      </c>
      <c r="H101" s="689">
        <v>0</v>
      </c>
      <c r="I101" s="679">
        <v>0</v>
      </c>
    </row>
    <row r="102" spans="1:9" ht="15" x14ac:dyDescent="0.25">
      <c r="A102" s="420">
        <v>1013</v>
      </c>
      <c r="B102" s="617">
        <v>3114</v>
      </c>
      <c r="C102" s="617">
        <v>5331</v>
      </c>
      <c r="D102" s="675"/>
      <c r="E102" s="664" t="s">
        <v>858</v>
      </c>
      <c r="F102" s="676">
        <f>SUM(F103:F104)</f>
        <v>5132</v>
      </c>
      <c r="G102" s="676">
        <f>SUM(G103:G104)</f>
        <v>0</v>
      </c>
      <c r="H102" s="676">
        <f>SUM(H103:H104)</f>
        <v>0</v>
      </c>
      <c r="I102" s="677">
        <v>0</v>
      </c>
    </row>
    <row r="103" spans="1:9" ht="14.25" x14ac:dyDescent="0.2">
      <c r="A103" s="420"/>
      <c r="B103" s="617"/>
      <c r="C103" s="617"/>
      <c r="D103" s="636" t="s">
        <v>1811</v>
      </c>
      <c r="E103" s="1162" t="s">
        <v>717</v>
      </c>
      <c r="F103" s="683">
        <v>3644</v>
      </c>
      <c r="G103" s="683">
        <v>0</v>
      </c>
      <c r="H103" s="683">
        <v>0</v>
      </c>
      <c r="I103" s="679">
        <v>0</v>
      </c>
    </row>
    <row r="104" spans="1:9" ht="14.25" x14ac:dyDescent="0.2">
      <c r="A104" s="420"/>
      <c r="B104" s="617"/>
      <c r="C104" s="617"/>
      <c r="D104" s="518" t="s">
        <v>1812</v>
      </c>
      <c r="E104" s="442" t="s">
        <v>63</v>
      </c>
      <c r="F104" s="683">
        <v>1488</v>
      </c>
      <c r="G104" s="683">
        <v>0</v>
      </c>
      <c r="H104" s="683">
        <v>0</v>
      </c>
      <c r="I104" s="679">
        <v>0</v>
      </c>
    </row>
    <row r="105" spans="1:9" ht="15" x14ac:dyDescent="0.25">
      <c r="A105" s="420">
        <v>1013</v>
      </c>
      <c r="B105" s="651">
        <v>3141</v>
      </c>
      <c r="C105" s="651">
        <v>5331</v>
      </c>
      <c r="D105" s="527"/>
      <c r="E105" s="664" t="s">
        <v>858</v>
      </c>
      <c r="F105" s="700">
        <v>170</v>
      </c>
      <c r="G105" s="700">
        <v>0</v>
      </c>
      <c r="H105" s="700">
        <v>0</v>
      </c>
      <c r="I105" s="707">
        <v>0</v>
      </c>
    </row>
    <row r="106" spans="1:9" ht="14.25" x14ac:dyDescent="0.2">
      <c r="A106" s="420"/>
      <c r="B106" s="651"/>
      <c r="C106" s="651"/>
      <c r="D106" s="518" t="s">
        <v>1812</v>
      </c>
      <c r="E106" s="442" t="s">
        <v>63</v>
      </c>
      <c r="F106" s="689">
        <v>170</v>
      </c>
      <c r="G106" s="689">
        <v>0</v>
      </c>
      <c r="H106" s="689">
        <v>0</v>
      </c>
      <c r="I106" s="679">
        <v>0</v>
      </c>
    </row>
    <row r="107" spans="1:9" ht="15" x14ac:dyDescent="0.25">
      <c r="A107" s="420">
        <v>1013</v>
      </c>
      <c r="B107" s="651">
        <v>3143</v>
      </c>
      <c r="C107" s="651">
        <v>5331</v>
      </c>
      <c r="D107" s="527"/>
      <c r="E107" s="616" t="s">
        <v>858</v>
      </c>
      <c r="F107" s="700">
        <v>57</v>
      </c>
      <c r="G107" s="700">
        <v>0</v>
      </c>
      <c r="H107" s="700">
        <v>0</v>
      </c>
      <c r="I107" s="707">
        <v>0</v>
      </c>
    </row>
    <row r="108" spans="1:9" ht="14.25" x14ac:dyDescent="0.2">
      <c r="A108" s="420"/>
      <c r="B108" s="651"/>
      <c r="C108" s="651"/>
      <c r="D108" s="518" t="s">
        <v>1812</v>
      </c>
      <c r="E108" s="442" t="s">
        <v>63</v>
      </c>
      <c r="F108" s="689">
        <v>57</v>
      </c>
      <c r="G108" s="689">
        <v>0</v>
      </c>
      <c r="H108" s="689">
        <v>0</v>
      </c>
      <c r="I108" s="679">
        <v>0</v>
      </c>
    </row>
    <row r="109" spans="1:9" ht="15" x14ac:dyDescent="0.25">
      <c r="A109" s="420">
        <v>1013</v>
      </c>
      <c r="B109" s="651">
        <v>3145</v>
      </c>
      <c r="C109" s="1128">
        <v>5331</v>
      </c>
      <c r="D109" s="697"/>
      <c r="E109" s="664" t="s">
        <v>858</v>
      </c>
      <c r="F109" s="700">
        <v>820</v>
      </c>
      <c r="G109" s="700">
        <v>0</v>
      </c>
      <c r="H109" s="700">
        <v>0</v>
      </c>
      <c r="I109" s="707">
        <v>0</v>
      </c>
    </row>
    <row r="110" spans="1:9" ht="14.25" x14ac:dyDescent="0.2">
      <c r="A110" s="420"/>
      <c r="B110" s="651"/>
      <c r="C110" s="651"/>
      <c r="D110" s="518" t="s">
        <v>1812</v>
      </c>
      <c r="E110" s="442" t="s">
        <v>63</v>
      </c>
      <c r="F110" s="689">
        <v>820</v>
      </c>
      <c r="G110" s="689">
        <v>0</v>
      </c>
      <c r="H110" s="689">
        <v>0</v>
      </c>
      <c r="I110" s="679">
        <v>0</v>
      </c>
    </row>
    <row r="111" spans="1:9" ht="15.75" customHeight="1" x14ac:dyDescent="0.25">
      <c r="A111" s="420">
        <v>1013</v>
      </c>
      <c r="B111" s="651">
        <v>3146</v>
      </c>
      <c r="C111" s="1128">
        <v>5331</v>
      </c>
      <c r="D111" s="697"/>
      <c r="E111" s="664" t="s">
        <v>858</v>
      </c>
      <c r="F111" s="690">
        <v>57</v>
      </c>
      <c r="G111" s="690">
        <v>0</v>
      </c>
      <c r="H111" s="690">
        <v>0</v>
      </c>
      <c r="I111" s="691">
        <v>0</v>
      </c>
    </row>
    <row r="112" spans="1:9" ht="18" customHeight="1" thickBot="1" x14ac:dyDescent="0.25">
      <c r="A112" s="420"/>
      <c r="B112" s="651"/>
      <c r="C112" s="1128"/>
      <c r="D112" s="518" t="s">
        <v>1812</v>
      </c>
      <c r="E112" s="442" t="s">
        <v>63</v>
      </c>
      <c r="F112" s="689">
        <v>57</v>
      </c>
      <c r="G112" s="689">
        <v>0</v>
      </c>
      <c r="H112" s="689">
        <v>0</v>
      </c>
      <c r="I112" s="684">
        <v>0</v>
      </c>
    </row>
    <row r="113" spans="1:20" ht="18" customHeight="1" thickTop="1" thickBot="1" x14ac:dyDescent="0.3">
      <c r="A113" s="3119" t="s">
        <v>1000</v>
      </c>
      <c r="B113" s="3120"/>
      <c r="C113" s="3120"/>
      <c r="D113" s="3120"/>
      <c r="E113" s="3121"/>
      <c r="F113" s="680">
        <f>F102+F111+F109+F100+F105+F107</f>
        <v>6349</v>
      </c>
      <c r="G113" s="680">
        <f t="shared" ref="G113:H113" si="11">G102+G111+G109+G100+G105+G107</f>
        <v>0</v>
      </c>
      <c r="H113" s="680">
        <f t="shared" si="11"/>
        <v>0</v>
      </c>
      <c r="I113" s="681">
        <v>0</v>
      </c>
      <c r="R113" s="374">
        <f>F113</f>
        <v>6349</v>
      </c>
      <c r="S113" s="374">
        <f>G113</f>
        <v>0</v>
      </c>
      <c r="T113" s="374">
        <f>H113</f>
        <v>0</v>
      </c>
    </row>
    <row r="114" spans="1:20" ht="18" customHeight="1" thickTop="1" x14ac:dyDescent="0.25">
      <c r="A114" s="361"/>
      <c r="B114" s="361"/>
      <c r="C114" s="361"/>
      <c r="D114" s="361"/>
      <c r="E114" s="361"/>
      <c r="F114" s="178"/>
      <c r="G114" s="178"/>
      <c r="H114" s="178"/>
      <c r="I114" s="207"/>
      <c r="R114" s="374"/>
      <c r="S114" s="374"/>
      <c r="T114" s="374"/>
    </row>
    <row r="115" spans="1:20" ht="13.5" thickBot="1" x14ac:dyDescent="0.25">
      <c r="A115" s="421" t="s">
        <v>667</v>
      </c>
      <c r="I115" s="1125" t="s">
        <v>148</v>
      </c>
    </row>
    <row r="116" spans="1:20" s="106" customFormat="1" ht="20.25" customHeight="1" thickTop="1" thickBot="1" x14ac:dyDescent="0.25">
      <c r="A116" s="586" t="s">
        <v>565</v>
      </c>
      <c r="B116" s="658" t="s">
        <v>149</v>
      </c>
      <c r="C116" s="587" t="s">
        <v>150</v>
      </c>
      <c r="D116" s="589" t="s">
        <v>639</v>
      </c>
      <c r="E116" s="589" t="s">
        <v>151</v>
      </c>
      <c r="F116" s="589" t="s">
        <v>569</v>
      </c>
      <c r="G116" s="589" t="s">
        <v>570</v>
      </c>
      <c r="H116" s="589" t="s">
        <v>797</v>
      </c>
      <c r="I116" s="674" t="s">
        <v>798</v>
      </c>
    </row>
    <row r="117" spans="1:20" s="375" customFormat="1" ht="13.5" thickTop="1" thickBot="1" x14ac:dyDescent="0.25">
      <c r="A117" s="525">
        <v>1</v>
      </c>
      <c r="B117" s="526">
        <v>2</v>
      </c>
      <c r="C117" s="526">
        <v>3</v>
      </c>
      <c r="D117" s="526">
        <v>4</v>
      </c>
      <c r="E117" s="526">
        <v>5</v>
      </c>
      <c r="F117" s="512">
        <v>6</v>
      </c>
      <c r="G117" s="512">
        <v>7</v>
      </c>
      <c r="H117" s="513">
        <v>8</v>
      </c>
      <c r="I117" s="591" t="s">
        <v>689</v>
      </c>
    </row>
    <row r="118" spans="1:20" s="1165" customFormat="1" ht="15.75" thickTop="1" x14ac:dyDescent="0.2">
      <c r="A118" s="1166">
        <v>1014</v>
      </c>
      <c r="B118" s="1167">
        <v>3114</v>
      </c>
      <c r="C118" s="1167">
        <v>5331</v>
      </c>
      <c r="D118" s="1168"/>
      <c r="E118" s="1169" t="s">
        <v>858</v>
      </c>
      <c r="F118" s="1170">
        <f>SUM(F119:F120)</f>
        <v>2621</v>
      </c>
      <c r="G118" s="1170">
        <f>SUM(G119:G120)</f>
        <v>436</v>
      </c>
      <c r="H118" s="1170">
        <f>SUM(H119:H120)</f>
        <v>436</v>
      </c>
      <c r="I118" s="1171">
        <f t="shared" ref="I118:I135" si="12">(H118/G118)*100</f>
        <v>100</v>
      </c>
    </row>
    <row r="119" spans="1:20" ht="14.25" x14ac:dyDescent="0.2">
      <c r="A119" s="420"/>
      <c r="B119" s="617"/>
      <c r="C119" s="617"/>
      <c r="D119" s="663" t="s">
        <v>1811</v>
      </c>
      <c r="E119" s="1162" t="s">
        <v>717</v>
      </c>
      <c r="F119" s="1984">
        <v>27</v>
      </c>
      <c r="G119" s="1984">
        <v>4</v>
      </c>
      <c r="H119" s="1985">
        <v>4</v>
      </c>
      <c r="I119" s="679">
        <f t="shared" si="12"/>
        <v>100</v>
      </c>
    </row>
    <row r="120" spans="1:20" ht="14.25" x14ac:dyDescent="0.2">
      <c r="A120" s="420"/>
      <c r="B120" s="617"/>
      <c r="C120" s="617"/>
      <c r="D120" s="518" t="s">
        <v>1812</v>
      </c>
      <c r="E120" s="442" t="s">
        <v>63</v>
      </c>
      <c r="F120" s="683">
        <v>2594</v>
      </c>
      <c r="G120" s="683">
        <v>432</v>
      </c>
      <c r="H120" s="683">
        <v>432</v>
      </c>
      <c r="I120" s="679">
        <f t="shared" si="12"/>
        <v>100</v>
      </c>
    </row>
    <row r="121" spans="1:20" ht="17.25" customHeight="1" x14ac:dyDescent="0.25">
      <c r="A121" s="420">
        <v>1014</v>
      </c>
      <c r="B121" s="651">
        <v>3114</v>
      </c>
      <c r="C121" s="651">
        <v>5336</v>
      </c>
      <c r="D121" s="1061"/>
      <c r="E121" s="616" t="s">
        <v>1282</v>
      </c>
      <c r="F121" s="700"/>
      <c r="G121" s="1064">
        <f>G122+G123+G124+G125+G126</f>
        <v>15159</v>
      </c>
      <c r="H121" s="1064">
        <f>H122+H123+H124+H125+H126</f>
        <v>15159</v>
      </c>
      <c r="I121" s="1233">
        <f t="shared" si="12"/>
        <v>100</v>
      </c>
    </row>
    <row r="122" spans="1:20" ht="17.25" customHeight="1" x14ac:dyDescent="0.25">
      <c r="A122" s="420"/>
      <c r="B122" s="651"/>
      <c r="C122" s="651"/>
      <c r="D122" s="887" t="s">
        <v>1808</v>
      </c>
      <c r="E122" s="1676" t="s">
        <v>1739</v>
      </c>
      <c r="F122" s="700"/>
      <c r="G122" s="692">
        <v>634</v>
      </c>
      <c r="H122" s="731">
        <v>634</v>
      </c>
      <c r="I122" s="679">
        <f t="shared" ref="I122:I123" si="13">(H122/G122)*100</f>
        <v>100</v>
      </c>
    </row>
    <row r="123" spans="1:20" ht="27.75" customHeight="1" x14ac:dyDescent="0.25">
      <c r="A123" s="420"/>
      <c r="B123" s="651"/>
      <c r="C123" s="651"/>
      <c r="D123" s="887" t="s">
        <v>1809</v>
      </c>
      <c r="E123" s="2014" t="s">
        <v>1810</v>
      </c>
      <c r="F123" s="700"/>
      <c r="G123" s="692">
        <v>92</v>
      </c>
      <c r="H123" s="731">
        <v>92</v>
      </c>
      <c r="I123" s="679">
        <f t="shared" si="13"/>
        <v>100</v>
      </c>
    </row>
    <row r="124" spans="1:20" ht="15.75" customHeight="1" x14ac:dyDescent="0.2">
      <c r="A124" s="420"/>
      <c r="B124" s="651"/>
      <c r="C124" s="651"/>
      <c r="D124" s="518" t="s">
        <v>1807</v>
      </c>
      <c r="E124" s="442" t="s">
        <v>716</v>
      </c>
      <c r="F124" s="689"/>
      <c r="G124" s="1062">
        <v>13784</v>
      </c>
      <c r="H124" s="1062">
        <v>13784</v>
      </c>
      <c r="I124" s="679">
        <f t="shared" si="12"/>
        <v>100</v>
      </c>
    </row>
    <row r="125" spans="1:20" ht="15.75" customHeight="1" x14ac:dyDescent="0.2">
      <c r="A125" s="420"/>
      <c r="B125" s="651"/>
      <c r="C125" s="651"/>
      <c r="D125" s="527" t="s">
        <v>1813</v>
      </c>
      <c r="E125" s="1162" t="s">
        <v>1815</v>
      </c>
      <c r="F125" s="689"/>
      <c r="G125" s="1062">
        <v>97</v>
      </c>
      <c r="H125" s="1062">
        <v>97</v>
      </c>
      <c r="I125" s="684">
        <f t="shared" si="12"/>
        <v>100</v>
      </c>
    </row>
    <row r="126" spans="1:20" ht="15.75" customHeight="1" x14ac:dyDescent="0.2">
      <c r="A126" s="420"/>
      <c r="B126" s="651"/>
      <c r="C126" s="651"/>
      <c r="D126" s="527" t="s">
        <v>1814</v>
      </c>
      <c r="E126" s="1162" t="s">
        <v>1815</v>
      </c>
      <c r="F126" s="689"/>
      <c r="G126" s="1062">
        <v>552</v>
      </c>
      <c r="H126" s="1062">
        <v>552</v>
      </c>
      <c r="I126" s="684">
        <f t="shared" si="12"/>
        <v>100</v>
      </c>
    </row>
    <row r="127" spans="1:20" ht="15.75" customHeight="1" x14ac:dyDescent="0.25">
      <c r="A127" s="420">
        <v>1014</v>
      </c>
      <c r="B127" s="651">
        <v>3124</v>
      </c>
      <c r="C127" s="651">
        <v>5336</v>
      </c>
      <c r="D127" s="527"/>
      <c r="E127" s="616" t="s">
        <v>1282</v>
      </c>
      <c r="F127" s="700"/>
      <c r="G127" s="1064">
        <f>G128</f>
        <v>2496</v>
      </c>
      <c r="H127" s="1064">
        <f>H128</f>
        <v>2496</v>
      </c>
      <c r="I127" s="1065">
        <f t="shared" si="12"/>
        <v>100</v>
      </c>
    </row>
    <row r="128" spans="1:20" ht="15" customHeight="1" x14ac:dyDescent="0.2">
      <c r="A128" s="420"/>
      <c r="B128" s="651"/>
      <c r="C128" s="651"/>
      <c r="D128" s="518" t="s">
        <v>1807</v>
      </c>
      <c r="E128" s="442" t="s">
        <v>716</v>
      </c>
      <c r="F128" s="689"/>
      <c r="G128" s="1062">
        <v>2496</v>
      </c>
      <c r="H128" s="1062">
        <v>2496</v>
      </c>
      <c r="I128" s="1066">
        <f t="shared" si="12"/>
        <v>100</v>
      </c>
    </row>
    <row r="129" spans="1:20" ht="15.75" customHeight="1" x14ac:dyDescent="0.25">
      <c r="A129" s="420">
        <v>1014</v>
      </c>
      <c r="B129" s="651">
        <v>3141</v>
      </c>
      <c r="C129" s="651">
        <v>5336</v>
      </c>
      <c r="D129" s="1061"/>
      <c r="E129" s="616" t="s">
        <v>1282</v>
      </c>
      <c r="F129" s="700"/>
      <c r="G129" s="1064">
        <v>80</v>
      </c>
      <c r="H129" s="1064">
        <v>80</v>
      </c>
      <c r="I129" s="1065">
        <f t="shared" si="12"/>
        <v>100</v>
      </c>
    </row>
    <row r="130" spans="1:20" ht="15.75" customHeight="1" x14ac:dyDescent="0.2">
      <c r="A130" s="420"/>
      <c r="B130" s="651"/>
      <c r="C130" s="651"/>
      <c r="D130" s="518" t="s">
        <v>1807</v>
      </c>
      <c r="E130" s="442" t="s">
        <v>716</v>
      </c>
      <c r="F130" s="689"/>
      <c r="G130" s="1062">
        <v>80</v>
      </c>
      <c r="H130" s="1062">
        <v>80</v>
      </c>
      <c r="I130" s="684">
        <f t="shared" si="12"/>
        <v>100</v>
      </c>
    </row>
    <row r="131" spans="1:20" ht="15.75" customHeight="1" x14ac:dyDescent="0.25">
      <c r="A131" s="420">
        <v>1014</v>
      </c>
      <c r="B131" s="651">
        <v>3143</v>
      </c>
      <c r="C131" s="1128">
        <v>5336</v>
      </c>
      <c r="D131" s="527"/>
      <c r="E131" s="616" t="s">
        <v>1282</v>
      </c>
      <c r="F131" s="700"/>
      <c r="G131" s="700">
        <v>430</v>
      </c>
      <c r="H131" s="700">
        <v>430</v>
      </c>
      <c r="I131" s="693">
        <f t="shared" si="12"/>
        <v>100</v>
      </c>
    </row>
    <row r="132" spans="1:20" ht="15.75" customHeight="1" x14ac:dyDescent="0.2">
      <c r="A132" s="420"/>
      <c r="B132" s="651"/>
      <c r="C132" s="1128"/>
      <c r="D132" s="527" t="s">
        <v>1807</v>
      </c>
      <c r="E132" s="721" t="s">
        <v>716</v>
      </c>
      <c r="F132" s="689"/>
      <c r="G132" s="689">
        <v>430</v>
      </c>
      <c r="H132" s="689">
        <v>430</v>
      </c>
      <c r="I132" s="684">
        <f t="shared" si="12"/>
        <v>100</v>
      </c>
    </row>
    <row r="133" spans="1:20" ht="15" x14ac:dyDescent="0.25">
      <c r="A133" s="420">
        <v>1014</v>
      </c>
      <c r="B133" s="651">
        <v>3145</v>
      </c>
      <c r="C133" s="1128">
        <v>5336</v>
      </c>
      <c r="D133" s="518"/>
      <c r="E133" s="616" t="s">
        <v>1282</v>
      </c>
      <c r="F133" s="700"/>
      <c r="G133" s="700">
        <v>1453</v>
      </c>
      <c r="H133" s="700">
        <v>1453</v>
      </c>
      <c r="I133" s="693">
        <f t="shared" si="12"/>
        <v>100</v>
      </c>
    </row>
    <row r="134" spans="1:20" ht="15" thickBot="1" x14ac:dyDescent="0.25">
      <c r="A134" s="420"/>
      <c r="B134" s="651"/>
      <c r="C134" s="1128"/>
      <c r="D134" s="518" t="s">
        <v>1807</v>
      </c>
      <c r="E134" s="442" t="s">
        <v>716</v>
      </c>
      <c r="F134" s="689"/>
      <c r="G134" s="689">
        <v>1453</v>
      </c>
      <c r="H134" s="689">
        <v>1453</v>
      </c>
      <c r="I134" s="684">
        <f t="shared" si="12"/>
        <v>100</v>
      </c>
    </row>
    <row r="135" spans="1:20" ht="16.5" thickTop="1" thickBot="1" x14ac:dyDescent="0.3">
      <c r="A135" s="3110" t="s">
        <v>1000</v>
      </c>
      <c r="B135" s="3111"/>
      <c r="C135" s="3111"/>
      <c r="D135" s="3111"/>
      <c r="E135" s="3111"/>
      <c r="F135" s="680">
        <f>SUM(F118,F1377)</f>
        <v>2621</v>
      </c>
      <c r="G135" s="680">
        <f>SUM(G118,G129,G121,G127,G131,G133,)</f>
        <v>20054</v>
      </c>
      <c r="H135" s="680">
        <f>SUM(H118,H129,H121,H127,H131,H133,)</f>
        <v>20054</v>
      </c>
      <c r="I135" s="681">
        <f t="shared" si="12"/>
        <v>100</v>
      </c>
      <c r="R135" s="374">
        <f>F135</f>
        <v>2621</v>
      </c>
      <c r="S135" s="374">
        <f>G135</f>
        <v>20054</v>
      </c>
      <c r="T135" s="374">
        <f>H135</f>
        <v>20054</v>
      </c>
    </row>
    <row r="136" spans="1:20" ht="13.5" thickTop="1" x14ac:dyDescent="0.2"/>
    <row r="142" spans="1:20" ht="14.25" customHeight="1" thickBot="1" x14ac:dyDescent="0.25">
      <c r="A142" s="421" t="s">
        <v>1820</v>
      </c>
      <c r="I142" s="1125" t="s">
        <v>148</v>
      </c>
    </row>
    <row r="143" spans="1:20" s="106" customFormat="1" thickTop="1" thickBot="1" x14ac:dyDescent="0.25">
      <c r="A143" s="586" t="s">
        <v>565</v>
      </c>
      <c r="B143" s="658" t="s">
        <v>149</v>
      </c>
      <c r="C143" s="587" t="s">
        <v>150</v>
      </c>
      <c r="D143" s="589" t="s">
        <v>639</v>
      </c>
      <c r="E143" s="589" t="s">
        <v>151</v>
      </c>
      <c r="F143" s="589" t="s">
        <v>569</v>
      </c>
      <c r="G143" s="589" t="s">
        <v>570</v>
      </c>
      <c r="H143" s="589" t="s">
        <v>797</v>
      </c>
      <c r="I143" s="674" t="s">
        <v>798</v>
      </c>
    </row>
    <row r="144" spans="1:20" s="375" customFormat="1" ht="13.5" thickTop="1" thickBot="1" x14ac:dyDescent="0.25">
      <c r="A144" s="525">
        <v>1</v>
      </c>
      <c r="B144" s="526">
        <v>2</v>
      </c>
      <c r="C144" s="526">
        <v>3</v>
      </c>
      <c r="D144" s="526">
        <v>4</v>
      </c>
      <c r="E144" s="526">
        <v>5</v>
      </c>
      <c r="F144" s="512">
        <v>6</v>
      </c>
      <c r="G144" s="512">
        <v>7</v>
      </c>
      <c r="H144" s="513">
        <v>8</v>
      </c>
      <c r="I144" s="591" t="s">
        <v>689</v>
      </c>
    </row>
    <row r="145" spans="1:9" s="375" customFormat="1" ht="15.75" thickTop="1" x14ac:dyDescent="0.25">
      <c r="A145" s="420">
        <v>1015</v>
      </c>
      <c r="B145" s="617">
        <v>3112</v>
      </c>
      <c r="C145" s="617">
        <v>5336</v>
      </c>
      <c r="D145" s="975"/>
      <c r="E145" s="616" t="s">
        <v>1282</v>
      </c>
      <c r="F145" s="976"/>
      <c r="G145" s="403">
        <v>1096</v>
      </c>
      <c r="H145" s="403">
        <v>1096</v>
      </c>
      <c r="I145" s="677">
        <f t="shared" ref="I145:I159" si="14">(H145/G145)*100</f>
        <v>100</v>
      </c>
    </row>
    <row r="146" spans="1:9" s="375" customFormat="1" ht="14.25" x14ac:dyDescent="0.2">
      <c r="A146" s="719"/>
      <c r="B146" s="1073"/>
      <c r="C146" s="1073"/>
      <c r="D146" s="663" t="s">
        <v>1807</v>
      </c>
      <c r="E146" s="442" t="s">
        <v>716</v>
      </c>
      <c r="F146" s="2024"/>
      <c r="G146" s="1122">
        <v>1096</v>
      </c>
      <c r="H146" s="1172">
        <v>1096</v>
      </c>
      <c r="I146" s="679">
        <f t="shared" si="14"/>
        <v>100</v>
      </c>
    </row>
    <row r="147" spans="1:9" s="375" customFormat="1" ht="15" x14ac:dyDescent="0.25">
      <c r="A147" s="420">
        <v>1015</v>
      </c>
      <c r="B147" s="651">
        <v>3114</v>
      </c>
      <c r="C147" s="651">
        <v>5336</v>
      </c>
      <c r="D147" s="518"/>
      <c r="E147" s="616" t="s">
        <v>1282</v>
      </c>
      <c r="F147" s="2024"/>
      <c r="G147" s="403">
        <f>G148</f>
        <v>10263</v>
      </c>
      <c r="H147" s="403">
        <f>H148</f>
        <v>10263</v>
      </c>
      <c r="I147" s="677">
        <f t="shared" si="14"/>
        <v>100</v>
      </c>
    </row>
    <row r="148" spans="1:9" s="375" customFormat="1" ht="14.25" x14ac:dyDescent="0.2">
      <c r="A148" s="719"/>
      <c r="B148" s="1073"/>
      <c r="C148" s="1073"/>
      <c r="D148" s="518" t="s">
        <v>1807</v>
      </c>
      <c r="E148" s="442" t="s">
        <v>716</v>
      </c>
      <c r="F148" s="2024"/>
      <c r="G148" s="1122">
        <v>10263</v>
      </c>
      <c r="H148" s="1172">
        <v>10263</v>
      </c>
      <c r="I148" s="679">
        <f t="shared" si="14"/>
        <v>100</v>
      </c>
    </row>
    <row r="149" spans="1:9" s="375" customFormat="1" ht="15" x14ac:dyDescent="0.25">
      <c r="A149" s="420">
        <v>1015</v>
      </c>
      <c r="B149" s="617">
        <v>3124</v>
      </c>
      <c r="C149" s="617">
        <v>5331</v>
      </c>
      <c r="D149" s="675"/>
      <c r="E149" s="664" t="s">
        <v>858</v>
      </c>
      <c r="F149" s="403">
        <f>F150+F151+F152</f>
        <v>2982</v>
      </c>
      <c r="G149" s="403">
        <f t="shared" ref="G149:H149" si="15">G150+G151+G152</f>
        <v>1554</v>
      </c>
      <c r="H149" s="403">
        <f t="shared" si="15"/>
        <v>1554</v>
      </c>
      <c r="I149" s="677">
        <f t="shared" si="14"/>
        <v>100</v>
      </c>
    </row>
    <row r="150" spans="1:9" s="375" customFormat="1" ht="14.25" x14ac:dyDescent="0.2">
      <c r="A150" s="420"/>
      <c r="B150" s="617"/>
      <c r="C150" s="617"/>
      <c r="D150" s="663" t="s">
        <v>1811</v>
      </c>
      <c r="E150" s="1162" t="s">
        <v>717</v>
      </c>
      <c r="F150" s="1122">
        <v>159</v>
      </c>
      <c r="G150" s="1122">
        <v>634</v>
      </c>
      <c r="H150" s="1172">
        <v>634</v>
      </c>
      <c r="I150" s="679">
        <f t="shared" si="14"/>
        <v>100</v>
      </c>
    </row>
    <row r="151" spans="1:9" s="375" customFormat="1" ht="14.25" x14ac:dyDescent="0.2">
      <c r="A151" s="420"/>
      <c r="B151" s="617"/>
      <c r="C151" s="617"/>
      <c r="D151" s="518" t="s">
        <v>1812</v>
      </c>
      <c r="E151" s="442" t="s">
        <v>63</v>
      </c>
      <c r="F151" s="1122">
        <v>2778</v>
      </c>
      <c r="G151" s="1122">
        <v>914</v>
      </c>
      <c r="H151" s="1172">
        <v>914</v>
      </c>
      <c r="I151" s="679">
        <f t="shared" si="14"/>
        <v>100</v>
      </c>
    </row>
    <row r="152" spans="1:9" s="375" customFormat="1" ht="14.25" x14ac:dyDescent="0.2">
      <c r="A152" s="420"/>
      <c r="B152" s="617"/>
      <c r="C152" s="617"/>
      <c r="D152" s="518" t="s">
        <v>1817</v>
      </c>
      <c r="E152" s="442" t="s">
        <v>1312</v>
      </c>
      <c r="F152" s="1122">
        <v>45</v>
      </c>
      <c r="G152" s="1122">
        <v>6</v>
      </c>
      <c r="H152" s="1172">
        <v>6</v>
      </c>
      <c r="I152" s="679">
        <f t="shared" si="14"/>
        <v>100</v>
      </c>
    </row>
    <row r="153" spans="1:9" s="375" customFormat="1" ht="15" x14ac:dyDescent="0.25">
      <c r="A153" s="420">
        <v>1015</v>
      </c>
      <c r="B153" s="617">
        <v>3124</v>
      </c>
      <c r="C153" s="617">
        <v>5336</v>
      </c>
      <c r="D153" s="887"/>
      <c r="E153" s="616" t="s">
        <v>1282</v>
      </c>
      <c r="F153" s="403"/>
      <c r="G153" s="403">
        <f>G157+G155+G154+G156</f>
        <v>17144</v>
      </c>
      <c r="H153" s="403">
        <f>H157+H155+H154+H156</f>
        <v>17144</v>
      </c>
      <c r="I153" s="707">
        <f t="shared" si="14"/>
        <v>100</v>
      </c>
    </row>
    <row r="154" spans="1:9" s="375" customFormat="1" ht="15" x14ac:dyDescent="0.2">
      <c r="A154" s="420"/>
      <c r="B154" s="617"/>
      <c r="C154" s="617"/>
      <c r="D154" s="887" t="s">
        <v>1818</v>
      </c>
      <c r="E154" s="1963" t="s">
        <v>1600</v>
      </c>
      <c r="F154" s="403"/>
      <c r="G154" s="1122">
        <v>29</v>
      </c>
      <c r="H154" s="1172">
        <v>29</v>
      </c>
      <c r="I154" s="679">
        <f t="shared" si="14"/>
        <v>100</v>
      </c>
    </row>
    <row r="155" spans="1:9" s="375" customFormat="1" ht="15" x14ac:dyDescent="0.25">
      <c r="A155" s="420"/>
      <c r="B155" s="617"/>
      <c r="C155" s="617"/>
      <c r="D155" s="887" t="s">
        <v>1808</v>
      </c>
      <c r="E155" s="1676" t="s">
        <v>1739</v>
      </c>
      <c r="F155" s="700"/>
      <c r="G155" s="692">
        <v>815</v>
      </c>
      <c r="H155" s="731">
        <v>815</v>
      </c>
      <c r="I155" s="679">
        <f t="shared" ref="I155:I156" si="16">(H155/G155)*100</f>
        <v>100</v>
      </c>
    </row>
    <row r="156" spans="1:9" s="375" customFormat="1" ht="28.5" x14ac:dyDescent="0.25">
      <c r="A156" s="420"/>
      <c r="B156" s="617"/>
      <c r="C156" s="617"/>
      <c r="D156" s="887" t="s">
        <v>1809</v>
      </c>
      <c r="E156" s="2014" t="s">
        <v>1810</v>
      </c>
      <c r="F156" s="700"/>
      <c r="G156" s="1224">
        <v>166</v>
      </c>
      <c r="H156" s="2025">
        <v>166</v>
      </c>
      <c r="I156" s="1063">
        <f t="shared" si="16"/>
        <v>100</v>
      </c>
    </row>
    <row r="157" spans="1:9" s="375" customFormat="1" ht="14.25" x14ac:dyDescent="0.2">
      <c r="A157" s="420"/>
      <c r="B157" s="617"/>
      <c r="C157" s="617"/>
      <c r="D157" s="518" t="s">
        <v>1807</v>
      </c>
      <c r="E157" s="442" t="s">
        <v>716</v>
      </c>
      <c r="F157" s="1122"/>
      <c r="G157" s="1122">
        <v>16134</v>
      </c>
      <c r="H157" s="1122">
        <v>16134</v>
      </c>
      <c r="I157" s="679">
        <f t="shared" si="14"/>
        <v>100</v>
      </c>
    </row>
    <row r="158" spans="1:9" s="375" customFormat="1" ht="15" x14ac:dyDescent="0.25">
      <c r="A158" s="420">
        <v>1015</v>
      </c>
      <c r="B158" s="617">
        <v>3141</v>
      </c>
      <c r="C158" s="617">
        <v>5336</v>
      </c>
      <c r="D158" s="518"/>
      <c r="E158" s="616" t="s">
        <v>1282</v>
      </c>
      <c r="F158" s="1140"/>
      <c r="G158" s="994">
        <f>G159</f>
        <v>476</v>
      </c>
      <c r="H158" s="994">
        <f>H159</f>
        <v>476</v>
      </c>
      <c r="I158" s="707">
        <f t="shared" si="14"/>
        <v>100</v>
      </c>
    </row>
    <row r="159" spans="1:9" s="375" customFormat="1" ht="14.25" x14ac:dyDescent="0.2">
      <c r="A159" s="420"/>
      <c r="B159" s="617"/>
      <c r="C159" s="617"/>
      <c r="D159" s="518" t="s">
        <v>1807</v>
      </c>
      <c r="E159" s="442" t="s">
        <v>716</v>
      </c>
      <c r="F159" s="1140"/>
      <c r="G159" s="1140">
        <v>476</v>
      </c>
      <c r="H159" s="1140">
        <v>476</v>
      </c>
      <c r="I159" s="679">
        <f t="shared" si="14"/>
        <v>100</v>
      </c>
    </row>
    <row r="160" spans="1:9" ht="15" x14ac:dyDescent="0.25">
      <c r="A160" s="420">
        <v>1015</v>
      </c>
      <c r="B160" s="617">
        <v>3143</v>
      </c>
      <c r="C160" s="695">
        <v>5336</v>
      </c>
      <c r="D160" s="518"/>
      <c r="E160" s="616" t="s">
        <v>1282</v>
      </c>
      <c r="F160" s="700"/>
      <c r="G160" s="700">
        <v>615</v>
      </c>
      <c r="H160" s="700">
        <v>615</v>
      </c>
      <c r="I160" s="707">
        <f t="shared" ref="I160:I169" si="17">(H160/G160)*100</f>
        <v>100</v>
      </c>
    </row>
    <row r="161" spans="1:20" ht="14.25" x14ac:dyDescent="0.2">
      <c r="A161" s="420"/>
      <c r="B161" s="617"/>
      <c r="C161" s="695"/>
      <c r="D161" s="518" t="s">
        <v>1807</v>
      </c>
      <c r="E161" s="442" t="s">
        <v>716</v>
      </c>
      <c r="F161" s="689"/>
      <c r="G161" s="689">
        <v>615</v>
      </c>
      <c r="H161" s="689">
        <v>615</v>
      </c>
      <c r="I161" s="679">
        <f t="shared" si="17"/>
        <v>100</v>
      </c>
    </row>
    <row r="162" spans="1:20" ht="15" x14ac:dyDescent="0.25">
      <c r="A162" s="420">
        <v>1015</v>
      </c>
      <c r="B162" s="617">
        <v>3145</v>
      </c>
      <c r="C162" s="1127">
        <v>5331</v>
      </c>
      <c r="D162" s="726"/>
      <c r="E162" s="664" t="s">
        <v>858</v>
      </c>
      <c r="F162" s="700"/>
      <c r="G162" s="700">
        <f>G163</f>
        <v>3492</v>
      </c>
      <c r="H162" s="700">
        <f>H163</f>
        <v>3492</v>
      </c>
      <c r="I162" s="707">
        <f t="shared" si="17"/>
        <v>100</v>
      </c>
    </row>
    <row r="163" spans="1:20" ht="14.25" x14ac:dyDescent="0.2">
      <c r="A163" s="420"/>
      <c r="B163" s="617"/>
      <c r="C163" s="695"/>
      <c r="D163" s="518" t="s">
        <v>1807</v>
      </c>
      <c r="E163" s="442" t="s">
        <v>716</v>
      </c>
      <c r="F163" s="689"/>
      <c r="G163" s="689">
        <v>3492</v>
      </c>
      <c r="H163" s="689">
        <v>3492</v>
      </c>
      <c r="I163" s="679">
        <f t="shared" si="17"/>
        <v>100</v>
      </c>
    </row>
    <row r="164" spans="1:20" ht="20.25" customHeight="1" x14ac:dyDescent="0.25">
      <c r="A164" s="420">
        <v>1015</v>
      </c>
      <c r="B164" s="617">
        <v>3146</v>
      </c>
      <c r="C164" s="695">
        <v>5336</v>
      </c>
      <c r="D164" s="518"/>
      <c r="E164" s="616" t="s">
        <v>1282</v>
      </c>
      <c r="F164" s="700"/>
      <c r="G164" s="700">
        <f>G165+G166</f>
        <v>723</v>
      </c>
      <c r="H164" s="700">
        <f>H165+H166</f>
        <v>723</v>
      </c>
      <c r="I164" s="707">
        <f t="shared" si="17"/>
        <v>100</v>
      </c>
    </row>
    <row r="165" spans="1:20" ht="14.25" x14ac:dyDescent="0.2">
      <c r="A165" s="420"/>
      <c r="B165" s="617"/>
      <c r="C165" s="695"/>
      <c r="D165" s="518" t="s">
        <v>1816</v>
      </c>
      <c r="E165" s="442" t="s">
        <v>1598</v>
      </c>
      <c r="F165" s="689"/>
      <c r="G165" s="689">
        <v>4</v>
      </c>
      <c r="H165" s="689">
        <v>4</v>
      </c>
      <c r="I165" s="679">
        <f t="shared" si="17"/>
        <v>100</v>
      </c>
    </row>
    <row r="166" spans="1:20" ht="14.25" x14ac:dyDescent="0.2">
      <c r="A166" s="420"/>
      <c r="B166" s="617"/>
      <c r="C166" s="695"/>
      <c r="D166" s="518" t="s">
        <v>1807</v>
      </c>
      <c r="E166" s="442" t="s">
        <v>716</v>
      </c>
      <c r="F166" s="689"/>
      <c r="G166" s="689">
        <v>719</v>
      </c>
      <c r="H166" s="689">
        <v>719</v>
      </c>
      <c r="I166" s="679">
        <f t="shared" si="17"/>
        <v>100</v>
      </c>
    </row>
    <row r="167" spans="1:20" ht="15" x14ac:dyDescent="0.25">
      <c r="A167" s="420">
        <v>1015</v>
      </c>
      <c r="B167" s="617">
        <v>3293</v>
      </c>
      <c r="C167" s="695">
        <v>5336</v>
      </c>
      <c r="D167" s="518"/>
      <c r="E167" s="616" t="s">
        <v>1282</v>
      </c>
      <c r="F167" s="689"/>
      <c r="G167" s="700">
        <v>4</v>
      </c>
      <c r="H167" s="700">
        <v>4</v>
      </c>
      <c r="I167" s="707">
        <f t="shared" si="17"/>
        <v>100</v>
      </c>
    </row>
    <row r="168" spans="1:20" ht="15" thickBot="1" x14ac:dyDescent="0.25">
      <c r="A168" s="420"/>
      <c r="B168" s="617"/>
      <c r="C168" s="695"/>
      <c r="D168" s="518" t="s">
        <v>1819</v>
      </c>
      <c r="E168" s="442" t="s">
        <v>1406</v>
      </c>
      <c r="F168" s="689"/>
      <c r="G168" s="689">
        <v>4</v>
      </c>
      <c r="H168" s="689">
        <v>4</v>
      </c>
      <c r="I168" s="679">
        <f t="shared" si="17"/>
        <v>100</v>
      </c>
    </row>
    <row r="169" spans="1:20" ht="16.5" customHeight="1" thickTop="1" thickBot="1" x14ac:dyDescent="0.3">
      <c r="A169" s="3110" t="s">
        <v>1000</v>
      </c>
      <c r="B169" s="3111"/>
      <c r="C169" s="3111"/>
      <c r="D169" s="3111"/>
      <c r="E169" s="3111"/>
      <c r="F169" s="680">
        <f>SUM(F149)</f>
        <v>2982</v>
      </c>
      <c r="G169" s="680">
        <f>G149+G153+G160+G162+G164+G167+G158+G147+G145</f>
        <v>35367</v>
      </c>
      <c r="H169" s="680">
        <f>H149+H153+H160+H162+H164+H167+H158+H147+H145</f>
        <v>35367</v>
      </c>
      <c r="I169" s="681">
        <f t="shared" si="17"/>
        <v>100</v>
      </c>
      <c r="R169" s="374">
        <f>F169</f>
        <v>2982</v>
      </c>
      <c r="S169" s="374">
        <f>G169</f>
        <v>35367</v>
      </c>
      <c r="T169" s="374">
        <f>H169</f>
        <v>35367</v>
      </c>
    </row>
    <row r="170" spans="1:20" ht="16.5" customHeight="1" thickTop="1" x14ac:dyDescent="0.25">
      <c r="A170" s="361"/>
      <c r="B170" s="361"/>
      <c r="C170" s="361"/>
      <c r="D170" s="361"/>
      <c r="E170" s="361"/>
      <c r="F170" s="178"/>
      <c r="G170" s="178"/>
      <c r="H170" s="178"/>
      <c r="I170" s="207"/>
      <c r="R170" s="374"/>
      <c r="S170" s="374"/>
      <c r="T170" s="374"/>
    </row>
    <row r="171" spans="1:20" ht="16.5" customHeight="1" x14ac:dyDescent="0.25">
      <c r="A171" s="361"/>
      <c r="B171" s="361"/>
      <c r="C171" s="361"/>
      <c r="D171" s="361"/>
      <c r="E171" s="361"/>
      <c r="F171" s="178"/>
      <c r="G171" s="178"/>
      <c r="H171" s="178"/>
      <c r="I171" s="207"/>
      <c r="R171" s="374"/>
      <c r="S171" s="374"/>
      <c r="T171" s="374"/>
    </row>
    <row r="172" spans="1:20" ht="13.5" thickBot="1" x14ac:dyDescent="0.25">
      <c r="A172" s="421" t="s">
        <v>668</v>
      </c>
      <c r="I172" s="1125" t="s">
        <v>148</v>
      </c>
    </row>
    <row r="173" spans="1:20" s="106" customFormat="1" thickTop="1" thickBot="1" x14ac:dyDescent="0.25">
      <c r="A173" s="626" t="s">
        <v>565</v>
      </c>
      <c r="B173" s="628" t="s">
        <v>149</v>
      </c>
      <c r="C173" s="627" t="s">
        <v>150</v>
      </c>
      <c r="D173" s="629" t="s">
        <v>639</v>
      </c>
      <c r="E173" s="589" t="s">
        <v>151</v>
      </c>
      <c r="F173" s="589" t="s">
        <v>569</v>
      </c>
      <c r="G173" s="589" t="s">
        <v>570</v>
      </c>
      <c r="H173" s="629" t="s">
        <v>797</v>
      </c>
      <c r="I173" s="674" t="s">
        <v>798</v>
      </c>
    </row>
    <row r="174" spans="1:20" s="375" customFormat="1" ht="13.5" thickTop="1" thickBot="1" x14ac:dyDescent="0.25">
      <c r="A174" s="525">
        <v>1</v>
      </c>
      <c r="B174" s="526">
        <v>2</v>
      </c>
      <c r="C174" s="526">
        <v>3</v>
      </c>
      <c r="D174" s="526">
        <v>4</v>
      </c>
      <c r="E174" s="526">
        <v>5</v>
      </c>
      <c r="F174" s="512">
        <v>6</v>
      </c>
      <c r="G174" s="512">
        <v>7</v>
      </c>
      <c r="H174" s="513">
        <v>8</v>
      </c>
      <c r="I174" s="591" t="s">
        <v>689</v>
      </c>
    </row>
    <row r="175" spans="1:20" s="106" customFormat="1" ht="15.75" thickTop="1" x14ac:dyDescent="0.25">
      <c r="A175" s="420">
        <v>1016</v>
      </c>
      <c r="B175" s="651">
        <v>3112</v>
      </c>
      <c r="C175" s="651">
        <v>5336</v>
      </c>
      <c r="D175" s="712"/>
      <c r="E175" s="616" t="s">
        <v>1282</v>
      </c>
      <c r="F175" s="735"/>
      <c r="G175" s="735">
        <f>G176</f>
        <v>5796</v>
      </c>
      <c r="H175" s="735">
        <f>H176</f>
        <v>5796</v>
      </c>
      <c r="I175" s="707">
        <f t="shared" ref="I175:I193" si="18">(H175/G175)*100</f>
        <v>100</v>
      </c>
    </row>
    <row r="176" spans="1:20" s="106" customFormat="1" ht="14.25" x14ac:dyDescent="0.2">
      <c r="A176" s="727"/>
      <c r="B176" s="728"/>
      <c r="C176" s="729"/>
      <c r="D176" s="518" t="s">
        <v>1807</v>
      </c>
      <c r="E176" s="442" t="s">
        <v>716</v>
      </c>
      <c r="F176" s="730"/>
      <c r="G176" s="730">
        <v>5796</v>
      </c>
      <c r="H176" s="730">
        <v>5796</v>
      </c>
      <c r="I176" s="708">
        <f t="shared" si="18"/>
        <v>100</v>
      </c>
    </row>
    <row r="177" spans="1:9" ht="15" x14ac:dyDescent="0.25">
      <c r="A177" s="420">
        <v>1016</v>
      </c>
      <c r="B177" s="651">
        <v>3114</v>
      </c>
      <c r="C177" s="651">
        <v>5331</v>
      </c>
      <c r="D177" s="712"/>
      <c r="E177" s="616" t="s">
        <v>858</v>
      </c>
      <c r="F177" s="700">
        <f>SUM(F178:F179)</f>
        <v>3364</v>
      </c>
      <c r="G177" s="700">
        <f>SUM(G178:G179)</f>
        <v>562</v>
      </c>
      <c r="H177" s="700">
        <f>SUM(H178:H179)</f>
        <v>562</v>
      </c>
      <c r="I177" s="693">
        <f t="shared" si="18"/>
        <v>100</v>
      </c>
    </row>
    <row r="178" spans="1:9" ht="14.25" x14ac:dyDescent="0.2">
      <c r="A178" s="420"/>
      <c r="B178" s="651"/>
      <c r="C178" s="651"/>
      <c r="D178" s="636" t="s">
        <v>1811</v>
      </c>
      <c r="E178" s="1162" t="s">
        <v>717</v>
      </c>
      <c r="F178" s="692">
        <v>418</v>
      </c>
      <c r="G178" s="692">
        <v>70</v>
      </c>
      <c r="H178" s="692">
        <v>70</v>
      </c>
      <c r="I178" s="368">
        <f t="shared" si="18"/>
        <v>100</v>
      </c>
    </row>
    <row r="179" spans="1:9" ht="14.25" x14ac:dyDescent="0.2">
      <c r="A179" s="420"/>
      <c r="B179" s="651"/>
      <c r="C179" s="651"/>
      <c r="D179" s="518" t="s">
        <v>1812</v>
      </c>
      <c r="E179" s="442" t="s">
        <v>63</v>
      </c>
      <c r="F179" s="692">
        <v>2946</v>
      </c>
      <c r="G179" s="692">
        <v>492</v>
      </c>
      <c r="H179" s="692">
        <v>492</v>
      </c>
      <c r="I179" s="368">
        <f t="shared" si="18"/>
        <v>100</v>
      </c>
    </row>
    <row r="180" spans="1:9" ht="15" x14ac:dyDescent="0.25">
      <c r="A180" s="420">
        <v>1016</v>
      </c>
      <c r="B180" s="651">
        <v>3114</v>
      </c>
      <c r="C180" s="651">
        <v>5336</v>
      </c>
      <c r="D180" s="527"/>
      <c r="E180" s="616" t="s">
        <v>1282</v>
      </c>
      <c r="F180" s="700"/>
      <c r="G180" s="700">
        <f>G182+G181+G183+G184</f>
        <v>13432</v>
      </c>
      <c r="H180" s="700">
        <f>H182+H181+H183+H184</f>
        <v>13432</v>
      </c>
      <c r="I180" s="693">
        <f t="shared" si="18"/>
        <v>100</v>
      </c>
    </row>
    <row r="181" spans="1:9" ht="28.5" x14ac:dyDescent="0.2">
      <c r="A181" s="420"/>
      <c r="B181" s="651"/>
      <c r="C181" s="651"/>
      <c r="D181" s="887" t="s">
        <v>1821</v>
      </c>
      <c r="E181" s="2021" t="s">
        <v>1822</v>
      </c>
      <c r="F181" s="735"/>
      <c r="G181" s="1089">
        <v>15</v>
      </c>
      <c r="H181" s="1089">
        <v>15</v>
      </c>
      <c r="I181" s="1229">
        <f t="shared" ref="I181" si="19">(H181/G181)*100</f>
        <v>100</v>
      </c>
    </row>
    <row r="182" spans="1:9" ht="15" x14ac:dyDescent="0.25">
      <c r="A182" s="420"/>
      <c r="B182" s="651"/>
      <c r="C182" s="651"/>
      <c r="D182" s="518" t="s">
        <v>1808</v>
      </c>
      <c r="E182" s="1676" t="s">
        <v>1739</v>
      </c>
      <c r="F182" s="700"/>
      <c r="G182" s="692">
        <v>901</v>
      </c>
      <c r="H182" s="692">
        <v>901</v>
      </c>
      <c r="I182" s="368">
        <f t="shared" si="18"/>
        <v>100</v>
      </c>
    </row>
    <row r="183" spans="1:9" ht="28.5" x14ac:dyDescent="0.25">
      <c r="A183" s="420"/>
      <c r="B183" s="651"/>
      <c r="C183" s="651"/>
      <c r="D183" s="1061" t="s">
        <v>1809</v>
      </c>
      <c r="E183" s="2019" t="s">
        <v>1810</v>
      </c>
      <c r="F183" s="700"/>
      <c r="G183" s="1224">
        <v>162</v>
      </c>
      <c r="H183" s="1224">
        <v>162</v>
      </c>
      <c r="I183" s="1234">
        <f t="shared" si="18"/>
        <v>100</v>
      </c>
    </row>
    <row r="184" spans="1:9" ht="15" x14ac:dyDescent="0.25">
      <c r="A184" s="420"/>
      <c r="B184" s="651"/>
      <c r="C184" s="651"/>
      <c r="D184" s="527" t="s">
        <v>1807</v>
      </c>
      <c r="E184" s="442" t="s">
        <v>716</v>
      </c>
      <c r="F184" s="700"/>
      <c r="G184" s="692">
        <v>12354</v>
      </c>
      <c r="H184" s="692">
        <v>12354</v>
      </c>
      <c r="I184" s="1234">
        <f t="shared" si="18"/>
        <v>100</v>
      </c>
    </row>
    <row r="185" spans="1:9" ht="15.75" customHeight="1" x14ac:dyDescent="0.25">
      <c r="A185" s="420">
        <v>1016</v>
      </c>
      <c r="B185" s="651">
        <v>3124</v>
      </c>
      <c r="C185" s="651">
        <v>5336</v>
      </c>
      <c r="D185" s="712"/>
      <c r="E185" s="616" t="s">
        <v>1282</v>
      </c>
      <c r="F185" s="700"/>
      <c r="G185" s="700">
        <f>G186</f>
        <v>11578</v>
      </c>
      <c r="H185" s="700">
        <f>H186</f>
        <v>11578</v>
      </c>
      <c r="I185" s="693">
        <f t="shared" si="18"/>
        <v>100</v>
      </c>
    </row>
    <row r="186" spans="1:9" ht="14.25" x14ac:dyDescent="0.2">
      <c r="A186" s="420"/>
      <c r="B186" s="651"/>
      <c r="C186" s="1128"/>
      <c r="D186" s="518" t="s">
        <v>1807</v>
      </c>
      <c r="E186" s="442" t="s">
        <v>1823</v>
      </c>
      <c r="F186" s="692"/>
      <c r="G186" s="692">
        <v>11578</v>
      </c>
      <c r="H186" s="692">
        <v>11578</v>
      </c>
      <c r="I186" s="368">
        <f t="shared" si="18"/>
        <v>100</v>
      </c>
    </row>
    <row r="187" spans="1:9" ht="15.75" customHeight="1" x14ac:dyDescent="0.25">
      <c r="A187" s="420">
        <v>1016</v>
      </c>
      <c r="B187" s="651">
        <v>3141</v>
      </c>
      <c r="C187" s="1128">
        <v>5336</v>
      </c>
      <c r="D187" s="518"/>
      <c r="E187" s="616" t="s">
        <v>1282</v>
      </c>
      <c r="F187" s="700"/>
      <c r="G187" s="700">
        <v>159</v>
      </c>
      <c r="H187" s="700">
        <v>159</v>
      </c>
      <c r="I187" s="693">
        <f t="shared" si="18"/>
        <v>100</v>
      </c>
    </row>
    <row r="188" spans="1:9" ht="15.75" customHeight="1" x14ac:dyDescent="0.2">
      <c r="A188" s="420"/>
      <c r="B188" s="651"/>
      <c r="C188" s="1128"/>
      <c r="D188" s="518" t="s">
        <v>1807</v>
      </c>
      <c r="E188" s="442" t="s">
        <v>1823</v>
      </c>
      <c r="F188" s="692"/>
      <c r="G188" s="692">
        <v>159</v>
      </c>
      <c r="H188" s="692">
        <v>159</v>
      </c>
      <c r="I188" s="368">
        <f t="shared" si="18"/>
        <v>100</v>
      </c>
    </row>
    <row r="189" spans="1:9" ht="17.25" customHeight="1" x14ac:dyDescent="0.25">
      <c r="A189" s="420">
        <v>1016</v>
      </c>
      <c r="B189" s="651">
        <v>3143</v>
      </c>
      <c r="C189" s="1128">
        <v>5336</v>
      </c>
      <c r="D189" s="518"/>
      <c r="E189" s="616" t="s">
        <v>1282</v>
      </c>
      <c r="F189" s="705"/>
      <c r="G189" s="705">
        <f>G190</f>
        <v>1143</v>
      </c>
      <c r="H189" s="705">
        <f>H190</f>
        <v>1143</v>
      </c>
      <c r="I189" s="693">
        <f t="shared" si="18"/>
        <v>100</v>
      </c>
    </row>
    <row r="190" spans="1:9" s="1131" customFormat="1" ht="14.25" x14ac:dyDescent="0.2">
      <c r="A190" s="420"/>
      <c r="B190" s="617"/>
      <c r="C190" s="1127"/>
      <c r="D190" s="518" t="s">
        <v>1807</v>
      </c>
      <c r="E190" s="442" t="s">
        <v>1823</v>
      </c>
      <c r="F190" s="352"/>
      <c r="G190" s="731">
        <v>1143</v>
      </c>
      <c r="H190" s="352">
        <v>1143</v>
      </c>
      <c r="I190" s="368">
        <f t="shared" si="18"/>
        <v>100</v>
      </c>
    </row>
    <row r="191" spans="1:9" s="1131" customFormat="1" ht="15" x14ac:dyDescent="0.25">
      <c r="A191" s="420">
        <v>1016</v>
      </c>
      <c r="B191" s="651">
        <v>3145</v>
      </c>
      <c r="C191" s="1128">
        <v>5336</v>
      </c>
      <c r="D191" s="518"/>
      <c r="E191" s="616" t="s">
        <v>1282</v>
      </c>
      <c r="F191" s="700"/>
      <c r="G191" s="705">
        <f>G192</f>
        <v>1015</v>
      </c>
      <c r="H191" s="705">
        <f>H192</f>
        <v>1015</v>
      </c>
      <c r="I191" s="693">
        <f t="shared" si="18"/>
        <v>100</v>
      </c>
    </row>
    <row r="192" spans="1:9" s="1131" customFormat="1" ht="15" thickBot="1" x14ac:dyDescent="0.25">
      <c r="A192" s="1129"/>
      <c r="B192" s="618"/>
      <c r="C192" s="1134"/>
      <c r="D192" s="640" t="s">
        <v>1807</v>
      </c>
      <c r="E192" s="443" t="s">
        <v>1823</v>
      </c>
      <c r="F192" s="748"/>
      <c r="G192" s="439">
        <v>1015</v>
      </c>
      <c r="H192" s="748">
        <v>1015</v>
      </c>
      <c r="I192" s="749">
        <f t="shared" si="18"/>
        <v>100</v>
      </c>
    </row>
    <row r="193" spans="1:20" ht="16.5" thickTop="1" thickBot="1" x14ac:dyDescent="0.3">
      <c r="A193" s="3127" t="s">
        <v>1000</v>
      </c>
      <c r="B193" s="3126"/>
      <c r="C193" s="3126"/>
      <c r="D193" s="3126"/>
      <c r="E193" s="3126"/>
      <c r="F193" s="732">
        <f>SUM(F177)</f>
        <v>3364</v>
      </c>
      <c r="G193" s="732">
        <f>SUM(G177,G187,G180,G191,G189,G185,G175)</f>
        <v>33685</v>
      </c>
      <c r="H193" s="732">
        <f>SUM(H177,H187,H180,H191,H189,H185,H175)</f>
        <v>33685</v>
      </c>
      <c r="I193" s="733">
        <f t="shared" si="18"/>
        <v>100</v>
      </c>
      <c r="R193" s="374">
        <f>F193</f>
        <v>3364</v>
      </c>
      <c r="S193" s="374">
        <f>G193</f>
        <v>33685</v>
      </c>
      <c r="T193" s="374">
        <f>H193</f>
        <v>33685</v>
      </c>
    </row>
    <row r="194" spans="1:20" ht="15.75" thickTop="1" x14ac:dyDescent="0.25">
      <c r="A194" s="361"/>
      <c r="B194" s="361"/>
      <c r="C194" s="361"/>
      <c r="D194" s="361"/>
      <c r="E194" s="361"/>
      <c r="F194" s="763"/>
      <c r="G194" s="763"/>
      <c r="H194" s="763"/>
      <c r="I194" s="1141"/>
      <c r="R194" s="374"/>
      <c r="S194" s="374"/>
      <c r="T194" s="374"/>
    </row>
    <row r="195" spans="1:20" ht="15" x14ac:dyDescent="0.25">
      <c r="A195" s="361"/>
      <c r="B195" s="361"/>
      <c r="C195" s="361"/>
      <c r="D195" s="361"/>
      <c r="E195" s="361"/>
      <c r="F195" s="763"/>
      <c r="G195" s="763"/>
      <c r="H195" s="763"/>
      <c r="I195" s="1141"/>
      <c r="R195" s="374"/>
      <c r="S195" s="374"/>
      <c r="T195" s="374"/>
    </row>
    <row r="196" spans="1:20" ht="13.5" thickBot="1" x14ac:dyDescent="0.25">
      <c r="A196" s="421" t="s">
        <v>2006</v>
      </c>
      <c r="I196" s="1125" t="s">
        <v>148</v>
      </c>
    </row>
    <row r="197" spans="1:20" s="106" customFormat="1" thickTop="1" thickBot="1" x14ac:dyDescent="0.25">
      <c r="A197" s="586" t="s">
        <v>565</v>
      </c>
      <c r="B197" s="658" t="s">
        <v>149</v>
      </c>
      <c r="C197" s="587" t="s">
        <v>150</v>
      </c>
      <c r="D197" s="589" t="s">
        <v>639</v>
      </c>
      <c r="E197" s="589" t="s">
        <v>151</v>
      </c>
      <c r="F197" s="589" t="s">
        <v>569</v>
      </c>
      <c r="G197" s="589" t="s">
        <v>570</v>
      </c>
      <c r="H197" s="589" t="s">
        <v>797</v>
      </c>
      <c r="I197" s="674" t="s">
        <v>798</v>
      </c>
    </row>
    <row r="198" spans="1:20" s="375" customFormat="1" ht="15.75" customHeight="1" thickTop="1" thickBot="1" x14ac:dyDescent="0.25">
      <c r="A198" s="525">
        <v>1</v>
      </c>
      <c r="B198" s="526">
        <v>2</v>
      </c>
      <c r="C198" s="526">
        <v>3</v>
      </c>
      <c r="D198" s="526">
        <v>4</v>
      </c>
      <c r="E198" s="526">
        <v>5</v>
      </c>
      <c r="F198" s="512">
        <v>6</v>
      </c>
      <c r="G198" s="512">
        <v>7</v>
      </c>
      <c r="H198" s="513">
        <v>8</v>
      </c>
      <c r="I198" s="591" t="s">
        <v>689</v>
      </c>
    </row>
    <row r="199" spans="1:20" ht="15.75" customHeight="1" thickTop="1" x14ac:dyDescent="0.25">
      <c r="A199" s="1126">
        <v>1017</v>
      </c>
      <c r="B199" s="659">
        <v>3133</v>
      </c>
      <c r="C199" s="659">
        <v>5331</v>
      </c>
      <c r="D199" s="694"/>
      <c r="E199" s="734" t="s">
        <v>858</v>
      </c>
      <c r="F199" s="714">
        <f>F200+F201</f>
        <v>4309</v>
      </c>
      <c r="G199" s="714">
        <f t="shared" ref="G199:H199" si="20">G200+G201</f>
        <v>718</v>
      </c>
      <c r="H199" s="714">
        <f t="shared" si="20"/>
        <v>718</v>
      </c>
      <c r="I199" s="682">
        <f t="shared" ref="I199:I208" si="21">(H199/G199)*100</f>
        <v>100</v>
      </c>
      <c r="J199" s="682">
        <f t="shared" ref="J199" si="22">(I199/H199)*100</f>
        <v>13.92757660167131</v>
      </c>
      <c r="K199" s="682">
        <f t="shared" ref="K199" si="23">(J199/I199)*100</f>
        <v>13.92757660167131</v>
      </c>
      <c r="L199" s="682">
        <f t="shared" ref="L199" si="24">(K199/J199)*100</f>
        <v>100</v>
      </c>
      <c r="M199" s="682">
        <f t="shared" ref="M199" si="25">(L199/K199)*100</f>
        <v>718</v>
      </c>
      <c r="N199" s="682">
        <f t="shared" ref="N199" si="26">(M199/L199)*100</f>
        <v>718</v>
      </c>
      <c r="O199" s="682">
        <f t="shared" ref="O199" si="27">(N199/M199)*100</f>
        <v>100</v>
      </c>
    </row>
    <row r="200" spans="1:20" ht="15.75" customHeight="1" x14ac:dyDescent="0.2">
      <c r="A200" s="420"/>
      <c r="B200" s="617"/>
      <c r="C200" s="617"/>
      <c r="D200" s="636" t="s">
        <v>1811</v>
      </c>
      <c r="E200" s="1162" t="s">
        <v>717</v>
      </c>
      <c r="F200" s="352">
        <v>757</v>
      </c>
      <c r="G200" s="352">
        <v>126</v>
      </c>
      <c r="H200" s="352">
        <v>126</v>
      </c>
      <c r="I200" s="708">
        <f t="shared" si="21"/>
        <v>100</v>
      </c>
    </row>
    <row r="201" spans="1:20" ht="15.75" customHeight="1" x14ac:dyDescent="0.2">
      <c r="A201" s="420"/>
      <c r="B201" s="617"/>
      <c r="C201" s="617"/>
      <c r="D201" s="518" t="s">
        <v>1812</v>
      </c>
      <c r="E201" s="442" t="s">
        <v>63</v>
      </c>
      <c r="F201" s="683">
        <v>3552</v>
      </c>
      <c r="G201" s="683">
        <v>592</v>
      </c>
      <c r="H201" s="683">
        <v>592</v>
      </c>
      <c r="I201" s="679">
        <f t="shared" si="21"/>
        <v>100</v>
      </c>
    </row>
    <row r="202" spans="1:20" ht="15.75" customHeight="1" x14ac:dyDescent="0.25">
      <c r="A202" s="420">
        <v>1017</v>
      </c>
      <c r="B202" s="651">
        <v>3133</v>
      </c>
      <c r="C202" s="651">
        <v>5336</v>
      </c>
      <c r="D202" s="527"/>
      <c r="E202" s="616" t="s">
        <v>1740</v>
      </c>
      <c r="F202" s="683"/>
      <c r="G202" s="700">
        <f>G203+G205+G204</f>
        <v>13373</v>
      </c>
      <c r="H202" s="700">
        <f>H203+H205+H204</f>
        <v>13373</v>
      </c>
      <c r="I202" s="707">
        <f t="shared" si="21"/>
        <v>100</v>
      </c>
    </row>
    <row r="203" spans="1:20" ht="15.75" customHeight="1" x14ac:dyDescent="0.2">
      <c r="A203" s="420"/>
      <c r="B203" s="651"/>
      <c r="C203" s="651"/>
      <c r="D203" s="1068" t="s">
        <v>1808</v>
      </c>
      <c r="E203" s="2030" t="s">
        <v>1739</v>
      </c>
      <c r="F203" s="683"/>
      <c r="G203" s="692">
        <v>274</v>
      </c>
      <c r="H203" s="692">
        <v>274</v>
      </c>
      <c r="I203" s="679">
        <f t="shared" si="21"/>
        <v>100</v>
      </c>
    </row>
    <row r="204" spans="1:20" ht="27.75" customHeight="1" x14ac:dyDescent="0.2">
      <c r="A204" s="420"/>
      <c r="B204" s="651"/>
      <c r="C204" s="651"/>
      <c r="D204" s="1061" t="s">
        <v>1809</v>
      </c>
      <c r="E204" s="2019" t="s">
        <v>1810</v>
      </c>
      <c r="F204" s="683"/>
      <c r="G204" s="1224">
        <v>70</v>
      </c>
      <c r="H204" s="1224">
        <v>70</v>
      </c>
      <c r="I204" s="1063">
        <f t="shared" si="21"/>
        <v>100</v>
      </c>
    </row>
    <row r="205" spans="1:20" ht="15.75" customHeight="1" x14ac:dyDescent="0.25">
      <c r="A205" s="420"/>
      <c r="B205" s="617"/>
      <c r="C205" s="651"/>
      <c r="D205" s="518" t="s">
        <v>1807</v>
      </c>
      <c r="E205" s="442" t="s">
        <v>716</v>
      </c>
      <c r="F205" s="676"/>
      <c r="G205" s="689">
        <v>13029</v>
      </c>
      <c r="H205" s="689">
        <v>13029</v>
      </c>
      <c r="I205" s="679">
        <f t="shared" si="21"/>
        <v>100</v>
      </c>
    </row>
    <row r="206" spans="1:20" ht="15.75" customHeight="1" x14ac:dyDescent="0.25">
      <c r="A206" s="420">
        <v>1017</v>
      </c>
      <c r="B206" s="651">
        <v>3141</v>
      </c>
      <c r="C206" s="651">
        <v>5336</v>
      </c>
      <c r="D206" s="527"/>
      <c r="E206" s="616" t="s">
        <v>1740</v>
      </c>
      <c r="F206" s="692"/>
      <c r="G206" s="700">
        <f>G207</f>
        <v>772</v>
      </c>
      <c r="H206" s="700">
        <f>H207</f>
        <v>772</v>
      </c>
      <c r="I206" s="693">
        <f t="shared" si="21"/>
        <v>100</v>
      </c>
    </row>
    <row r="207" spans="1:20" ht="15.75" customHeight="1" thickBot="1" x14ac:dyDescent="0.3">
      <c r="A207" s="420"/>
      <c r="B207" s="651"/>
      <c r="C207" s="651"/>
      <c r="D207" s="518" t="s">
        <v>1807</v>
      </c>
      <c r="E207" s="442" t="s">
        <v>716</v>
      </c>
      <c r="F207" s="690"/>
      <c r="G207" s="689">
        <v>772</v>
      </c>
      <c r="H207" s="689">
        <v>772</v>
      </c>
      <c r="I207" s="684">
        <f t="shared" ref="I207" si="28">(H207/G207)*100</f>
        <v>100</v>
      </c>
    </row>
    <row r="208" spans="1:20" s="1165" customFormat="1" ht="15.75" customHeight="1" thickTop="1" thickBot="1" x14ac:dyDescent="0.25">
      <c r="A208" s="3117" t="s">
        <v>1000</v>
      </c>
      <c r="B208" s="3118"/>
      <c r="C208" s="3118"/>
      <c r="D208" s="3118"/>
      <c r="E208" s="3118"/>
      <c r="F208" s="1175">
        <f>F199</f>
        <v>4309</v>
      </c>
      <c r="G208" s="1175">
        <f>G206+G202+G199</f>
        <v>14863</v>
      </c>
      <c r="H208" s="1175">
        <f>H206+H202+H199</f>
        <v>14863</v>
      </c>
      <c r="I208" s="1176">
        <f t="shared" si="21"/>
        <v>100</v>
      </c>
      <c r="R208" s="1177">
        <f>F208</f>
        <v>4309</v>
      </c>
      <c r="S208" s="1177">
        <f>G208</f>
        <v>14863</v>
      </c>
      <c r="T208" s="1177">
        <f>H208</f>
        <v>14863</v>
      </c>
    </row>
    <row r="209" spans="1:20" s="1165" customFormat="1" ht="15.75" customHeight="1" thickTop="1" x14ac:dyDescent="0.2">
      <c r="A209" s="1164"/>
      <c r="B209" s="1164"/>
      <c r="C209" s="1164"/>
      <c r="D209" s="1164"/>
      <c r="E209" s="1164"/>
      <c r="F209" s="1195"/>
      <c r="G209" s="1195"/>
      <c r="H209" s="1195"/>
      <c r="I209" s="1196"/>
      <c r="R209" s="1177"/>
      <c r="S209" s="1177"/>
      <c r="T209" s="1177"/>
    </row>
    <row r="210" spans="1:20" s="1165" customFormat="1" ht="15.75" customHeight="1" x14ac:dyDescent="0.2">
      <c r="A210" s="1164"/>
      <c r="B210" s="1164"/>
      <c r="C210" s="1164"/>
      <c r="D210" s="1164"/>
      <c r="E210" s="1164"/>
      <c r="F210" s="1195"/>
      <c r="G210" s="1195"/>
      <c r="H210" s="1195"/>
      <c r="I210" s="1196"/>
      <c r="R210" s="1177"/>
      <c r="S210" s="1177"/>
      <c r="T210" s="1177"/>
    </row>
    <row r="211" spans="1:20" s="1165" customFormat="1" ht="15.75" customHeight="1" x14ac:dyDescent="0.2">
      <c r="A211" s="1164"/>
      <c r="B211" s="1164"/>
      <c r="C211" s="1164"/>
      <c r="D211" s="1164"/>
      <c r="E211" s="1164"/>
      <c r="F211" s="1195"/>
      <c r="G211" s="1195"/>
      <c r="H211" s="1195"/>
      <c r="I211" s="1196"/>
      <c r="R211" s="1177"/>
      <c r="S211" s="1177"/>
      <c r="T211" s="1177"/>
    </row>
    <row r="212" spans="1:20" ht="18" customHeight="1" thickBot="1" x14ac:dyDescent="0.25">
      <c r="A212" s="421" t="s">
        <v>478</v>
      </c>
      <c r="I212" s="1125" t="s">
        <v>148</v>
      </c>
    </row>
    <row r="213" spans="1:20" s="106" customFormat="1" thickTop="1" thickBot="1" x14ac:dyDescent="0.25">
      <c r="A213" s="586" t="s">
        <v>565</v>
      </c>
      <c r="B213" s="658" t="s">
        <v>149</v>
      </c>
      <c r="C213" s="587" t="s">
        <v>150</v>
      </c>
      <c r="D213" s="589" t="s">
        <v>639</v>
      </c>
      <c r="E213" s="589" t="s">
        <v>151</v>
      </c>
      <c r="F213" s="589" t="s">
        <v>569</v>
      </c>
      <c r="G213" s="589" t="s">
        <v>570</v>
      </c>
      <c r="H213" s="589" t="s">
        <v>797</v>
      </c>
      <c r="I213" s="674" t="s">
        <v>798</v>
      </c>
    </row>
    <row r="214" spans="1:20" s="375" customFormat="1" ht="13.5" thickTop="1" thickBot="1" x14ac:dyDescent="0.25">
      <c r="A214" s="525">
        <v>1</v>
      </c>
      <c r="B214" s="526">
        <v>2</v>
      </c>
      <c r="C214" s="526">
        <v>3</v>
      </c>
      <c r="D214" s="526">
        <v>4</v>
      </c>
      <c r="E214" s="526">
        <v>5</v>
      </c>
      <c r="F214" s="512">
        <v>6</v>
      </c>
      <c r="G214" s="512">
        <v>7</v>
      </c>
      <c r="H214" s="513">
        <v>8</v>
      </c>
      <c r="I214" s="591" t="s">
        <v>689</v>
      </c>
    </row>
    <row r="215" spans="1:20" ht="15.75" thickTop="1" x14ac:dyDescent="0.25">
      <c r="A215" s="420">
        <v>1021</v>
      </c>
      <c r="B215" s="617">
        <v>3112</v>
      </c>
      <c r="C215" s="1127">
        <v>5336</v>
      </c>
      <c r="D215" s="518"/>
      <c r="E215" s="616" t="s">
        <v>1740</v>
      </c>
      <c r="F215" s="683"/>
      <c r="G215" s="705">
        <f>G216</f>
        <v>32</v>
      </c>
      <c r="H215" s="705">
        <f>H216</f>
        <v>32</v>
      </c>
      <c r="I215" s="707">
        <f t="shared" ref="I215:I225" si="29">(H215/G215)*100</f>
        <v>100</v>
      </c>
    </row>
    <row r="216" spans="1:20" ht="14.25" x14ac:dyDescent="0.2">
      <c r="A216" s="420"/>
      <c r="B216" s="617"/>
      <c r="C216" s="1127"/>
      <c r="D216" s="518" t="s">
        <v>1807</v>
      </c>
      <c r="E216" s="442" t="s">
        <v>716</v>
      </c>
      <c r="F216" s="683"/>
      <c r="G216" s="683">
        <v>32</v>
      </c>
      <c r="H216" s="683">
        <v>32</v>
      </c>
      <c r="I216" s="679">
        <f t="shared" si="29"/>
        <v>100</v>
      </c>
    </row>
    <row r="217" spans="1:20" ht="15" x14ac:dyDescent="0.25">
      <c r="A217" s="420">
        <v>1021</v>
      </c>
      <c r="B217" s="617">
        <v>3114</v>
      </c>
      <c r="C217" s="617">
        <v>5331</v>
      </c>
      <c r="D217" s="675"/>
      <c r="E217" s="664" t="s">
        <v>858</v>
      </c>
      <c r="F217" s="705">
        <f t="shared" ref="F217:G217" si="30">F218</f>
        <v>399</v>
      </c>
      <c r="G217" s="705">
        <f t="shared" si="30"/>
        <v>66</v>
      </c>
      <c r="H217" s="705">
        <f>H218</f>
        <v>66</v>
      </c>
      <c r="I217" s="707">
        <f t="shared" si="29"/>
        <v>100</v>
      </c>
    </row>
    <row r="218" spans="1:20" ht="14.25" x14ac:dyDescent="0.2">
      <c r="A218" s="420"/>
      <c r="B218" s="617"/>
      <c r="C218" s="1127"/>
      <c r="D218" s="518" t="s">
        <v>1812</v>
      </c>
      <c r="E218" s="442" t="s">
        <v>63</v>
      </c>
      <c r="F218" s="683">
        <v>399</v>
      </c>
      <c r="G218" s="683">
        <v>66</v>
      </c>
      <c r="H218" s="683">
        <v>66</v>
      </c>
      <c r="I218" s="679">
        <f t="shared" si="29"/>
        <v>100</v>
      </c>
    </row>
    <row r="219" spans="1:20" ht="15" x14ac:dyDescent="0.25">
      <c r="A219" s="420">
        <v>1021</v>
      </c>
      <c r="B219" s="617">
        <v>3114</v>
      </c>
      <c r="C219" s="1127">
        <v>5336</v>
      </c>
      <c r="D219" s="518"/>
      <c r="E219" s="616" t="s">
        <v>1740</v>
      </c>
      <c r="F219" s="683"/>
      <c r="G219" s="705">
        <f>G220+G221+G222+G223+G224</f>
        <v>4018</v>
      </c>
      <c r="H219" s="705">
        <f>H220+H221+H222+H223+H224</f>
        <v>4018</v>
      </c>
      <c r="I219" s="707">
        <f t="shared" si="29"/>
        <v>100</v>
      </c>
    </row>
    <row r="220" spans="1:20" ht="14.25" x14ac:dyDescent="0.2">
      <c r="A220" s="420"/>
      <c r="B220" s="617"/>
      <c r="C220" s="1127"/>
      <c r="D220" s="1068" t="s">
        <v>1808</v>
      </c>
      <c r="E220" s="2030" t="s">
        <v>1739</v>
      </c>
      <c r="F220" s="683"/>
      <c r="G220" s="683">
        <v>85</v>
      </c>
      <c r="H220" s="683">
        <v>85</v>
      </c>
      <c r="I220" s="679">
        <f t="shared" si="29"/>
        <v>100</v>
      </c>
    </row>
    <row r="221" spans="1:20" ht="28.5" x14ac:dyDescent="0.2">
      <c r="A221" s="420"/>
      <c r="B221" s="617"/>
      <c r="C221" s="1127"/>
      <c r="D221" s="1061" t="s">
        <v>1809</v>
      </c>
      <c r="E221" s="2019" t="s">
        <v>1810</v>
      </c>
      <c r="F221" s="683"/>
      <c r="G221" s="1067">
        <v>23</v>
      </c>
      <c r="H221" s="1067">
        <v>23</v>
      </c>
      <c r="I221" s="1063">
        <f t="shared" si="29"/>
        <v>100</v>
      </c>
    </row>
    <row r="222" spans="1:20" ht="14.25" x14ac:dyDescent="0.2">
      <c r="A222" s="420"/>
      <c r="B222" s="617"/>
      <c r="C222" s="1127"/>
      <c r="D222" s="518" t="s">
        <v>1807</v>
      </c>
      <c r="E222" s="442" t="s">
        <v>716</v>
      </c>
      <c r="F222" s="683"/>
      <c r="G222" s="683">
        <v>3599</v>
      </c>
      <c r="H222" s="683">
        <v>3599</v>
      </c>
      <c r="I222" s="679">
        <f t="shared" si="29"/>
        <v>100</v>
      </c>
    </row>
    <row r="223" spans="1:20" ht="14.25" x14ac:dyDescent="0.2">
      <c r="A223" s="420"/>
      <c r="B223" s="617"/>
      <c r="C223" s="1127"/>
      <c r="D223" s="527" t="s">
        <v>1813</v>
      </c>
      <c r="E223" s="1162" t="s">
        <v>1815</v>
      </c>
      <c r="F223" s="683"/>
      <c r="G223" s="683">
        <v>47</v>
      </c>
      <c r="H223" s="683">
        <v>47</v>
      </c>
      <c r="I223" s="679">
        <f t="shared" si="29"/>
        <v>100</v>
      </c>
    </row>
    <row r="224" spans="1:20" ht="15" thickBot="1" x14ac:dyDescent="0.25">
      <c r="A224" s="420"/>
      <c r="B224" s="617"/>
      <c r="C224" s="1127"/>
      <c r="D224" s="527" t="s">
        <v>1814</v>
      </c>
      <c r="E224" s="1162" t="s">
        <v>1815</v>
      </c>
      <c r="F224" s="683"/>
      <c r="G224" s="683">
        <v>264</v>
      </c>
      <c r="H224" s="683">
        <v>264</v>
      </c>
      <c r="I224" s="679">
        <f t="shared" si="29"/>
        <v>100</v>
      </c>
    </row>
    <row r="225" spans="1:20" s="1165" customFormat="1" ht="16.5" thickTop="1" thickBot="1" x14ac:dyDescent="0.25">
      <c r="A225" s="3117" t="s">
        <v>1000</v>
      </c>
      <c r="B225" s="3118"/>
      <c r="C225" s="3118"/>
      <c r="D225" s="3118"/>
      <c r="E225" s="3118"/>
      <c r="F225" s="1175">
        <f>F217</f>
        <v>399</v>
      </c>
      <c r="G225" s="1175">
        <f>G219+G217+G215</f>
        <v>4116</v>
      </c>
      <c r="H225" s="1175">
        <f>H219+H217+H215</f>
        <v>4116</v>
      </c>
      <c r="I225" s="1176">
        <f t="shared" si="29"/>
        <v>100</v>
      </c>
      <c r="R225" s="1177">
        <f>F225</f>
        <v>399</v>
      </c>
      <c r="S225" s="1177">
        <f>G225</f>
        <v>4116</v>
      </c>
      <c r="T225" s="1177">
        <f>H225</f>
        <v>4116</v>
      </c>
    </row>
    <row r="226" spans="1:20" s="1165" customFormat="1" ht="13.5" thickTop="1" x14ac:dyDescent="0.2">
      <c r="B226" s="1178"/>
      <c r="D226" s="1179"/>
      <c r="F226" s="1177"/>
      <c r="G226" s="1177"/>
      <c r="H226" s="1177"/>
      <c r="I226" s="1180"/>
    </row>
    <row r="227" spans="1:20" ht="13.5" thickBot="1" x14ac:dyDescent="0.25">
      <c r="A227" s="421" t="s">
        <v>409</v>
      </c>
      <c r="I227" s="1125" t="s">
        <v>148</v>
      </c>
    </row>
    <row r="228" spans="1:20" s="106" customFormat="1" thickTop="1" thickBot="1" x14ac:dyDescent="0.25">
      <c r="A228" s="586" t="s">
        <v>565</v>
      </c>
      <c r="B228" s="658" t="s">
        <v>149</v>
      </c>
      <c r="C228" s="587" t="s">
        <v>150</v>
      </c>
      <c r="D228" s="589" t="s">
        <v>639</v>
      </c>
      <c r="E228" s="589" t="s">
        <v>151</v>
      </c>
      <c r="F228" s="589" t="s">
        <v>569</v>
      </c>
      <c r="G228" s="589" t="s">
        <v>570</v>
      </c>
      <c r="H228" s="589" t="s">
        <v>797</v>
      </c>
      <c r="I228" s="674" t="s">
        <v>798</v>
      </c>
    </row>
    <row r="229" spans="1:20" s="375" customFormat="1" ht="18" customHeight="1" thickTop="1" thickBot="1" x14ac:dyDescent="0.25">
      <c r="A229" s="525">
        <v>1</v>
      </c>
      <c r="B229" s="526">
        <v>2</v>
      </c>
      <c r="C229" s="526">
        <v>3</v>
      </c>
      <c r="D229" s="526">
        <v>4</v>
      </c>
      <c r="E229" s="526">
        <v>5</v>
      </c>
      <c r="F229" s="512">
        <v>6</v>
      </c>
      <c r="G229" s="512">
        <v>7</v>
      </c>
      <c r="H229" s="513">
        <v>8</v>
      </c>
      <c r="I229" s="591" t="s">
        <v>689</v>
      </c>
    </row>
    <row r="230" spans="1:20" s="106" customFormat="1" ht="15.75" thickTop="1" x14ac:dyDescent="0.25">
      <c r="A230" s="420">
        <v>1022</v>
      </c>
      <c r="B230" s="651">
        <v>3112</v>
      </c>
      <c r="C230" s="651">
        <v>5336</v>
      </c>
      <c r="D230" s="527"/>
      <c r="E230" s="616" t="s">
        <v>1740</v>
      </c>
      <c r="F230" s="730"/>
      <c r="G230" s="735">
        <v>582</v>
      </c>
      <c r="H230" s="735">
        <v>582</v>
      </c>
      <c r="I230" s="707">
        <f t="shared" ref="I230:I238" si="31">(H230/G230)*100</f>
        <v>100</v>
      </c>
    </row>
    <row r="231" spans="1:20" s="106" customFormat="1" ht="13.5" customHeight="1" x14ac:dyDescent="0.2">
      <c r="A231" s="727"/>
      <c r="B231" s="728"/>
      <c r="C231" s="729"/>
      <c r="D231" s="518" t="s">
        <v>1807</v>
      </c>
      <c r="E231" s="442" t="s">
        <v>716</v>
      </c>
      <c r="F231" s="730"/>
      <c r="G231" s="730">
        <v>582</v>
      </c>
      <c r="H231" s="730">
        <v>582</v>
      </c>
      <c r="I231" s="708">
        <f t="shared" si="31"/>
        <v>100</v>
      </c>
    </row>
    <row r="232" spans="1:20" ht="15" x14ac:dyDescent="0.25">
      <c r="A232" s="420">
        <v>1022</v>
      </c>
      <c r="B232" s="651">
        <v>3114</v>
      </c>
      <c r="C232" s="651">
        <v>5331</v>
      </c>
      <c r="D232" s="712"/>
      <c r="E232" s="616" t="s">
        <v>858</v>
      </c>
      <c r="F232" s="700">
        <v>281</v>
      </c>
      <c r="G232" s="700">
        <v>46</v>
      </c>
      <c r="H232" s="700">
        <v>46</v>
      </c>
      <c r="I232" s="693">
        <f t="shared" si="31"/>
        <v>100</v>
      </c>
    </row>
    <row r="233" spans="1:20" ht="14.25" x14ac:dyDescent="0.2">
      <c r="A233" s="420"/>
      <c r="B233" s="651"/>
      <c r="C233" s="651"/>
      <c r="D233" s="518" t="s">
        <v>1812</v>
      </c>
      <c r="E233" s="442" t="s">
        <v>63</v>
      </c>
      <c r="F233" s="692">
        <v>281</v>
      </c>
      <c r="G233" s="692">
        <v>46</v>
      </c>
      <c r="H233" s="692">
        <v>46</v>
      </c>
      <c r="I233" s="368">
        <f t="shared" si="31"/>
        <v>100</v>
      </c>
    </row>
    <row r="234" spans="1:20" ht="15" x14ac:dyDescent="0.25">
      <c r="A234" s="420">
        <v>1022</v>
      </c>
      <c r="B234" s="651">
        <v>3114</v>
      </c>
      <c r="C234" s="651">
        <v>5336</v>
      </c>
      <c r="D234" s="527"/>
      <c r="E234" s="616" t="s">
        <v>1740</v>
      </c>
      <c r="F234" s="692"/>
      <c r="G234" s="700">
        <f>G235+G236+G237</f>
        <v>1671</v>
      </c>
      <c r="H234" s="700">
        <f>H235+H236+H237</f>
        <v>1671</v>
      </c>
      <c r="I234" s="693">
        <f t="shared" si="31"/>
        <v>100</v>
      </c>
    </row>
    <row r="235" spans="1:20" ht="14.25" x14ac:dyDescent="0.2">
      <c r="A235" s="420"/>
      <c r="B235" s="651"/>
      <c r="C235" s="651"/>
      <c r="D235" s="1068" t="s">
        <v>1808</v>
      </c>
      <c r="E235" s="2030" t="s">
        <v>1739</v>
      </c>
      <c r="F235" s="692"/>
      <c r="G235" s="692">
        <v>43</v>
      </c>
      <c r="H235" s="692">
        <v>43</v>
      </c>
      <c r="I235" s="368">
        <f t="shared" si="31"/>
        <v>100</v>
      </c>
    </row>
    <row r="236" spans="1:20" ht="28.5" x14ac:dyDescent="0.2">
      <c r="A236" s="420"/>
      <c r="B236" s="651"/>
      <c r="C236" s="651"/>
      <c r="D236" s="1061" t="s">
        <v>1809</v>
      </c>
      <c r="E236" s="2019" t="s">
        <v>1810</v>
      </c>
      <c r="F236" s="692"/>
      <c r="G236" s="1224">
        <v>11</v>
      </c>
      <c r="H236" s="1224">
        <v>11</v>
      </c>
      <c r="I236" s="1234">
        <f t="shared" si="31"/>
        <v>100</v>
      </c>
    </row>
    <row r="237" spans="1:20" ht="15" thickBot="1" x14ac:dyDescent="0.25">
      <c r="A237" s="420"/>
      <c r="B237" s="651"/>
      <c r="C237" s="651"/>
      <c r="D237" s="518" t="s">
        <v>1807</v>
      </c>
      <c r="E237" s="442" t="s">
        <v>716</v>
      </c>
      <c r="F237" s="692"/>
      <c r="G237" s="692">
        <v>1617</v>
      </c>
      <c r="H237" s="692">
        <v>1617</v>
      </c>
      <c r="I237" s="368">
        <f t="shared" si="31"/>
        <v>100</v>
      </c>
    </row>
    <row r="238" spans="1:20" ht="15.75" customHeight="1" thickTop="1" thickBot="1" x14ac:dyDescent="0.3">
      <c r="A238" s="3110" t="s">
        <v>1000</v>
      </c>
      <c r="B238" s="3111"/>
      <c r="C238" s="3111"/>
      <c r="D238" s="3111"/>
      <c r="E238" s="3111"/>
      <c r="F238" s="736">
        <f>F232</f>
        <v>281</v>
      </c>
      <c r="G238" s="736">
        <f>G234+G232+G230</f>
        <v>2299</v>
      </c>
      <c r="H238" s="736">
        <f>H234+H232+H230</f>
        <v>2299</v>
      </c>
      <c r="I238" s="737">
        <f t="shared" si="31"/>
        <v>100</v>
      </c>
      <c r="R238" s="374">
        <f>F238</f>
        <v>281</v>
      </c>
      <c r="S238" s="374">
        <f>G238</f>
        <v>2299</v>
      </c>
      <c r="T238" s="374">
        <f>H238</f>
        <v>2299</v>
      </c>
    </row>
    <row r="239" spans="1:20" ht="15.75" customHeight="1" thickTop="1" x14ac:dyDescent="0.2"/>
    <row r="240" spans="1:20" ht="15.75" customHeight="1" thickBot="1" x14ac:dyDescent="0.25">
      <c r="A240" s="421" t="s">
        <v>410</v>
      </c>
      <c r="I240" s="1125" t="s">
        <v>148</v>
      </c>
    </row>
    <row r="241" spans="1:9" s="106" customFormat="1" ht="15.75" customHeight="1" thickTop="1" thickBot="1" x14ac:dyDescent="0.25">
      <c r="A241" s="586" t="s">
        <v>565</v>
      </c>
      <c r="B241" s="658" t="s">
        <v>149</v>
      </c>
      <c r="C241" s="587" t="s">
        <v>150</v>
      </c>
      <c r="D241" s="589" t="s">
        <v>639</v>
      </c>
      <c r="E241" s="589" t="s">
        <v>151</v>
      </c>
      <c r="F241" s="589" t="s">
        <v>569</v>
      </c>
      <c r="G241" s="589" t="s">
        <v>570</v>
      </c>
      <c r="H241" s="589" t="s">
        <v>797</v>
      </c>
      <c r="I241" s="674" t="s">
        <v>798</v>
      </c>
    </row>
    <row r="242" spans="1:9" s="375" customFormat="1" ht="15.75" customHeight="1" thickTop="1" thickBot="1" x14ac:dyDescent="0.25">
      <c r="A242" s="525">
        <v>1</v>
      </c>
      <c r="B242" s="526">
        <v>2</v>
      </c>
      <c r="C242" s="526">
        <v>3</v>
      </c>
      <c r="D242" s="526">
        <v>4</v>
      </c>
      <c r="E242" s="526">
        <v>5</v>
      </c>
      <c r="F242" s="512">
        <v>6</v>
      </c>
      <c r="G242" s="512">
        <v>7</v>
      </c>
      <c r="H242" s="513">
        <v>8</v>
      </c>
      <c r="I242" s="591" t="s">
        <v>689</v>
      </c>
    </row>
    <row r="243" spans="1:9" ht="13.5" customHeight="1" thickTop="1" x14ac:dyDescent="0.25">
      <c r="A243" s="420">
        <v>1024</v>
      </c>
      <c r="B243" s="651">
        <v>3112</v>
      </c>
      <c r="C243" s="1128">
        <v>5336</v>
      </c>
      <c r="D243" s="527"/>
      <c r="E243" s="616" t="s">
        <v>1740</v>
      </c>
      <c r="F243" s="683"/>
      <c r="G243" s="705">
        <v>909</v>
      </c>
      <c r="H243" s="705">
        <v>909</v>
      </c>
      <c r="I243" s="707">
        <f t="shared" ref="I243:I259" si="32">(H243/G243)*100</f>
        <v>100</v>
      </c>
    </row>
    <row r="244" spans="1:9" ht="12" customHeight="1" x14ac:dyDescent="0.2">
      <c r="A244" s="420"/>
      <c r="B244" s="651"/>
      <c r="C244" s="1127"/>
      <c r="D244" s="518" t="s">
        <v>1807</v>
      </c>
      <c r="E244" s="442" t="s">
        <v>716</v>
      </c>
      <c r="F244" s="683"/>
      <c r="G244" s="683">
        <v>909</v>
      </c>
      <c r="H244" s="683">
        <v>909</v>
      </c>
      <c r="I244" s="679">
        <f t="shared" si="32"/>
        <v>100</v>
      </c>
    </row>
    <row r="245" spans="1:9" ht="12" customHeight="1" x14ac:dyDescent="0.25">
      <c r="A245" s="420">
        <v>1024</v>
      </c>
      <c r="B245" s="651">
        <v>3114</v>
      </c>
      <c r="C245" s="1128">
        <v>5331</v>
      </c>
      <c r="D245" s="697"/>
      <c r="E245" s="616" t="s">
        <v>858</v>
      </c>
      <c r="F245" s="690">
        <f>SUM(F246:F247)</f>
        <v>1474</v>
      </c>
      <c r="G245" s="690">
        <f>SUM(G246:G247)</f>
        <v>246</v>
      </c>
      <c r="H245" s="690">
        <f>SUM(H246:H247)</f>
        <v>246</v>
      </c>
      <c r="I245" s="691">
        <f t="shared" si="32"/>
        <v>100</v>
      </c>
    </row>
    <row r="246" spans="1:9" ht="15.75" customHeight="1" x14ac:dyDescent="0.2">
      <c r="A246" s="420"/>
      <c r="B246" s="651"/>
      <c r="C246" s="1128"/>
      <c r="D246" s="636" t="s">
        <v>1811</v>
      </c>
      <c r="E246" s="1162" t="s">
        <v>717</v>
      </c>
      <c r="F246" s="689">
        <v>142</v>
      </c>
      <c r="G246" s="689">
        <v>24</v>
      </c>
      <c r="H246" s="689">
        <v>24</v>
      </c>
      <c r="I246" s="684">
        <f t="shared" si="32"/>
        <v>100</v>
      </c>
    </row>
    <row r="247" spans="1:9" ht="13.5" customHeight="1" x14ac:dyDescent="0.2">
      <c r="A247" s="420"/>
      <c r="B247" s="651"/>
      <c r="C247" s="1128"/>
      <c r="D247" s="518" t="s">
        <v>1812</v>
      </c>
      <c r="E247" s="442" t="s">
        <v>63</v>
      </c>
      <c r="F247" s="689">
        <v>1332</v>
      </c>
      <c r="G247" s="689">
        <v>222</v>
      </c>
      <c r="H247" s="689">
        <v>222</v>
      </c>
      <c r="I247" s="684">
        <f t="shared" si="32"/>
        <v>100</v>
      </c>
    </row>
    <row r="248" spans="1:9" ht="15.75" customHeight="1" x14ac:dyDescent="0.25">
      <c r="A248" s="420">
        <v>1024</v>
      </c>
      <c r="B248" s="651">
        <v>3114</v>
      </c>
      <c r="C248" s="1128">
        <v>5336</v>
      </c>
      <c r="D248" s="527"/>
      <c r="E248" s="616" t="s">
        <v>1740</v>
      </c>
      <c r="F248" s="700"/>
      <c r="G248" s="700">
        <f>G249+G250+G252+G251+G253+G254</f>
        <v>8556</v>
      </c>
      <c r="H248" s="700">
        <f>H249+H250+H252+H251+H253+H254</f>
        <v>8556</v>
      </c>
      <c r="I248" s="691">
        <f t="shared" si="32"/>
        <v>100</v>
      </c>
    </row>
    <row r="249" spans="1:9" ht="15.75" customHeight="1" x14ac:dyDescent="0.25">
      <c r="A249" s="420"/>
      <c r="B249" s="651"/>
      <c r="C249" s="1128"/>
      <c r="D249" s="887" t="s">
        <v>1821</v>
      </c>
      <c r="E249" s="1674" t="s">
        <v>1405</v>
      </c>
      <c r="F249" s="700"/>
      <c r="G249" s="692">
        <v>44</v>
      </c>
      <c r="H249" s="692">
        <v>44</v>
      </c>
      <c r="I249" s="368">
        <f t="shared" si="32"/>
        <v>100</v>
      </c>
    </row>
    <row r="250" spans="1:9" ht="15.75" customHeight="1" x14ac:dyDescent="0.2">
      <c r="A250" s="420"/>
      <c r="B250" s="651"/>
      <c r="C250" s="1128"/>
      <c r="D250" s="887" t="s">
        <v>1808</v>
      </c>
      <c r="E250" s="1676" t="s">
        <v>1739</v>
      </c>
      <c r="F250" s="1964"/>
      <c r="G250" s="1965">
        <v>400</v>
      </c>
      <c r="H250" s="1965">
        <v>400</v>
      </c>
      <c r="I250" s="368">
        <f t="shared" ref="I250:I251" si="33">(H250/G250)*100</f>
        <v>100</v>
      </c>
    </row>
    <row r="251" spans="1:9" ht="28.5" x14ac:dyDescent="0.2">
      <c r="A251" s="420"/>
      <c r="B251" s="651"/>
      <c r="C251" s="1128"/>
      <c r="D251" s="1061" t="s">
        <v>1809</v>
      </c>
      <c r="E251" s="2019" t="s">
        <v>1810</v>
      </c>
      <c r="F251" s="1964"/>
      <c r="G251" s="2031">
        <v>50</v>
      </c>
      <c r="H251" s="2031">
        <v>50</v>
      </c>
      <c r="I251" s="1234">
        <f t="shared" si="33"/>
        <v>100</v>
      </c>
    </row>
    <row r="252" spans="1:9" ht="15.75" customHeight="1" x14ac:dyDescent="0.25">
      <c r="A252" s="420"/>
      <c r="B252" s="651"/>
      <c r="C252" s="1128"/>
      <c r="D252" s="518" t="s">
        <v>1807</v>
      </c>
      <c r="E252" s="442" t="s">
        <v>716</v>
      </c>
      <c r="F252" s="700"/>
      <c r="G252" s="692">
        <v>7398</v>
      </c>
      <c r="H252" s="692">
        <v>7398</v>
      </c>
      <c r="I252" s="684">
        <f t="shared" si="32"/>
        <v>100</v>
      </c>
    </row>
    <row r="253" spans="1:9" ht="15.75" customHeight="1" x14ac:dyDescent="0.25">
      <c r="A253" s="420"/>
      <c r="B253" s="651"/>
      <c r="C253" s="1128"/>
      <c r="D253" s="527" t="s">
        <v>1813</v>
      </c>
      <c r="E253" s="1162" t="s">
        <v>1815</v>
      </c>
      <c r="F253" s="700"/>
      <c r="G253" s="692">
        <v>100</v>
      </c>
      <c r="H253" s="692">
        <v>100</v>
      </c>
      <c r="I253" s="684">
        <f t="shared" si="32"/>
        <v>100</v>
      </c>
    </row>
    <row r="254" spans="1:9" ht="15.75" customHeight="1" x14ac:dyDescent="0.25">
      <c r="A254" s="420"/>
      <c r="B254" s="651"/>
      <c r="C254" s="1128"/>
      <c r="D254" s="527" t="s">
        <v>1814</v>
      </c>
      <c r="E254" s="1162" t="s">
        <v>1815</v>
      </c>
      <c r="F254" s="700"/>
      <c r="G254" s="692">
        <v>564</v>
      </c>
      <c r="H254" s="692">
        <v>564</v>
      </c>
      <c r="I254" s="684">
        <f t="shared" si="32"/>
        <v>100</v>
      </c>
    </row>
    <row r="255" spans="1:9" ht="15" x14ac:dyDescent="0.25">
      <c r="A255" s="420">
        <v>1024</v>
      </c>
      <c r="B255" s="651">
        <v>3141</v>
      </c>
      <c r="C255" s="1128">
        <v>5336</v>
      </c>
      <c r="D255" s="527"/>
      <c r="E255" s="616" t="s">
        <v>1740</v>
      </c>
      <c r="F255" s="689"/>
      <c r="G255" s="700">
        <v>38</v>
      </c>
      <c r="H255" s="700">
        <v>38</v>
      </c>
      <c r="I255" s="693">
        <f t="shared" si="32"/>
        <v>100</v>
      </c>
    </row>
    <row r="256" spans="1:9" ht="14.25" x14ac:dyDescent="0.2">
      <c r="A256" s="420"/>
      <c r="B256" s="651"/>
      <c r="C256" s="1128"/>
      <c r="D256" s="518" t="s">
        <v>1807</v>
      </c>
      <c r="E256" s="442" t="s">
        <v>716</v>
      </c>
      <c r="F256" s="689"/>
      <c r="G256" s="689">
        <v>38</v>
      </c>
      <c r="H256" s="689">
        <v>38</v>
      </c>
      <c r="I256" s="684">
        <f t="shared" si="32"/>
        <v>100</v>
      </c>
    </row>
    <row r="257" spans="1:20" ht="15" x14ac:dyDescent="0.25">
      <c r="A257" s="420">
        <v>1024</v>
      </c>
      <c r="B257" s="651">
        <v>3143</v>
      </c>
      <c r="C257" s="1128">
        <v>5336</v>
      </c>
      <c r="D257" s="527"/>
      <c r="E257" s="616" t="s">
        <v>1740</v>
      </c>
      <c r="F257" s="689"/>
      <c r="G257" s="700">
        <v>506</v>
      </c>
      <c r="H257" s="700">
        <v>506</v>
      </c>
      <c r="I257" s="693">
        <f t="shared" si="32"/>
        <v>100</v>
      </c>
    </row>
    <row r="258" spans="1:20" ht="14.25" x14ac:dyDescent="0.2">
      <c r="A258" s="420"/>
      <c r="B258" s="651"/>
      <c r="C258" s="1128"/>
      <c r="D258" s="518" t="s">
        <v>1807</v>
      </c>
      <c r="E258" s="442" t="s">
        <v>716</v>
      </c>
      <c r="F258" s="689"/>
      <c r="G258" s="689">
        <v>506</v>
      </c>
      <c r="H258" s="689">
        <v>506</v>
      </c>
      <c r="I258" s="684">
        <f t="shared" si="32"/>
        <v>100</v>
      </c>
    </row>
    <row r="259" spans="1:20" ht="15.75" customHeight="1" x14ac:dyDescent="0.25">
      <c r="A259" s="420">
        <v>1024</v>
      </c>
      <c r="B259" s="651">
        <v>3146</v>
      </c>
      <c r="C259" s="1128">
        <v>5336</v>
      </c>
      <c r="D259" s="527"/>
      <c r="E259" s="616" t="s">
        <v>1740</v>
      </c>
      <c r="F259" s="689"/>
      <c r="G259" s="700">
        <v>1082</v>
      </c>
      <c r="H259" s="700">
        <v>1082</v>
      </c>
      <c r="I259" s="693">
        <f t="shared" si="32"/>
        <v>100</v>
      </c>
    </row>
    <row r="260" spans="1:20" ht="15.75" customHeight="1" thickBot="1" x14ac:dyDescent="0.25">
      <c r="A260" s="420"/>
      <c r="B260" s="651"/>
      <c r="C260" s="1128"/>
      <c r="D260" s="518" t="s">
        <v>1807</v>
      </c>
      <c r="E260" s="442" t="s">
        <v>716</v>
      </c>
      <c r="F260" s="689"/>
      <c r="G260" s="689">
        <v>1082</v>
      </c>
      <c r="H260" s="689">
        <v>1082</v>
      </c>
      <c r="I260" s="684">
        <f>(H260/G260)*100</f>
        <v>100</v>
      </c>
    </row>
    <row r="261" spans="1:20" s="1165" customFormat="1" ht="15.75" customHeight="1" thickTop="1" thickBot="1" x14ac:dyDescent="0.25">
      <c r="A261" s="3117" t="s">
        <v>1000</v>
      </c>
      <c r="B261" s="3118"/>
      <c r="C261" s="3118"/>
      <c r="D261" s="3118"/>
      <c r="E261" s="3118"/>
      <c r="F261" s="1175">
        <f>SUM(F245)</f>
        <v>1474</v>
      </c>
      <c r="G261" s="1175">
        <f>G259+G257+G255+G248+G245+G243</f>
        <v>11337</v>
      </c>
      <c r="H261" s="1175">
        <f>H259+H257+H255+H248+H245+H243</f>
        <v>11337</v>
      </c>
      <c r="I261" s="1176">
        <f>(H261/G261)*100</f>
        <v>100</v>
      </c>
      <c r="R261" s="1177">
        <f>F261</f>
        <v>1474</v>
      </c>
      <c r="S261" s="1177">
        <f>G261</f>
        <v>11337</v>
      </c>
      <c r="T261" s="1177">
        <f>H261</f>
        <v>11337</v>
      </c>
    </row>
    <row r="262" spans="1:20" s="1165" customFormat="1" ht="15.75" customHeight="1" thickTop="1" x14ac:dyDescent="0.2">
      <c r="B262" s="1178"/>
      <c r="D262" s="1179"/>
      <c r="F262" s="1177"/>
      <c r="G262" s="1177"/>
      <c r="H262" s="1177"/>
      <c r="I262" s="1180"/>
    </row>
    <row r="263" spans="1:20" ht="15.75" customHeight="1" thickBot="1" x14ac:dyDescent="0.25">
      <c r="A263" s="421" t="s">
        <v>1125</v>
      </c>
      <c r="I263" s="1125" t="s">
        <v>148</v>
      </c>
    </row>
    <row r="264" spans="1:20" s="106" customFormat="1" thickTop="1" thickBot="1" x14ac:dyDescent="0.25">
      <c r="A264" s="586" t="s">
        <v>565</v>
      </c>
      <c r="B264" s="658" t="s">
        <v>149</v>
      </c>
      <c r="C264" s="587" t="s">
        <v>150</v>
      </c>
      <c r="D264" s="589" t="s">
        <v>639</v>
      </c>
      <c r="E264" s="589" t="s">
        <v>151</v>
      </c>
      <c r="F264" s="589" t="s">
        <v>569</v>
      </c>
      <c r="G264" s="589" t="s">
        <v>570</v>
      </c>
      <c r="H264" s="589" t="s">
        <v>797</v>
      </c>
      <c r="I264" s="674" t="s">
        <v>798</v>
      </c>
    </row>
    <row r="265" spans="1:20" s="375" customFormat="1" ht="20.25" customHeight="1" thickTop="1" thickBot="1" x14ac:dyDescent="0.25">
      <c r="A265" s="525">
        <v>1</v>
      </c>
      <c r="B265" s="526">
        <v>2</v>
      </c>
      <c r="C265" s="526">
        <v>3</v>
      </c>
      <c r="D265" s="526">
        <v>4</v>
      </c>
      <c r="E265" s="526">
        <v>5</v>
      </c>
      <c r="F265" s="512">
        <v>6</v>
      </c>
      <c r="G265" s="512">
        <v>7</v>
      </c>
      <c r="H265" s="513">
        <v>8</v>
      </c>
      <c r="I265" s="591" t="s">
        <v>689</v>
      </c>
    </row>
    <row r="266" spans="1:20" ht="15.75" thickTop="1" x14ac:dyDescent="0.25">
      <c r="A266" s="1126">
        <v>1025</v>
      </c>
      <c r="B266" s="659">
        <v>3112</v>
      </c>
      <c r="C266" s="2894">
        <v>5336</v>
      </c>
      <c r="D266" s="694"/>
      <c r="E266" s="616" t="s">
        <v>1740</v>
      </c>
      <c r="F266" s="714"/>
      <c r="G266" s="714">
        <v>609</v>
      </c>
      <c r="H266" s="714">
        <v>609</v>
      </c>
      <c r="I266" s="682">
        <f t="shared" ref="I266:I277" si="34">(H266/G266)*100</f>
        <v>100</v>
      </c>
    </row>
    <row r="267" spans="1:20" ht="15.75" customHeight="1" x14ac:dyDescent="0.2">
      <c r="A267" s="420"/>
      <c r="B267" s="617"/>
      <c r="C267" s="2895"/>
      <c r="D267" s="518" t="s">
        <v>1807</v>
      </c>
      <c r="E267" s="442" t="s">
        <v>716</v>
      </c>
      <c r="F267" s="683"/>
      <c r="G267" s="683">
        <v>609</v>
      </c>
      <c r="H267" s="683">
        <v>609</v>
      </c>
      <c r="I267" s="679">
        <f t="shared" si="34"/>
        <v>100</v>
      </c>
    </row>
    <row r="268" spans="1:20" ht="15.75" customHeight="1" x14ac:dyDescent="0.25">
      <c r="A268" s="423">
        <v>1025</v>
      </c>
      <c r="B268" s="617">
        <v>3114</v>
      </c>
      <c r="C268" s="2896">
        <v>5331</v>
      </c>
      <c r="D268" s="697"/>
      <c r="E268" s="616" t="s">
        <v>858</v>
      </c>
      <c r="F268" s="690">
        <f>F269+F270</f>
        <v>497</v>
      </c>
      <c r="G268" s="690">
        <f>SUM(G269:G270)</f>
        <v>82</v>
      </c>
      <c r="H268" s="690">
        <f>SUM(H269:H270)</f>
        <v>82</v>
      </c>
      <c r="I268" s="691">
        <f t="shared" si="34"/>
        <v>100</v>
      </c>
    </row>
    <row r="269" spans="1:20" ht="15.75" customHeight="1" x14ac:dyDescent="0.2">
      <c r="A269" s="423"/>
      <c r="B269" s="617"/>
      <c r="C269" s="2896"/>
      <c r="D269" s="636" t="s">
        <v>1811</v>
      </c>
      <c r="E269" s="1162" t="s">
        <v>717</v>
      </c>
      <c r="F269" s="689">
        <v>3</v>
      </c>
      <c r="G269" s="689">
        <v>0</v>
      </c>
      <c r="H269" s="689">
        <v>0</v>
      </c>
      <c r="I269" s="684">
        <v>0</v>
      </c>
    </row>
    <row r="270" spans="1:20" ht="15.75" customHeight="1" x14ac:dyDescent="0.2">
      <c r="A270" s="423"/>
      <c r="B270" s="617"/>
      <c r="C270" s="2896"/>
      <c r="D270" s="518" t="s">
        <v>1812</v>
      </c>
      <c r="E270" s="442" t="s">
        <v>63</v>
      </c>
      <c r="F270" s="689">
        <v>494</v>
      </c>
      <c r="G270" s="689">
        <v>82</v>
      </c>
      <c r="H270" s="689">
        <v>82</v>
      </c>
      <c r="I270" s="684">
        <f t="shared" si="34"/>
        <v>100</v>
      </c>
    </row>
    <row r="271" spans="1:20" ht="15.75" customHeight="1" x14ac:dyDescent="0.25">
      <c r="A271" s="423">
        <v>1025</v>
      </c>
      <c r="B271" s="617">
        <v>3114</v>
      </c>
      <c r="C271" s="2896">
        <v>5336</v>
      </c>
      <c r="D271" s="527"/>
      <c r="E271" s="616" t="s">
        <v>1740</v>
      </c>
      <c r="F271" s="700"/>
      <c r="G271" s="700">
        <f>G272+G273+G274</f>
        <v>5144</v>
      </c>
      <c r="H271" s="700">
        <f>H272+H273+H274</f>
        <v>5144</v>
      </c>
      <c r="I271" s="691">
        <f t="shared" si="34"/>
        <v>100</v>
      </c>
    </row>
    <row r="272" spans="1:20" ht="15.75" customHeight="1" x14ac:dyDescent="0.2">
      <c r="A272" s="423"/>
      <c r="B272" s="617"/>
      <c r="C272" s="2896"/>
      <c r="D272" s="887" t="s">
        <v>1808</v>
      </c>
      <c r="E272" s="1676" t="s">
        <v>1739</v>
      </c>
      <c r="F272" s="1964"/>
      <c r="G272" s="1965">
        <v>158</v>
      </c>
      <c r="H272" s="1965">
        <v>158</v>
      </c>
      <c r="I272" s="368">
        <f t="shared" ref="I272:I273" si="35">(H272/G272)*100</f>
        <v>100</v>
      </c>
    </row>
    <row r="273" spans="1:27" ht="28.5" x14ac:dyDescent="0.2">
      <c r="A273" s="423"/>
      <c r="B273" s="617"/>
      <c r="C273" s="2896"/>
      <c r="D273" s="1061" t="s">
        <v>1809</v>
      </c>
      <c r="E273" s="2019" t="s">
        <v>1810</v>
      </c>
      <c r="F273" s="1964"/>
      <c r="G273" s="1965">
        <v>28</v>
      </c>
      <c r="H273" s="1965">
        <v>28</v>
      </c>
      <c r="I273" s="368">
        <f t="shared" si="35"/>
        <v>100</v>
      </c>
    </row>
    <row r="274" spans="1:27" ht="15.75" customHeight="1" x14ac:dyDescent="0.25">
      <c r="A274" s="423"/>
      <c r="B274" s="617"/>
      <c r="C274" s="2896"/>
      <c r="D274" s="518" t="s">
        <v>1807</v>
      </c>
      <c r="E274" s="442" t="s">
        <v>716</v>
      </c>
      <c r="F274" s="700"/>
      <c r="G274" s="692">
        <v>4958</v>
      </c>
      <c r="H274" s="692">
        <v>4958</v>
      </c>
      <c r="I274" s="684">
        <f t="shared" si="34"/>
        <v>100</v>
      </c>
    </row>
    <row r="275" spans="1:27" ht="15.75" customHeight="1" x14ac:dyDescent="0.25">
      <c r="A275" s="423">
        <v>1025</v>
      </c>
      <c r="B275" s="617">
        <v>3792</v>
      </c>
      <c r="C275" s="2896">
        <v>5331</v>
      </c>
      <c r="D275" s="697"/>
      <c r="E275" s="616" t="s">
        <v>858</v>
      </c>
      <c r="F275" s="700"/>
      <c r="G275" s="700">
        <v>10</v>
      </c>
      <c r="H275" s="700">
        <v>10</v>
      </c>
      <c r="I275" s="693">
        <f t="shared" si="34"/>
        <v>100</v>
      </c>
    </row>
    <row r="276" spans="1:27" ht="15.75" customHeight="1" thickBot="1" x14ac:dyDescent="0.3">
      <c r="A276" s="423"/>
      <c r="B276" s="617"/>
      <c r="C276" s="2896"/>
      <c r="D276" s="878" t="s">
        <v>1824</v>
      </c>
      <c r="E276" s="956" t="s">
        <v>338</v>
      </c>
      <c r="F276" s="700"/>
      <c r="G276" s="692">
        <v>10</v>
      </c>
      <c r="H276" s="692">
        <v>10</v>
      </c>
      <c r="I276" s="684">
        <f t="shared" si="34"/>
        <v>100</v>
      </c>
    </row>
    <row r="277" spans="1:27" s="1165" customFormat="1" ht="16.5" thickTop="1" thickBot="1" x14ac:dyDescent="0.25">
      <c r="A277" s="3117" t="s">
        <v>1000</v>
      </c>
      <c r="B277" s="3118"/>
      <c r="C277" s="3118"/>
      <c r="D277" s="3118"/>
      <c r="E277" s="3118"/>
      <c r="F277" s="1175">
        <f>F268+F266+F271</f>
        <v>497</v>
      </c>
      <c r="G277" s="1175">
        <f>G266+G268+G271+G275</f>
        <v>5845</v>
      </c>
      <c r="H277" s="1175">
        <f>H266+H268+H271+H275</f>
        <v>5845</v>
      </c>
      <c r="I277" s="1176">
        <f t="shared" si="34"/>
        <v>100</v>
      </c>
      <c r="J277" s="1177" t="e">
        <f>F277+#REF!</f>
        <v>#REF!</v>
      </c>
      <c r="K277" s="1177" t="e">
        <f>G277+#REF!</f>
        <v>#REF!</v>
      </c>
      <c r="L277" s="1177" t="e">
        <f>H277+#REF!</f>
        <v>#REF!</v>
      </c>
      <c r="R277" s="1177">
        <f>F277</f>
        <v>497</v>
      </c>
      <c r="S277" s="1177">
        <f>G277</f>
        <v>5845</v>
      </c>
      <c r="T277" s="1177">
        <f>H277</f>
        <v>5845</v>
      </c>
      <c r="V277" s="1177"/>
      <c r="W277" s="1177"/>
      <c r="Y277" s="1177"/>
      <c r="Z277" s="1177"/>
      <c r="AA277" s="1177"/>
    </row>
    <row r="278" spans="1:27" s="1131" customFormat="1" ht="20.25" customHeight="1" thickTop="1" x14ac:dyDescent="0.2">
      <c r="B278" s="647"/>
      <c r="D278" s="743"/>
      <c r="F278" s="303"/>
      <c r="G278" s="303"/>
      <c r="H278" s="303"/>
      <c r="I278" s="2938"/>
    </row>
    <row r="279" spans="1:27" s="1131" customFormat="1" ht="20.25" customHeight="1" x14ac:dyDescent="0.2">
      <c r="B279" s="647"/>
      <c r="D279" s="743"/>
      <c r="F279" s="303"/>
      <c r="G279" s="303"/>
      <c r="H279" s="303"/>
      <c r="I279" s="2938"/>
    </row>
    <row r="280" spans="1:27" s="1131" customFormat="1" ht="12.75" customHeight="1" x14ac:dyDescent="0.2">
      <c r="B280" s="647"/>
      <c r="D280" s="743"/>
      <c r="F280" s="303"/>
      <c r="G280" s="303"/>
      <c r="H280" s="303"/>
      <c r="I280" s="2938"/>
    </row>
    <row r="281" spans="1:27" ht="13.5" thickBot="1" x14ac:dyDescent="0.25">
      <c r="A281" s="421" t="s">
        <v>289</v>
      </c>
      <c r="I281" s="1125" t="s">
        <v>148</v>
      </c>
    </row>
    <row r="282" spans="1:27" s="106" customFormat="1" thickTop="1" thickBot="1" x14ac:dyDescent="0.25">
      <c r="A282" s="586" t="s">
        <v>565</v>
      </c>
      <c r="B282" s="658" t="s">
        <v>149</v>
      </c>
      <c r="C282" s="587" t="s">
        <v>150</v>
      </c>
      <c r="D282" s="589" t="s">
        <v>639</v>
      </c>
      <c r="E282" s="589" t="s">
        <v>151</v>
      </c>
      <c r="F282" s="589" t="s">
        <v>569</v>
      </c>
      <c r="G282" s="589" t="s">
        <v>570</v>
      </c>
      <c r="H282" s="589" t="s">
        <v>797</v>
      </c>
      <c r="I282" s="674" t="s">
        <v>798</v>
      </c>
    </row>
    <row r="283" spans="1:27" s="375" customFormat="1" ht="13.5" thickTop="1" thickBot="1" x14ac:dyDescent="0.25">
      <c r="A283" s="525">
        <v>1</v>
      </c>
      <c r="B283" s="526">
        <v>2</v>
      </c>
      <c r="C283" s="526">
        <v>3</v>
      </c>
      <c r="D283" s="526">
        <v>4</v>
      </c>
      <c r="E283" s="526">
        <v>5</v>
      </c>
      <c r="F283" s="512">
        <v>6</v>
      </c>
      <c r="G283" s="512">
        <v>7</v>
      </c>
      <c r="H283" s="513">
        <v>8</v>
      </c>
      <c r="I283" s="591" t="s">
        <v>689</v>
      </c>
    </row>
    <row r="284" spans="1:27" ht="15.75" customHeight="1" thickTop="1" x14ac:dyDescent="0.25">
      <c r="A284" s="423">
        <v>1026</v>
      </c>
      <c r="B284" s="617">
        <v>3112</v>
      </c>
      <c r="C284" s="2896">
        <v>5336</v>
      </c>
      <c r="D284" s="527"/>
      <c r="E284" s="616" t="s">
        <v>1740</v>
      </c>
      <c r="F284" s="683"/>
      <c r="G284" s="700">
        <v>804</v>
      </c>
      <c r="H284" s="700">
        <v>804</v>
      </c>
      <c r="I284" s="707">
        <f t="shared" ref="I284:I292" si="36">(H284/G284)*100</f>
        <v>100</v>
      </c>
    </row>
    <row r="285" spans="1:27" ht="15.75" customHeight="1" x14ac:dyDescent="0.2">
      <c r="A285" s="420"/>
      <c r="B285" s="617"/>
      <c r="C285" s="1127"/>
      <c r="D285" s="518" t="s">
        <v>1807</v>
      </c>
      <c r="E285" s="442" t="s">
        <v>716</v>
      </c>
      <c r="F285" s="683"/>
      <c r="G285" s="689">
        <v>804</v>
      </c>
      <c r="H285" s="689">
        <v>804</v>
      </c>
      <c r="I285" s="679">
        <f t="shared" si="36"/>
        <v>100</v>
      </c>
    </row>
    <row r="286" spans="1:27" ht="15.75" customHeight="1" x14ac:dyDescent="0.25">
      <c r="A286" s="420">
        <v>1026</v>
      </c>
      <c r="B286" s="651">
        <v>3114</v>
      </c>
      <c r="C286" s="2896">
        <v>5331</v>
      </c>
      <c r="D286" s="697"/>
      <c r="E286" s="616" t="s">
        <v>858</v>
      </c>
      <c r="F286" s="690">
        <v>422</v>
      </c>
      <c r="G286" s="690">
        <v>70</v>
      </c>
      <c r="H286" s="690">
        <v>70</v>
      </c>
      <c r="I286" s="691">
        <f t="shared" si="36"/>
        <v>100</v>
      </c>
    </row>
    <row r="287" spans="1:27" ht="15.75" customHeight="1" x14ac:dyDescent="0.2">
      <c r="A287" s="420"/>
      <c r="B287" s="651"/>
      <c r="C287" s="2896"/>
      <c r="D287" s="518" t="s">
        <v>1812</v>
      </c>
      <c r="E287" s="442" t="s">
        <v>63</v>
      </c>
      <c r="F287" s="689">
        <v>422</v>
      </c>
      <c r="G287" s="689">
        <v>70</v>
      </c>
      <c r="H287" s="689">
        <v>70</v>
      </c>
      <c r="I287" s="684">
        <f t="shared" si="36"/>
        <v>100</v>
      </c>
    </row>
    <row r="288" spans="1:27" ht="15.75" customHeight="1" x14ac:dyDescent="0.25">
      <c r="A288" s="423">
        <v>1026</v>
      </c>
      <c r="B288" s="617">
        <v>3114</v>
      </c>
      <c r="C288" s="2896">
        <v>5336</v>
      </c>
      <c r="D288" s="527"/>
      <c r="E288" s="616" t="s">
        <v>1740</v>
      </c>
      <c r="F288" s="689"/>
      <c r="G288" s="700">
        <f>G289+G290+G291</f>
        <v>3163</v>
      </c>
      <c r="H288" s="700">
        <f>H289+H290+H291</f>
        <v>3163</v>
      </c>
      <c r="I288" s="693">
        <f t="shared" si="36"/>
        <v>100</v>
      </c>
    </row>
    <row r="289" spans="1:20" ht="13.5" customHeight="1" x14ac:dyDescent="0.2">
      <c r="A289" s="420"/>
      <c r="B289" s="651"/>
      <c r="C289" s="2896"/>
      <c r="D289" s="887" t="s">
        <v>1808</v>
      </c>
      <c r="E289" s="1676" t="s">
        <v>1739</v>
      </c>
      <c r="F289" s="1964"/>
      <c r="G289" s="1965">
        <v>108</v>
      </c>
      <c r="H289" s="1965">
        <v>108</v>
      </c>
      <c r="I289" s="368">
        <f t="shared" ref="I289:I290" si="37">(H289/G289)*100</f>
        <v>100</v>
      </c>
    </row>
    <row r="290" spans="1:20" ht="28.5" x14ac:dyDescent="0.2">
      <c r="A290" s="420"/>
      <c r="B290" s="651"/>
      <c r="C290" s="2896"/>
      <c r="D290" s="1061" t="s">
        <v>1809</v>
      </c>
      <c r="E290" s="2019" t="s">
        <v>1810</v>
      </c>
      <c r="F290" s="1964"/>
      <c r="G290" s="2031">
        <v>22</v>
      </c>
      <c r="H290" s="2031">
        <v>22</v>
      </c>
      <c r="I290" s="1234">
        <f t="shared" si="37"/>
        <v>100</v>
      </c>
    </row>
    <row r="291" spans="1:20" ht="15.75" customHeight="1" thickBot="1" x14ac:dyDescent="0.25">
      <c r="A291" s="420"/>
      <c r="B291" s="651"/>
      <c r="C291" s="1128"/>
      <c r="D291" s="518" t="s">
        <v>1807</v>
      </c>
      <c r="E291" s="442" t="s">
        <v>716</v>
      </c>
      <c r="F291" s="689"/>
      <c r="G291" s="689">
        <v>3033</v>
      </c>
      <c r="H291" s="689">
        <v>3033</v>
      </c>
      <c r="I291" s="684">
        <f t="shared" si="36"/>
        <v>100</v>
      </c>
    </row>
    <row r="292" spans="1:20" s="1165" customFormat="1" ht="18" customHeight="1" thickTop="1" thickBot="1" x14ac:dyDescent="0.25">
      <c r="A292" s="3117" t="s">
        <v>1000</v>
      </c>
      <c r="B292" s="3118"/>
      <c r="C292" s="3118"/>
      <c r="D292" s="3118"/>
      <c r="E292" s="3118"/>
      <c r="F292" s="1175">
        <f>F286</f>
        <v>422</v>
      </c>
      <c r="G292" s="1175">
        <f>G288+G286+G284</f>
        <v>4037</v>
      </c>
      <c r="H292" s="1175">
        <f>H288+H286+H284</f>
        <v>4037</v>
      </c>
      <c r="I292" s="1176">
        <f t="shared" si="36"/>
        <v>100</v>
      </c>
      <c r="R292" s="1177">
        <f>F292</f>
        <v>422</v>
      </c>
      <c r="S292" s="1177">
        <f>G292</f>
        <v>4037</v>
      </c>
      <c r="T292" s="1177">
        <f>H292</f>
        <v>4037</v>
      </c>
    </row>
    <row r="293" spans="1:20" ht="13.5" thickTop="1" x14ac:dyDescent="0.2"/>
    <row r="295" spans="1:20" ht="13.5" thickBot="1" x14ac:dyDescent="0.25">
      <c r="A295" s="421" t="s">
        <v>290</v>
      </c>
      <c r="I295" s="1125" t="s">
        <v>148</v>
      </c>
    </row>
    <row r="296" spans="1:20" s="106" customFormat="1" thickTop="1" thickBot="1" x14ac:dyDescent="0.25">
      <c r="A296" s="586" t="s">
        <v>565</v>
      </c>
      <c r="B296" s="658" t="s">
        <v>149</v>
      </c>
      <c r="C296" s="587" t="s">
        <v>150</v>
      </c>
      <c r="D296" s="589" t="s">
        <v>639</v>
      </c>
      <c r="E296" s="589" t="s">
        <v>151</v>
      </c>
      <c r="F296" s="589" t="s">
        <v>569</v>
      </c>
      <c r="G296" s="589" t="s">
        <v>570</v>
      </c>
      <c r="H296" s="589" t="s">
        <v>797</v>
      </c>
      <c r="I296" s="674" t="s">
        <v>798</v>
      </c>
    </row>
    <row r="297" spans="1:20" s="375" customFormat="1" ht="13.5" thickTop="1" thickBot="1" x14ac:dyDescent="0.25">
      <c r="A297" s="525">
        <v>1</v>
      </c>
      <c r="B297" s="526">
        <v>2</v>
      </c>
      <c r="C297" s="526">
        <v>3</v>
      </c>
      <c r="D297" s="526">
        <v>4</v>
      </c>
      <c r="E297" s="526">
        <v>5</v>
      </c>
      <c r="F297" s="512">
        <v>6</v>
      </c>
      <c r="G297" s="512">
        <v>7</v>
      </c>
      <c r="H297" s="513">
        <v>8</v>
      </c>
      <c r="I297" s="591" t="s">
        <v>689</v>
      </c>
    </row>
    <row r="298" spans="1:20" ht="15.75" thickTop="1" x14ac:dyDescent="0.25">
      <c r="A298" s="1126">
        <v>1032</v>
      </c>
      <c r="B298" s="659">
        <v>3114</v>
      </c>
      <c r="C298" s="2894">
        <v>5331</v>
      </c>
      <c r="D298" s="694"/>
      <c r="E298" s="713" t="s">
        <v>858</v>
      </c>
      <c r="F298" s="714">
        <f>SUM(F299:F300)</f>
        <v>1026</v>
      </c>
      <c r="G298" s="714">
        <f>SUM(G299:G300)</f>
        <v>172</v>
      </c>
      <c r="H298" s="714">
        <f>SUM(H299:H300)</f>
        <v>172</v>
      </c>
      <c r="I298" s="682">
        <f>(H298/G298)*100</f>
        <v>100</v>
      </c>
    </row>
    <row r="299" spans="1:20" ht="14.25" x14ac:dyDescent="0.2">
      <c r="A299" s="420"/>
      <c r="B299" s="617"/>
      <c r="C299" s="2897"/>
      <c r="D299" s="636" t="s">
        <v>1811</v>
      </c>
      <c r="E299" s="1162" t="s">
        <v>717</v>
      </c>
      <c r="F299" s="683">
        <v>163</v>
      </c>
      <c r="G299" s="683">
        <v>28</v>
      </c>
      <c r="H299" s="683">
        <v>28</v>
      </c>
      <c r="I299" s="679">
        <f>(H299/G299)*100</f>
        <v>100</v>
      </c>
    </row>
    <row r="300" spans="1:20" ht="14.25" x14ac:dyDescent="0.2">
      <c r="A300" s="420"/>
      <c r="B300" s="617"/>
      <c r="C300" s="2897"/>
      <c r="D300" s="518" t="s">
        <v>1812</v>
      </c>
      <c r="E300" s="442" t="s">
        <v>63</v>
      </c>
      <c r="F300" s="683">
        <v>863</v>
      </c>
      <c r="G300" s="683">
        <v>144</v>
      </c>
      <c r="H300" s="683">
        <v>144</v>
      </c>
      <c r="I300" s="679">
        <f>(H300/G300)*100</f>
        <v>100</v>
      </c>
    </row>
    <row r="301" spans="1:20" ht="15" x14ac:dyDescent="0.25">
      <c r="A301" s="423">
        <v>1032</v>
      </c>
      <c r="B301" s="617">
        <v>3114</v>
      </c>
      <c r="C301" s="2896">
        <v>5336</v>
      </c>
      <c r="D301" s="527"/>
      <c r="E301" s="616" t="s">
        <v>1740</v>
      </c>
      <c r="F301" s="700"/>
      <c r="G301" s="700">
        <f>G302+G303+G304</f>
        <v>7013</v>
      </c>
      <c r="H301" s="700">
        <f>H302+H303+H304</f>
        <v>7013</v>
      </c>
      <c r="I301" s="691">
        <f t="shared" ref="I301:I309" si="38">(H301/G301)*100</f>
        <v>100</v>
      </c>
    </row>
    <row r="302" spans="1:20" ht="15" x14ac:dyDescent="0.2">
      <c r="A302" s="423"/>
      <c r="B302" s="617"/>
      <c r="C302" s="2896"/>
      <c r="D302" s="887" t="s">
        <v>1808</v>
      </c>
      <c r="E302" s="1676" t="s">
        <v>1739</v>
      </c>
      <c r="F302" s="1964"/>
      <c r="G302" s="1965">
        <v>241</v>
      </c>
      <c r="H302" s="1965">
        <v>241</v>
      </c>
      <c r="I302" s="368">
        <f t="shared" ref="I302:I303" si="39">(H302/G302)*100</f>
        <v>100</v>
      </c>
    </row>
    <row r="303" spans="1:20" ht="28.5" x14ac:dyDescent="0.2">
      <c r="A303" s="423"/>
      <c r="B303" s="617"/>
      <c r="C303" s="2896"/>
      <c r="D303" s="1061" t="s">
        <v>1809</v>
      </c>
      <c r="E303" s="2019" t="s">
        <v>1810</v>
      </c>
      <c r="F303" s="1964"/>
      <c r="G303" s="2031">
        <v>35</v>
      </c>
      <c r="H303" s="2031">
        <v>35</v>
      </c>
      <c r="I303" s="1234">
        <f t="shared" si="39"/>
        <v>100</v>
      </c>
    </row>
    <row r="304" spans="1:20" ht="15" x14ac:dyDescent="0.25">
      <c r="A304" s="423"/>
      <c r="B304" s="617"/>
      <c r="C304" s="2896"/>
      <c r="D304" s="518" t="s">
        <v>1807</v>
      </c>
      <c r="E304" s="442" t="s">
        <v>716</v>
      </c>
      <c r="F304" s="700"/>
      <c r="G304" s="692">
        <v>6737</v>
      </c>
      <c r="H304" s="692">
        <v>6737</v>
      </c>
      <c r="I304" s="684">
        <f t="shared" si="38"/>
        <v>100</v>
      </c>
    </row>
    <row r="305" spans="1:20" ht="15" x14ac:dyDescent="0.25">
      <c r="A305" s="420">
        <v>1032</v>
      </c>
      <c r="B305" s="651">
        <v>3141</v>
      </c>
      <c r="C305" s="2896">
        <v>5336</v>
      </c>
      <c r="D305" s="527"/>
      <c r="E305" s="616" t="s">
        <v>1740</v>
      </c>
      <c r="F305" s="690"/>
      <c r="G305" s="690">
        <v>3</v>
      </c>
      <c r="H305" s="690">
        <v>3</v>
      </c>
      <c r="I305" s="691">
        <f t="shared" si="38"/>
        <v>100</v>
      </c>
    </row>
    <row r="306" spans="1:20" ht="14.25" x14ac:dyDescent="0.2">
      <c r="A306" s="420"/>
      <c r="B306" s="651"/>
      <c r="C306" s="2896"/>
      <c r="D306" s="518" t="s">
        <v>1807</v>
      </c>
      <c r="E306" s="442" t="s">
        <v>716</v>
      </c>
      <c r="F306" s="689"/>
      <c r="G306" s="689">
        <v>3</v>
      </c>
      <c r="H306" s="689">
        <v>3</v>
      </c>
      <c r="I306" s="684">
        <f t="shared" si="38"/>
        <v>100</v>
      </c>
    </row>
    <row r="307" spans="1:20" ht="15" x14ac:dyDescent="0.25">
      <c r="A307" s="420">
        <v>1032</v>
      </c>
      <c r="B307" s="651">
        <v>3143</v>
      </c>
      <c r="C307" s="2896">
        <v>5336</v>
      </c>
      <c r="D307" s="527"/>
      <c r="E307" s="616" t="s">
        <v>1740</v>
      </c>
      <c r="F307" s="690"/>
      <c r="G307" s="690">
        <v>285</v>
      </c>
      <c r="H307" s="690">
        <v>285</v>
      </c>
      <c r="I307" s="691">
        <f t="shared" si="38"/>
        <v>100</v>
      </c>
    </row>
    <row r="308" spans="1:20" ht="15" thickBot="1" x14ac:dyDescent="0.25">
      <c r="A308" s="420"/>
      <c r="B308" s="651"/>
      <c r="C308" s="2896"/>
      <c r="D308" s="518" t="s">
        <v>1807</v>
      </c>
      <c r="E308" s="442" t="s">
        <v>716</v>
      </c>
      <c r="F308" s="689"/>
      <c r="G308" s="689">
        <v>285</v>
      </c>
      <c r="H308" s="689">
        <v>285</v>
      </c>
      <c r="I308" s="684">
        <f t="shared" si="38"/>
        <v>100</v>
      </c>
    </row>
    <row r="309" spans="1:20" s="1165" customFormat="1" ht="16.5" thickTop="1" thickBot="1" x14ac:dyDescent="0.25">
      <c r="A309" s="3117" t="s">
        <v>1000</v>
      </c>
      <c r="B309" s="3118"/>
      <c r="C309" s="3118"/>
      <c r="D309" s="3118"/>
      <c r="E309" s="3118"/>
      <c r="F309" s="1175">
        <f>SUM(F298+F305)</f>
        <v>1026</v>
      </c>
      <c r="G309" s="1175">
        <f>SUM(G298+G305+G307+G301)</f>
        <v>7473</v>
      </c>
      <c r="H309" s="1175">
        <f>SUM(H298+H305+H307+H301)</f>
        <v>7473</v>
      </c>
      <c r="I309" s="1176">
        <f t="shared" si="38"/>
        <v>100</v>
      </c>
      <c r="R309" s="1177">
        <f>F309</f>
        <v>1026</v>
      </c>
      <c r="S309" s="1177">
        <f>G309</f>
        <v>7473</v>
      </c>
      <c r="T309" s="1177">
        <f>H309</f>
        <v>7473</v>
      </c>
    </row>
    <row r="310" spans="1:20" ht="13.5" thickTop="1" x14ac:dyDescent="0.2">
      <c r="S310" s="374"/>
      <c r="T310" s="374"/>
    </row>
    <row r="312" spans="1:20" ht="13.5" thickBot="1" x14ac:dyDescent="0.25">
      <c r="A312" s="421" t="s">
        <v>291</v>
      </c>
      <c r="I312" s="1125" t="s">
        <v>148</v>
      </c>
    </row>
    <row r="313" spans="1:20" s="106" customFormat="1" ht="20.25" customHeight="1" thickTop="1" thickBot="1" x14ac:dyDescent="0.25">
      <c r="A313" s="586" t="s">
        <v>565</v>
      </c>
      <c r="B313" s="658" t="s">
        <v>149</v>
      </c>
      <c r="C313" s="587" t="s">
        <v>150</v>
      </c>
      <c r="D313" s="589" t="s">
        <v>639</v>
      </c>
      <c r="E313" s="589" t="s">
        <v>151</v>
      </c>
      <c r="F313" s="589" t="s">
        <v>569</v>
      </c>
      <c r="G313" s="589" t="s">
        <v>570</v>
      </c>
      <c r="H313" s="589" t="s">
        <v>797</v>
      </c>
      <c r="I313" s="674" t="s">
        <v>798</v>
      </c>
    </row>
    <row r="314" spans="1:20" s="375" customFormat="1" ht="13.5" thickTop="1" thickBot="1" x14ac:dyDescent="0.25">
      <c r="A314" s="525">
        <v>1</v>
      </c>
      <c r="B314" s="526">
        <v>2</v>
      </c>
      <c r="C314" s="526">
        <v>3</v>
      </c>
      <c r="D314" s="526">
        <v>4</v>
      </c>
      <c r="E314" s="526">
        <v>5</v>
      </c>
      <c r="F314" s="512">
        <v>6</v>
      </c>
      <c r="G314" s="512">
        <v>7</v>
      </c>
      <c r="H314" s="513">
        <v>8</v>
      </c>
      <c r="I314" s="591" t="s">
        <v>689</v>
      </c>
    </row>
    <row r="315" spans="1:20" ht="15.75" thickTop="1" x14ac:dyDescent="0.25">
      <c r="A315" s="1126">
        <v>1033</v>
      </c>
      <c r="B315" s="659">
        <v>3114</v>
      </c>
      <c r="C315" s="659">
        <v>5331</v>
      </c>
      <c r="D315" s="694"/>
      <c r="E315" s="713" t="s">
        <v>858</v>
      </c>
      <c r="F315" s="714">
        <f>F316+F317</f>
        <v>973</v>
      </c>
      <c r="G315" s="714">
        <f>SUM(G316:G317)</f>
        <v>164</v>
      </c>
      <c r="H315" s="714">
        <f>SUM(H316:H317)</f>
        <v>164</v>
      </c>
      <c r="I315" s="682">
        <f t="shared" ref="I315:I328" si="40">(H315/G315)*100</f>
        <v>100</v>
      </c>
    </row>
    <row r="316" spans="1:20" ht="14.25" x14ac:dyDescent="0.2">
      <c r="A316" s="420"/>
      <c r="B316" s="617"/>
      <c r="C316" s="617"/>
      <c r="D316" s="636" t="s">
        <v>1811</v>
      </c>
      <c r="E316" s="1162" t="s">
        <v>717</v>
      </c>
      <c r="F316" s="683">
        <v>30</v>
      </c>
      <c r="G316" s="683">
        <v>6</v>
      </c>
      <c r="H316" s="683">
        <v>6</v>
      </c>
      <c r="I316" s="679">
        <f t="shared" si="40"/>
        <v>100</v>
      </c>
    </row>
    <row r="317" spans="1:20" ht="14.25" x14ac:dyDescent="0.2">
      <c r="A317" s="420"/>
      <c r="B317" s="617"/>
      <c r="C317" s="617"/>
      <c r="D317" s="518" t="s">
        <v>1812</v>
      </c>
      <c r="E317" s="442" t="s">
        <v>63</v>
      </c>
      <c r="F317" s="683">
        <v>943</v>
      </c>
      <c r="G317" s="683">
        <v>158</v>
      </c>
      <c r="H317" s="683">
        <v>158</v>
      </c>
      <c r="I317" s="679">
        <f t="shared" si="40"/>
        <v>100</v>
      </c>
    </row>
    <row r="318" spans="1:20" ht="15" x14ac:dyDescent="0.25">
      <c r="A318" s="423">
        <v>1033</v>
      </c>
      <c r="B318" s="617">
        <v>3114</v>
      </c>
      <c r="C318" s="1128">
        <v>5336</v>
      </c>
      <c r="D318" s="527"/>
      <c r="E318" s="616" t="s">
        <v>1740</v>
      </c>
      <c r="F318" s="683"/>
      <c r="G318" s="705">
        <f>G319+G320+G321+G322+G323</f>
        <v>4523</v>
      </c>
      <c r="H318" s="705">
        <f>H319+H320+H321+H322+H323</f>
        <v>4523</v>
      </c>
      <c r="I318" s="707">
        <f t="shared" si="40"/>
        <v>100</v>
      </c>
    </row>
    <row r="319" spans="1:20" ht="15" x14ac:dyDescent="0.2">
      <c r="A319" s="423"/>
      <c r="B319" s="617"/>
      <c r="C319" s="1128"/>
      <c r="D319" s="887" t="s">
        <v>1808</v>
      </c>
      <c r="E319" s="1676" t="s">
        <v>1739</v>
      </c>
      <c r="F319" s="1964"/>
      <c r="G319" s="1965">
        <v>120</v>
      </c>
      <c r="H319" s="1965">
        <v>120</v>
      </c>
      <c r="I319" s="368">
        <f t="shared" ref="I319:I320" si="41">(H319/G319)*100</f>
        <v>100</v>
      </c>
    </row>
    <row r="320" spans="1:20" ht="28.5" x14ac:dyDescent="0.2">
      <c r="A320" s="423"/>
      <c r="B320" s="617"/>
      <c r="C320" s="1128"/>
      <c r="D320" s="1061" t="s">
        <v>1809</v>
      </c>
      <c r="E320" s="2019" t="s">
        <v>1810</v>
      </c>
      <c r="F320" s="1964"/>
      <c r="G320" s="2031">
        <v>22</v>
      </c>
      <c r="H320" s="2031">
        <v>22</v>
      </c>
      <c r="I320" s="1234">
        <f t="shared" si="41"/>
        <v>100</v>
      </c>
    </row>
    <row r="321" spans="1:20" ht="14.25" x14ac:dyDescent="0.2">
      <c r="A321" s="420"/>
      <c r="B321" s="617"/>
      <c r="C321" s="617"/>
      <c r="D321" s="518" t="s">
        <v>1807</v>
      </c>
      <c r="E321" s="442" t="s">
        <v>716</v>
      </c>
      <c r="F321" s="683"/>
      <c r="G321" s="683">
        <v>4169</v>
      </c>
      <c r="H321" s="683">
        <v>4169</v>
      </c>
      <c r="I321" s="679">
        <f t="shared" si="40"/>
        <v>100</v>
      </c>
    </row>
    <row r="322" spans="1:20" ht="14.25" x14ac:dyDescent="0.2">
      <c r="A322" s="420"/>
      <c r="B322" s="651"/>
      <c r="C322" s="651"/>
      <c r="D322" s="527" t="s">
        <v>1813</v>
      </c>
      <c r="E322" s="1162" t="s">
        <v>1815</v>
      </c>
      <c r="F322" s="689"/>
      <c r="G322" s="689">
        <v>32</v>
      </c>
      <c r="H322" s="689">
        <v>32</v>
      </c>
      <c r="I322" s="684">
        <f t="shared" si="40"/>
        <v>100</v>
      </c>
    </row>
    <row r="323" spans="1:20" ht="14.25" x14ac:dyDescent="0.2">
      <c r="A323" s="420"/>
      <c r="B323" s="651"/>
      <c r="C323" s="651"/>
      <c r="D323" s="527" t="s">
        <v>1814</v>
      </c>
      <c r="E323" s="1162" t="s">
        <v>1815</v>
      </c>
      <c r="F323" s="689"/>
      <c r="G323" s="689">
        <v>180</v>
      </c>
      <c r="H323" s="689">
        <v>180</v>
      </c>
      <c r="I323" s="684">
        <f t="shared" si="40"/>
        <v>100</v>
      </c>
    </row>
    <row r="324" spans="1:20" ht="15" x14ac:dyDescent="0.25">
      <c r="A324" s="420">
        <v>1033</v>
      </c>
      <c r="B324" s="651">
        <v>3141</v>
      </c>
      <c r="C324" s="1128">
        <v>5336</v>
      </c>
      <c r="D324" s="527"/>
      <c r="E324" s="616" t="s">
        <v>1740</v>
      </c>
      <c r="F324" s="690"/>
      <c r="G324" s="690">
        <v>11</v>
      </c>
      <c r="H324" s="690">
        <v>11</v>
      </c>
      <c r="I324" s="691">
        <f t="shared" si="40"/>
        <v>100</v>
      </c>
    </row>
    <row r="325" spans="1:20" ht="14.25" x14ac:dyDescent="0.2">
      <c r="A325" s="420"/>
      <c r="B325" s="651"/>
      <c r="C325" s="651"/>
      <c r="D325" s="518" t="s">
        <v>1807</v>
      </c>
      <c r="E325" s="442" t="s">
        <v>716</v>
      </c>
      <c r="F325" s="689"/>
      <c r="G325" s="689">
        <v>11</v>
      </c>
      <c r="H325" s="689">
        <v>11</v>
      </c>
      <c r="I325" s="684">
        <f t="shared" si="40"/>
        <v>100</v>
      </c>
    </row>
    <row r="326" spans="1:20" ht="15" x14ac:dyDescent="0.25">
      <c r="A326" s="420">
        <v>1033</v>
      </c>
      <c r="B326" s="651">
        <v>3143</v>
      </c>
      <c r="C326" s="1128">
        <v>5336</v>
      </c>
      <c r="D326" s="527"/>
      <c r="E326" s="616" t="s">
        <v>1740</v>
      </c>
      <c r="F326" s="690"/>
      <c r="G326" s="690">
        <v>311</v>
      </c>
      <c r="H326" s="690">
        <v>311</v>
      </c>
      <c r="I326" s="691">
        <f t="shared" si="40"/>
        <v>100</v>
      </c>
    </row>
    <row r="327" spans="1:20" ht="15" thickBot="1" x14ac:dyDescent="0.25">
      <c r="A327" s="420"/>
      <c r="B327" s="651"/>
      <c r="C327" s="1128"/>
      <c r="D327" s="518" t="s">
        <v>1807</v>
      </c>
      <c r="E327" s="442" t="s">
        <v>716</v>
      </c>
      <c r="F327" s="689"/>
      <c r="G327" s="689">
        <v>311</v>
      </c>
      <c r="H327" s="689">
        <v>311</v>
      </c>
      <c r="I327" s="684">
        <f t="shared" si="40"/>
        <v>100</v>
      </c>
    </row>
    <row r="328" spans="1:20" s="1165" customFormat="1" ht="16.5" thickTop="1" thickBot="1" x14ac:dyDescent="0.25">
      <c r="A328" s="3117" t="s">
        <v>1000</v>
      </c>
      <c r="B328" s="3118"/>
      <c r="C328" s="3118"/>
      <c r="D328" s="3118"/>
      <c r="E328" s="3118"/>
      <c r="F328" s="1175">
        <f>SUM(F315+F326+F324)</f>
        <v>973</v>
      </c>
      <c r="G328" s="1175">
        <f>G315+G318+G324+G326</f>
        <v>5009</v>
      </c>
      <c r="H328" s="1175">
        <f>H315+H318+H324+H326</f>
        <v>5009</v>
      </c>
      <c r="I328" s="1176">
        <f t="shared" si="40"/>
        <v>100</v>
      </c>
      <c r="R328" s="1177">
        <f>F328</f>
        <v>973</v>
      </c>
      <c r="S328" s="1177">
        <f>G328</f>
        <v>5009</v>
      </c>
      <c r="T328" s="1177">
        <f>H328</f>
        <v>5009</v>
      </c>
    </row>
    <row r="329" spans="1:20" s="1165" customFormat="1" ht="15.75" thickTop="1" x14ac:dyDescent="0.2">
      <c r="A329" s="1164"/>
      <c r="B329" s="1164"/>
      <c r="C329" s="1164"/>
      <c r="D329" s="1164"/>
      <c r="E329" s="1164"/>
      <c r="F329" s="1195"/>
      <c r="G329" s="1195"/>
      <c r="H329" s="1195"/>
      <c r="I329" s="1196"/>
      <c r="R329" s="1177"/>
      <c r="S329" s="1177"/>
      <c r="T329" s="1177"/>
    </row>
    <row r="330" spans="1:20" s="1165" customFormat="1" ht="15" x14ac:dyDescent="0.2">
      <c r="A330" s="1164"/>
      <c r="B330" s="1164"/>
      <c r="C330" s="1164"/>
      <c r="D330" s="1164"/>
      <c r="E330" s="1164"/>
      <c r="F330" s="1195"/>
      <c r="G330" s="1195"/>
      <c r="H330" s="1195"/>
      <c r="I330" s="1196"/>
      <c r="R330" s="1177"/>
      <c r="S330" s="1177"/>
      <c r="T330" s="1177"/>
    </row>
    <row r="331" spans="1:20" ht="13.5" thickBot="1" x14ac:dyDescent="0.25">
      <c r="A331" s="421" t="s">
        <v>469</v>
      </c>
      <c r="I331" s="1125" t="s">
        <v>148</v>
      </c>
    </row>
    <row r="332" spans="1:20" s="106" customFormat="1" thickTop="1" thickBot="1" x14ac:dyDescent="0.25">
      <c r="A332" s="586" t="s">
        <v>565</v>
      </c>
      <c r="B332" s="658" t="s">
        <v>149</v>
      </c>
      <c r="C332" s="587" t="s">
        <v>150</v>
      </c>
      <c r="D332" s="589" t="s">
        <v>639</v>
      </c>
      <c r="E332" s="589" t="s">
        <v>151</v>
      </c>
      <c r="F332" s="589" t="s">
        <v>569</v>
      </c>
      <c r="G332" s="589" t="s">
        <v>570</v>
      </c>
      <c r="H332" s="589" t="s">
        <v>797</v>
      </c>
      <c r="I332" s="674" t="s">
        <v>798</v>
      </c>
    </row>
    <row r="333" spans="1:20" s="375" customFormat="1" ht="20.25" customHeight="1" thickTop="1" thickBot="1" x14ac:dyDescent="0.25">
      <c r="A333" s="525">
        <v>1</v>
      </c>
      <c r="B333" s="526">
        <v>2</v>
      </c>
      <c r="C333" s="526">
        <v>3</v>
      </c>
      <c r="D333" s="526">
        <v>4</v>
      </c>
      <c r="E333" s="526">
        <v>5</v>
      </c>
      <c r="F333" s="512">
        <v>6</v>
      </c>
      <c r="G333" s="512">
        <v>7</v>
      </c>
      <c r="H333" s="513">
        <v>8</v>
      </c>
      <c r="I333" s="591" t="s">
        <v>689</v>
      </c>
    </row>
    <row r="334" spans="1:20" ht="15.75" thickTop="1" x14ac:dyDescent="0.25">
      <c r="A334" s="420">
        <v>1034</v>
      </c>
      <c r="B334" s="651">
        <v>3114</v>
      </c>
      <c r="C334" s="1128">
        <v>5336</v>
      </c>
      <c r="D334" s="527"/>
      <c r="E334" s="616" t="s">
        <v>1740</v>
      </c>
      <c r="F334" s="683"/>
      <c r="G334" s="705">
        <v>2566</v>
      </c>
      <c r="H334" s="705">
        <v>2566</v>
      </c>
      <c r="I334" s="691">
        <f t="shared" ref="I334:I345" si="42">(H334/G334)*100</f>
        <v>100</v>
      </c>
    </row>
    <row r="335" spans="1:20" ht="14.25" x14ac:dyDescent="0.2">
      <c r="A335" s="420"/>
      <c r="B335" s="617"/>
      <c r="C335" s="617"/>
      <c r="D335" s="518" t="s">
        <v>1807</v>
      </c>
      <c r="E335" s="442" t="s">
        <v>716</v>
      </c>
      <c r="F335" s="683"/>
      <c r="G335" s="683">
        <v>2566</v>
      </c>
      <c r="H335" s="683">
        <v>2566</v>
      </c>
      <c r="I335" s="679">
        <f>(H335/G335)*100</f>
        <v>100</v>
      </c>
    </row>
    <row r="336" spans="1:20" ht="15" x14ac:dyDescent="0.25">
      <c r="A336" s="420">
        <v>1034</v>
      </c>
      <c r="B336" s="651">
        <v>3133</v>
      </c>
      <c r="C336" s="651">
        <v>5331</v>
      </c>
      <c r="D336" s="527"/>
      <c r="E336" s="616" t="s">
        <v>858</v>
      </c>
      <c r="F336" s="700">
        <f>F337+F338</f>
        <v>1818</v>
      </c>
      <c r="G336" s="700">
        <f t="shared" ref="G336:H336" si="43">G337+G338</f>
        <v>302</v>
      </c>
      <c r="H336" s="700">
        <f t="shared" si="43"/>
        <v>302</v>
      </c>
      <c r="I336" s="707">
        <f t="shared" ref="I336:I342" si="44">(H336/G336)*100</f>
        <v>100</v>
      </c>
    </row>
    <row r="337" spans="1:20" ht="14.25" x14ac:dyDescent="0.2">
      <c r="A337" s="420"/>
      <c r="B337" s="651"/>
      <c r="C337" s="651"/>
      <c r="D337" s="636" t="s">
        <v>1811</v>
      </c>
      <c r="E337" s="1162" t="s">
        <v>717</v>
      </c>
      <c r="F337" s="689">
        <v>171</v>
      </c>
      <c r="G337" s="689">
        <v>28</v>
      </c>
      <c r="H337" s="689">
        <v>28</v>
      </c>
      <c r="I337" s="679">
        <f t="shared" si="44"/>
        <v>100</v>
      </c>
    </row>
    <row r="338" spans="1:20" ht="14.25" x14ac:dyDescent="0.2">
      <c r="A338" s="420"/>
      <c r="B338" s="651"/>
      <c r="C338" s="651"/>
      <c r="D338" s="518" t="s">
        <v>1812</v>
      </c>
      <c r="E338" s="442" t="s">
        <v>63</v>
      </c>
      <c r="F338" s="689">
        <v>1647</v>
      </c>
      <c r="G338" s="689">
        <v>274</v>
      </c>
      <c r="H338" s="689">
        <v>274</v>
      </c>
      <c r="I338" s="679">
        <f t="shared" si="44"/>
        <v>100</v>
      </c>
    </row>
    <row r="339" spans="1:20" ht="15" x14ac:dyDescent="0.25">
      <c r="A339" s="420">
        <v>1034</v>
      </c>
      <c r="B339" s="651">
        <v>3133</v>
      </c>
      <c r="C339" s="651">
        <v>5336</v>
      </c>
      <c r="D339" s="527"/>
      <c r="E339" s="616" t="s">
        <v>1740</v>
      </c>
      <c r="F339" s="689"/>
      <c r="G339" s="700">
        <f>G340+G341+G342</f>
        <v>6788</v>
      </c>
      <c r="H339" s="700">
        <f>H340+H341+H342</f>
        <v>6788</v>
      </c>
      <c r="I339" s="707">
        <f t="shared" si="44"/>
        <v>100</v>
      </c>
    </row>
    <row r="340" spans="1:20" ht="14.25" x14ac:dyDescent="0.2">
      <c r="A340" s="420"/>
      <c r="B340" s="651"/>
      <c r="C340" s="651"/>
      <c r="D340" s="887" t="s">
        <v>1808</v>
      </c>
      <c r="E340" s="1676" t="s">
        <v>1739</v>
      </c>
      <c r="F340" s="689"/>
      <c r="G340" s="689">
        <v>251</v>
      </c>
      <c r="H340" s="689">
        <v>251</v>
      </c>
      <c r="I340" s="679">
        <f t="shared" si="44"/>
        <v>100</v>
      </c>
    </row>
    <row r="341" spans="1:20" ht="28.5" x14ac:dyDescent="0.2">
      <c r="A341" s="420"/>
      <c r="B341" s="651"/>
      <c r="C341" s="651"/>
      <c r="D341" s="1061" t="s">
        <v>1809</v>
      </c>
      <c r="E341" s="2019" t="s">
        <v>1810</v>
      </c>
      <c r="F341" s="689"/>
      <c r="G341" s="1062">
        <v>47</v>
      </c>
      <c r="H341" s="1062">
        <v>47</v>
      </c>
      <c r="I341" s="1063">
        <f t="shared" si="44"/>
        <v>100</v>
      </c>
    </row>
    <row r="342" spans="1:20" ht="14.25" x14ac:dyDescent="0.2">
      <c r="A342" s="420"/>
      <c r="B342" s="651"/>
      <c r="C342" s="651"/>
      <c r="D342" s="518" t="s">
        <v>1807</v>
      </c>
      <c r="E342" s="442" t="s">
        <v>716</v>
      </c>
      <c r="F342" s="689"/>
      <c r="G342" s="689">
        <v>6490</v>
      </c>
      <c r="H342" s="689">
        <v>6490</v>
      </c>
      <c r="I342" s="679">
        <f t="shared" si="44"/>
        <v>100</v>
      </c>
    </row>
    <row r="343" spans="1:20" ht="15" x14ac:dyDescent="0.25">
      <c r="A343" s="420">
        <v>1034</v>
      </c>
      <c r="B343" s="651">
        <v>3141</v>
      </c>
      <c r="C343" s="1128">
        <v>5336</v>
      </c>
      <c r="D343" s="527"/>
      <c r="E343" s="616" t="s">
        <v>1740</v>
      </c>
      <c r="F343" s="689"/>
      <c r="G343" s="700">
        <v>102</v>
      </c>
      <c r="H343" s="700">
        <v>102</v>
      </c>
      <c r="I343" s="693">
        <f t="shared" si="42"/>
        <v>100</v>
      </c>
    </row>
    <row r="344" spans="1:20" ht="15" thickBot="1" x14ac:dyDescent="0.25">
      <c r="A344" s="420"/>
      <c r="B344" s="651"/>
      <c r="C344" s="1128"/>
      <c r="D344" s="518" t="s">
        <v>1807</v>
      </c>
      <c r="E344" s="442" t="s">
        <v>716</v>
      </c>
      <c r="F344" s="689"/>
      <c r="G344" s="689">
        <v>102</v>
      </c>
      <c r="H344" s="689">
        <v>102</v>
      </c>
      <c r="I344" s="684">
        <f t="shared" si="42"/>
        <v>100</v>
      </c>
    </row>
    <row r="345" spans="1:20" s="1165" customFormat="1" ht="16.5" thickTop="1" thickBot="1" x14ac:dyDescent="0.25">
      <c r="A345" s="3117" t="s">
        <v>1000</v>
      </c>
      <c r="B345" s="3118"/>
      <c r="C345" s="3118"/>
      <c r="D345" s="3118"/>
      <c r="E345" s="3118"/>
      <c r="F345" s="1175">
        <f>SUM(F336)</f>
        <v>1818</v>
      </c>
      <c r="G345" s="1175">
        <f>G343+G339+G336+G334</f>
        <v>9758</v>
      </c>
      <c r="H345" s="1175">
        <f>H343+H339+H336+H334</f>
        <v>9758</v>
      </c>
      <c r="I345" s="1176">
        <f t="shared" si="42"/>
        <v>100</v>
      </c>
      <c r="R345" s="1177">
        <f>F345</f>
        <v>1818</v>
      </c>
      <c r="S345" s="1177">
        <f>G345</f>
        <v>9758</v>
      </c>
      <c r="T345" s="1177">
        <f>H345</f>
        <v>9758</v>
      </c>
    </row>
    <row r="346" spans="1:20" ht="13.5" thickTop="1" x14ac:dyDescent="0.2"/>
    <row r="353" spans="1:20" ht="13.5" thickBot="1" x14ac:dyDescent="0.25">
      <c r="A353" s="421" t="s">
        <v>1014</v>
      </c>
      <c r="I353" s="1125" t="s">
        <v>148</v>
      </c>
    </row>
    <row r="354" spans="1:20" s="106" customFormat="1" thickTop="1" thickBot="1" x14ac:dyDescent="0.25">
      <c r="A354" s="586" t="s">
        <v>565</v>
      </c>
      <c r="B354" s="658" t="s">
        <v>149</v>
      </c>
      <c r="C354" s="587" t="s">
        <v>150</v>
      </c>
      <c r="D354" s="589" t="s">
        <v>639</v>
      </c>
      <c r="E354" s="589" t="s">
        <v>151</v>
      </c>
      <c r="F354" s="589" t="s">
        <v>569</v>
      </c>
      <c r="G354" s="589" t="s">
        <v>570</v>
      </c>
      <c r="H354" s="589" t="s">
        <v>797</v>
      </c>
      <c r="I354" s="674" t="s">
        <v>798</v>
      </c>
    </row>
    <row r="355" spans="1:20" s="375" customFormat="1" ht="14.25" customHeight="1" thickTop="1" thickBot="1" x14ac:dyDescent="0.25">
      <c r="A355" s="525">
        <v>1</v>
      </c>
      <c r="B355" s="526">
        <v>2</v>
      </c>
      <c r="C355" s="526">
        <v>3</v>
      </c>
      <c r="D355" s="526">
        <v>4</v>
      </c>
      <c r="E355" s="526">
        <v>5</v>
      </c>
      <c r="F355" s="512">
        <v>6</v>
      </c>
      <c r="G355" s="512">
        <v>7</v>
      </c>
      <c r="H355" s="513">
        <v>8</v>
      </c>
      <c r="I355" s="591" t="s">
        <v>689</v>
      </c>
    </row>
    <row r="356" spans="1:20" ht="15.75" thickTop="1" x14ac:dyDescent="0.25">
      <c r="A356" s="1126">
        <v>1035</v>
      </c>
      <c r="B356" s="659">
        <v>3114</v>
      </c>
      <c r="C356" s="659">
        <v>5331</v>
      </c>
      <c r="D356" s="694"/>
      <c r="E356" s="713" t="s">
        <v>858</v>
      </c>
      <c r="F356" s="714">
        <v>590</v>
      </c>
      <c r="G356" s="714">
        <v>98</v>
      </c>
      <c r="H356" s="714">
        <v>98</v>
      </c>
      <c r="I356" s="682">
        <f>(H356/G356)*100</f>
        <v>100</v>
      </c>
    </row>
    <row r="357" spans="1:20" ht="14.25" x14ac:dyDescent="0.2">
      <c r="A357" s="420"/>
      <c r="B357" s="617"/>
      <c r="C357" s="617"/>
      <c r="D357" s="518" t="s">
        <v>1812</v>
      </c>
      <c r="E357" s="442" t="s">
        <v>63</v>
      </c>
      <c r="F357" s="683">
        <v>590</v>
      </c>
      <c r="G357" s="683">
        <v>98</v>
      </c>
      <c r="H357" s="683">
        <v>98</v>
      </c>
      <c r="I357" s="679">
        <f>(H357/G357)*100</f>
        <v>100</v>
      </c>
    </row>
    <row r="358" spans="1:20" ht="15" x14ac:dyDescent="0.25">
      <c r="A358" s="420">
        <v>1035</v>
      </c>
      <c r="B358" s="651">
        <v>3114</v>
      </c>
      <c r="C358" s="1128">
        <v>5336</v>
      </c>
      <c r="D358" s="1061"/>
      <c r="E358" s="616" t="s">
        <v>1740</v>
      </c>
      <c r="F358" s="689"/>
      <c r="G358" s="1064">
        <f>G359+G360+G361+G362+G363+G364</f>
        <v>3778</v>
      </c>
      <c r="H358" s="1064">
        <f>H359+H360+H361+H362+H363+H364</f>
        <v>3778</v>
      </c>
      <c r="I358" s="691">
        <f t="shared" ref="I358:I367" si="45">(H358/G358)*100</f>
        <v>100</v>
      </c>
    </row>
    <row r="359" spans="1:20" ht="14.25" x14ac:dyDescent="0.2">
      <c r="A359" s="420"/>
      <c r="B359" s="651"/>
      <c r="C359" s="1128"/>
      <c r="D359" s="887" t="s">
        <v>1821</v>
      </c>
      <c r="E359" s="1674" t="s">
        <v>1405</v>
      </c>
      <c r="F359" s="689"/>
      <c r="G359" s="1224">
        <v>13</v>
      </c>
      <c r="H359" s="1224">
        <v>13</v>
      </c>
      <c r="I359" s="368">
        <f t="shared" si="45"/>
        <v>100</v>
      </c>
    </row>
    <row r="360" spans="1:20" ht="15" x14ac:dyDescent="0.2">
      <c r="A360" s="420"/>
      <c r="B360" s="651"/>
      <c r="C360" s="1128"/>
      <c r="D360" s="887" t="s">
        <v>1808</v>
      </c>
      <c r="E360" s="1676" t="s">
        <v>1739</v>
      </c>
      <c r="F360" s="1964"/>
      <c r="G360" s="1965">
        <v>120</v>
      </c>
      <c r="H360" s="1965">
        <v>120</v>
      </c>
      <c r="I360" s="368">
        <f t="shared" ref="I360:I361" si="46">(H360/G360)*100</f>
        <v>100</v>
      </c>
    </row>
    <row r="361" spans="1:20" ht="28.5" x14ac:dyDescent="0.2">
      <c r="A361" s="420"/>
      <c r="B361" s="651"/>
      <c r="C361" s="1128"/>
      <c r="D361" s="1061" t="s">
        <v>1809</v>
      </c>
      <c r="E361" s="2019" t="s">
        <v>1810</v>
      </c>
      <c r="F361" s="1964"/>
      <c r="G361" s="2031">
        <v>18</v>
      </c>
      <c r="H361" s="2031">
        <v>18</v>
      </c>
      <c r="I361" s="1234">
        <f t="shared" si="46"/>
        <v>100</v>
      </c>
    </row>
    <row r="362" spans="1:20" ht="14.25" x14ac:dyDescent="0.2">
      <c r="A362" s="420"/>
      <c r="B362" s="651"/>
      <c r="C362" s="1128"/>
      <c r="D362" s="518" t="s">
        <v>1807</v>
      </c>
      <c r="E362" s="442" t="s">
        <v>716</v>
      </c>
      <c r="F362" s="689"/>
      <c r="G362" s="1062">
        <v>3406</v>
      </c>
      <c r="H362" s="1062">
        <v>3406</v>
      </c>
      <c r="I362" s="368">
        <f t="shared" si="45"/>
        <v>100</v>
      </c>
    </row>
    <row r="363" spans="1:20" ht="14.25" x14ac:dyDescent="0.2">
      <c r="A363" s="420"/>
      <c r="B363" s="651"/>
      <c r="C363" s="1128"/>
      <c r="D363" s="527" t="s">
        <v>1813</v>
      </c>
      <c r="E363" s="1162" t="s">
        <v>1815</v>
      </c>
      <c r="F363" s="689"/>
      <c r="G363" s="1062">
        <v>33</v>
      </c>
      <c r="H363" s="1062">
        <v>33</v>
      </c>
      <c r="I363" s="368">
        <f t="shared" si="45"/>
        <v>100</v>
      </c>
    </row>
    <row r="364" spans="1:20" ht="14.25" x14ac:dyDescent="0.2">
      <c r="A364" s="420"/>
      <c r="B364" s="651"/>
      <c r="C364" s="1128"/>
      <c r="D364" s="527" t="s">
        <v>1814</v>
      </c>
      <c r="E364" s="1162" t="s">
        <v>1815</v>
      </c>
      <c r="F364" s="689"/>
      <c r="G364" s="1062">
        <v>188</v>
      </c>
      <c r="H364" s="1062">
        <v>188</v>
      </c>
      <c r="I364" s="368">
        <f t="shared" si="45"/>
        <v>100</v>
      </c>
    </row>
    <row r="365" spans="1:20" ht="15" x14ac:dyDescent="0.25">
      <c r="A365" s="420">
        <v>1035</v>
      </c>
      <c r="B365" s="651">
        <v>3143</v>
      </c>
      <c r="C365" s="651">
        <v>5336</v>
      </c>
      <c r="D365" s="712"/>
      <c r="E365" s="616" t="s">
        <v>1740</v>
      </c>
      <c r="F365" s="690"/>
      <c r="G365" s="690">
        <v>236</v>
      </c>
      <c r="H365" s="690">
        <v>236</v>
      </c>
      <c r="I365" s="691">
        <f t="shared" si="45"/>
        <v>100</v>
      </c>
    </row>
    <row r="366" spans="1:20" ht="15.75" thickBot="1" x14ac:dyDescent="0.3">
      <c r="A366" s="420"/>
      <c r="B366" s="651"/>
      <c r="C366" s="651"/>
      <c r="D366" s="518" t="s">
        <v>1807</v>
      </c>
      <c r="E366" s="442" t="s">
        <v>716</v>
      </c>
      <c r="F366" s="690"/>
      <c r="G366" s="689">
        <v>236</v>
      </c>
      <c r="H366" s="689">
        <v>236</v>
      </c>
      <c r="I366" s="684">
        <f t="shared" si="45"/>
        <v>100</v>
      </c>
    </row>
    <row r="367" spans="1:20" s="1165" customFormat="1" ht="16.5" thickTop="1" thickBot="1" x14ac:dyDescent="0.25">
      <c r="A367" s="1976" t="s">
        <v>1000</v>
      </c>
      <c r="B367" s="1977"/>
      <c r="C367" s="1977"/>
      <c r="D367" s="1977"/>
      <c r="E367" s="1977"/>
      <c r="F367" s="1175">
        <f>SUM(F356,F365)</f>
        <v>590</v>
      </c>
      <c r="G367" s="1175">
        <f>G365+G358+G356</f>
        <v>4112</v>
      </c>
      <c r="H367" s="1175">
        <f>H365+H358+H356</f>
        <v>4112</v>
      </c>
      <c r="I367" s="1176">
        <f t="shared" si="45"/>
        <v>100</v>
      </c>
      <c r="K367" s="1177" t="e">
        <f>SUM(F367,F345,F328,F309,#REF!,#REF!,F292,#REF!,F261,#REF!,F238,F225,#REF!,F208,F193,F169,F135,F113,F95,#REF!,F54,#REF!,#REF!,F40,F25)</f>
        <v>#REF!</v>
      </c>
      <c r="L367" s="1177" t="e">
        <f>SUM(G367,G345,G328,G309,#REF!,#REF!,G292,#REF!,G261,#REF!,G238,G225,#REF!,G208,G193,G169,G135,G113,G95,#REF!,G54,#REF!,#REF!,G40,G25)</f>
        <v>#REF!</v>
      </c>
      <c r="M367" s="1177" t="e">
        <f>SUM(H367,H345,H328,H309,#REF!,#REF!,H292,#REF!,H261,#REF!,H238,H225,#REF!,H208,H193,H169,H135,H113,H95,#REF!,H54,#REF!,#REF!,H40,H25)</f>
        <v>#REF!</v>
      </c>
      <c r="R367" s="1177">
        <f>F367</f>
        <v>590</v>
      </c>
      <c r="S367" s="1177">
        <f>G367</f>
        <v>4112</v>
      </c>
      <c r="T367" s="1177">
        <f>H367</f>
        <v>4112</v>
      </c>
    </row>
    <row r="368" spans="1:20" ht="13.5" thickTop="1" x14ac:dyDescent="0.2"/>
    <row r="369" spans="1:9" ht="13.5" thickBot="1" x14ac:dyDescent="0.25">
      <c r="A369" s="421" t="s">
        <v>1283</v>
      </c>
      <c r="I369" s="1125" t="s">
        <v>148</v>
      </c>
    </row>
    <row r="370" spans="1:9" s="106" customFormat="1" ht="20.25" customHeight="1" thickTop="1" thickBot="1" x14ac:dyDescent="0.25">
      <c r="A370" s="586" t="s">
        <v>565</v>
      </c>
      <c r="B370" s="658" t="s">
        <v>149</v>
      </c>
      <c r="C370" s="587" t="s">
        <v>150</v>
      </c>
      <c r="D370" s="589" t="s">
        <v>639</v>
      </c>
      <c r="E370" s="589" t="s">
        <v>151</v>
      </c>
      <c r="F370" s="589" t="s">
        <v>569</v>
      </c>
      <c r="G370" s="589" t="s">
        <v>570</v>
      </c>
      <c r="H370" s="589" t="s">
        <v>797</v>
      </c>
      <c r="I370" s="674" t="s">
        <v>798</v>
      </c>
    </row>
    <row r="371" spans="1:9" s="375" customFormat="1" ht="13.5" thickTop="1" thickBot="1" x14ac:dyDescent="0.25">
      <c r="A371" s="525">
        <v>1</v>
      </c>
      <c r="B371" s="526">
        <v>2</v>
      </c>
      <c r="C371" s="526">
        <v>3</v>
      </c>
      <c r="D371" s="526">
        <v>4</v>
      </c>
      <c r="E371" s="526">
        <v>5</v>
      </c>
      <c r="F371" s="512">
        <v>6</v>
      </c>
      <c r="G371" s="512">
        <v>7</v>
      </c>
      <c r="H371" s="513">
        <v>8</v>
      </c>
      <c r="I371" s="591" t="s">
        <v>689</v>
      </c>
    </row>
    <row r="372" spans="1:9" ht="15.75" thickTop="1" x14ac:dyDescent="0.25">
      <c r="A372" s="420">
        <v>1036</v>
      </c>
      <c r="B372" s="617">
        <v>3112</v>
      </c>
      <c r="C372" s="617">
        <v>5336</v>
      </c>
      <c r="D372" s="518"/>
      <c r="E372" s="616" t="s">
        <v>1740</v>
      </c>
      <c r="F372" s="689"/>
      <c r="G372" s="700">
        <f>G373</f>
        <v>1110</v>
      </c>
      <c r="H372" s="700">
        <f>H373</f>
        <v>1110</v>
      </c>
      <c r="I372" s="677">
        <f t="shared" ref="I372:I388" si="47">(H372/G372)*100</f>
        <v>100</v>
      </c>
    </row>
    <row r="373" spans="1:9" ht="14.25" x14ac:dyDescent="0.2">
      <c r="A373" s="420"/>
      <c r="B373" s="617"/>
      <c r="C373" s="617"/>
      <c r="D373" s="518" t="s">
        <v>1807</v>
      </c>
      <c r="E373" s="442" t="s">
        <v>716</v>
      </c>
      <c r="F373" s="689"/>
      <c r="G373" s="689">
        <v>1110</v>
      </c>
      <c r="H373" s="689">
        <v>1110</v>
      </c>
      <c r="I373" s="684">
        <f t="shared" si="47"/>
        <v>100</v>
      </c>
    </row>
    <row r="374" spans="1:9" ht="15" x14ac:dyDescent="0.25">
      <c r="A374" s="420">
        <v>1036</v>
      </c>
      <c r="B374" s="617">
        <v>3114</v>
      </c>
      <c r="C374" s="617">
        <v>5331</v>
      </c>
      <c r="D374" s="675"/>
      <c r="E374" s="664" t="s">
        <v>858</v>
      </c>
      <c r="F374" s="676">
        <f>SUM(F375:F376)</f>
        <v>2329</v>
      </c>
      <c r="G374" s="676">
        <f>SUM(G375:G376)</f>
        <v>388</v>
      </c>
      <c r="H374" s="676">
        <f>SUM(H375:H376)</f>
        <v>388</v>
      </c>
      <c r="I374" s="677">
        <f t="shared" si="47"/>
        <v>100</v>
      </c>
    </row>
    <row r="375" spans="1:9" ht="14.25" x14ac:dyDescent="0.2">
      <c r="A375" s="420"/>
      <c r="B375" s="617"/>
      <c r="C375" s="617"/>
      <c r="D375" s="636" t="s">
        <v>1811</v>
      </c>
      <c r="E375" s="1162" t="s">
        <v>717</v>
      </c>
      <c r="F375" s="683">
        <v>250</v>
      </c>
      <c r="G375" s="683">
        <v>42</v>
      </c>
      <c r="H375" s="683">
        <v>42</v>
      </c>
      <c r="I375" s="679">
        <f t="shared" si="47"/>
        <v>100</v>
      </c>
    </row>
    <row r="376" spans="1:9" ht="14.25" x14ac:dyDescent="0.2">
      <c r="A376" s="420"/>
      <c r="B376" s="617"/>
      <c r="C376" s="617"/>
      <c r="D376" s="518" t="s">
        <v>1812</v>
      </c>
      <c r="E376" s="442" t="s">
        <v>63</v>
      </c>
      <c r="F376" s="683">
        <v>2079</v>
      </c>
      <c r="G376" s="683">
        <v>346</v>
      </c>
      <c r="H376" s="683">
        <v>346</v>
      </c>
      <c r="I376" s="679">
        <f t="shared" si="47"/>
        <v>100</v>
      </c>
    </row>
    <row r="377" spans="1:9" ht="15" x14ac:dyDescent="0.25">
      <c r="A377" s="648">
        <v>1036</v>
      </c>
      <c r="B377" s="617">
        <v>3114</v>
      </c>
      <c r="C377" s="1128">
        <v>5336</v>
      </c>
      <c r="D377" s="527"/>
      <c r="E377" s="616" t="s">
        <v>1740</v>
      </c>
      <c r="F377" s="700"/>
      <c r="G377" s="700">
        <f>G378+G379+G380+G381+G382</f>
        <v>9004</v>
      </c>
      <c r="H377" s="700">
        <f>H378+H379+H380+H381+H382</f>
        <v>9004</v>
      </c>
      <c r="I377" s="691">
        <f t="shared" si="47"/>
        <v>100</v>
      </c>
    </row>
    <row r="378" spans="1:9" ht="15" x14ac:dyDescent="0.25">
      <c r="A378" s="648"/>
      <c r="B378" s="617"/>
      <c r="C378" s="1128"/>
      <c r="D378" s="887" t="s">
        <v>1821</v>
      </c>
      <c r="E378" s="1674" t="s">
        <v>1405</v>
      </c>
      <c r="F378" s="700"/>
      <c r="G378" s="692">
        <v>7</v>
      </c>
      <c r="H378" s="692">
        <v>7</v>
      </c>
      <c r="I378" s="679">
        <f t="shared" si="47"/>
        <v>100</v>
      </c>
    </row>
    <row r="379" spans="1:9" ht="15" x14ac:dyDescent="0.2">
      <c r="A379" s="648"/>
      <c r="B379" s="617"/>
      <c r="C379" s="1128"/>
      <c r="D379" s="887" t="s">
        <v>1808</v>
      </c>
      <c r="E379" s="1676" t="s">
        <v>1739</v>
      </c>
      <c r="F379" s="1964"/>
      <c r="G379" s="1965">
        <v>330</v>
      </c>
      <c r="H379" s="1965">
        <v>330</v>
      </c>
      <c r="I379" s="368">
        <f t="shared" ref="I379:I380" si="48">(H379/G379)*100</f>
        <v>100</v>
      </c>
    </row>
    <row r="380" spans="1:9" ht="28.5" x14ac:dyDescent="0.2">
      <c r="A380" s="648"/>
      <c r="B380" s="617"/>
      <c r="C380" s="1128"/>
      <c r="D380" s="1061" t="s">
        <v>1809</v>
      </c>
      <c r="E380" s="2019" t="s">
        <v>1810</v>
      </c>
      <c r="F380" s="1964"/>
      <c r="G380" s="2031">
        <v>53</v>
      </c>
      <c r="H380" s="2031">
        <v>53</v>
      </c>
      <c r="I380" s="1234">
        <f t="shared" si="48"/>
        <v>100</v>
      </c>
    </row>
    <row r="381" spans="1:9" ht="15" x14ac:dyDescent="0.25">
      <c r="A381" s="648"/>
      <c r="B381" s="617"/>
      <c r="C381" s="1128"/>
      <c r="D381" s="518" t="s">
        <v>1807</v>
      </c>
      <c r="E381" s="442" t="s">
        <v>716</v>
      </c>
      <c r="F381" s="700"/>
      <c r="G381" s="692">
        <v>8545</v>
      </c>
      <c r="H381" s="692">
        <v>8545</v>
      </c>
      <c r="I381" s="679">
        <f t="shared" si="47"/>
        <v>100</v>
      </c>
    </row>
    <row r="382" spans="1:9" ht="14.25" x14ac:dyDescent="0.2">
      <c r="A382" s="648"/>
      <c r="B382" s="651"/>
      <c r="C382" s="1128"/>
      <c r="D382" s="649" t="s">
        <v>1825</v>
      </c>
      <c r="E382" s="3113" t="s">
        <v>1741</v>
      </c>
      <c r="F382" s="689"/>
      <c r="G382" s="1062">
        <v>69</v>
      </c>
      <c r="H382" s="1062">
        <v>69</v>
      </c>
      <c r="I382" s="1066">
        <f t="shared" ref="I382" si="49">(H382/G382)*100</f>
        <v>100</v>
      </c>
    </row>
    <row r="383" spans="1:9" ht="15" x14ac:dyDescent="0.25">
      <c r="A383" s="648"/>
      <c r="B383" s="651"/>
      <c r="C383" s="1128"/>
      <c r="D383" s="527"/>
      <c r="E383" s="3114"/>
      <c r="F383" s="700"/>
      <c r="G383" s="692"/>
      <c r="H383" s="692"/>
      <c r="I383" s="684"/>
    </row>
    <row r="384" spans="1:9" ht="16.5" customHeight="1" x14ac:dyDescent="0.25">
      <c r="A384" s="420">
        <v>1036</v>
      </c>
      <c r="B384" s="651">
        <v>3141</v>
      </c>
      <c r="C384" s="1128">
        <v>5336</v>
      </c>
      <c r="D384" s="518"/>
      <c r="E384" s="616" t="s">
        <v>1740</v>
      </c>
      <c r="F384" s="689"/>
      <c r="G384" s="700">
        <v>11</v>
      </c>
      <c r="H384" s="700">
        <v>11</v>
      </c>
      <c r="I384" s="691">
        <f t="shared" si="47"/>
        <v>100</v>
      </c>
    </row>
    <row r="385" spans="1:20" ht="15" customHeight="1" x14ac:dyDescent="0.2">
      <c r="A385" s="420"/>
      <c r="B385" s="651"/>
      <c r="C385" s="1128"/>
      <c r="D385" s="518" t="s">
        <v>1807</v>
      </c>
      <c r="E385" s="442" t="s">
        <v>716</v>
      </c>
      <c r="F385" s="689"/>
      <c r="G385" s="689">
        <v>11</v>
      </c>
      <c r="H385" s="689">
        <v>11</v>
      </c>
      <c r="I385" s="684">
        <f t="shared" si="47"/>
        <v>100</v>
      </c>
    </row>
    <row r="386" spans="1:20" ht="15" x14ac:dyDescent="0.25">
      <c r="A386" s="420">
        <v>1036</v>
      </c>
      <c r="B386" s="651">
        <v>3143</v>
      </c>
      <c r="C386" s="651">
        <v>5336</v>
      </c>
      <c r="D386" s="518"/>
      <c r="E386" s="616" t="s">
        <v>1740</v>
      </c>
      <c r="F386" s="689"/>
      <c r="G386" s="700">
        <v>572</v>
      </c>
      <c r="H386" s="700">
        <v>572</v>
      </c>
      <c r="I386" s="693">
        <f t="shared" si="47"/>
        <v>100</v>
      </c>
    </row>
    <row r="387" spans="1:20" ht="15" thickBot="1" x14ac:dyDescent="0.25">
      <c r="A387" s="420"/>
      <c r="B387" s="651"/>
      <c r="C387" s="1128"/>
      <c r="D387" s="518" t="s">
        <v>1807</v>
      </c>
      <c r="E387" s="442" t="s">
        <v>716</v>
      </c>
      <c r="F387" s="689"/>
      <c r="G387" s="689">
        <v>572</v>
      </c>
      <c r="H387" s="689">
        <v>572</v>
      </c>
      <c r="I387" s="684">
        <f t="shared" si="47"/>
        <v>100</v>
      </c>
    </row>
    <row r="388" spans="1:20" ht="16.5" thickTop="1" thickBot="1" x14ac:dyDescent="0.3">
      <c r="A388" s="3110" t="s">
        <v>1000</v>
      </c>
      <c r="B388" s="3111"/>
      <c r="C388" s="3111"/>
      <c r="D388" s="3111"/>
      <c r="E388" s="3111"/>
      <c r="F388" s="680">
        <f>SUM(F374)</f>
        <v>2329</v>
      </c>
      <c r="G388" s="680">
        <f>G386+G384+G377+G374+G372</f>
        <v>11085</v>
      </c>
      <c r="H388" s="680">
        <f>H386+H384+H377+H374+H372</f>
        <v>11085</v>
      </c>
      <c r="I388" s="681">
        <f t="shared" si="47"/>
        <v>100</v>
      </c>
      <c r="R388" s="374">
        <f>F388</f>
        <v>2329</v>
      </c>
      <c r="S388" s="374">
        <f>G388</f>
        <v>11085</v>
      </c>
      <c r="T388" s="374">
        <f>H388</f>
        <v>11085</v>
      </c>
    </row>
    <row r="389" spans="1:20" ht="15.75" thickTop="1" x14ac:dyDescent="0.25">
      <c r="A389" s="361"/>
      <c r="B389" s="361"/>
      <c r="C389" s="361"/>
      <c r="D389" s="361"/>
      <c r="E389" s="361"/>
      <c r="F389" s="178"/>
      <c r="G389" s="178"/>
      <c r="H389" s="178"/>
      <c r="I389" s="207"/>
      <c r="R389" s="374"/>
      <c r="S389" s="374"/>
      <c r="T389" s="374"/>
    </row>
    <row r="390" spans="1:20" ht="13.5" thickBot="1" x14ac:dyDescent="0.25">
      <c r="A390" s="421" t="s">
        <v>81</v>
      </c>
      <c r="I390" s="1125" t="s">
        <v>148</v>
      </c>
    </row>
    <row r="391" spans="1:20" s="106" customFormat="1" ht="20.25" customHeight="1" thickTop="1" thickBot="1" x14ac:dyDescent="0.25">
      <c r="A391" s="586" t="s">
        <v>565</v>
      </c>
      <c r="B391" s="658" t="s">
        <v>149</v>
      </c>
      <c r="C391" s="587" t="s">
        <v>150</v>
      </c>
      <c r="D391" s="589" t="s">
        <v>639</v>
      </c>
      <c r="E391" s="589" t="s">
        <v>151</v>
      </c>
      <c r="F391" s="589" t="s">
        <v>569</v>
      </c>
      <c r="G391" s="589" t="s">
        <v>570</v>
      </c>
      <c r="H391" s="589" t="s">
        <v>797</v>
      </c>
      <c r="I391" s="674" t="s">
        <v>798</v>
      </c>
    </row>
    <row r="392" spans="1:20" s="375" customFormat="1" ht="13.5" thickTop="1" thickBot="1" x14ac:dyDescent="0.25">
      <c r="A392" s="525">
        <v>1</v>
      </c>
      <c r="B392" s="526">
        <v>2</v>
      </c>
      <c r="C392" s="526">
        <v>3</v>
      </c>
      <c r="D392" s="526">
        <v>4</v>
      </c>
      <c r="E392" s="526">
        <v>5</v>
      </c>
      <c r="F392" s="512">
        <v>6</v>
      </c>
      <c r="G392" s="512">
        <v>7</v>
      </c>
      <c r="H392" s="513">
        <v>8</v>
      </c>
      <c r="I392" s="591" t="s">
        <v>689</v>
      </c>
    </row>
    <row r="393" spans="1:20" ht="15.75" thickTop="1" x14ac:dyDescent="0.25">
      <c r="A393" s="1126">
        <v>1037</v>
      </c>
      <c r="B393" s="659">
        <v>3112</v>
      </c>
      <c r="C393" s="659">
        <v>5336</v>
      </c>
      <c r="D393" s="694"/>
      <c r="E393" s="616" t="s">
        <v>1740</v>
      </c>
      <c r="F393" s="714"/>
      <c r="G393" s="714">
        <v>419</v>
      </c>
      <c r="H393" s="714">
        <v>419</v>
      </c>
      <c r="I393" s="682">
        <f t="shared" ref="I393:I409" si="50">(H393/G393)*100</f>
        <v>100</v>
      </c>
    </row>
    <row r="394" spans="1:20" ht="14.25" x14ac:dyDescent="0.2">
      <c r="A394" s="420"/>
      <c r="B394" s="617"/>
      <c r="C394" s="617"/>
      <c r="D394" s="518" t="s">
        <v>1807</v>
      </c>
      <c r="E394" s="442" t="s">
        <v>716</v>
      </c>
      <c r="F394" s="683"/>
      <c r="G394" s="683">
        <v>419</v>
      </c>
      <c r="H394" s="683">
        <v>419</v>
      </c>
      <c r="I394" s="679">
        <f t="shared" si="50"/>
        <v>100</v>
      </c>
    </row>
    <row r="395" spans="1:20" ht="15" x14ac:dyDescent="0.25">
      <c r="A395" s="420">
        <v>1037</v>
      </c>
      <c r="B395" s="651">
        <v>3114</v>
      </c>
      <c r="C395" s="651">
        <v>5331</v>
      </c>
      <c r="D395" s="712"/>
      <c r="E395" s="616" t="s">
        <v>858</v>
      </c>
      <c r="F395" s="690">
        <f>F396+F397</f>
        <v>1937</v>
      </c>
      <c r="G395" s="690">
        <f t="shared" ref="G395:H395" si="51">G396+G397</f>
        <v>322</v>
      </c>
      <c r="H395" s="690">
        <f t="shared" si="51"/>
        <v>322</v>
      </c>
      <c r="I395" s="691">
        <f t="shared" si="50"/>
        <v>100</v>
      </c>
    </row>
    <row r="396" spans="1:20" ht="15" x14ac:dyDescent="0.25">
      <c r="A396" s="420"/>
      <c r="B396" s="651"/>
      <c r="C396" s="651"/>
      <c r="D396" s="636" t="s">
        <v>1811</v>
      </c>
      <c r="E396" s="1162" t="s">
        <v>717</v>
      </c>
      <c r="F396" s="692">
        <v>5</v>
      </c>
      <c r="G396" s="692">
        <v>0</v>
      </c>
      <c r="H396" s="692">
        <v>0</v>
      </c>
      <c r="I396" s="691"/>
    </row>
    <row r="397" spans="1:20" ht="14.25" x14ac:dyDescent="0.2">
      <c r="A397" s="420"/>
      <c r="B397" s="651"/>
      <c r="C397" s="651"/>
      <c r="D397" s="518" t="s">
        <v>1812</v>
      </c>
      <c r="E397" s="442" t="s">
        <v>63</v>
      </c>
      <c r="F397" s="689">
        <v>1932</v>
      </c>
      <c r="G397" s="689">
        <v>322</v>
      </c>
      <c r="H397" s="689">
        <v>322</v>
      </c>
      <c r="I397" s="684">
        <f t="shared" si="50"/>
        <v>100</v>
      </c>
    </row>
    <row r="398" spans="1:20" s="1354" customFormat="1" ht="15" x14ac:dyDescent="0.25">
      <c r="A398" s="1675">
        <v>1037</v>
      </c>
      <c r="B398" s="651">
        <v>3114</v>
      </c>
      <c r="C398" s="651">
        <v>5336</v>
      </c>
      <c r="D398" s="1061"/>
      <c r="E398" s="616" t="s">
        <v>1740</v>
      </c>
      <c r="F398" s="1062"/>
      <c r="G398" s="1064">
        <f>G399+G400+G401+G402+G403+G404</f>
        <v>13837</v>
      </c>
      <c r="H398" s="1064">
        <f>H399+H400+H401+H402+H403+H404</f>
        <v>13837</v>
      </c>
      <c r="I398" s="691">
        <f t="shared" si="50"/>
        <v>100</v>
      </c>
    </row>
    <row r="399" spans="1:20" s="1354" customFormat="1" ht="14.25" x14ac:dyDescent="0.2">
      <c r="A399" s="1675"/>
      <c r="B399" s="651"/>
      <c r="C399" s="651"/>
      <c r="D399" s="887" t="s">
        <v>1821</v>
      </c>
      <c r="E399" s="1674" t="s">
        <v>1405</v>
      </c>
      <c r="F399" s="1062"/>
      <c r="G399" s="1224">
        <v>17</v>
      </c>
      <c r="H399" s="1224">
        <v>17</v>
      </c>
      <c r="I399" s="368">
        <f t="shared" si="50"/>
        <v>100</v>
      </c>
    </row>
    <row r="400" spans="1:20" s="1354" customFormat="1" ht="15" x14ac:dyDescent="0.2">
      <c r="A400" s="1675"/>
      <c r="B400" s="651"/>
      <c r="C400" s="651"/>
      <c r="D400" s="887" t="s">
        <v>1808</v>
      </c>
      <c r="E400" s="1676" t="s">
        <v>1739</v>
      </c>
      <c r="F400" s="1964"/>
      <c r="G400" s="1965">
        <v>461</v>
      </c>
      <c r="H400" s="1965">
        <v>461</v>
      </c>
      <c r="I400" s="368">
        <f t="shared" ref="I400:I401" si="52">(H400/G400)*100</f>
        <v>100</v>
      </c>
    </row>
    <row r="401" spans="1:20" s="1354" customFormat="1" ht="28.5" x14ac:dyDescent="0.2">
      <c r="A401" s="1675"/>
      <c r="B401" s="651"/>
      <c r="C401" s="651"/>
      <c r="D401" s="1061" t="s">
        <v>1809</v>
      </c>
      <c r="E401" s="2019" t="s">
        <v>1810</v>
      </c>
      <c r="F401" s="1964"/>
      <c r="G401" s="2031">
        <v>70</v>
      </c>
      <c r="H401" s="2031">
        <v>70</v>
      </c>
      <c r="I401" s="1234">
        <f t="shared" si="52"/>
        <v>100</v>
      </c>
    </row>
    <row r="402" spans="1:20" s="1354" customFormat="1" ht="14.25" x14ac:dyDescent="0.2">
      <c r="A402" s="1675"/>
      <c r="B402" s="651"/>
      <c r="C402" s="651"/>
      <c r="D402" s="518" t="s">
        <v>1807</v>
      </c>
      <c r="E402" s="442" t="s">
        <v>716</v>
      </c>
      <c r="F402" s="1062"/>
      <c r="G402" s="1062">
        <v>12492</v>
      </c>
      <c r="H402" s="1062">
        <v>12492</v>
      </c>
      <c r="I402" s="684">
        <f t="shared" si="50"/>
        <v>100</v>
      </c>
    </row>
    <row r="403" spans="1:20" s="1354" customFormat="1" ht="14.25" x14ac:dyDescent="0.2">
      <c r="A403" s="1675"/>
      <c r="B403" s="651"/>
      <c r="C403" s="651"/>
      <c r="D403" s="527" t="s">
        <v>1813</v>
      </c>
      <c r="E403" s="1162" t="s">
        <v>1815</v>
      </c>
      <c r="F403" s="1062"/>
      <c r="G403" s="1062">
        <v>119</v>
      </c>
      <c r="H403" s="1062">
        <v>119</v>
      </c>
      <c r="I403" s="684">
        <f t="shared" si="50"/>
        <v>100</v>
      </c>
    </row>
    <row r="404" spans="1:20" s="1354" customFormat="1" ht="14.25" x14ac:dyDescent="0.2">
      <c r="A404" s="1675"/>
      <c r="B404" s="651"/>
      <c r="C404" s="651"/>
      <c r="D404" s="527" t="s">
        <v>1814</v>
      </c>
      <c r="E404" s="1162" t="s">
        <v>1815</v>
      </c>
      <c r="F404" s="1062"/>
      <c r="G404" s="1062">
        <v>678</v>
      </c>
      <c r="H404" s="1062">
        <v>678</v>
      </c>
      <c r="I404" s="684">
        <f t="shared" si="50"/>
        <v>100</v>
      </c>
    </row>
    <row r="405" spans="1:20" ht="15" x14ac:dyDescent="0.25">
      <c r="A405" s="420">
        <v>1037</v>
      </c>
      <c r="B405" s="651">
        <v>3143</v>
      </c>
      <c r="C405" s="651">
        <v>5336</v>
      </c>
      <c r="D405" s="712"/>
      <c r="E405" s="616" t="s">
        <v>1740</v>
      </c>
      <c r="F405" s="690"/>
      <c r="G405" s="690">
        <v>611</v>
      </c>
      <c r="H405" s="690">
        <v>611</v>
      </c>
      <c r="I405" s="691">
        <f t="shared" si="50"/>
        <v>100</v>
      </c>
    </row>
    <row r="406" spans="1:20" ht="14.25" x14ac:dyDescent="0.2">
      <c r="A406" s="420"/>
      <c r="B406" s="651"/>
      <c r="C406" s="1128"/>
      <c r="D406" s="518" t="s">
        <v>1807</v>
      </c>
      <c r="E406" s="442" t="s">
        <v>716</v>
      </c>
      <c r="F406" s="689"/>
      <c r="G406" s="689">
        <v>611</v>
      </c>
      <c r="H406" s="689">
        <v>611</v>
      </c>
      <c r="I406" s="684">
        <f t="shared" si="50"/>
        <v>100</v>
      </c>
    </row>
    <row r="407" spans="1:20" ht="18" customHeight="1" x14ac:dyDescent="0.25">
      <c r="A407" s="420">
        <v>1037</v>
      </c>
      <c r="B407" s="651">
        <v>3792</v>
      </c>
      <c r="C407" s="1128">
        <v>5331</v>
      </c>
      <c r="D407" s="518"/>
      <c r="E407" s="616" t="s">
        <v>858</v>
      </c>
      <c r="F407" s="689"/>
      <c r="G407" s="700">
        <v>7</v>
      </c>
      <c r="H407" s="700">
        <v>7</v>
      </c>
      <c r="I407" s="691">
        <f t="shared" si="50"/>
        <v>100</v>
      </c>
    </row>
    <row r="408" spans="1:20" ht="15" thickBot="1" x14ac:dyDescent="0.25">
      <c r="A408" s="420"/>
      <c r="B408" s="651"/>
      <c r="C408" s="1128"/>
      <c r="D408" s="663" t="s">
        <v>1824</v>
      </c>
      <c r="E408" s="956" t="s">
        <v>338</v>
      </c>
      <c r="F408" s="689"/>
      <c r="G408" s="689">
        <v>7</v>
      </c>
      <c r="H408" s="689">
        <v>7</v>
      </c>
      <c r="I408" s="684">
        <f t="shared" si="50"/>
        <v>100</v>
      </c>
    </row>
    <row r="409" spans="1:20" ht="18" customHeight="1" thickTop="1" thickBot="1" x14ac:dyDescent="0.3">
      <c r="A409" s="3110" t="s">
        <v>1000</v>
      </c>
      <c r="B409" s="3111"/>
      <c r="C409" s="3111"/>
      <c r="D409" s="3111"/>
      <c r="E409" s="3111"/>
      <c r="F409" s="680">
        <f>SUM(F393,F395,F405)</f>
        <v>1937</v>
      </c>
      <c r="G409" s="680">
        <f>G407+G405+G398+G395+G393</f>
        <v>15196</v>
      </c>
      <c r="H409" s="680">
        <f>H407+H405+H398+H395+H393</f>
        <v>15196</v>
      </c>
      <c r="I409" s="681">
        <f t="shared" si="50"/>
        <v>100</v>
      </c>
      <c r="R409" s="374">
        <f>F409</f>
        <v>1937</v>
      </c>
      <c r="S409" s="374">
        <f>G409</f>
        <v>15196</v>
      </c>
      <c r="T409" s="374">
        <f>H409</f>
        <v>15196</v>
      </c>
    </row>
    <row r="410" spans="1:20" ht="18" customHeight="1" thickTop="1" x14ac:dyDescent="0.25">
      <c r="A410" s="361"/>
      <c r="B410" s="361"/>
      <c r="C410" s="361"/>
      <c r="D410" s="361"/>
      <c r="E410" s="361"/>
      <c r="F410" s="178"/>
      <c r="G410" s="178"/>
      <c r="H410" s="178"/>
      <c r="I410" s="207"/>
      <c r="R410" s="374"/>
      <c r="S410" s="374"/>
      <c r="T410" s="374"/>
    </row>
    <row r="411" spans="1:20" ht="18" customHeight="1" x14ac:dyDescent="0.25">
      <c r="A411" s="361"/>
      <c r="B411" s="361"/>
      <c r="C411" s="361"/>
      <c r="D411" s="361"/>
      <c r="E411" s="361"/>
      <c r="F411" s="178"/>
      <c r="G411" s="178"/>
      <c r="H411" s="178"/>
      <c r="I411" s="207"/>
      <c r="R411" s="374"/>
      <c r="S411" s="374"/>
      <c r="T411" s="374"/>
    </row>
    <row r="412" spans="1:20" ht="18" customHeight="1" x14ac:dyDescent="0.25">
      <c r="A412" s="361"/>
      <c r="B412" s="361"/>
      <c r="C412" s="361"/>
      <c r="D412" s="361"/>
      <c r="E412" s="361"/>
      <c r="F412" s="178"/>
      <c r="G412" s="178"/>
      <c r="H412" s="178"/>
      <c r="I412" s="207"/>
      <c r="R412" s="374"/>
      <c r="S412" s="374"/>
      <c r="T412" s="374"/>
    </row>
    <row r="413" spans="1:20" ht="18" customHeight="1" x14ac:dyDescent="0.25">
      <c r="A413" s="361"/>
      <c r="B413" s="361"/>
      <c r="C413" s="361"/>
      <c r="D413" s="361"/>
      <c r="E413" s="361"/>
      <c r="F413" s="178"/>
      <c r="G413" s="178"/>
      <c r="H413" s="178"/>
      <c r="I413" s="207"/>
      <c r="R413" s="374"/>
      <c r="S413" s="374"/>
      <c r="T413" s="374"/>
    </row>
    <row r="414" spans="1:20" ht="18" customHeight="1" x14ac:dyDescent="0.25">
      <c r="A414" s="361"/>
      <c r="B414" s="361"/>
      <c r="C414" s="361"/>
      <c r="D414" s="361"/>
      <c r="E414" s="361"/>
      <c r="F414" s="178"/>
      <c r="G414" s="178"/>
      <c r="H414" s="178"/>
      <c r="I414" s="207"/>
      <c r="R414" s="374"/>
      <c r="S414" s="374"/>
      <c r="T414" s="374"/>
    </row>
    <row r="415" spans="1:20" ht="18" customHeight="1" x14ac:dyDescent="0.25">
      <c r="A415" s="361"/>
      <c r="B415" s="361"/>
      <c r="C415" s="361"/>
      <c r="D415" s="361"/>
      <c r="E415" s="361"/>
      <c r="F415" s="178"/>
      <c r="G415" s="178"/>
      <c r="H415" s="178"/>
      <c r="I415" s="207"/>
      <c r="R415" s="374"/>
      <c r="S415" s="374"/>
      <c r="T415" s="374"/>
    </row>
    <row r="416" spans="1:20" ht="18" customHeight="1" x14ac:dyDescent="0.25">
      <c r="A416" s="361"/>
      <c r="B416" s="361"/>
      <c r="C416" s="361"/>
      <c r="D416" s="361"/>
      <c r="E416" s="361"/>
      <c r="F416" s="178"/>
      <c r="G416" s="178"/>
      <c r="H416" s="178"/>
      <c r="I416" s="207"/>
      <c r="R416" s="374"/>
      <c r="S416" s="374"/>
      <c r="T416" s="374"/>
    </row>
    <row r="417" spans="1:20" ht="18" customHeight="1" x14ac:dyDescent="0.25">
      <c r="A417" s="361"/>
      <c r="B417" s="361"/>
      <c r="C417" s="361"/>
      <c r="D417" s="361"/>
      <c r="E417" s="361"/>
      <c r="F417" s="178"/>
      <c r="G417" s="178"/>
      <c r="H417" s="178"/>
      <c r="I417" s="207"/>
      <c r="R417" s="374"/>
      <c r="S417" s="374"/>
      <c r="T417" s="374"/>
    </row>
    <row r="418" spans="1:20" ht="18" customHeight="1" x14ac:dyDescent="0.25">
      <c r="A418" s="361"/>
      <c r="B418" s="361"/>
      <c r="C418" s="361"/>
      <c r="D418" s="361"/>
      <c r="E418" s="361"/>
      <c r="F418" s="178"/>
      <c r="G418" s="178"/>
      <c r="H418" s="178"/>
      <c r="I418" s="207"/>
      <c r="R418" s="374"/>
      <c r="S418" s="374"/>
      <c r="T418" s="374"/>
    </row>
    <row r="419" spans="1:20" ht="18" customHeight="1" x14ac:dyDescent="0.25">
      <c r="A419" s="361"/>
      <c r="B419" s="361"/>
      <c r="C419" s="361"/>
      <c r="D419" s="361"/>
      <c r="E419" s="361"/>
      <c r="F419" s="178"/>
      <c r="G419" s="178"/>
      <c r="H419" s="178"/>
      <c r="I419" s="207"/>
      <c r="R419" s="374"/>
      <c r="S419" s="374"/>
      <c r="T419" s="374"/>
    </row>
    <row r="420" spans="1:20" ht="18" customHeight="1" x14ac:dyDescent="0.25">
      <c r="A420" s="361"/>
      <c r="B420" s="361"/>
      <c r="C420" s="361"/>
      <c r="D420" s="361"/>
      <c r="E420" s="361"/>
      <c r="F420" s="178"/>
      <c r="G420" s="178"/>
      <c r="H420" s="178"/>
      <c r="I420" s="207"/>
      <c r="R420" s="374"/>
      <c r="S420" s="374"/>
      <c r="T420" s="374"/>
    </row>
    <row r="421" spans="1:20" ht="16.5" customHeight="1" thickBot="1" x14ac:dyDescent="0.25">
      <c r="A421" s="421" t="s">
        <v>1284</v>
      </c>
      <c r="I421" s="1125" t="s">
        <v>148</v>
      </c>
    </row>
    <row r="422" spans="1:20" s="106" customFormat="1" thickTop="1" thickBot="1" x14ac:dyDescent="0.25">
      <c r="A422" s="586" t="s">
        <v>565</v>
      </c>
      <c r="B422" s="658" t="s">
        <v>149</v>
      </c>
      <c r="C422" s="587" t="s">
        <v>150</v>
      </c>
      <c r="D422" s="589" t="s">
        <v>639</v>
      </c>
      <c r="E422" s="589" t="s">
        <v>151</v>
      </c>
      <c r="F422" s="589" t="s">
        <v>569</v>
      </c>
      <c r="G422" s="589" t="s">
        <v>570</v>
      </c>
      <c r="H422" s="589" t="s">
        <v>797</v>
      </c>
      <c r="I422" s="674" t="s">
        <v>798</v>
      </c>
    </row>
    <row r="423" spans="1:20" s="1186" customFormat="1" ht="13.5" thickTop="1" thickBot="1" x14ac:dyDescent="0.25">
      <c r="A423" s="1181">
        <v>1</v>
      </c>
      <c r="B423" s="1182">
        <v>2</v>
      </c>
      <c r="C423" s="1182">
        <v>3</v>
      </c>
      <c r="D423" s="1182">
        <v>4</v>
      </c>
      <c r="E423" s="1182">
        <v>5</v>
      </c>
      <c r="F423" s="1183">
        <v>6</v>
      </c>
      <c r="G423" s="1183">
        <v>7</v>
      </c>
      <c r="H423" s="1184">
        <v>8</v>
      </c>
      <c r="I423" s="1185" t="s">
        <v>689</v>
      </c>
    </row>
    <row r="424" spans="1:20" s="1165" customFormat="1" ht="15.75" thickTop="1" x14ac:dyDescent="0.2">
      <c r="A424" s="1166">
        <v>1038</v>
      </c>
      <c r="B424" s="1167">
        <v>3114</v>
      </c>
      <c r="C424" s="1167">
        <v>5331</v>
      </c>
      <c r="D424" s="1168"/>
      <c r="E424" s="1169" t="s">
        <v>858</v>
      </c>
      <c r="F424" s="1170">
        <f>SUM(F425:F426)</f>
        <v>875</v>
      </c>
      <c r="G424" s="1170">
        <f>SUM(G425:G426)</f>
        <v>146</v>
      </c>
      <c r="H424" s="1170">
        <f>SUM(H425:H426)</f>
        <v>146</v>
      </c>
      <c r="I424" s="1171">
        <f t="shared" ref="I424:I445" si="53">(H424/G424)*100</f>
        <v>100</v>
      </c>
    </row>
    <row r="425" spans="1:20" s="1165" customFormat="1" ht="14.25" x14ac:dyDescent="0.2">
      <c r="A425" s="1187"/>
      <c r="B425" s="1188"/>
      <c r="C425" s="1188"/>
      <c r="D425" s="711" t="s">
        <v>1811</v>
      </c>
      <c r="E425" s="1189" t="s">
        <v>717</v>
      </c>
      <c r="F425" s="1067">
        <v>332</v>
      </c>
      <c r="G425" s="1067">
        <v>56</v>
      </c>
      <c r="H425" s="1067">
        <v>56</v>
      </c>
      <c r="I425" s="1063">
        <f t="shared" si="53"/>
        <v>100</v>
      </c>
    </row>
    <row r="426" spans="1:20" ht="14.25" x14ac:dyDescent="0.2">
      <c r="A426" s="420"/>
      <c r="B426" s="617"/>
      <c r="C426" s="695"/>
      <c r="D426" s="518" t="s">
        <v>1812</v>
      </c>
      <c r="E426" s="442" t="s">
        <v>63</v>
      </c>
      <c r="F426" s="683">
        <v>543</v>
      </c>
      <c r="G426" s="683">
        <v>90</v>
      </c>
      <c r="H426" s="683">
        <v>90</v>
      </c>
      <c r="I426" s="679">
        <f t="shared" si="53"/>
        <v>100</v>
      </c>
    </row>
    <row r="427" spans="1:20" ht="15" x14ac:dyDescent="0.25">
      <c r="A427" s="420">
        <v>1038</v>
      </c>
      <c r="B427" s="651">
        <v>3114</v>
      </c>
      <c r="C427" s="1128">
        <v>5336</v>
      </c>
      <c r="D427" s="1061"/>
      <c r="E427" s="616" t="s">
        <v>1740</v>
      </c>
      <c r="F427" s="1062"/>
      <c r="G427" s="1064">
        <f>G428+G429+G430+G431+G433+G434+G436+G437</f>
        <v>9550</v>
      </c>
      <c r="H427" s="1064">
        <f>H428+H429+H430+H431+H433+H434+H436+H437</f>
        <v>9550</v>
      </c>
      <c r="I427" s="691">
        <f t="shared" si="53"/>
        <v>100</v>
      </c>
    </row>
    <row r="428" spans="1:20" ht="14.25" customHeight="1" x14ac:dyDescent="0.2">
      <c r="A428" s="420"/>
      <c r="B428" s="651"/>
      <c r="C428" s="1128"/>
      <c r="D428" s="887" t="s">
        <v>1821</v>
      </c>
      <c r="E428" s="1674" t="s">
        <v>1405</v>
      </c>
      <c r="F428" s="683"/>
      <c r="G428" s="683">
        <v>39</v>
      </c>
      <c r="H428" s="683">
        <v>39</v>
      </c>
      <c r="I428" s="679">
        <f t="shared" ref="I428" si="54">(H428/G428)*100</f>
        <v>100</v>
      </c>
    </row>
    <row r="429" spans="1:20" ht="15" x14ac:dyDescent="0.2">
      <c r="A429" s="420"/>
      <c r="B429" s="651"/>
      <c r="C429" s="1128"/>
      <c r="D429" s="887" t="s">
        <v>1808</v>
      </c>
      <c r="E429" s="1676" t="s">
        <v>1739</v>
      </c>
      <c r="F429" s="1964"/>
      <c r="G429" s="1965">
        <v>478</v>
      </c>
      <c r="H429" s="1965">
        <v>478</v>
      </c>
      <c r="I429" s="368">
        <f t="shared" ref="I429:I431" si="55">(H429/G429)*100</f>
        <v>100</v>
      </c>
    </row>
    <row r="430" spans="1:20" ht="28.5" x14ac:dyDescent="0.2">
      <c r="A430" s="420"/>
      <c r="B430" s="651"/>
      <c r="C430" s="1128"/>
      <c r="D430" s="1061" t="s">
        <v>1809</v>
      </c>
      <c r="E430" s="2019" t="s">
        <v>1810</v>
      </c>
      <c r="F430" s="735"/>
      <c r="G430" s="2031">
        <v>55</v>
      </c>
      <c r="H430" s="2031">
        <v>55</v>
      </c>
      <c r="I430" s="1234">
        <f t="shared" si="55"/>
        <v>100</v>
      </c>
    </row>
    <row r="431" spans="1:20" ht="14.25" customHeight="1" x14ac:dyDescent="0.2">
      <c r="A431" s="420"/>
      <c r="B431" s="651"/>
      <c r="C431" s="1128"/>
      <c r="D431" s="887" t="s">
        <v>1826</v>
      </c>
      <c r="E431" s="3129" t="s">
        <v>1742</v>
      </c>
      <c r="F431" s="310"/>
      <c r="G431" s="312">
        <v>50</v>
      </c>
      <c r="H431" s="312">
        <v>50</v>
      </c>
      <c r="I431" s="893">
        <f t="shared" si="55"/>
        <v>100</v>
      </c>
    </row>
    <row r="432" spans="1:20" ht="14.25" x14ac:dyDescent="0.2">
      <c r="A432" s="420"/>
      <c r="B432" s="651"/>
      <c r="C432" s="1128"/>
      <c r="D432" s="887"/>
      <c r="E432" s="3129"/>
      <c r="F432" s="310"/>
      <c r="G432" s="312"/>
      <c r="H432" s="312"/>
      <c r="I432" s="893"/>
    </row>
    <row r="433" spans="1:20" ht="14.25" x14ac:dyDescent="0.2">
      <c r="A433" s="420"/>
      <c r="B433" s="651"/>
      <c r="C433" s="1128"/>
      <c r="D433" s="518" t="s">
        <v>1807</v>
      </c>
      <c r="E433" s="442" t="s">
        <v>716</v>
      </c>
      <c r="F433" s="1062"/>
      <c r="G433" s="1062">
        <v>8311</v>
      </c>
      <c r="H433" s="1062">
        <v>8311</v>
      </c>
      <c r="I433" s="679">
        <f t="shared" si="53"/>
        <v>100</v>
      </c>
    </row>
    <row r="434" spans="1:20" ht="14.25" x14ac:dyDescent="0.2">
      <c r="A434" s="420"/>
      <c r="B434" s="651"/>
      <c r="C434" s="1128"/>
      <c r="D434" s="649" t="s">
        <v>1825</v>
      </c>
      <c r="E434" s="3113" t="s">
        <v>1741</v>
      </c>
      <c r="F434" s="689"/>
      <c r="G434" s="1062">
        <v>171</v>
      </c>
      <c r="H434" s="1062">
        <v>171</v>
      </c>
      <c r="I434" s="1066">
        <f t="shared" si="53"/>
        <v>100</v>
      </c>
    </row>
    <row r="435" spans="1:20" ht="15" x14ac:dyDescent="0.25">
      <c r="A435" s="420"/>
      <c r="B435" s="651"/>
      <c r="C435" s="1128"/>
      <c r="D435" s="527"/>
      <c r="E435" s="3114"/>
      <c r="F435" s="700"/>
      <c r="G435" s="692"/>
      <c r="H435" s="692"/>
      <c r="I435" s="1066"/>
    </row>
    <row r="436" spans="1:20" ht="15" x14ac:dyDescent="0.25">
      <c r="A436" s="420"/>
      <c r="B436" s="651"/>
      <c r="C436" s="1128"/>
      <c r="D436" s="527" t="s">
        <v>1813</v>
      </c>
      <c r="E436" s="1162" t="s">
        <v>1815</v>
      </c>
      <c r="F436" s="700"/>
      <c r="G436" s="692">
        <v>67</v>
      </c>
      <c r="H436" s="692">
        <v>67</v>
      </c>
      <c r="I436" s="1066">
        <f t="shared" si="53"/>
        <v>100</v>
      </c>
    </row>
    <row r="437" spans="1:20" ht="15" x14ac:dyDescent="0.25">
      <c r="A437" s="420"/>
      <c r="B437" s="651"/>
      <c r="C437" s="1128"/>
      <c r="D437" s="527" t="s">
        <v>1814</v>
      </c>
      <c r="E437" s="1162" t="s">
        <v>1815</v>
      </c>
      <c r="F437" s="700"/>
      <c r="G437" s="692">
        <v>379</v>
      </c>
      <c r="H437" s="692">
        <v>379</v>
      </c>
      <c r="I437" s="1066">
        <f t="shared" si="53"/>
        <v>100</v>
      </c>
    </row>
    <row r="438" spans="1:20" ht="15" x14ac:dyDescent="0.25">
      <c r="A438" s="420">
        <v>1038</v>
      </c>
      <c r="B438" s="651">
        <v>3124</v>
      </c>
      <c r="C438" s="651">
        <v>5336</v>
      </c>
      <c r="D438" s="1061"/>
      <c r="E438" s="616" t="s">
        <v>1740</v>
      </c>
      <c r="F438" s="1064"/>
      <c r="G438" s="1064">
        <f>G439</f>
        <v>2168</v>
      </c>
      <c r="H438" s="1064">
        <f>H439</f>
        <v>2168</v>
      </c>
      <c r="I438" s="691">
        <f t="shared" si="53"/>
        <v>100</v>
      </c>
    </row>
    <row r="439" spans="1:20" ht="15" x14ac:dyDescent="0.2">
      <c r="A439" s="420"/>
      <c r="B439" s="617"/>
      <c r="C439" s="617"/>
      <c r="D439" s="518" t="s">
        <v>1807</v>
      </c>
      <c r="E439" s="442" t="s">
        <v>716</v>
      </c>
      <c r="F439" s="1232"/>
      <c r="G439" s="1117">
        <v>2168</v>
      </c>
      <c r="H439" s="1117">
        <v>2168</v>
      </c>
      <c r="I439" s="679">
        <f t="shared" si="53"/>
        <v>100</v>
      </c>
    </row>
    <row r="440" spans="1:20" ht="15" x14ac:dyDescent="0.25">
      <c r="A440" s="420">
        <v>1038</v>
      </c>
      <c r="B440" s="617">
        <v>3141</v>
      </c>
      <c r="C440" s="617">
        <v>5336</v>
      </c>
      <c r="D440" s="518"/>
      <c r="E440" s="616" t="s">
        <v>1740</v>
      </c>
      <c r="F440" s="1232"/>
      <c r="G440" s="1232">
        <v>56</v>
      </c>
      <c r="H440" s="1232">
        <v>56</v>
      </c>
      <c r="I440" s="707">
        <f t="shared" si="53"/>
        <v>100</v>
      </c>
    </row>
    <row r="441" spans="1:20" ht="15" x14ac:dyDescent="0.2">
      <c r="A441" s="420"/>
      <c r="B441" s="617"/>
      <c r="C441" s="617"/>
      <c r="D441" s="518" t="s">
        <v>1807</v>
      </c>
      <c r="E441" s="442" t="s">
        <v>716</v>
      </c>
      <c r="F441" s="1232"/>
      <c r="G441" s="1117">
        <v>56</v>
      </c>
      <c r="H441" s="1117">
        <v>56</v>
      </c>
      <c r="I441" s="679">
        <f t="shared" si="53"/>
        <v>100</v>
      </c>
    </row>
    <row r="442" spans="1:20" ht="15" x14ac:dyDescent="0.25">
      <c r="A442" s="420">
        <v>1038</v>
      </c>
      <c r="B442" s="651">
        <v>3143</v>
      </c>
      <c r="C442" s="651">
        <v>5336</v>
      </c>
      <c r="D442" s="712"/>
      <c r="E442" s="616" t="s">
        <v>1740</v>
      </c>
      <c r="F442" s="690"/>
      <c r="G442" s="690">
        <v>457</v>
      </c>
      <c r="H442" s="690">
        <v>457</v>
      </c>
      <c r="I442" s="691">
        <f t="shared" si="53"/>
        <v>100</v>
      </c>
    </row>
    <row r="443" spans="1:20" ht="14.25" x14ac:dyDescent="0.2">
      <c r="A443" s="420"/>
      <c r="B443" s="651"/>
      <c r="C443" s="651"/>
      <c r="D443" s="518" t="s">
        <v>1807</v>
      </c>
      <c r="E443" s="442" t="s">
        <v>716</v>
      </c>
      <c r="F443" s="689"/>
      <c r="G443" s="689">
        <v>457</v>
      </c>
      <c r="H443" s="689">
        <v>457</v>
      </c>
      <c r="I443" s="684">
        <f t="shared" si="53"/>
        <v>100</v>
      </c>
    </row>
    <row r="444" spans="1:20" ht="15" x14ac:dyDescent="0.25">
      <c r="A444" s="420">
        <v>1038</v>
      </c>
      <c r="B444" s="651">
        <v>3293</v>
      </c>
      <c r="C444" s="651">
        <v>5336</v>
      </c>
      <c r="D444" s="712"/>
      <c r="E444" s="616" t="s">
        <v>1740</v>
      </c>
      <c r="F444" s="700"/>
      <c r="G444" s="700">
        <v>5</v>
      </c>
      <c r="H444" s="700">
        <v>5</v>
      </c>
      <c r="I444" s="691">
        <f t="shared" si="53"/>
        <v>100</v>
      </c>
    </row>
    <row r="445" spans="1:20" ht="15" thickBot="1" x14ac:dyDescent="0.25">
      <c r="A445" s="420"/>
      <c r="B445" s="651"/>
      <c r="C445" s="651"/>
      <c r="D445" s="887" t="s">
        <v>1819</v>
      </c>
      <c r="E445" s="1975" t="s">
        <v>1085</v>
      </c>
      <c r="F445" s="689"/>
      <c r="G445" s="689">
        <v>5</v>
      </c>
      <c r="H445" s="689">
        <v>5</v>
      </c>
      <c r="I445" s="684">
        <f t="shared" si="53"/>
        <v>100</v>
      </c>
    </row>
    <row r="446" spans="1:20" ht="16.5" thickTop="1" thickBot="1" x14ac:dyDescent="0.3">
      <c r="A446" s="3110" t="s">
        <v>1000</v>
      </c>
      <c r="B446" s="3111"/>
      <c r="C446" s="3111"/>
      <c r="D446" s="3111"/>
      <c r="E446" s="3111"/>
      <c r="F446" s="680">
        <f>SUM(F424,F442,F438,F444)</f>
        <v>875</v>
      </c>
      <c r="G446" s="680">
        <f>SUM(G424,G442,G438,G444,G440,G427)</f>
        <v>12382</v>
      </c>
      <c r="H446" s="680">
        <f>SUM(H424,H442,H438,H444,H440,H427)</f>
        <v>12382</v>
      </c>
      <c r="I446" s="681">
        <f>(H446/G446)*100</f>
        <v>100</v>
      </c>
      <c r="R446" s="374">
        <f>F446</f>
        <v>875</v>
      </c>
      <c r="S446" s="374">
        <f>G446</f>
        <v>12382</v>
      </c>
      <c r="T446" s="374">
        <f>H446</f>
        <v>12382</v>
      </c>
    </row>
    <row r="447" spans="1:20" s="1165" customFormat="1" ht="13.5" thickTop="1" x14ac:dyDescent="0.2">
      <c r="B447" s="1178"/>
      <c r="D447" s="1179"/>
      <c r="F447" s="1177"/>
      <c r="G447" s="1177"/>
      <c r="H447" s="1177"/>
      <c r="I447" s="1180"/>
    </row>
    <row r="448" spans="1:20" s="1165" customFormat="1" x14ac:dyDescent="0.2">
      <c r="B448" s="1178"/>
      <c r="D448" s="1179"/>
      <c r="F448" s="1177"/>
      <c r="G448" s="1177"/>
      <c r="H448" s="1177"/>
      <c r="I448" s="1180"/>
    </row>
    <row r="449" spans="1:9" ht="13.5" thickBot="1" x14ac:dyDescent="0.25">
      <c r="A449" s="421" t="s">
        <v>48</v>
      </c>
      <c r="I449" s="1125" t="s">
        <v>148</v>
      </c>
    </row>
    <row r="450" spans="1:9" s="106" customFormat="1" thickTop="1" thickBot="1" x14ac:dyDescent="0.25">
      <c r="A450" s="586" t="s">
        <v>565</v>
      </c>
      <c r="B450" s="658" t="s">
        <v>149</v>
      </c>
      <c r="C450" s="587" t="s">
        <v>150</v>
      </c>
      <c r="D450" s="589" t="s">
        <v>639</v>
      </c>
      <c r="E450" s="589" t="s">
        <v>151</v>
      </c>
      <c r="F450" s="589" t="s">
        <v>569</v>
      </c>
      <c r="G450" s="589" t="s">
        <v>570</v>
      </c>
      <c r="H450" s="589" t="s">
        <v>797</v>
      </c>
      <c r="I450" s="674" t="s">
        <v>798</v>
      </c>
    </row>
    <row r="451" spans="1:9" s="375" customFormat="1" ht="13.5" thickTop="1" thickBot="1" x14ac:dyDescent="0.25">
      <c r="A451" s="525">
        <v>1</v>
      </c>
      <c r="B451" s="526">
        <v>2</v>
      </c>
      <c r="C451" s="526">
        <v>3</v>
      </c>
      <c r="D451" s="526">
        <v>4</v>
      </c>
      <c r="E451" s="526">
        <v>5</v>
      </c>
      <c r="F451" s="512">
        <v>6</v>
      </c>
      <c r="G451" s="512">
        <v>7</v>
      </c>
      <c r="H451" s="513">
        <v>8</v>
      </c>
      <c r="I451" s="591" t="s">
        <v>689</v>
      </c>
    </row>
    <row r="452" spans="1:9" ht="15.75" thickTop="1" x14ac:dyDescent="0.25">
      <c r="A452" s="420">
        <v>1040</v>
      </c>
      <c r="B452" s="651">
        <v>3112</v>
      </c>
      <c r="C452" s="651">
        <v>5336</v>
      </c>
      <c r="D452" s="712"/>
      <c r="E452" s="616" t="s">
        <v>1740</v>
      </c>
      <c r="F452" s="692"/>
      <c r="G452" s="700">
        <f>G453</f>
        <v>6205</v>
      </c>
      <c r="H452" s="700">
        <f>H453</f>
        <v>6205</v>
      </c>
      <c r="I452" s="677">
        <f t="shared" ref="I452:I470" si="56">(H452/G452)*100</f>
        <v>100</v>
      </c>
    </row>
    <row r="453" spans="1:9" ht="15" x14ac:dyDescent="0.25">
      <c r="A453" s="420"/>
      <c r="B453" s="651"/>
      <c r="C453" s="651"/>
      <c r="D453" s="527" t="s">
        <v>1807</v>
      </c>
      <c r="E453" s="721" t="s">
        <v>716</v>
      </c>
      <c r="F453" s="690"/>
      <c r="G453" s="692">
        <v>6205</v>
      </c>
      <c r="H453" s="692">
        <v>6205</v>
      </c>
      <c r="I453" s="679">
        <f t="shared" si="56"/>
        <v>100</v>
      </c>
    </row>
    <row r="454" spans="1:9" ht="15" x14ac:dyDescent="0.25">
      <c r="A454" s="420">
        <v>1040</v>
      </c>
      <c r="B454" s="617">
        <v>3114</v>
      </c>
      <c r="C454" s="617">
        <v>5331</v>
      </c>
      <c r="D454" s="675"/>
      <c r="E454" s="664" t="s">
        <v>858</v>
      </c>
      <c r="F454" s="676">
        <f>SUM(F455:F456)</f>
        <v>1921</v>
      </c>
      <c r="G454" s="676">
        <f>SUM(G455:G456)</f>
        <v>320</v>
      </c>
      <c r="H454" s="676">
        <f>SUM(H455:H456)</f>
        <v>320</v>
      </c>
      <c r="I454" s="677">
        <f t="shared" si="56"/>
        <v>100</v>
      </c>
    </row>
    <row r="455" spans="1:9" ht="14.25" x14ac:dyDescent="0.2">
      <c r="A455" s="420"/>
      <c r="B455" s="617"/>
      <c r="C455" s="617"/>
      <c r="D455" s="636" t="s">
        <v>1811</v>
      </c>
      <c r="E455" s="1162" t="s">
        <v>717</v>
      </c>
      <c r="F455" s="683">
        <v>51</v>
      </c>
      <c r="G455" s="683">
        <v>8</v>
      </c>
      <c r="H455" s="683">
        <v>8</v>
      </c>
      <c r="I455" s="679">
        <f t="shared" si="56"/>
        <v>100</v>
      </c>
    </row>
    <row r="456" spans="1:9" ht="14.25" x14ac:dyDescent="0.2">
      <c r="A456" s="420"/>
      <c r="B456" s="617"/>
      <c r="C456" s="617"/>
      <c r="D456" s="518" t="s">
        <v>1812</v>
      </c>
      <c r="E456" s="442" t="s">
        <v>63</v>
      </c>
      <c r="F456" s="683">
        <v>1870</v>
      </c>
      <c r="G456" s="683">
        <v>312</v>
      </c>
      <c r="H456" s="683">
        <v>312</v>
      </c>
      <c r="I456" s="679">
        <f t="shared" si="56"/>
        <v>100</v>
      </c>
    </row>
    <row r="457" spans="1:9" s="1354" customFormat="1" ht="15" x14ac:dyDescent="0.25">
      <c r="A457" s="1675">
        <v>1040</v>
      </c>
      <c r="B457" s="651">
        <v>3114</v>
      </c>
      <c r="C457" s="651">
        <v>5336</v>
      </c>
      <c r="D457" s="1061"/>
      <c r="E457" s="616" t="s">
        <v>1740</v>
      </c>
      <c r="F457" s="1062"/>
      <c r="G457" s="1064">
        <f>G458+G459+G460</f>
        <v>19365</v>
      </c>
      <c r="H457" s="1064">
        <f>H458+H459+H460</f>
        <v>19365</v>
      </c>
      <c r="I457" s="677">
        <f t="shared" si="56"/>
        <v>100</v>
      </c>
    </row>
    <row r="458" spans="1:9" s="1354" customFormat="1" ht="15" x14ac:dyDescent="0.2">
      <c r="A458" s="1675"/>
      <c r="B458" s="651"/>
      <c r="C458" s="651"/>
      <c r="D458" s="887" t="s">
        <v>1808</v>
      </c>
      <c r="E458" s="1676" t="s">
        <v>1739</v>
      </c>
      <c r="F458" s="1964"/>
      <c r="G458" s="1965">
        <v>602</v>
      </c>
      <c r="H458" s="1965">
        <v>602</v>
      </c>
      <c r="I458" s="368">
        <f t="shared" ref="I458:I459" si="57">(H458/G458)*100</f>
        <v>100</v>
      </c>
    </row>
    <row r="459" spans="1:9" s="1354" customFormat="1" ht="28.5" x14ac:dyDescent="0.2">
      <c r="A459" s="1675"/>
      <c r="B459" s="651"/>
      <c r="C459" s="651"/>
      <c r="D459" s="1061" t="s">
        <v>1809</v>
      </c>
      <c r="E459" s="2019" t="s">
        <v>1810</v>
      </c>
      <c r="F459" s="1964"/>
      <c r="G459" s="2031">
        <v>145</v>
      </c>
      <c r="H459" s="2031">
        <v>145</v>
      </c>
      <c r="I459" s="1234">
        <f t="shared" si="57"/>
        <v>100</v>
      </c>
    </row>
    <row r="460" spans="1:9" s="1354" customFormat="1" ht="14.25" x14ac:dyDescent="0.2">
      <c r="A460" s="1675"/>
      <c r="B460" s="651"/>
      <c r="C460" s="651"/>
      <c r="D460" s="518" t="s">
        <v>1807</v>
      </c>
      <c r="E460" s="442" t="s">
        <v>716</v>
      </c>
      <c r="F460" s="1062"/>
      <c r="G460" s="1062">
        <v>18618</v>
      </c>
      <c r="H460" s="1062">
        <v>18618</v>
      </c>
      <c r="I460" s="679">
        <f t="shared" si="56"/>
        <v>100</v>
      </c>
    </row>
    <row r="461" spans="1:9" ht="15" x14ac:dyDescent="0.25">
      <c r="A461" s="420">
        <v>1040</v>
      </c>
      <c r="B461" s="651">
        <v>3124</v>
      </c>
      <c r="C461" s="651">
        <v>5336</v>
      </c>
      <c r="D461" s="518"/>
      <c r="E461" s="616" t="s">
        <v>1740</v>
      </c>
      <c r="F461" s="692"/>
      <c r="G461" s="700">
        <f>G462</f>
        <v>1400</v>
      </c>
      <c r="H461" s="700">
        <f>H462</f>
        <v>1400</v>
      </c>
      <c r="I461" s="677">
        <f t="shared" si="56"/>
        <v>100</v>
      </c>
    </row>
    <row r="462" spans="1:9" ht="14.25" x14ac:dyDescent="0.2">
      <c r="A462" s="420"/>
      <c r="B462" s="651"/>
      <c r="C462" s="651"/>
      <c r="D462" s="518" t="s">
        <v>1807</v>
      </c>
      <c r="E462" s="442" t="s">
        <v>716</v>
      </c>
      <c r="F462" s="689"/>
      <c r="G462" s="689">
        <v>1400</v>
      </c>
      <c r="H462" s="689">
        <v>1400</v>
      </c>
      <c r="I462" s="684">
        <f t="shared" si="56"/>
        <v>100</v>
      </c>
    </row>
    <row r="463" spans="1:9" ht="15" x14ac:dyDescent="0.25">
      <c r="A463" s="420">
        <v>1040</v>
      </c>
      <c r="B463" s="651">
        <v>3141</v>
      </c>
      <c r="C463" s="651">
        <v>5336</v>
      </c>
      <c r="D463" s="518"/>
      <c r="E463" s="616" t="s">
        <v>1740</v>
      </c>
      <c r="F463" s="700"/>
      <c r="G463" s="700">
        <v>222</v>
      </c>
      <c r="H463" s="700">
        <v>222</v>
      </c>
      <c r="I463" s="693">
        <f t="shared" si="56"/>
        <v>100</v>
      </c>
    </row>
    <row r="464" spans="1:9" ht="14.25" x14ac:dyDescent="0.2">
      <c r="A464" s="420"/>
      <c r="B464" s="651"/>
      <c r="C464" s="651"/>
      <c r="D464" s="518" t="s">
        <v>1807</v>
      </c>
      <c r="E464" s="442" t="s">
        <v>716</v>
      </c>
      <c r="F464" s="689"/>
      <c r="G464" s="689">
        <v>222</v>
      </c>
      <c r="H464" s="689">
        <v>222</v>
      </c>
      <c r="I464" s="684">
        <f t="shared" si="56"/>
        <v>100</v>
      </c>
    </row>
    <row r="465" spans="1:20" ht="15" x14ac:dyDescent="0.25">
      <c r="A465" s="420">
        <v>1040</v>
      </c>
      <c r="B465" s="651">
        <v>3143</v>
      </c>
      <c r="C465" s="651">
        <v>5336</v>
      </c>
      <c r="D465" s="518"/>
      <c r="E465" s="616" t="s">
        <v>1740</v>
      </c>
      <c r="F465" s="689"/>
      <c r="G465" s="700">
        <v>803</v>
      </c>
      <c r="H465" s="700">
        <v>803</v>
      </c>
      <c r="I465" s="693">
        <f t="shared" si="56"/>
        <v>100</v>
      </c>
    </row>
    <row r="466" spans="1:20" ht="14.25" x14ac:dyDescent="0.2">
      <c r="A466" s="420"/>
      <c r="B466" s="651"/>
      <c r="C466" s="1128"/>
      <c r="D466" s="518" t="s">
        <v>1807</v>
      </c>
      <c r="E466" s="442" t="s">
        <v>716</v>
      </c>
      <c r="F466" s="689"/>
      <c r="G466" s="689">
        <v>803</v>
      </c>
      <c r="H466" s="689">
        <v>803</v>
      </c>
      <c r="I466" s="684">
        <f t="shared" si="56"/>
        <v>100</v>
      </c>
    </row>
    <row r="467" spans="1:20" ht="15" x14ac:dyDescent="0.25">
      <c r="A467" s="420">
        <v>1040</v>
      </c>
      <c r="B467" s="651">
        <v>3145</v>
      </c>
      <c r="C467" s="651">
        <v>5336</v>
      </c>
      <c r="D467" s="518"/>
      <c r="E467" s="616" t="s">
        <v>1740</v>
      </c>
      <c r="F467" s="689"/>
      <c r="G467" s="700">
        <v>1320</v>
      </c>
      <c r="H467" s="700">
        <v>1320</v>
      </c>
      <c r="I467" s="693">
        <f t="shared" si="56"/>
        <v>100</v>
      </c>
    </row>
    <row r="468" spans="1:20" ht="14.25" x14ac:dyDescent="0.2">
      <c r="A468" s="420"/>
      <c r="B468" s="651"/>
      <c r="C468" s="1128"/>
      <c r="D468" s="518" t="s">
        <v>1807</v>
      </c>
      <c r="E468" s="442" t="s">
        <v>716</v>
      </c>
      <c r="F468" s="689"/>
      <c r="G468" s="689">
        <v>1320</v>
      </c>
      <c r="H468" s="689">
        <v>1320</v>
      </c>
      <c r="I468" s="684">
        <f t="shared" si="56"/>
        <v>100</v>
      </c>
    </row>
    <row r="469" spans="1:20" ht="15" x14ac:dyDescent="0.25">
      <c r="A469" s="420">
        <v>1040</v>
      </c>
      <c r="B469" s="651">
        <v>3792</v>
      </c>
      <c r="C469" s="1128">
        <v>5331</v>
      </c>
      <c r="D469" s="518"/>
      <c r="E469" s="616" t="s">
        <v>858</v>
      </c>
      <c r="F469" s="700"/>
      <c r="G469" s="700">
        <v>8</v>
      </c>
      <c r="H469" s="700">
        <v>8</v>
      </c>
      <c r="I469" s="693">
        <f t="shared" si="56"/>
        <v>100</v>
      </c>
    </row>
    <row r="470" spans="1:20" ht="18" customHeight="1" thickBot="1" x14ac:dyDescent="0.25">
      <c r="A470" s="420"/>
      <c r="B470" s="651"/>
      <c r="C470" s="1128"/>
      <c r="D470" s="878" t="s">
        <v>1824</v>
      </c>
      <c r="E470" s="956" t="s">
        <v>338</v>
      </c>
      <c r="F470" s="689"/>
      <c r="G470" s="689">
        <v>8</v>
      </c>
      <c r="H470" s="689">
        <v>8</v>
      </c>
      <c r="I470" s="684">
        <f t="shared" si="56"/>
        <v>100</v>
      </c>
    </row>
    <row r="471" spans="1:20" ht="16.5" thickTop="1" thickBot="1" x14ac:dyDescent="0.3">
      <c r="A471" s="3110" t="s">
        <v>1000</v>
      </c>
      <c r="B471" s="3111"/>
      <c r="C471" s="3111"/>
      <c r="D471" s="3111"/>
      <c r="E471" s="3111"/>
      <c r="F471" s="680">
        <f>F454</f>
        <v>1921</v>
      </c>
      <c r="G471" s="680">
        <f>G469+G467+G465+G463+G461+G457+G454+G452</f>
        <v>29643</v>
      </c>
      <c r="H471" s="680">
        <f>H469+H467+H465+H463+H461+H457+H454+H452</f>
        <v>29643</v>
      </c>
      <c r="I471" s="681">
        <f>(H471/G471)*100</f>
        <v>100</v>
      </c>
      <c r="R471" s="374">
        <f>F471</f>
        <v>1921</v>
      </c>
      <c r="S471" s="374">
        <f>G471</f>
        <v>29643</v>
      </c>
      <c r="T471" s="374">
        <f>H471</f>
        <v>29643</v>
      </c>
    </row>
    <row r="472" spans="1:20" ht="13.5" thickTop="1" x14ac:dyDescent="0.2"/>
    <row r="473" spans="1:20" s="1728" customFormat="1" ht="20.25" customHeight="1" thickBot="1" x14ac:dyDescent="0.25">
      <c r="A473" s="1764" t="s">
        <v>1743</v>
      </c>
      <c r="B473" s="2939"/>
      <c r="D473" s="1832"/>
      <c r="F473" s="1733"/>
      <c r="G473" s="1733"/>
      <c r="H473" s="1733"/>
      <c r="I473" s="2940" t="s">
        <v>148</v>
      </c>
    </row>
    <row r="474" spans="1:20" s="2946" customFormat="1" thickTop="1" thickBot="1" x14ac:dyDescent="0.25">
      <c r="A474" s="2941" t="s">
        <v>565</v>
      </c>
      <c r="B474" s="2942" t="s">
        <v>149</v>
      </c>
      <c r="C474" s="2943" t="s">
        <v>150</v>
      </c>
      <c r="D474" s="2944" t="s">
        <v>639</v>
      </c>
      <c r="E474" s="2944" t="s">
        <v>151</v>
      </c>
      <c r="F474" s="2944" t="s">
        <v>569</v>
      </c>
      <c r="G474" s="2944" t="s">
        <v>570</v>
      </c>
      <c r="H474" s="2944" t="s">
        <v>797</v>
      </c>
      <c r="I474" s="2945" t="s">
        <v>798</v>
      </c>
    </row>
    <row r="475" spans="1:20" s="2951" customFormat="1" ht="13.5" thickTop="1" thickBot="1" x14ac:dyDescent="0.25">
      <c r="A475" s="1783">
        <v>1</v>
      </c>
      <c r="B475" s="2947">
        <v>2</v>
      </c>
      <c r="C475" s="2947">
        <v>3</v>
      </c>
      <c r="D475" s="2947">
        <v>4</v>
      </c>
      <c r="E475" s="2947">
        <v>5</v>
      </c>
      <c r="F475" s="2948">
        <v>6</v>
      </c>
      <c r="G475" s="2948">
        <v>7</v>
      </c>
      <c r="H475" s="2949">
        <v>8</v>
      </c>
      <c r="I475" s="2950" t="s">
        <v>689</v>
      </c>
    </row>
    <row r="476" spans="1:20" s="2951" customFormat="1" ht="15.75" thickTop="1" x14ac:dyDescent="0.25">
      <c r="A476" s="1747">
        <v>1041</v>
      </c>
      <c r="B476" s="2952">
        <v>3112</v>
      </c>
      <c r="C476" s="2952">
        <v>5336</v>
      </c>
      <c r="D476" s="2953"/>
      <c r="E476" s="2954" t="s">
        <v>1740</v>
      </c>
      <c r="F476" s="1887"/>
      <c r="G476" s="2955">
        <f>G477</f>
        <v>2275</v>
      </c>
      <c r="H476" s="2955">
        <f>H477</f>
        <v>2275</v>
      </c>
      <c r="I476" s="2956">
        <f t="shared" ref="I476:I477" si="58">(H476/G476)*100</f>
        <v>100</v>
      </c>
    </row>
    <row r="477" spans="1:20" s="2951" customFormat="1" ht="15" x14ac:dyDescent="0.25">
      <c r="A477" s="1747"/>
      <c r="B477" s="2957"/>
      <c r="C477" s="2957"/>
      <c r="D477" s="2953" t="s">
        <v>1807</v>
      </c>
      <c r="E477" s="2958" t="s">
        <v>716</v>
      </c>
      <c r="F477" s="2959"/>
      <c r="G477" s="2960">
        <v>2275</v>
      </c>
      <c r="H477" s="2960">
        <v>2275</v>
      </c>
      <c r="I477" s="2961">
        <f t="shared" si="58"/>
        <v>100</v>
      </c>
    </row>
    <row r="478" spans="1:20" s="1728" customFormat="1" ht="15" x14ac:dyDescent="0.25">
      <c r="A478" s="1747">
        <v>1041</v>
      </c>
      <c r="B478" s="2957">
        <v>3114</v>
      </c>
      <c r="C478" s="2957">
        <v>5331</v>
      </c>
      <c r="D478" s="2962"/>
      <c r="E478" s="2963" t="s">
        <v>858</v>
      </c>
      <c r="F478" s="2959">
        <f>SUM(F479:F482)</f>
        <v>6702</v>
      </c>
      <c r="G478" s="2959">
        <f>SUM(G479:G480)</f>
        <v>1118</v>
      </c>
      <c r="H478" s="2959">
        <f>SUM(H479:H480)</f>
        <v>1118</v>
      </c>
      <c r="I478" s="2964">
        <f t="shared" ref="I478:I497" si="59">(H478/G478)*100</f>
        <v>100</v>
      </c>
    </row>
    <row r="479" spans="1:20" s="1728" customFormat="1" ht="14.25" x14ac:dyDescent="0.2">
      <c r="A479" s="1747"/>
      <c r="B479" s="2957"/>
      <c r="C479" s="2957"/>
      <c r="D479" s="2965" t="s">
        <v>1811</v>
      </c>
      <c r="E479" s="2966" t="s">
        <v>717</v>
      </c>
      <c r="F479" s="1887">
        <v>1212</v>
      </c>
      <c r="G479" s="2960">
        <v>202</v>
      </c>
      <c r="H479" s="2960">
        <v>202</v>
      </c>
      <c r="I479" s="2961">
        <f t="shared" si="59"/>
        <v>100</v>
      </c>
    </row>
    <row r="480" spans="1:20" s="1728" customFormat="1" ht="14.25" x14ac:dyDescent="0.2">
      <c r="A480" s="1747"/>
      <c r="B480" s="2957"/>
      <c r="C480" s="2957"/>
      <c r="D480" s="2953" t="s">
        <v>1812</v>
      </c>
      <c r="E480" s="2958" t="s">
        <v>63</v>
      </c>
      <c r="F480" s="1887">
        <v>5490</v>
      </c>
      <c r="G480" s="2960">
        <v>916</v>
      </c>
      <c r="H480" s="2960">
        <v>916</v>
      </c>
      <c r="I480" s="2961">
        <f t="shared" si="59"/>
        <v>100</v>
      </c>
    </row>
    <row r="481" spans="1:9" s="1728" customFormat="1" ht="15" x14ac:dyDescent="0.25">
      <c r="A481" s="1747">
        <v>1041</v>
      </c>
      <c r="B481" s="2952">
        <v>3114</v>
      </c>
      <c r="C481" s="2952">
        <v>5336</v>
      </c>
      <c r="D481" s="2953"/>
      <c r="E481" s="2954" t="s">
        <v>1740</v>
      </c>
      <c r="F481" s="1887"/>
      <c r="G481" s="2955">
        <f>+G482</f>
        <v>7991</v>
      </c>
      <c r="H481" s="2955">
        <f>+H482</f>
        <v>7991</v>
      </c>
      <c r="I481" s="2956">
        <f t="shared" si="59"/>
        <v>100</v>
      </c>
    </row>
    <row r="482" spans="1:9" s="1728" customFormat="1" ht="15" x14ac:dyDescent="0.25">
      <c r="A482" s="1747"/>
      <c r="B482" s="2957"/>
      <c r="C482" s="2957"/>
      <c r="D482" s="2953" t="s">
        <v>1807</v>
      </c>
      <c r="E482" s="2958" t="s">
        <v>716</v>
      </c>
      <c r="F482" s="2959"/>
      <c r="G482" s="2960">
        <v>7991</v>
      </c>
      <c r="H482" s="2960">
        <v>7991</v>
      </c>
      <c r="I482" s="2961">
        <f t="shared" si="59"/>
        <v>100</v>
      </c>
    </row>
    <row r="483" spans="1:9" s="1728" customFormat="1" ht="15" x14ac:dyDescent="0.25">
      <c r="A483" s="1747">
        <v>1041</v>
      </c>
      <c r="B483" s="2952">
        <v>3124</v>
      </c>
      <c r="C483" s="2952">
        <v>5336</v>
      </c>
      <c r="D483" s="2953"/>
      <c r="E483" s="2954" t="s">
        <v>1740</v>
      </c>
      <c r="F483" s="2967"/>
      <c r="G483" s="2968">
        <v>244</v>
      </c>
      <c r="H483" s="2968">
        <v>244</v>
      </c>
      <c r="I483" s="2969">
        <f t="shared" si="59"/>
        <v>100</v>
      </c>
    </row>
    <row r="484" spans="1:9" s="1728" customFormat="1" ht="15" x14ac:dyDescent="0.25">
      <c r="A484" s="1747"/>
      <c r="B484" s="2952"/>
      <c r="C484" s="2970"/>
      <c r="D484" s="2953" t="s">
        <v>1807</v>
      </c>
      <c r="E484" s="2958" t="s">
        <v>716</v>
      </c>
      <c r="F484" s="2971"/>
      <c r="G484" s="2972">
        <v>244</v>
      </c>
      <c r="H484" s="2972">
        <v>244</v>
      </c>
      <c r="I484" s="2973">
        <f t="shared" si="59"/>
        <v>100</v>
      </c>
    </row>
    <row r="485" spans="1:9" s="1728" customFormat="1" ht="15" x14ac:dyDescent="0.25">
      <c r="A485" s="1747">
        <v>1041</v>
      </c>
      <c r="B485" s="2952">
        <v>3133</v>
      </c>
      <c r="C485" s="2970">
        <v>5336</v>
      </c>
      <c r="D485" s="2974"/>
      <c r="E485" s="2954" t="s">
        <v>1740</v>
      </c>
      <c r="F485" s="2971"/>
      <c r="G485" s="2968">
        <f>G486+G487+G488+G489+G490</f>
        <v>18359</v>
      </c>
      <c r="H485" s="2968">
        <f>H486+H487+H488+H489+H490</f>
        <v>18359</v>
      </c>
      <c r="I485" s="2969">
        <f t="shared" si="59"/>
        <v>100</v>
      </c>
    </row>
    <row r="486" spans="1:9" s="1728" customFormat="1" ht="15" x14ac:dyDescent="0.25">
      <c r="A486" s="1747"/>
      <c r="B486" s="2952"/>
      <c r="C486" s="2970"/>
      <c r="D486" s="2975" t="s">
        <v>1808</v>
      </c>
      <c r="E486" s="2976" t="s">
        <v>1739</v>
      </c>
      <c r="F486" s="2971"/>
      <c r="G486" s="2967">
        <v>703</v>
      </c>
      <c r="H486" s="2967">
        <v>703</v>
      </c>
      <c r="I486" s="1888">
        <f t="shared" si="59"/>
        <v>100</v>
      </c>
    </row>
    <row r="487" spans="1:9" s="1728" customFormat="1" ht="28.5" x14ac:dyDescent="0.25">
      <c r="A487" s="1747"/>
      <c r="B487" s="2952"/>
      <c r="C487" s="2970"/>
      <c r="D487" s="2977" t="s">
        <v>1809</v>
      </c>
      <c r="E487" s="2978" t="s">
        <v>1810</v>
      </c>
      <c r="F487" s="2971"/>
      <c r="G487" s="2979">
        <v>147</v>
      </c>
      <c r="H487" s="2979">
        <v>147</v>
      </c>
      <c r="I487" s="2980">
        <f t="shared" si="59"/>
        <v>100</v>
      </c>
    </row>
    <row r="488" spans="1:9" s="1728" customFormat="1" ht="15" x14ac:dyDescent="0.25">
      <c r="A488" s="1747"/>
      <c r="B488" s="2952"/>
      <c r="C488" s="2970"/>
      <c r="D488" s="2953" t="s">
        <v>1807</v>
      </c>
      <c r="E488" s="2958" t="s">
        <v>716</v>
      </c>
      <c r="F488" s="2971"/>
      <c r="G488" s="2972">
        <v>17305</v>
      </c>
      <c r="H488" s="2972">
        <v>17305</v>
      </c>
      <c r="I488" s="2973">
        <f t="shared" si="59"/>
        <v>100</v>
      </c>
    </row>
    <row r="489" spans="1:9" s="1728" customFormat="1" ht="15" x14ac:dyDescent="0.25">
      <c r="A489" s="1747"/>
      <c r="B489" s="2952"/>
      <c r="C489" s="2970"/>
      <c r="D489" s="2974" t="s">
        <v>1813</v>
      </c>
      <c r="E489" s="2966" t="s">
        <v>1815</v>
      </c>
      <c r="F489" s="2971"/>
      <c r="G489" s="2972">
        <v>31</v>
      </c>
      <c r="H489" s="2972">
        <v>31</v>
      </c>
      <c r="I489" s="2973">
        <f t="shared" si="59"/>
        <v>100</v>
      </c>
    </row>
    <row r="490" spans="1:9" s="1728" customFormat="1" ht="15.75" thickBot="1" x14ac:dyDescent="0.3">
      <c r="A490" s="1934"/>
      <c r="B490" s="3012"/>
      <c r="C490" s="3013"/>
      <c r="D490" s="3014" t="s">
        <v>1814</v>
      </c>
      <c r="E490" s="3015" t="s">
        <v>1815</v>
      </c>
      <c r="F490" s="3016"/>
      <c r="G490" s="3017">
        <v>173</v>
      </c>
      <c r="H490" s="3017">
        <v>173</v>
      </c>
      <c r="I490" s="3018">
        <f t="shared" si="59"/>
        <v>100</v>
      </c>
    </row>
    <row r="491" spans="1:9" s="1728" customFormat="1" ht="15.75" thickTop="1" x14ac:dyDescent="0.25">
      <c r="A491" s="1812"/>
      <c r="B491" s="2984"/>
      <c r="C491" s="1812"/>
      <c r="D491" s="2983"/>
      <c r="E491" s="1857"/>
      <c r="F491" s="2985"/>
      <c r="G491" s="2986"/>
      <c r="H491" s="2986"/>
      <c r="I491" s="2987"/>
    </row>
    <row r="492" spans="1:9" s="1728" customFormat="1" ht="15" x14ac:dyDescent="0.25">
      <c r="A492" s="1812"/>
      <c r="B492" s="2984"/>
      <c r="C492" s="1812"/>
      <c r="D492" s="2983"/>
      <c r="E492" s="1857"/>
      <c r="F492" s="2985"/>
      <c r="G492" s="2986"/>
      <c r="H492" s="2986"/>
      <c r="I492" s="2987"/>
    </row>
    <row r="493" spans="1:9" ht="15.75" thickBot="1" x14ac:dyDescent="0.3">
      <c r="A493" s="1982"/>
      <c r="B493" s="650"/>
      <c r="C493" s="1982"/>
      <c r="D493" s="2080"/>
      <c r="E493" s="2932"/>
      <c r="F493" s="2933"/>
      <c r="G493" s="2934"/>
      <c r="H493" s="2934"/>
      <c r="I493" s="2935" t="s">
        <v>148</v>
      </c>
    </row>
    <row r="494" spans="1:9" ht="14.25" thickTop="1" thickBot="1" x14ac:dyDescent="0.25">
      <c r="A494" s="586" t="s">
        <v>565</v>
      </c>
      <c r="B494" s="658" t="s">
        <v>149</v>
      </c>
      <c r="C494" s="587" t="s">
        <v>150</v>
      </c>
      <c r="D494" s="589" t="s">
        <v>639</v>
      </c>
      <c r="E494" s="589" t="s">
        <v>151</v>
      </c>
      <c r="F494" s="589" t="s">
        <v>569</v>
      </c>
      <c r="G494" s="589" t="s">
        <v>570</v>
      </c>
      <c r="H494" s="589" t="s">
        <v>797</v>
      </c>
      <c r="I494" s="674" t="s">
        <v>798</v>
      </c>
    </row>
    <row r="495" spans="1:9" ht="14.25" thickTop="1" thickBot="1" x14ac:dyDescent="0.25">
      <c r="A495" s="525">
        <v>1</v>
      </c>
      <c r="B495" s="526">
        <v>2</v>
      </c>
      <c r="C495" s="526">
        <v>3</v>
      </c>
      <c r="D495" s="526">
        <v>4</v>
      </c>
      <c r="E495" s="526">
        <v>5</v>
      </c>
      <c r="F495" s="512">
        <v>6</v>
      </c>
      <c r="G495" s="512">
        <v>7</v>
      </c>
      <c r="H495" s="513">
        <v>8</v>
      </c>
      <c r="I495" s="591" t="s">
        <v>689</v>
      </c>
    </row>
    <row r="496" spans="1:9" ht="15" customHeight="1" thickTop="1" x14ac:dyDescent="0.25">
      <c r="A496" s="420">
        <v>1041</v>
      </c>
      <c r="B496" s="651">
        <v>3141</v>
      </c>
      <c r="C496" s="1128">
        <v>5336</v>
      </c>
      <c r="D496" s="527"/>
      <c r="E496" s="616" t="s">
        <v>1740</v>
      </c>
      <c r="F496" s="692"/>
      <c r="G496" s="700">
        <v>605</v>
      </c>
      <c r="H496" s="700">
        <v>605</v>
      </c>
      <c r="I496" s="693">
        <f t="shared" si="59"/>
        <v>100</v>
      </c>
    </row>
    <row r="497" spans="1:20" ht="15" customHeight="1" x14ac:dyDescent="0.2">
      <c r="A497" s="420"/>
      <c r="B497" s="651"/>
      <c r="C497" s="1128"/>
      <c r="D497" s="518" t="s">
        <v>1807</v>
      </c>
      <c r="E497" s="442" t="s">
        <v>716</v>
      </c>
      <c r="F497" s="689"/>
      <c r="G497" s="689">
        <v>605</v>
      </c>
      <c r="H497" s="689">
        <v>605</v>
      </c>
      <c r="I497" s="684">
        <f t="shared" si="59"/>
        <v>100</v>
      </c>
    </row>
    <row r="498" spans="1:20" ht="15.75" customHeight="1" x14ac:dyDescent="0.25">
      <c r="A498" s="420">
        <v>1041</v>
      </c>
      <c r="B498" s="617">
        <v>3143</v>
      </c>
      <c r="C498" s="617">
        <v>5336</v>
      </c>
      <c r="D498" s="649"/>
      <c r="E498" s="616" t="s">
        <v>1740</v>
      </c>
      <c r="F498" s="1067"/>
      <c r="G498" s="1232">
        <v>476</v>
      </c>
      <c r="H498" s="1232">
        <v>476</v>
      </c>
      <c r="I498" s="691">
        <f>(H498/G498)*100</f>
        <v>100</v>
      </c>
    </row>
    <row r="499" spans="1:20" ht="15" thickBot="1" x14ac:dyDescent="0.25">
      <c r="A499" s="420"/>
      <c r="B499" s="617"/>
      <c r="C499" s="617"/>
      <c r="D499" s="518" t="s">
        <v>1807</v>
      </c>
      <c r="E499" s="442" t="s">
        <v>716</v>
      </c>
      <c r="F499" s="1067"/>
      <c r="G499" s="1067">
        <v>476</v>
      </c>
      <c r="H499" s="1067">
        <v>476</v>
      </c>
      <c r="I499" s="368">
        <f>(H499/G499)*100</f>
        <v>100</v>
      </c>
    </row>
    <row r="500" spans="1:20" ht="16.5" thickTop="1" thickBot="1" x14ac:dyDescent="0.3">
      <c r="A500" s="3110" t="s">
        <v>1000</v>
      </c>
      <c r="B500" s="3111"/>
      <c r="C500" s="3111"/>
      <c r="D500" s="3111"/>
      <c r="E500" s="3111"/>
      <c r="F500" s="680">
        <f>F478</f>
        <v>6702</v>
      </c>
      <c r="G500" s="680">
        <f>G498+G496+G485+G483+G481+G478+G476</f>
        <v>31068</v>
      </c>
      <c r="H500" s="680">
        <f>H498+H496+H485+H483+H481+H478+H476</f>
        <v>31068</v>
      </c>
      <c r="I500" s="681">
        <f>(H500/G500)*100</f>
        <v>100</v>
      </c>
      <c r="R500" s="374">
        <f>F500</f>
        <v>6702</v>
      </c>
      <c r="S500" s="374">
        <f>G500</f>
        <v>31068</v>
      </c>
      <c r="T500" s="374">
        <f>H500</f>
        <v>31068</v>
      </c>
    </row>
    <row r="501" spans="1:20" s="1165" customFormat="1" ht="13.5" thickTop="1" x14ac:dyDescent="0.2">
      <c r="B501" s="1178"/>
      <c r="D501" s="1179"/>
      <c r="F501" s="1177"/>
      <c r="G501" s="1177"/>
      <c r="H501" s="1177"/>
      <c r="I501" s="1180"/>
    </row>
    <row r="502" spans="1:20" ht="13.5" thickBot="1" x14ac:dyDescent="0.25">
      <c r="A502" s="421" t="s">
        <v>76</v>
      </c>
      <c r="I502" s="1125" t="s">
        <v>148</v>
      </c>
    </row>
    <row r="503" spans="1:20" s="106" customFormat="1" thickTop="1" thickBot="1" x14ac:dyDescent="0.25">
      <c r="A503" s="586" t="s">
        <v>565</v>
      </c>
      <c r="B503" s="658" t="s">
        <v>149</v>
      </c>
      <c r="C503" s="587" t="s">
        <v>150</v>
      </c>
      <c r="D503" s="589" t="s">
        <v>639</v>
      </c>
      <c r="E503" s="589" t="s">
        <v>151</v>
      </c>
      <c r="F503" s="589" t="s">
        <v>569</v>
      </c>
      <c r="G503" s="589" t="s">
        <v>570</v>
      </c>
      <c r="H503" s="589" t="s">
        <v>797</v>
      </c>
      <c r="I503" s="674" t="s">
        <v>798</v>
      </c>
    </row>
    <row r="504" spans="1:20" s="375" customFormat="1" ht="20.25" customHeight="1" thickTop="1" thickBot="1" x14ac:dyDescent="0.25">
      <c r="A504" s="525">
        <v>1</v>
      </c>
      <c r="B504" s="526">
        <v>2</v>
      </c>
      <c r="C504" s="526">
        <v>3</v>
      </c>
      <c r="D504" s="526">
        <v>4</v>
      </c>
      <c r="E504" s="526">
        <v>5</v>
      </c>
      <c r="F504" s="512">
        <v>6</v>
      </c>
      <c r="G504" s="512">
        <v>7</v>
      </c>
      <c r="H504" s="513">
        <v>8</v>
      </c>
      <c r="I504" s="591" t="s">
        <v>689</v>
      </c>
    </row>
    <row r="505" spans="1:20" ht="15.75" thickTop="1" x14ac:dyDescent="0.25">
      <c r="A505" s="1126">
        <v>1043</v>
      </c>
      <c r="B505" s="659">
        <v>3114</v>
      </c>
      <c r="C505" s="659">
        <v>5331</v>
      </c>
      <c r="D505" s="694"/>
      <c r="E505" s="713" t="s">
        <v>858</v>
      </c>
      <c r="F505" s="714">
        <f>SUM(F506,F507)</f>
        <v>2073</v>
      </c>
      <c r="G505" s="714">
        <f>G506+G507</f>
        <v>346</v>
      </c>
      <c r="H505" s="714">
        <f>H506+H507</f>
        <v>346</v>
      </c>
      <c r="I505" s="682">
        <f t="shared" ref="I505:I520" si="60">(H505/G505)*100</f>
        <v>100</v>
      </c>
    </row>
    <row r="506" spans="1:20" ht="14.25" x14ac:dyDescent="0.2">
      <c r="A506" s="420"/>
      <c r="B506" s="617"/>
      <c r="C506" s="617"/>
      <c r="D506" s="636" t="s">
        <v>1811</v>
      </c>
      <c r="E506" s="1162" t="s">
        <v>717</v>
      </c>
      <c r="F506" s="683">
        <v>285</v>
      </c>
      <c r="G506" s="683">
        <v>48</v>
      </c>
      <c r="H506" s="683">
        <v>48</v>
      </c>
      <c r="I506" s="679">
        <f t="shared" si="60"/>
        <v>100</v>
      </c>
    </row>
    <row r="507" spans="1:20" ht="14.25" x14ac:dyDescent="0.2">
      <c r="A507" s="420"/>
      <c r="B507" s="617"/>
      <c r="C507" s="617"/>
      <c r="D507" s="518" t="s">
        <v>1812</v>
      </c>
      <c r="E507" s="442" t="s">
        <v>63</v>
      </c>
      <c r="F507" s="683">
        <v>1788</v>
      </c>
      <c r="G507" s="683">
        <v>298</v>
      </c>
      <c r="H507" s="683">
        <v>298</v>
      </c>
      <c r="I507" s="679">
        <f t="shared" si="60"/>
        <v>100</v>
      </c>
    </row>
    <row r="508" spans="1:20" ht="15" x14ac:dyDescent="0.25">
      <c r="A508" s="420">
        <v>1043</v>
      </c>
      <c r="B508" s="651">
        <v>3114</v>
      </c>
      <c r="C508" s="651">
        <v>5336</v>
      </c>
      <c r="D508" s="1061"/>
      <c r="E508" s="616" t="s">
        <v>1740</v>
      </c>
      <c r="F508" s="1064"/>
      <c r="G508" s="1064">
        <f>G509+G510+G511+G512+G513+G515+G516</f>
        <v>18068</v>
      </c>
      <c r="H508" s="1064">
        <f>H509+H510+H511+H512+H513+H515+H516</f>
        <v>18068</v>
      </c>
      <c r="I508" s="691">
        <f t="shared" si="60"/>
        <v>100</v>
      </c>
    </row>
    <row r="509" spans="1:20" ht="14.25" x14ac:dyDescent="0.2">
      <c r="A509" s="420"/>
      <c r="B509" s="651"/>
      <c r="C509" s="651"/>
      <c r="D509" s="887" t="s">
        <v>1821</v>
      </c>
      <c r="E509" s="1676" t="s">
        <v>1739</v>
      </c>
      <c r="F509" s="352"/>
      <c r="G509" s="352">
        <v>6</v>
      </c>
      <c r="H509" s="352">
        <v>6</v>
      </c>
      <c r="I509" s="708">
        <f t="shared" si="60"/>
        <v>100</v>
      </c>
    </row>
    <row r="510" spans="1:20" ht="15" x14ac:dyDescent="0.2">
      <c r="A510" s="420"/>
      <c r="B510" s="651"/>
      <c r="C510" s="651"/>
      <c r="D510" s="887" t="s">
        <v>1808</v>
      </c>
      <c r="E510" s="1676" t="s">
        <v>1739</v>
      </c>
      <c r="F510" s="1964"/>
      <c r="G510" s="1965">
        <v>646</v>
      </c>
      <c r="H510" s="1965">
        <v>646</v>
      </c>
      <c r="I510" s="368">
        <f t="shared" ref="I510:I512" si="61">(H510/G510)*100</f>
        <v>100</v>
      </c>
    </row>
    <row r="511" spans="1:20" ht="28.5" x14ac:dyDescent="0.2">
      <c r="A511" s="420"/>
      <c r="B511" s="651"/>
      <c r="C511" s="651"/>
      <c r="D511" s="1061" t="s">
        <v>1809</v>
      </c>
      <c r="E511" s="2019" t="s">
        <v>1810</v>
      </c>
      <c r="F511" s="1964"/>
      <c r="G511" s="2031">
        <v>89</v>
      </c>
      <c r="H511" s="2031">
        <v>89</v>
      </c>
      <c r="I511" s="1234">
        <f t="shared" si="61"/>
        <v>100</v>
      </c>
    </row>
    <row r="512" spans="1:20" ht="15" x14ac:dyDescent="0.2">
      <c r="A512" s="420"/>
      <c r="B512" s="651"/>
      <c r="C512" s="651"/>
      <c r="D512" s="518" t="s">
        <v>1807</v>
      </c>
      <c r="E512" s="442" t="s">
        <v>716</v>
      </c>
      <c r="F512" s="1064"/>
      <c r="G512" s="1224">
        <v>16477</v>
      </c>
      <c r="H512" s="1224">
        <v>16477</v>
      </c>
      <c r="I512" s="684">
        <f t="shared" si="61"/>
        <v>100</v>
      </c>
    </row>
    <row r="513" spans="1:20" ht="14.25" customHeight="1" x14ac:dyDescent="0.2">
      <c r="A513" s="420"/>
      <c r="B513" s="651"/>
      <c r="C513" s="651"/>
      <c r="D513" s="649" t="s">
        <v>1825</v>
      </c>
      <c r="E513" s="3113" t="s">
        <v>1741</v>
      </c>
      <c r="F513" s="1062"/>
      <c r="G513" s="1062">
        <v>385</v>
      </c>
      <c r="H513" s="1062">
        <v>385</v>
      </c>
      <c r="I513" s="1063">
        <f t="shared" ref="I513:I516" si="62">(H513/G513)*100</f>
        <v>100</v>
      </c>
    </row>
    <row r="514" spans="1:20" ht="15" x14ac:dyDescent="0.2">
      <c r="A514" s="420"/>
      <c r="B514" s="651"/>
      <c r="C514" s="651"/>
      <c r="D514" s="1061"/>
      <c r="E514" s="3114"/>
      <c r="F514" s="1064"/>
      <c r="G514" s="1064"/>
      <c r="H514" s="1064"/>
      <c r="I514" s="1063"/>
    </row>
    <row r="515" spans="1:20" ht="15" x14ac:dyDescent="0.2">
      <c r="A515" s="420"/>
      <c r="B515" s="651"/>
      <c r="C515" s="651"/>
      <c r="D515" s="527" t="s">
        <v>1813</v>
      </c>
      <c r="E515" s="1162" t="s">
        <v>1815</v>
      </c>
      <c r="F515" s="1064"/>
      <c r="G515" s="1224">
        <v>70</v>
      </c>
      <c r="H515" s="1224">
        <v>70</v>
      </c>
      <c r="I515" s="1229">
        <f t="shared" si="62"/>
        <v>100</v>
      </c>
    </row>
    <row r="516" spans="1:20" ht="15" x14ac:dyDescent="0.2">
      <c r="A516" s="420"/>
      <c r="B516" s="651"/>
      <c r="C516" s="651"/>
      <c r="D516" s="527" t="s">
        <v>1814</v>
      </c>
      <c r="E516" s="1162" t="s">
        <v>1815</v>
      </c>
      <c r="F516" s="1064"/>
      <c r="G516" s="1224">
        <v>395</v>
      </c>
      <c r="H516" s="1224">
        <v>395</v>
      </c>
      <c r="I516" s="1229">
        <f t="shared" si="62"/>
        <v>100</v>
      </c>
    </row>
    <row r="517" spans="1:20" ht="15" x14ac:dyDescent="0.25">
      <c r="A517" s="420">
        <v>1043</v>
      </c>
      <c r="B517" s="651">
        <v>3141</v>
      </c>
      <c r="C517" s="1128">
        <v>5336</v>
      </c>
      <c r="D517" s="697"/>
      <c r="E517" s="616" t="s">
        <v>1740</v>
      </c>
      <c r="F517" s="690"/>
      <c r="G517" s="690">
        <v>31</v>
      </c>
      <c r="H517" s="690">
        <v>31</v>
      </c>
      <c r="I517" s="691">
        <f t="shared" si="60"/>
        <v>100</v>
      </c>
    </row>
    <row r="518" spans="1:20" ht="14.25" x14ac:dyDescent="0.2">
      <c r="A518" s="420"/>
      <c r="B518" s="651"/>
      <c r="C518" s="1128"/>
      <c r="D518" s="518" t="s">
        <v>1807</v>
      </c>
      <c r="E518" s="442" t="s">
        <v>716</v>
      </c>
      <c r="F518" s="689"/>
      <c r="G518" s="689">
        <v>31</v>
      </c>
      <c r="H518" s="689">
        <v>31</v>
      </c>
      <c r="I518" s="684">
        <f t="shared" si="60"/>
        <v>100</v>
      </c>
    </row>
    <row r="519" spans="1:20" ht="15" x14ac:dyDescent="0.25">
      <c r="A519" s="420">
        <v>1043</v>
      </c>
      <c r="B519" s="651">
        <v>3143</v>
      </c>
      <c r="C519" s="1128">
        <v>5336</v>
      </c>
      <c r="D519" s="697"/>
      <c r="E519" s="616" t="s">
        <v>1740</v>
      </c>
      <c r="F519" s="690"/>
      <c r="G519" s="690">
        <v>1023</v>
      </c>
      <c r="H519" s="690">
        <v>1023</v>
      </c>
      <c r="I519" s="691">
        <f t="shared" si="60"/>
        <v>100</v>
      </c>
    </row>
    <row r="520" spans="1:20" ht="15" thickBot="1" x14ac:dyDescent="0.25">
      <c r="A520" s="420"/>
      <c r="B520" s="651"/>
      <c r="C520" s="1128"/>
      <c r="D520" s="518" t="s">
        <v>1807</v>
      </c>
      <c r="E520" s="442" t="s">
        <v>716</v>
      </c>
      <c r="F520" s="689"/>
      <c r="G520" s="689">
        <v>1023</v>
      </c>
      <c r="H520" s="689">
        <v>1023</v>
      </c>
      <c r="I520" s="684">
        <f t="shared" si="60"/>
        <v>100</v>
      </c>
    </row>
    <row r="521" spans="1:20" ht="16.5" thickTop="1" thickBot="1" x14ac:dyDescent="0.3">
      <c r="A521" s="3110" t="s">
        <v>1000</v>
      </c>
      <c r="B521" s="3111"/>
      <c r="C521" s="3111"/>
      <c r="D521" s="3111"/>
      <c r="E521" s="3111"/>
      <c r="F521" s="680">
        <f>F505+F517+F519</f>
        <v>2073</v>
      </c>
      <c r="G521" s="680">
        <f>G505+G517+G519+G508</f>
        <v>19468</v>
      </c>
      <c r="H521" s="680">
        <f>H505+H517+H519+H508</f>
        <v>19468</v>
      </c>
      <c r="I521" s="681">
        <f>(H521/G521)*100</f>
        <v>100</v>
      </c>
      <c r="R521" s="374">
        <f>F521</f>
        <v>2073</v>
      </c>
      <c r="S521" s="374">
        <f>G521</f>
        <v>19468</v>
      </c>
      <c r="T521" s="374">
        <f>H521</f>
        <v>19468</v>
      </c>
    </row>
    <row r="522" spans="1:20" ht="15.75" thickTop="1" x14ac:dyDescent="0.25">
      <c r="A522" s="361"/>
      <c r="B522" s="361"/>
      <c r="C522" s="361"/>
      <c r="D522" s="361"/>
      <c r="E522" s="361"/>
      <c r="F522" s="178"/>
      <c r="G522" s="178"/>
      <c r="H522" s="178"/>
      <c r="I522" s="207"/>
      <c r="R522" s="374"/>
      <c r="S522" s="374"/>
      <c r="T522" s="374"/>
    </row>
    <row r="523" spans="1:20" ht="13.5" thickBot="1" x14ac:dyDescent="0.25">
      <c r="A523" s="421" t="s">
        <v>1169</v>
      </c>
      <c r="I523" s="1125" t="s">
        <v>148</v>
      </c>
    </row>
    <row r="524" spans="1:20" s="106" customFormat="1" thickTop="1" thickBot="1" x14ac:dyDescent="0.25">
      <c r="A524" s="586" t="s">
        <v>565</v>
      </c>
      <c r="B524" s="658" t="s">
        <v>149</v>
      </c>
      <c r="C524" s="587" t="s">
        <v>150</v>
      </c>
      <c r="D524" s="589" t="s">
        <v>639</v>
      </c>
      <c r="E524" s="589" t="s">
        <v>151</v>
      </c>
      <c r="F524" s="589" t="s">
        <v>569</v>
      </c>
      <c r="G524" s="589" t="s">
        <v>570</v>
      </c>
      <c r="H524" s="589" t="s">
        <v>797</v>
      </c>
      <c r="I524" s="674" t="s">
        <v>798</v>
      </c>
    </row>
    <row r="525" spans="1:20" s="375" customFormat="1" ht="13.5" thickTop="1" thickBot="1" x14ac:dyDescent="0.25">
      <c r="A525" s="525">
        <v>1</v>
      </c>
      <c r="B525" s="526">
        <v>2</v>
      </c>
      <c r="C525" s="526">
        <v>3</v>
      </c>
      <c r="D525" s="526">
        <v>4</v>
      </c>
      <c r="E525" s="526">
        <v>5</v>
      </c>
      <c r="F525" s="512">
        <v>6</v>
      </c>
      <c r="G525" s="512">
        <v>7</v>
      </c>
      <c r="H525" s="513">
        <v>8</v>
      </c>
      <c r="I525" s="591" t="s">
        <v>689</v>
      </c>
    </row>
    <row r="526" spans="1:20" ht="15.75" thickTop="1" x14ac:dyDescent="0.25">
      <c r="A526" s="1126">
        <v>1100</v>
      </c>
      <c r="B526" s="659">
        <v>3121</v>
      </c>
      <c r="C526" s="659">
        <v>5331</v>
      </c>
      <c r="D526" s="694"/>
      <c r="E526" s="713" t="s">
        <v>858</v>
      </c>
      <c r="F526" s="714">
        <f>SUM(F527:F529)</f>
        <v>2976</v>
      </c>
      <c r="G526" s="714">
        <f>SUM(G527:G529)</f>
        <v>506</v>
      </c>
      <c r="H526" s="714">
        <f>SUM(H527:H529)</f>
        <v>506</v>
      </c>
      <c r="I526" s="682">
        <f t="shared" ref="I526:I536" si="63">(H526/G526)*100</f>
        <v>100</v>
      </c>
    </row>
    <row r="527" spans="1:20" ht="14.25" x14ac:dyDescent="0.2">
      <c r="A527" s="420"/>
      <c r="B527" s="617"/>
      <c r="C527" s="617"/>
      <c r="D527" s="636" t="s">
        <v>1811</v>
      </c>
      <c r="E527" s="1162" t="s">
        <v>717</v>
      </c>
      <c r="F527" s="683">
        <v>28</v>
      </c>
      <c r="G527" s="683">
        <v>4</v>
      </c>
      <c r="H527" s="683">
        <v>4</v>
      </c>
      <c r="I527" s="679">
        <f t="shared" si="63"/>
        <v>100</v>
      </c>
    </row>
    <row r="528" spans="1:20" ht="14.25" x14ac:dyDescent="0.2">
      <c r="A528" s="420"/>
      <c r="B528" s="617"/>
      <c r="C528" s="617"/>
      <c r="D528" s="649" t="s">
        <v>1761</v>
      </c>
      <c r="E528" s="442" t="s">
        <v>753</v>
      </c>
      <c r="F528" s="689"/>
      <c r="G528" s="683">
        <v>10</v>
      </c>
      <c r="H528" s="683">
        <v>10</v>
      </c>
      <c r="I528" s="679">
        <f t="shared" si="63"/>
        <v>100</v>
      </c>
    </row>
    <row r="529" spans="1:20" ht="14.25" x14ac:dyDescent="0.2">
      <c r="A529" s="420"/>
      <c r="B529" s="617"/>
      <c r="C529" s="617"/>
      <c r="D529" s="518" t="s">
        <v>1812</v>
      </c>
      <c r="E529" s="442" t="s">
        <v>63</v>
      </c>
      <c r="F529" s="689">
        <v>2948</v>
      </c>
      <c r="G529" s="683">
        <v>492</v>
      </c>
      <c r="H529" s="683">
        <v>492</v>
      </c>
      <c r="I529" s="679">
        <f t="shared" si="63"/>
        <v>100</v>
      </c>
    </row>
    <row r="530" spans="1:20" ht="15" x14ac:dyDescent="0.25">
      <c r="A530" s="420">
        <v>1100</v>
      </c>
      <c r="B530" s="651">
        <v>3121</v>
      </c>
      <c r="C530" s="617">
        <v>5336</v>
      </c>
      <c r="D530" s="518"/>
      <c r="E530" s="616" t="s">
        <v>1740</v>
      </c>
      <c r="F530" s="689"/>
      <c r="G530" s="700">
        <f>G531+G532+G533+G534+G535+G536</f>
        <v>13004</v>
      </c>
      <c r="H530" s="700">
        <f>H531+H532+H533+H534+H535+H536</f>
        <v>13004</v>
      </c>
      <c r="I530" s="707">
        <f t="shared" si="63"/>
        <v>100</v>
      </c>
    </row>
    <row r="531" spans="1:20" ht="14.25" x14ac:dyDescent="0.2">
      <c r="A531" s="420"/>
      <c r="B531" s="651"/>
      <c r="C531" s="617"/>
      <c r="D531" s="518" t="s">
        <v>1827</v>
      </c>
      <c r="E531" s="1072" t="s">
        <v>1407</v>
      </c>
      <c r="F531" s="689"/>
      <c r="G531" s="689">
        <v>25</v>
      </c>
      <c r="H531" s="683">
        <v>25</v>
      </c>
      <c r="I531" s="679">
        <f t="shared" ref="I531" si="64">(H531/G531)*100</f>
        <v>100</v>
      </c>
    </row>
    <row r="532" spans="1:20" ht="15" x14ac:dyDescent="0.2">
      <c r="A532" s="420"/>
      <c r="B532" s="651"/>
      <c r="C532" s="617"/>
      <c r="D532" s="887" t="s">
        <v>1808</v>
      </c>
      <c r="E532" s="1676" t="s">
        <v>1739</v>
      </c>
      <c r="F532" s="1964"/>
      <c r="G532" s="1965">
        <v>438</v>
      </c>
      <c r="H532" s="1965">
        <v>438</v>
      </c>
      <c r="I532" s="368">
        <f t="shared" ref="I532:I533" si="65">(H532/G532)*100</f>
        <v>100</v>
      </c>
    </row>
    <row r="533" spans="1:20" ht="28.5" x14ac:dyDescent="0.2">
      <c r="A533" s="420"/>
      <c r="B533" s="651"/>
      <c r="C533" s="617"/>
      <c r="D533" s="1061" t="s">
        <v>1809</v>
      </c>
      <c r="E533" s="2019" t="s">
        <v>1810</v>
      </c>
      <c r="F533" s="1964"/>
      <c r="G533" s="2031">
        <v>62</v>
      </c>
      <c r="H533" s="2031">
        <v>62</v>
      </c>
      <c r="I533" s="1234">
        <f t="shared" si="65"/>
        <v>100</v>
      </c>
    </row>
    <row r="534" spans="1:20" ht="14.25" x14ac:dyDescent="0.2">
      <c r="A534" s="420"/>
      <c r="B534" s="651"/>
      <c r="C534" s="617"/>
      <c r="D534" s="518" t="s">
        <v>1807</v>
      </c>
      <c r="E534" s="442" t="s">
        <v>716</v>
      </c>
      <c r="F534" s="689"/>
      <c r="G534" s="689">
        <v>12227</v>
      </c>
      <c r="H534" s="683">
        <v>12227</v>
      </c>
      <c r="I534" s="679">
        <f t="shared" si="63"/>
        <v>100</v>
      </c>
    </row>
    <row r="535" spans="1:20" ht="14.25" x14ac:dyDescent="0.2">
      <c r="A535" s="420"/>
      <c r="B535" s="651"/>
      <c r="C535" s="651"/>
      <c r="D535" s="527" t="s">
        <v>1813</v>
      </c>
      <c r="E535" s="1162" t="s">
        <v>1815</v>
      </c>
      <c r="F535" s="689"/>
      <c r="G535" s="689">
        <v>38</v>
      </c>
      <c r="H535" s="689">
        <v>38</v>
      </c>
      <c r="I535" s="679">
        <f t="shared" si="63"/>
        <v>100</v>
      </c>
    </row>
    <row r="536" spans="1:20" ht="15" thickBot="1" x14ac:dyDescent="0.25">
      <c r="A536" s="420"/>
      <c r="B536" s="651"/>
      <c r="C536" s="651"/>
      <c r="D536" s="527" t="s">
        <v>1814</v>
      </c>
      <c r="E536" s="1162" t="s">
        <v>1815</v>
      </c>
      <c r="F536" s="689"/>
      <c r="G536" s="689">
        <v>214</v>
      </c>
      <c r="H536" s="689">
        <v>214</v>
      </c>
      <c r="I536" s="679">
        <f t="shared" si="63"/>
        <v>100</v>
      </c>
    </row>
    <row r="537" spans="1:20" ht="16.5" thickTop="1" thickBot="1" x14ac:dyDescent="0.3">
      <c r="A537" s="3110" t="s">
        <v>1000</v>
      </c>
      <c r="B537" s="3111"/>
      <c r="C537" s="3111"/>
      <c r="D537" s="3111"/>
      <c r="E537" s="3111"/>
      <c r="F537" s="680">
        <f>F526</f>
        <v>2976</v>
      </c>
      <c r="G537" s="680">
        <f>G530+G526</f>
        <v>13510</v>
      </c>
      <c r="H537" s="680">
        <f>H530+H526</f>
        <v>13510</v>
      </c>
      <c r="I537" s="681">
        <f>(H537/G537)*100</f>
        <v>100</v>
      </c>
      <c r="R537" s="374">
        <f>F537</f>
        <v>2976</v>
      </c>
      <c r="S537" s="374">
        <f>G537</f>
        <v>13510</v>
      </c>
      <c r="T537" s="374">
        <f>H537</f>
        <v>13510</v>
      </c>
    </row>
    <row r="538" spans="1:20" ht="14.25" customHeight="1" thickTop="1" x14ac:dyDescent="0.2"/>
    <row r="539" spans="1:20" ht="16.5" customHeight="1" thickBot="1" x14ac:dyDescent="0.25">
      <c r="A539" s="421" t="s">
        <v>1170</v>
      </c>
      <c r="I539" s="1125" t="s">
        <v>148</v>
      </c>
    </row>
    <row r="540" spans="1:20" s="106" customFormat="1" thickTop="1" thickBot="1" x14ac:dyDescent="0.25">
      <c r="A540" s="586" t="s">
        <v>565</v>
      </c>
      <c r="B540" s="658" t="s">
        <v>149</v>
      </c>
      <c r="C540" s="587" t="s">
        <v>150</v>
      </c>
      <c r="D540" s="589" t="s">
        <v>639</v>
      </c>
      <c r="E540" s="589" t="s">
        <v>151</v>
      </c>
      <c r="F540" s="589" t="s">
        <v>569</v>
      </c>
      <c r="G540" s="589" t="s">
        <v>570</v>
      </c>
      <c r="H540" s="589" t="s">
        <v>797</v>
      </c>
      <c r="I540" s="674" t="s">
        <v>798</v>
      </c>
    </row>
    <row r="541" spans="1:20" s="375" customFormat="1" ht="13.5" thickTop="1" thickBot="1" x14ac:dyDescent="0.25">
      <c r="A541" s="525">
        <v>1</v>
      </c>
      <c r="B541" s="526">
        <v>2</v>
      </c>
      <c r="C541" s="526">
        <v>3</v>
      </c>
      <c r="D541" s="526">
        <v>4</v>
      </c>
      <c r="E541" s="526">
        <v>5</v>
      </c>
      <c r="F541" s="512">
        <v>6</v>
      </c>
      <c r="G541" s="512">
        <v>7</v>
      </c>
      <c r="H541" s="513">
        <v>8</v>
      </c>
      <c r="I541" s="591" t="s">
        <v>689</v>
      </c>
    </row>
    <row r="542" spans="1:20" ht="15.75" thickTop="1" x14ac:dyDescent="0.25">
      <c r="A542" s="1126">
        <v>1101</v>
      </c>
      <c r="B542" s="659">
        <v>3121</v>
      </c>
      <c r="C542" s="659">
        <v>5331</v>
      </c>
      <c r="D542" s="694"/>
      <c r="E542" s="713" t="s">
        <v>858</v>
      </c>
      <c r="F542" s="714">
        <f>SUM(F543:F544)</f>
        <v>4149</v>
      </c>
      <c r="G542" s="714">
        <f>SUM(G543:G544)</f>
        <v>692</v>
      </c>
      <c r="H542" s="714">
        <f>SUM(H543:H544)</f>
        <v>692</v>
      </c>
      <c r="I542" s="682">
        <f t="shared" ref="I542:I561" si="66">(H542/G542)*100</f>
        <v>100</v>
      </c>
    </row>
    <row r="543" spans="1:20" ht="14.25" x14ac:dyDescent="0.2">
      <c r="A543" s="420"/>
      <c r="B543" s="617"/>
      <c r="C543" s="617"/>
      <c r="D543" s="636" t="s">
        <v>1811</v>
      </c>
      <c r="E543" s="1162" t="s">
        <v>717</v>
      </c>
      <c r="F543" s="683">
        <v>1042</v>
      </c>
      <c r="G543" s="683">
        <v>174</v>
      </c>
      <c r="H543" s="683">
        <v>174</v>
      </c>
      <c r="I543" s="679">
        <f t="shared" si="66"/>
        <v>100</v>
      </c>
    </row>
    <row r="544" spans="1:20" ht="14.25" x14ac:dyDescent="0.2">
      <c r="A544" s="420"/>
      <c r="B544" s="617"/>
      <c r="C544" s="617"/>
      <c r="D544" s="518" t="s">
        <v>1812</v>
      </c>
      <c r="E544" s="442" t="s">
        <v>63</v>
      </c>
      <c r="F544" s="683">
        <v>3107</v>
      </c>
      <c r="G544" s="683">
        <v>518</v>
      </c>
      <c r="H544" s="683">
        <v>518</v>
      </c>
      <c r="I544" s="679">
        <f t="shared" si="66"/>
        <v>100</v>
      </c>
    </row>
    <row r="545" spans="1:9" ht="15" x14ac:dyDescent="0.25">
      <c r="A545" s="420">
        <v>1101</v>
      </c>
      <c r="B545" s="651">
        <v>3121</v>
      </c>
      <c r="C545" s="651">
        <v>5336</v>
      </c>
      <c r="D545" s="649"/>
      <c r="E545" s="616" t="s">
        <v>1740</v>
      </c>
      <c r="F545" s="683"/>
      <c r="G545" s="705">
        <f>G546+G547+G550+G551+G552+G554+G555+G556</f>
        <v>28854</v>
      </c>
      <c r="H545" s="705">
        <f>H546+H547+H550+H551+H552+H554+H555+H556</f>
        <v>28854</v>
      </c>
      <c r="I545" s="707">
        <f t="shared" si="66"/>
        <v>100</v>
      </c>
    </row>
    <row r="546" spans="1:9" ht="14.25" x14ac:dyDescent="0.2">
      <c r="A546" s="420"/>
      <c r="B546" s="651"/>
      <c r="C546" s="651"/>
      <c r="D546" s="887" t="s">
        <v>1827</v>
      </c>
      <c r="E546" s="1676" t="s">
        <v>1407</v>
      </c>
      <c r="F546" s="683"/>
      <c r="G546" s="683">
        <v>15</v>
      </c>
      <c r="H546" s="683">
        <v>15</v>
      </c>
      <c r="I546" s="679">
        <f t="shared" ref="I546:I547" si="67">(H546/G546)*100</f>
        <v>100</v>
      </c>
    </row>
    <row r="547" spans="1:9" ht="14.25" x14ac:dyDescent="0.2">
      <c r="A547" s="420"/>
      <c r="B547" s="651"/>
      <c r="C547" s="651"/>
      <c r="D547" s="887" t="s">
        <v>1828</v>
      </c>
      <c r="E547" s="3125" t="s">
        <v>1744</v>
      </c>
      <c r="F547" s="352"/>
      <c r="G547" s="352">
        <v>445</v>
      </c>
      <c r="H547" s="352">
        <v>445</v>
      </c>
      <c r="I547" s="708">
        <f t="shared" si="67"/>
        <v>100</v>
      </c>
    </row>
    <row r="548" spans="1:9" ht="14.25" x14ac:dyDescent="0.2">
      <c r="A548" s="420"/>
      <c r="B548" s="651"/>
      <c r="C548" s="651"/>
      <c r="D548" s="887"/>
      <c r="E548" s="3125"/>
      <c r="F548" s="352"/>
      <c r="G548" s="352"/>
      <c r="H548" s="352"/>
      <c r="I548" s="708"/>
    </row>
    <row r="549" spans="1:9" ht="14.25" x14ac:dyDescent="0.2">
      <c r="A549" s="420"/>
      <c r="B549" s="651"/>
      <c r="C549" s="651"/>
      <c r="D549" s="887"/>
      <c r="E549" s="3125"/>
      <c r="F549" s="683"/>
      <c r="G549" s="683"/>
      <c r="H549" s="683"/>
      <c r="I549" s="679"/>
    </row>
    <row r="550" spans="1:9" ht="15" x14ac:dyDescent="0.2">
      <c r="A550" s="420"/>
      <c r="B550" s="651"/>
      <c r="C550" s="651"/>
      <c r="D550" s="887" t="s">
        <v>1808</v>
      </c>
      <c r="E550" s="1676" t="s">
        <v>1739</v>
      </c>
      <c r="F550" s="1964"/>
      <c r="G550" s="1965">
        <v>744</v>
      </c>
      <c r="H550" s="1965">
        <v>744</v>
      </c>
      <c r="I550" s="368">
        <f t="shared" ref="I550:I552" si="68">(H550/G550)*100</f>
        <v>100</v>
      </c>
    </row>
    <row r="551" spans="1:9" ht="28.5" x14ac:dyDescent="0.2">
      <c r="A551" s="420"/>
      <c r="B551" s="651"/>
      <c r="C551" s="651"/>
      <c r="D551" s="1061" t="s">
        <v>1809</v>
      </c>
      <c r="E551" s="2019" t="s">
        <v>1810</v>
      </c>
      <c r="F551" s="735"/>
      <c r="G551" s="2031">
        <v>134</v>
      </c>
      <c r="H551" s="2031">
        <v>134</v>
      </c>
      <c r="I551" s="1234">
        <f t="shared" si="68"/>
        <v>100</v>
      </c>
    </row>
    <row r="552" spans="1:9" ht="14.25" x14ac:dyDescent="0.2">
      <c r="A552" s="420"/>
      <c r="B552" s="651"/>
      <c r="C552" s="651"/>
      <c r="D552" s="887" t="s">
        <v>1829</v>
      </c>
      <c r="E552" s="3128" t="s">
        <v>1745</v>
      </c>
      <c r="F552" s="310"/>
      <c r="G552" s="312">
        <v>84</v>
      </c>
      <c r="H552" s="312">
        <v>84</v>
      </c>
      <c r="I552" s="893">
        <f t="shared" si="68"/>
        <v>100</v>
      </c>
    </row>
    <row r="553" spans="1:9" ht="14.25" x14ac:dyDescent="0.2">
      <c r="A553" s="420"/>
      <c r="B553" s="651"/>
      <c r="C553" s="651"/>
      <c r="D553" s="887"/>
      <c r="E553" s="3128"/>
      <c r="F553" s="310"/>
      <c r="G553" s="312"/>
      <c r="H553" s="312"/>
      <c r="I553" s="893"/>
    </row>
    <row r="554" spans="1:9" ht="14.25" x14ac:dyDescent="0.2">
      <c r="A554" s="420"/>
      <c r="B554" s="651"/>
      <c r="C554" s="651"/>
      <c r="D554" s="518" t="s">
        <v>1807</v>
      </c>
      <c r="E554" s="442" t="s">
        <v>716</v>
      </c>
      <c r="F554" s="683"/>
      <c r="G554" s="683">
        <v>26391</v>
      </c>
      <c r="H554" s="683">
        <v>26391</v>
      </c>
      <c r="I554" s="679">
        <f t="shared" si="66"/>
        <v>100</v>
      </c>
    </row>
    <row r="555" spans="1:9" ht="14.25" x14ac:dyDescent="0.2">
      <c r="A555" s="420"/>
      <c r="B555" s="651"/>
      <c r="C555" s="651"/>
      <c r="D555" s="527" t="s">
        <v>1813</v>
      </c>
      <c r="E555" s="1162" t="s">
        <v>1815</v>
      </c>
      <c r="F555" s="689"/>
      <c r="G555" s="689">
        <v>156</v>
      </c>
      <c r="H555" s="689">
        <v>156</v>
      </c>
      <c r="I555" s="679">
        <f t="shared" si="66"/>
        <v>100</v>
      </c>
    </row>
    <row r="556" spans="1:9" ht="14.25" x14ac:dyDescent="0.2">
      <c r="A556" s="420"/>
      <c r="B556" s="651"/>
      <c r="C556" s="651"/>
      <c r="D556" s="527" t="s">
        <v>1814</v>
      </c>
      <c r="E556" s="1162" t="s">
        <v>1815</v>
      </c>
      <c r="F556" s="689"/>
      <c r="G556" s="689">
        <v>885</v>
      </c>
      <c r="H556" s="689">
        <v>885</v>
      </c>
      <c r="I556" s="679">
        <f t="shared" si="66"/>
        <v>100</v>
      </c>
    </row>
    <row r="557" spans="1:9" ht="15" x14ac:dyDescent="0.25">
      <c r="A557" s="420">
        <v>1101</v>
      </c>
      <c r="B557" s="651">
        <v>3141</v>
      </c>
      <c r="C557" s="651">
        <v>5336</v>
      </c>
      <c r="D557" s="527"/>
      <c r="E557" s="616" t="s">
        <v>1740</v>
      </c>
      <c r="F557" s="700"/>
      <c r="G557" s="700">
        <v>426</v>
      </c>
      <c r="H557" s="700">
        <v>426</v>
      </c>
      <c r="I557" s="693">
        <f t="shared" si="66"/>
        <v>100</v>
      </c>
    </row>
    <row r="558" spans="1:9" ht="14.25" x14ac:dyDescent="0.2">
      <c r="A558" s="420"/>
      <c r="B558" s="651"/>
      <c r="C558" s="651"/>
      <c r="D558" s="518" t="s">
        <v>1807</v>
      </c>
      <c r="E558" s="442" t="s">
        <v>716</v>
      </c>
      <c r="F558" s="689"/>
      <c r="G558" s="689">
        <v>426</v>
      </c>
      <c r="H558" s="689">
        <v>426</v>
      </c>
      <c r="I558" s="684">
        <f t="shared" si="66"/>
        <v>100</v>
      </c>
    </row>
    <row r="559" spans="1:9" ht="15" x14ac:dyDescent="0.25">
      <c r="A559" s="420">
        <v>1101</v>
      </c>
      <c r="B559" s="651">
        <v>3299</v>
      </c>
      <c r="C559" s="1128">
        <v>5331</v>
      </c>
      <c r="D559" s="697"/>
      <c r="E559" s="616" t="s">
        <v>858</v>
      </c>
      <c r="F559" s="690"/>
      <c r="G559" s="690">
        <f>G560+G561</f>
        <v>33</v>
      </c>
      <c r="H559" s="690">
        <f>H560+H561</f>
        <v>33</v>
      </c>
      <c r="I559" s="691">
        <f t="shared" si="66"/>
        <v>100</v>
      </c>
    </row>
    <row r="560" spans="1:9" ht="14.25" x14ac:dyDescent="0.2">
      <c r="A560" s="420"/>
      <c r="B560" s="651"/>
      <c r="C560" s="1128"/>
      <c r="D560" s="1068" t="s">
        <v>1830</v>
      </c>
      <c r="E560" s="446" t="s">
        <v>1011</v>
      </c>
      <c r="F560" s="683"/>
      <c r="G560" s="683">
        <v>18</v>
      </c>
      <c r="H560" s="683">
        <v>18</v>
      </c>
      <c r="I560" s="679">
        <f t="shared" si="66"/>
        <v>100</v>
      </c>
    </row>
    <row r="561" spans="1:20" ht="43.5" thickBot="1" x14ac:dyDescent="0.25">
      <c r="A561" s="420"/>
      <c r="B561" s="651"/>
      <c r="C561" s="1128"/>
      <c r="D561" s="649" t="s">
        <v>1831</v>
      </c>
      <c r="E561" s="2020" t="s">
        <v>1832</v>
      </c>
      <c r="F561" s="689"/>
      <c r="G561" s="1062">
        <v>15</v>
      </c>
      <c r="H561" s="1062">
        <v>15</v>
      </c>
      <c r="I561" s="1066">
        <f t="shared" si="66"/>
        <v>100</v>
      </c>
    </row>
    <row r="562" spans="1:20" ht="16.5" thickTop="1" thickBot="1" x14ac:dyDescent="0.3">
      <c r="A562" s="3110" t="s">
        <v>1000</v>
      </c>
      <c r="B562" s="3111"/>
      <c r="C562" s="3111"/>
      <c r="D562" s="3111"/>
      <c r="E562" s="3111"/>
      <c r="F562" s="680">
        <f>F542+F559</f>
        <v>4149</v>
      </c>
      <c r="G562" s="680">
        <f>G559+G557+G545+G542</f>
        <v>30005</v>
      </c>
      <c r="H562" s="680">
        <f>H559+H557+H545+H542</f>
        <v>30005</v>
      </c>
      <c r="I562" s="681">
        <f>(H562/G562)*100</f>
        <v>100</v>
      </c>
      <c r="R562" s="374">
        <f>F562</f>
        <v>4149</v>
      </c>
      <c r="S562" s="374">
        <f>G562</f>
        <v>30005</v>
      </c>
      <c r="T562" s="374">
        <f>H562</f>
        <v>30005</v>
      </c>
    </row>
    <row r="563" spans="1:20" ht="15.75" thickTop="1" x14ac:dyDescent="0.25">
      <c r="A563" s="361"/>
      <c r="B563" s="361"/>
      <c r="C563" s="361"/>
      <c r="D563" s="361"/>
      <c r="E563" s="361"/>
      <c r="F563" s="178"/>
      <c r="G563" s="178"/>
      <c r="H563" s="178"/>
      <c r="I563" s="207"/>
      <c r="R563" s="374"/>
      <c r="S563" s="374"/>
      <c r="T563" s="374"/>
    </row>
    <row r="564" spans="1:20" ht="13.5" thickBot="1" x14ac:dyDescent="0.25">
      <c r="A564" s="421" t="s">
        <v>363</v>
      </c>
      <c r="I564" s="1125" t="s">
        <v>148</v>
      </c>
    </row>
    <row r="565" spans="1:20" s="106" customFormat="1" thickTop="1" thickBot="1" x14ac:dyDescent="0.25">
      <c r="A565" s="586" t="s">
        <v>565</v>
      </c>
      <c r="B565" s="658" t="s">
        <v>149</v>
      </c>
      <c r="C565" s="587" t="s">
        <v>150</v>
      </c>
      <c r="D565" s="589" t="s">
        <v>639</v>
      </c>
      <c r="E565" s="589" t="s">
        <v>151</v>
      </c>
      <c r="F565" s="589" t="s">
        <v>569</v>
      </c>
      <c r="G565" s="589" t="s">
        <v>570</v>
      </c>
      <c r="H565" s="589" t="s">
        <v>797</v>
      </c>
      <c r="I565" s="674" t="s">
        <v>798</v>
      </c>
    </row>
    <row r="566" spans="1:20" s="375" customFormat="1" ht="13.5" thickTop="1" thickBot="1" x14ac:dyDescent="0.25">
      <c r="A566" s="525">
        <v>1</v>
      </c>
      <c r="B566" s="526">
        <v>2</v>
      </c>
      <c r="C566" s="526">
        <v>3</v>
      </c>
      <c r="D566" s="526">
        <v>4</v>
      </c>
      <c r="E566" s="526">
        <v>5</v>
      </c>
      <c r="F566" s="512">
        <v>6</v>
      </c>
      <c r="G566" s="512">
        <v>7</v>
      </c>
      <c r="H566" s="513">
        <v>8</v>
      </c>
      <c r="I566" s="591" t="s">
        <v>689</v>
      </c>
    </row>
    <row r="567" spans="1:20" ht="15.75" thickTop="1" x14ac:dyDescent="0.25">
      <c r="A567" s="1126">
        <v>1102</v>
      </c>
      <c r="B567" s="659">
        <v>3121</v>
      </c>
      <c r="C567" s="659">
        <v>5331</v>
      </c>
      <c r="D567" s="694"/>
      <c r="E567" s="713" t="s">
        <v>858</v>
      </c>
      <c r="F567" s="714">
        <f>F568+F569</f>
        <v>10444</v>
      </c>
      <c r="G567" s="714">
        <f t="shared" ref="G567:H567" si="69">G568+G569</f>
        <v>1740</v>
      </c>
      <c r="H567" s="714">
        <f t="shared" si="69"/>
        <v>1740</v>
      </c>
      <c r="I567" s="682">
        <f t="shared" ref="I567:I577" si="70">(H567/G567)*100</f>
        <v>100</v>
      </c>
    </row>
    <row r="568" spans="1:20" ht="14.25" x14ac:dyDescent="0.2">
      <c r="A568" s="420"/>
      <c r="B568" s="617"/>
      <c r="C568" s="617"/>
      <c r="D568" s="636" t="s">
        <v>1811</v>
      </c>
      <c r="E568" s="1162" t="s">
        <v>717</v>
      </c>
      <c r="F568" s="683">
        <v>4061</v>
      </c>
      <c r="G568" s="683">
        <v>676</v>
      </c>
      <c r="H568" s="683">
        <v>676</v>
      </c>
      <c r="I568" s="679">
        <f t="shared" si="70"/>
        <v>100</v>
      </c>
    </row>
    <row r="569" spans="1:20" ht="14.25" x14ac:dyDescent="0.2">
      <c r="A569" s="420"/>
      <c r="B569" s="617"/>
      <c r="C569" s="617"/>
      <c r="D569" s="518" t="s">
        <v>1812</v>
      </c>
      <c r="E569" s="442" t="s">
        <v>63</v>
      </c>
      <c r="F569" s="683">
        <v>6383</v>
      </c>
      <c r="G569" s="683">
        <v>1064</v>
      </c>
      <c r="H569" s="683">
        <v>1064</v>
      </c>
      <c r="I569" s="679">
        <f t="shared" si="70"/>
        <v>100</v>
      </c>
    </row>
    <row r="570" spans="1:20" ht="15" x14ac:dyDescent="0.25">
      <c r="A570" s="420">
        <v>1102</v>
      </c>
      <c r="B570" s="651">
        <v>3121</v>
      </c>
      <c r="C570" s="651">
        <v>5336</v>
      </c>
      <c r="D570" s="649"/>
      <c r="E570" s="616" t="s">
        <v>1740</v>
      </c>
      <c r="F570" s="683"/>
      <c r="G570" s="705">
        <f>G571+G572+G573+G574+G575</f>
        <v>40532</v>
      </c>
      <c r="H570" s="705">
        <f>H571+H572+H573+H574+H575</f>
        <v>40532</v>
      </c>
      <c r="I570" s="707">
        <f t="shared" si="70"/>
        <v>100</v>
      </c>
    </row>
    <row r="571" spans="1:20" ht="14.25" x14ac:dyDescent="0.2">
      <c r="A571" s="420"/>
      <c r="B571" s="651"/>
      <c r="C571" s="651"/>
      <c r="D571" s="887" t="s">
        <v>1833</v>
      </c>
      <c r="E571" s="1135" t="s">
        <v>1285</v>
      </c>
      <c r="F571" s="683"/>
      <c r="G571" s="683">
        <v>96</v>
      </c>
      <c r="H571" s="683">
        <v>96</v>
      </c>
      <c r="I571" s="679">
        <f t="shared" ref="I571:I572" si="71">(H571/G571)*100</f>
        <v>100</v>
      </c>
    </row>
    <row r="572" spans="1:20" ht="14.25" x14ac:dyDescent="0.2">
      <c r="A572" s="420"/>
      <c r="B572" s="651"/>
      <c r="C572" s="651"/>
      <c r="D572" s="887" t="s">
        <v>1827</v>
      </c>
      <c r="E572" s="1676" t="s">
        <v>1407</v>
      </c>
      <c r="F572" s="683"/>
      <c r="G572" s="683">
        <v>122</v>
      </c>
      <c r="H572" s="683">
        <v>122</v>
      </c>
      <c r="I572" s="679">
        <f t="shared" si="71"/>
        <v>100</v>
      </c>
    </row>
    <row r="573" spans="1:20" ht="15" x14ac:dyDescent="0.2">
      <c r="A573" s="420"/>
      <c r="B573" s="651"/>
      <c r="C573" s="651"/>
      <c r="D573" s="887" t="s">
        <v>1808</v>
      </c>
      <c r="E573" s="1676" t="s">
        <v>1739</v>
      </c>
      <c r="F573" s="1964"/>
      <c r="G573" s="1965">
        <v>1164</v>
      </c>
      <c r="H573" s="1965">
        <v>1164</v>
      </c>
      <c r="I573" s="368">
        <f t="shared" ref="I573:I574" si="72">(H573/G573)*100</f>
        <v>100</v>
      </c>
    </row>
    <row r="574" spans="1:20" ht="28.5" x14ac:dyDescent="0.2">
      <c r="A574" s="420"/>
      <c r="B574" s="651"/>
      <c r="C574" s="651"/>
      <c r="D574" s="887" t="s">
        <v>1809</v>
      </c>
      <c r="E574" s="2019" t="s">
        <v>1810</v>
      </c>
      <c r="F574" s="1964"/>
      <c r="G574" s="2031">
        <v>198</v>
      </c>
      <c r="H574" s="2031">
        <v>198</v>
      </c>
      <c r="I574" s="1234">
        <f t="shared" si="72"/>
        <v>100</v>
      </c>
    </row>
    <row r="575" spans="1:20" ht="14.25" x14ac:dyDescent="0.2">
      <c r="A575" s="420"/>
      <c r="B575" s="651"/>
      <c r="C575" s="617"/>
      <c r="D575" s="518" t="s">
        <v>1807</v>
      </c>
      <c r="E575" s="442" t="s">
        <v>716</v>
      </c>
      <c r="F575" s="683"/>
      <c r="G575" s="683">
        <v>38952</v>
      </c>
      <c r="H575" s="683">
        <v>38952</v>
      </c>
      <c r="I575" s="679">
        <f t="shared" si="70"/>
        <v>100</v>
      </c>
    </row>
    <row r="576" spans="1:20" ht="15" x14ac:dyDescent="0.25">
      <c r="A576" s="420">
        <v>1102</v>
      </c>
      <c r="B576" s="651">
        <v>3141</v>
      </c>
      <c r="C576" s="651">
        <v>5336</v>
      </c>
      <c r="D576" s="527"/>
      <c r="E576" s="616" t="s">
        <v>1740</v>
      </c>
      <c r="F576" s="700"/>
      <c r="G576" s="700">
        <v>640</v>
      </c>
      <c r="H576" s="700">
        <v>640</v>
      </c>
      <c r="I576" s="693">
        <f t="shared" si="70"/>
        <v>100</v>
      </c>
    </row>
    <row r="577" spans="1:20" ht="14.25" x14ac:dyDescent="0.2">
      <c r="A577" s="420"/>
      <c r="B577" s="651"/>
      <c r="C577" s="651"/>
      <c r="D577" s="518" t="s">
        <v>1807</v>
      </c>
      <c r="E577" s="442" t="s">
        <v>716</v>
      </c>
      <c r="F577" s="689"/>
      <c r="G577" s="689">
        <v>640</v>
      </c>
      <c r="H577" s="689">
        <v>640</v>
      </c>
      <c r="I577" s="684">
        <f t="shared" si="70"/>
        <v>100</v>
      </c>
    </row>
    <row r="578" spans="1:20" ht="15" x14ac:dyDescent="0.25">
      <c r="A578" s="420">
        <v>1102</v>
      </c>
      <c r="B578" s="617">
        <v>3299</v>
      </c>
      <c r="C578" s="1127">
        <v>5331</v>
      </c>
      <c r="D578" s="685"/>
      <c r="E578" s="664" t="s">
        <v>858</v>
      </c>
      <c r="F578" s="690"/>
      <c r="G578" s="690">
        <f>SUM(G579:G579)</f>
        <v>10</v>
      </c>
      <c r="H578" s="690">
        <f>SUM(H579:H579)</f>
        <v>10</v>
      </c>
      <c r="I578" s="677">
        <v>100</v>
      </c>
      <c r="R578" s="740"/>
      <c r="S578" s="2022"/>
    </row>
    <row r="579" spans="1:20" ht="14.25" customHeight="1" x14ac:dyDescent="0.25">
      <c r="A579" s="420"/>
      <c r="B579" s="617"/>
      <c r="C579" s="1127"/>
      <c r="D579" s="1068" t="s">
        <v>1830</v>
      </c>
      <c r="E579" s="446" t="s">
        <v>1011</v>
      </c>
      <c r="F579" s="676"/>
      <c r="G579" s="683">
        <v>10</v>
      </c>
      <c r="H579" s="683">
        <v>10</v>
      </c>
      <c r="I579" s="679">
        <f t="shared" ref="I579:I582" si="73">(H579/G579)*100</f>
        <v>100</v>
      </c>
    </row>
    <row r="580" spans="1:20" ht="14.25" customHeight="1" x14ac:dyDescent="0.25">
      <c r="A580" s="420">
        <v>1102</v>
      </c>
      <c r="B580" s="617">
        <v>3792</v>
      </c>
      <c r="C580" s="1127">
        <v>5331</v>
      </c>
      <c r="D580" s="1068"/>
      <c r="E580" s="664" t="s">
        <v>858</v>
      </c>
      <c r="F580" s="676"/>
      <c r="G580" s="705">
        <f>G581</f>
        <v>7</v>
      </c>
      <c r="H580" s="705">
        <f>H581</f>
        <v>7</v>
      </c>
      <c r="I580" s="707">
        <f t="shared" si="73"/>
        <v>100</v>
      </c>
    </row>
    <row r="581" spans="1:20" ht="30" thickBot="1" x14ac:dyDescent="0.3">
      <c r="A581" s="420"/>
      <c r="B581" s="617"/>
      <c r="C581" s="1127"/>
      <c r="D581" s="649" t="s">
        <v>1824</v>
      </c>
      <c r="E581" s="2023" t="s">
        <v>1640</v>
      </c>
      <c r="F581" s="676"/>
      <c r="G581" s="1067">
        <v>7</v>
      </c>
      <c r="H581" s="1067">
        <v>7</v>
      </c>
      <c r="I581" s="1063">
        <f t="shared" si="73"/>
        <v>100</v>
      </c>
    </row>
    <row r="582" spans="1:20" ht="16.5" thickTop="1" thickBot="1" x14ac:dyDescent="0.3">
      <c r="A582" s="3110" t="s">
        <v>1000</v>
      </c>
      <c r="B582" s="3111"/>
      <c r="C582" s="3111"/>
      <c r="D582" s="3111"/>
      <c r="E582" s="3111"/>
      <c r="F582" s="680">
        <f>F567</f>
        <v>10444</v>
      </c>
      <c r="G582" s="680">
        <f>G580+G578+G576+G570+G567</f>
        <v>42929</v>
      </c>
      <c r="H582" s="680">
        <f>H580+H578+H576+H570+H567</f>
        <v>42929</v>
      </c>
      <c r="I582" s="681">
        <f t="shared" si="73"/>
        <v>100</v>
      </c>
      <c r="R582" s="374">
        <f>F582</f>
        <v>10444</v>
      </c>
      <c r="S582" s="374">
        <f>G582</f>
        <v>42929</v>
      </c>
      <c r="T582" s="374">
        <f>H582</f>
        <v>42929</v>
      </c>
    </row>
    <row r="583" spans="1:20" ht="13.5" thickTop="1" x14ac:dyDescent="0.2"/>
    <row r="585" spans="1:20" ht="13.5" thickBot="1" x14ac:dyDescent="0.25">
      <c r="A585" s="421" t="s">
        <v>1171</v>
      </c>
      <c r="I585" s="1125" t="s">
        <v>148</v>
      </c>
    </row>
    <row r="586" spans="1:20" s="106" customFormat="1" thickTop="1" thickBot="1" x14ac:dyDescent="0.25">
      <c r="A586" s="586" t="s">
        <v>565</v>
      </c>
      <c r="B586" s="658" t="s">
        <v>149</v>
      </c>
      <c r="C586" s="587" t="s">
        <v>150</v>
      </c>
      <c r="D586" s="589" t="s">
        <v>639</v>
      </c>
      <c r="E586" s="589" t="s">
        <v>151</v>
      </c>
      <c r="F586" s="589" t="s">
        <v>569</v>
      </c>
      <c r="G586" s="589" t="s">
        <v>570</v>
      </c>
      <c r="H586" s="589" t="s">
        <v>797</v>
      </c>
      <c r="I586" s="674" t="s">
        <v>798</v>
      </c>
    </row>
    <row r="587" spans="1:20" s="375" customFormat="1" ht="13.5" thickTop="1" thickBot="1" x14ac:dyDescent="0.25">
      <c r="A587" s="525">
        <v>1</v>
      </c>
      <c r="B587" s="526">
        <v>2</v>
      </c>
      <c r="C587" s="526">
        <v>3</v>
      </c>
      <c r="D587" s="526">
        <v>4</v>
      </c>
      <c r="E587" s="526">
        <v>5</v>
      </c>
      <c r="F587" s="512">
        <v>6</v>
      </c>
      <c r="G587" s="512">
        <v>7</v>
      </c>
      <c r="H587" s="513">
        <v>8</v>
      </c>
      <c r="I587" s="591" t="s">
        <v>689</v>
      </c>
    </row>
    <row r="588" spans="1:20" ht="15.75" thickTop="1" x14ac:dyDescent="0.25">
      <c r="A588" s="1126">
        <v>1103</v>
      </c>
      <c r="B588" s="659">
        <v>3121</v>
      </c>
      <c r="C588" s="659">
        <v>5331</v>
      </c>
      <c r="D588" s="694"/>
      <c r="E588" s="713" t="s">
        <v>858</v>
      </c>
      <c r="F588" s="714">
        <f>F589+F590</f>
        <v>6189</v>
      </c>
      <c r="G588" s="714">
        <f t="shared" ref="G588:H588" si="74">G589+G590</f>
        <v>1032</v>
      </c>
      <c r="H588" s="714">
        <f t="shared" si="74"/>
        <v>1032</v>
      </c>
      <c r="I588" s="682">
        <f t="shared" ref="I588:I598" si="75">(H588/G588)*100</f>
        <v>100</v>
      </c>
    </row>
    <row r="589" spans="1:20" ht="14.25" x14ac:dyDescent="0.2">
      <c r="A589" s="420"/>
      <c r="B589" s="617"/>
      <c r="C589" s="617"/>
      <c r="D589" s="636" t="s">
        <v>1811</v>
      </c>
      <c r="E589" s="1162" t="s">
        <v>717</v>
      </c>
      <c r="F589" s="683">
        <v>1212</v>
      </c>
      <c r="G589" s="683">
        <v>202</v>
      </c>
      <c r="H589" s="683">
        <v>202</v>
      </c>
      <c r="I589" s="679">
        <f t="shared" si="75"/>
        <v>100</v>
      </c>
    </row>
    <row r="590" spans="1:20" ht="14.25" x14ac:dyDescent="0.2">
      <c r="A590" s="420"/>
      <c r="B590" s="617"/>
      <c r="C590" s="617"/>
      <c r="D590" s="518" t="s">
        <v>1812</v>
      </c>
      <c r="E590" s="442" t="s">
        <v>63</v>
      </c>
      <c r="F590" s="683">
        <v>4977</v>
      </c>
      <c r="G590" s="683">
        <v>830</v>
      </c>
      <c r="H590" s="683">
        <v>830</v>
      </c>
      <c r="I590" s="679">
        <f t="shared" si="75"/>
        <v>100</v>
      </c>
    </row>
    <row r="591" spans="1:20" ht="15" x14ac:dyDescent="0.25">
      <c r="A591" s="420">
        <v>1103</v>
      </c>
      <c r="B591" s="651">
        <v>3121</v>
      </c>
      <c r="C591" s="651">
        <v>5336</v>
      </c>
      <c r="D591" s="527"/>
      <c r="E591" s="616" t="s">
        <v>1740</v>
      </c>
      <c r="F591" s="700"/>
      <c r="G591" s="700">
        <f>G592+G593+G594+G595+G596+G597+G598</f>
        <v>47534</v>
      </c>
      <c r="H591" s="700">
        <f>H592+H593+H594+H595+H596+H597+H598</f>
        <v>47534</v>
      </c>
      <c r="I591" s="693">
        <f t="shared" si="75"/>
        <v>100</v>
      </c>
    </row>
    <row r="592" spans="1:20" ht="14.25" x14ac:dyDescent="0.2">
      <c r="A592" s="420"/>
      <c r="B592" s="651"/>
      <c r="C592" s="651"/>
      <c r="D592" s="887" t="s">
        <v>1827</v>
      </c>
      <c r="E592" s="1676" t="s">
        <v>1407</v>
      </c>
      <c r="F592" s="683"/>
      <c r="G592" s="683">
        <v>287</v>
      </c>
      <c r="H592" s="683">
        <v>287</v>
      </c>
      <c r="I592" s="679">
        <f t="shared" ref="I592" si="76">(H592/G592)*100</f>
        <v>100</v>
      </c>
    </row>
    <row r="593" spans="1:20" ht="15" x14ac:dyDescent="0.2">
      <c r="A593" s="420"/>
      <c r="B593" s="651"/>
      <c r="C593" s="651"/>
      <c r="D593" s="887" t="s">
        <v>1808</v>
      </c>
      <c r="E593" s="1676" t="s">
        <v>1739</v>
      </c>
      <c r="F593" s="1964"/>
      <c r="G593" s="1965">
        <v>1230</v>
      </c>
      <c r="H593" s="1965">
        <v>1230</v>
      </c>
      <c r="I593" s="368">
        <f t="shared" ref="I593:I595" si="77">(H593/G593)*100</f>
        <v>100</v>
      </c>
    </row>
    <row r="594" spans="1:20" ht="28.5" x14ac:dyDescent="0.2">
      <c r="A594" s="420"/>
      <c r="B594" s="651"/>
      <c r="C594" s="651"/>
      <c r="D594" s="887" t="s">
        <v>1834</v>
      </c>
      <c r="E594" s="2019" t="s">
        <v>1835</v>
      </c>
      <c r="F594" s="1964"/>
      <c r="G594" s="2031">
        <v>5</v>
      </c>
      <c r="H594" s="2031">
        <v>5</v>
      </c>
      <c r="I594" s="1234">
        <f t="shared" si="77"/>
        <v>100</v>
      </c>
    </row>
    <row r="595" spans="1:20" ht="28.5" x14ac:dyDescent="0.2">
      <c r="A595" s="420"/>
      <c r="B595" s="651"/>
      <c r="C595" s="651"/>
      <c r="D595" s="887" t="s">
        <v>1809</v>
      </c>
      <c r="E595" s="2019" t="s">
        <v>1810</v>
      </c>
      <c r="F595" s="1964"/>
      <c r="G595" s="2031">
        <v>223</v>
      </c>
      <c r="H595" s="2031">
        <v>223</v>
      </c>
      <c r="I595" s="1234">
        <f t="shared" si="77"/>
        <v>100</v>
      </c>
    </row>
    <row r="596" spans="1:20" ht="14.25" x14ac:dyDescent="0.2">
      <c r="A596" s="420"/>
      <c r="B596" s="617"/>
      <c r="C596" s="617"/>
      <c r="D596" s="518" t="s">
        <v>1807</v>
      </c>
      <c r="E596" s="442" t="s">
        <v>716</v>
      </c>
      <c r="F596" s="683"/>
      <c r="G596" s="683">
        <v>44040</v>
      </c>
      <c r="H596" s="683">
        <v>44040</v>
      </c>
      <c r="I596" s="679">
        <f t="shared" si="75"/>
        <v>100</v>
      </c>
    </row>
    <row r="597" spans="1:20" ht="14.25" x14ac:dyDescent="0.2">
      <c r="A597" s="420"/>
      <c r="B597" s="617"/>
      <c r="C597" s="617"/>
      <c r="D597" s="518" t="s">
        <v>1813</v>
      </c>
      <c r="E597" s="1162" t="s">
        <v>1815</v>
      </c>
      <c r="F597" s="683"/>
      <c r="G597" s="683">
        <v>262</v>
      </c>
      <c r="H597" s="683">
        <v>262</v>
      </c>
      <c r="I597" s="679">
        <f t="shared" si="75"/>
        <v>100</v>
      </c>
    </row>
    <row r="598" spans="1:20" ht="14.25" x14ac:dyDescent="0.2">
      <c r="A598" s="2032"/>
      <c r="B598" s="617"/>
      <c r="C598" s="1127"/>
      <c r="D598" s="518" t="s">
        <v>1814</v>
      </c>
      <c r="E598" s="1162" t="s">
        <v>1815</v>
      </c>
      <c r="F598" s="2033"/>
      <c r="G598" s="2033">
        <v>1487</v>
      </c>
      <c r="H598" s="2033">
        <v>1487</v>
      </c>
      <c r="I598" s="679">
        <f t="shared" si="75"/>
        <v>100</v>
      </c>
    </row>
    <row r="599" spans="1:20" ht="18" customHeight="1" x14ac:dyDescent="0.25">
      <c r="A599" s="420">
        <v>1103</v>
      </c>
      <c r="B599" s="617">
        <v>3299</v>
      </c>
      <c r="C599" s="1127">
        <v>5331</v>
      </c>
      <c r="D599" s="685"/>
      <c r="E599" s="664" t="s">
        <v>858</v>
      </c>
      <c r="F599" s="676"/>
      <c r="G599" s="676">
        <f>G600+G601</f>
        <v>33</v>
      </c>
      <c r="H599" s="676">
        <f>H600+H601</f>
        <v>33</v>
      </c>
      <c r="I599" s="677">
        <v>100</v>
      </c>
    </row>
    <row r="600" spans="1:20" ht="18" customHeight="1" x14ac:dyDescent="0.25">
      <c r="A600" s="420"/>
      <c r="B600" s="617"/>
      <c r="C600" s="1127"/>
      <c r="D600" s="1068" t="s">
        <v>1830</v>
      </c>
      <c r="E600" s="445" t="s">
        <v>1011</v>
      </c>
      <c r="F600" s="676"/>
      <c r="G600" s="352">
        <v>18</v>
      </c>
      <c r="H600" s="352">
        <v>18</v>
      </c>
      <c r="I600" s="679">
        <f>(H600/G600)*100</f>
        <v>100</v>
      </c>
    </row>
    <row r="601" spans="1:20" ht="44.25" thickBot="1" x14ac:dyDescent="0.3">
      <c r="A601" s="420"/>
      <c r="B601" s="617"/>
      <c r="C601" s="1127"/>
      <c r="D601" s="649" t="s">
        <v>1831</v>
      </c>
      <c r="E601" s="2020" t="s">
        <v>1832</v>
      </c>
      <c r="F601" s="676"/>
      <c r="G601" s="1067">
        <v>15</v>
      </c>
      <c r="H601" s="1067">
        <v>15</v>
      </c>
      <c r="I601" s="1063">
        <f>(H601/G601)*100</f>
        <v>100</v>
      </c>
    </row>
    <row r="602" spans="1:20" ht="20.25" customHeight="1" thickTop="1" thickBot="1" x14ac:dyDescent="0.3">
      <c r="A602" s="3110" t="s">
        <v>1000</v>
      </c>
      <c r="B602" s="3111"/>
      <c r="C602" s="3111"/>
      <c r="D602" s="3111"/>
      <c r="E602" s="3111"/>
      <c r="F602" s="680">
        <f>F588+F599</f>
        <v>6189</v>
      </c>
      <c r="G602" s="680">
        <f>G588+G591+G599</f>
        <v>48599</v>
      </c>
      <c r="H602" s="680">
        <f>H588+H591+H599</f>
        <v>48599</v>
      </c>
      <c r="I602" s="681">
        <f>(H602/G602)*100</f>
        <v>100</v>
      </c>
      <c r="R602" s="374">
        <f>F602</f>
        <v>6189</v>
      </c>
      <c r="S602" s="374">
        <f>G602</f>
        <v>48599</v>
      </c>
      <c r="T602" s="374">
        <f>H602</f>
        <v>48599</v>
      </c>
    </row>
    <row r="603" spans="1:20" ht="15" customHeight="1" thickTop="1" x14ac:dyDescent="0.25">
      <c r="A603" s="361"/>
      <c r="B603" s="361"/>
      <c r="C603" s="361"/>
      <c r="D603" s="361"/>
      <c r="E603" s="361"/>
      <c r="F603" s="178"/>
      <c r="G603" s="178"/>
      <c r="H603" s="178"/>
      <c r="I603" s="207"/>
      <c r="R603" s="374"/>
      <c r="S603" s="374"/>
      <c r="T603" s="374"/>
    </row>
    <row r="604" spans="1:20" ht="13.5" thickBot="1" x14ac:dyDescent="0.25">
      <c r="A604" s="421" t="s">
        <v>306</v>
      </c>
      <c r="I604" s="1125" t="s">
        <v>148</v>
      </c>
    </row>
    <row r="605" spans="1:20" s="106" customFormat="1" thickTop="1" thickBot="1" x14ac:dyDescent="0.25">
      <c r="A605" s="586" t="s">
        <v>565</v>
      </c>
      <c r="B605" s="658" t="s">
        <v>149</v>
      </c>
      <c r="C605" s="587" t="s">
        <v>150</v>
      </c>
      <c r="D605" s="589" t="s">
        <v>639</v>
      </c>
      <c r="E605" s="589" t="s">
        <v>151</v>
      </c>
      <c r="F605" s="589" t="s">
        <v>569</v>
      </c>
      <c r="G605" s="589" t="s">
        <v>570</v>
      </c>
      <c r="H605" s="589" t="s">
        <v>797</v>
      </c>
      <c r="I605" s="674" t="s">
        <v>798</v>
      </c>
    </row>
    <row r="606" spans="1:20" s="375" customFormat="1" ht="13.5" thickTop="1" thickBot="1" x14ac:dyDescent="0.25">
      <c r="A606" s="525">
        <v>1</v>
      </c>
      <c r="B606" s="526">
        <v>2</v>
      </c>
      <c r="C606" s="526">
        <v>3</v>
      </c>
      <c r="D606" s="526">
        <v>4</v>
      </c>
      <c r="E606" s="526">
        <v>5</v>
      </c>
      <c r="F606" s="512">
        <v>6</v>
      </c>
      <c r="G606" s="512">
        <v>7</v>
      </c>
      <c r="H606" s="513">
        <v>8</v>
      </c>
      <c r="I606" s="591" t="s">
        <v>689</v>
      </c>
    </row>
    <row r="607" spans="1:20" ht="15.75" thickTop="1" x14ac:dyDescent="0.25">
      <c r="A607" s="1126">
        <v>1104</v>
      </c>
      <c r="B607" s="659">
        <v>3121</v>
      </c>
      <c r="C607" s="659">
        <v>5331</v>
      </c>
      <c r="D607" s="694"/>
      <c r="E607" s="713" t="s">
        <v>858</v>
      </c>
      <c r="F607" s="714">
        <f>F608+F609</f>
        <v>3790</v>
      </c>
      <c r="G607" s="714">
        <f>G608+G609</f>
        <v>632</v>
      </c>
      <c r="H607" s="714">
        <f>H608+H609</f>
        <v>632</v>
      </c>
      <c r="I607" s="682">
        <f t="shared" ref="I607:I617" si="78">(H607/G607)*100</f>
        <v>100</v>
      </c>
    </row>
    <row r="608" spans="1:20" ht="14.25" x14ac:dyDescent="0.2">
      <c r="A608" s="420"/>
      <c r="B608" s="617"/>
      <c r="C608" s="617"/>
      <c r="D608" s="636" t="s">
        <v>1811</v>
      </c>
      <c r="E608" s="1162" t="s">
        <v>717</v>
      </c>
      <c r="F608" s="683">
        <v>1233</v>
      </c>
      <c r="G608" s="683">
        <v>206</v>
      </c>
      <c r="H608" s="683">
        <v>206</v>
      </c>
      <c r="I608" s="679">
        <f t="shared" si="78"/>
        <v>100</v>
      </c>
    </row>
    <row r="609" spans="1:20" ht="14.25" x14ac:dyDescent="0.2">
      <c r="A609" s="420"/>
      <c r="B609" s="617"/>
      <c r="C609" s="617"/>
      <c r="D609" s="518" t="s">
        <v>1812</v>
      </c>
      <c r="E609" s="442" t="s">
        <v>63</v>
      </c>
      <c r="F609" s="683">
        <v>2557</v>
      </c>
      <c r="G609" s="683">
        <v>426</v>
      </c>
      <c r="H609" s="683">
        <v>426</v>
      </c>
      <c r="I609" s="679">
        <f t="shared" si="78"/>
        <v>100</v>
      </c>
    </row>
    <row r="610" spans="1:20" ht="15" x14ac:dyDescent="0.25">
      <c r="A610" s="420">
        <v>1104</v>
      </c>
      <c r="B610" s="651">
        <v>3121</v>
      </c>
      <c r="C610" s="651">
        <v>5336</v>
      </c>
      <c r="D610" s="527"/>
      <c r="E610" s="616" t="s">
        <v>1740</v>
      </c>
      <c r="F610" s="700"/>
      <c r="G610" s="700">
        <f>G611+G612+G613+G614+G615+G616</f>
        <v>17264</v>
      </c>
      <c r="H610" s="700">
        <f>H611+H612+H613+H614+H615+H616</f>
        <v>17264</v>
      </c>
      <c r="I610" s="693">
        <f t="shared" si="78"/>
        <v>100</v>
      </c>
    </row>
    <row r="611" spans="1:20" ht="14.25" x14ac:dyDescent="0.2">
      <c r="A611" s="420"/>
      <c r="B611" s="651"/>
      <c r="C611" s="651"/>
      <c r="D611" s="887" t="s">
        <v>1827</v>
      </c>
      <c r="E611" s="1676" t="s">
        <v>1407</v>
      </c>
      <c r="F611" s="683"/>
      <c r="G611" s="683">
        <v>13</v>
      </c>
      <c r="H611" s="683">
        <v>13</v>
      </c>
      <c r="I611" s="679">
        <f t="shared" ref="I611" si="79">(H611/G611)*100</f>
        <v>100</v>
      </c>
    </row>
    <row r="612" spans="1:20" ht="15" x14ac:dyDescent="0.2">
      <c r="A612" s="420"/>
      <c r="B612" s="651"/>
      <c r="C612" s="651"/>
      <c r="D612" s="887" t="s">
        <v>1808</v>
      </c>
      <c r="E612" s="1676" t="s">
        <v>1739</v>
      </c>
      <c r="F612" s="1964"/>
      <c r="G612" s="1965">
        <v>479</v>
      </c>
      <c r="H612" s="1965">
        <v>479</v>
      </c>
      <c r="I612" s="368">
        <f t="shared" ref="I612:I613" si="80">(H612/G612)*100</f>
        <v>100</v>
      </c>
    </row>
    <row r="613" spans="1:20" ht="28.5" x14ac:dyDescent="0.2">
      <c r="A613" s="420"/>
      <c r="B613" s="651"/>
      <c r="C613" s="651"/>
      <c r="D613" s="887" t="s">
        <v>1809</v>
      </c>
      <c r="E613" s="2019" t="s">
        <v>1810</v>
      </c>
      <c r="F613" s="1964"/>
      <c r="G613" s="2031">
        <v>80</v>
      </c>
      <c r="H613" s="2031">
        <v>80</v>
      </c>
      <c r="I613" s="1234">
        <f t="shared" si="80"/>
        <v>100</v>
      </c>
    </row>
    <row r="614" spans="1:20" ht="14.25" x14ac:dyDescent="0.2">
      <c r="A614" s="420"/>
      <c r="B614" s="617"/>
      <c r="C614" s="617"/>
      <c r="D614" s="518" t="s">
        <v>1807</v>
      </c>
      <c r="E614" s="442" t="s">
        <v>716</v>
      </c>
      <c r="F614" s="683"/>
      <c r="G614" s="683">
        <v>15943</v>
      </c>
      <c r="H614" s="683">
        <v>15943</v>
      </c>
      <c r="I614" s="679">
        <f t="shared" si="78"/>
        <v>100</v>
      </c>
    </row>
    <row r="615" spans="1:20" ht="14.25" x14ac:dyDescent="0.2">
      <c r="A615" s="420"/>
      <c r="B615" s="617"/>
      <c r="C615" s="617"/>
      <c r="D615" s="518" t="s">
        <v>1813</v>
      </c>
      <c r="E615" s="1162" t="s">
        <v>1815</v>
      </c>
      <c r="F615" s="683"/>
      <c r="G615" s="683">
        <v>112</v>
      </c>
      <c r="H615" s="683">
        <v>112</v>
      </c>
      <c r="I615" s="679">
        <f t="shared" si="78"/>
        <v>100</v>
      </c>
    </row>
    <row r="616" spans="1:20" ht="15" thickBot="1" x14ac:dyDescent="0.25">
      <c r="A616" s="420"/>
      <c r="B616" s="617"/>
      <c r="C616" s="617"/>
      <c r="D616" s="518" t="s">
        <v>1814</v>
      </c>
      <c r="E616" s="1162" t="s">
        <v>1815</v>
      </c>
      <c r="F616" s="683"/>
      <c r="G616" s="683">
        <v>637</v>
      </c>
      <c r="H616" s="683">
        <v>637</v>
      </c>
      <c r="I616" s="679">
        <f t="shared" si="78"/>
        <v>100</v>
      </c>
    </row>
    <row r="617" spans="1:20" ht="16.5" thickTop="1" thickBot="1" x14ac:dyDescent="0.3">
      <c r="A617" s="3110" t="s">
        <v>1000</v>
      </c>
      <c r="B617" s="3111"/>
      <c r="C617" s="3111"/>
      <c r="D617" s="3111"/>
      <c r="E617" s="3111"/>
      <c r="F617" s="680">
        <f>F607</f>
        <v>3790</v>
      </c>
      <c r="G617" s="680">
        <f>G607+G610</f>
        <v>17896</v>
      </c>
      <c r="H617" s="680">
        <f>H607+H610</f>
        <v>17896</v>
      </c>
      <c r="I617" s="681">
        <f t="shared" si="78"/>
        <v>100</v>
      </c>
      <c r="R617" s="374">
        <f>F617</f>
        <v>3790</v>
      </c>
      <c r="S617" s="374">
        <f>G617</f>
        <v>17896</v>
      </c>
      <c r="T617" s="374">
        <f>H617</f>
        <v>17896</v>
      </c>
    </row>
    <row r="618" spans="1:20" ht="15" customHeight="1" thickTop="1" x14ac:dyDescent="0.25">
      <c r="A618" s="361"/>
      <c r="B618" s="361"/>
      <c r="C618" s="361"/>
      <c r="D618" s="361"/>
      <c r="E618" s="361"/>
      <c r="F618" s="178"/>
      <c r="G618" s="178"/>
      <c r="H618" s="178"/>
      <c r="I618" s="207"/>
      <c r="R618" s="374"/>
      <c r="S618" s="374"/>
      <c r="T618" s="374"/>
    </row>
    <row r="619" spans="1:20" ht="13.5" thickBot="1" x14ac:dyDescent="0.25">
      <c r="A619" s="421" t="s">
        <v>307</v>
      </c>
      <c r="I619" s="1125" t="s">
        <v>148</v>
      </c>
    </row>
    <row r="620" spans="1:20" s="106" customFormat="1" thickTop="1" thickBot="1" x14ac:dyDescent="0.25">
      <c r="A620" s="586" t="s">
        <v>565</v>
      </c>
      <c r="B620" s="658" t="s">
        <v>149</v>
      </c>
      <c r="C620" s="587" t="s">
        <v>150</v>
      </c>
      <c r="D620" s="589" t="s">
        <v>639</v>
      </c>
      <c r="E620" s="589" t="s">
        <v>151</v>
      </c>
      <c r="F620" s="589" t="s">
        <v>569</v>
      </c>
      <c r="G620" s="589" t="s">
        <v>570</v>
      </c>
      <c r="H620" s="589" t="s">
        <v>797</v>
      </c>
      <c r="I620" s="674" t="s">
        <v>798</v>
      </c>
    </row>
    <row r="621" spans="1:20" s="375" customFormat="1" ht="13.5" customHeight="1" thickTop="1" thickBot="1" x14ac:dyDescent="0.25">
      <c r="A621" s="525">
        <v>1</v>
      </c>
      <c r="B621" s="526">
        <v>2</v>
      </c>
      <c r="C621" s="526">
        <v>3</v>
      </c>
      <c r="D621" s="526">
        <v>4</v>
      </c>
      <c r="E621" s="526">
        <v>5</v>
      </c>
      <c r="F621" s="512">
        <v>6</v>
      </c>
      <c r="G621" s="512">
        <v>7</v>
      </c>
      <c r="H621" s="513">
        <v>8</v>
      </c>
      <c r="I621" s="591" t="s">
        <v>689</v>
      </c>
    </row>
    <row r="622" spans="1:20" ht="13.5" customHeight="1" thickTop="1" x14ac:dyDescent="0.25">
      <c r="A622" s="1126">
        <v>1105</v>
      </c>
      <c r="B622" s="659">
        <v>3121</v>
      </c>
      <c r="C622" s="659">
        <v>5331</v>
      </c>
      <c r="D622" s="694"/>
      <c r="E622" s="713" t="s">
        <v>858</v>
      </c>
      <c r="F622" s="714">
        <f>F623+F624</f>
        <v>2151</v>
      </c>
      <c r="G622" s="714">
        <f>G623+G624</f>
        <v>358</v>
      </c>
      <c r="H622" s="714">
        <f>H623+H624</f>
        <v>358</v>
      </c>
      <c r="I622" s="682">
        <f t="shared" ref="I622:I630" si="81">(H622/G622)*100</f>
        <v>100</v>
      </c>
    </row>
    <row r="623" spans="1:20" ht="13.5" customHeight="1" x14ac:dyDescent="0.2">
      <c r="A623" s="420"/>
      <c r="B623" s="617"/>
      <c r="C623" s="617"/>
      <c r="D623" s="636" t="s">
        <v>1811</v>
      </c>
      <c r="E623" s="1162" t="s">
        <v>717</v>
      </c>
      <c r="F623" s="683">
        <v>647</v>
      </c>
      <c r="G623" s="683">
        <v>108</v>
      </c>
      <c r="H623" s="683">
        <v>108</v>
      </c>
      <c r="I623" s="679">
        <f t="shared" si="81"/>
        <v>100</v>
      </c>
    </row>
    <row r="624" spans="1:20" ht="13.5" customHeight="1" x14ac:dyDescent="0.2">
      <c r="A624" s="420"/>
      <c r="B624" s="617"/>
      <c r="C624" s="617"/>
      <c r="D624" s="518" t="s">
        <v>1812</v>
      </c>
      <c r="E624" s="442" t="s">
        <v>63</v>
      </c>
      <c r="F624" s="683">
        <v>1504</v>
      </c>
      <c r="G624" s="683">
        <v>250</v>
      </c>
      <c r="H624" s="683">
        <v>250</v>
      </c>
      <c r="I624" s="679">
        <f t="shared" si="81"/>
        <v>100</v>
      </c>
    </row>
    <row r="625" spans="1:20" ht="15" x14ac:dyDescent="0.25">
      <c r="A625" s="420">
        <v>1105</v>
      </c>
      <c r="B625" s="651">
        <v>3121</v>
      </c>
      <c r="C625" s="651">
        <v>5336</v>
      </c>
      <c r="D625" s="527"/>
      <c r="E625" s="616" t="s">
        <v>1740</v>
      </c>
      <c r="F625" s="700"/>
      <c r="G625" s="700">
        <f>G626+G627+G628+G629</f>
        <v>12668</v>
      </c>
      <c r="H625" s="700">
        <f>H626+H627+H628+H629</f>
        <v>12668</v>
      </c>
      <c r="I625" s="693">
        <f t="shared" si="81"/>
        <v>100</v>
      </c>
    </row>
    <row r="626" spans="1:20" ht="14.25" x14ac:dyDescent="0.2">
      <c r="A626" s="420"/>
      <c r="B626" s="651"/>
      <c r="C626" s="651"/>
      <c r="D626" s="887" t="s">
        <v>1827</v>
      </c>
      <c r="E626" s="1676" t="s">
        <v>1407</v>
      </c>
      <c r="F626" s="683"/>
      <c r="G626" s="683">
        <v>20</v>
      </c>
      <c r="H626" s="683">
        <v>20</v>
      </c>
      <c r="I626" s="679">
        <f t="shared" ref="I626" si="82">(H626/G626)*100</f>
        <v>100</v>
      </c>
    </row>
    <row r="627" spans="1:20" ht="15" x14ac:dyDescent="0.2">
      <c r="A627" s="420"/>
      <c r="B627" s="651"/>
      <c r="C627" s="651"/>
      <c r="D627" s="887" t="s">
        <v>1808</v>
      </c>
      <c r="E627" s="1676" t="s">
        <v>1739</v>
      </c>
      <c r="F627" s="1964"/>
      <c r="G627" s="1965">
        <v>422</v>
      </c>
      <c r="H627" s="1965">
        <v>422</v>
      </c>
      <c r="I627" s="368">
        <f t="shared" ref="I627:I628" si="83">(H627/G627)*100</f>
        <v>100</v>
      </c>
    </row>
    <row r="628" spans="1:20" ht="28.5" x14ac:dyDescent="0.2">
      <c r="A628" s="420"/>
      <c r="B628" s="651"/>
      <c r="C628" s="651"/>
      <c r="D628" s="887" t="s">
        <v>1809</v>
      </c>
      <c r="E628" s="2019" t="s">
        <v>1810</v>
      </c>
      <c r="F628" s="1964"/>
      <c r="G628" s="2031">
        <v>60</v>
      </c>
      <c r="H628" s="2031">
        <v>60</v>
      </c>
      <c r="I628" s="1234">
        <f t="shared" si="83"/>
        <v>100</v>
      </c>
    </row>
    <row r="629" spans="1:20" ht="13.5" customHeight="1" thickBot="1" x14ac:dyDescent="0.25">
      <c r="A629" s="420"/>
      <c r="B629" s="617"/>
      <c r="C629" s="617"/>
      <c r="D629" s="518" t="s">
        <v>1807</v>
      </c>
      <c r="E629" s="442" t="s">
        <v>716</v>
      </c>
      <c r="F629" s="683"/>
      <c r="G629" s="683">
        <v>12166</v>
      </c>
      <c r="H629" s="683">
        <v>12166</v>
      </c>
      <c r="I629" s="679">
        <f t="shared" si="81"/>
        <v>100</v>
      </c>
    </row>
    <row r="630" spans="1:20" ht="16.5" thickTop="1" thickBot="1" x14ac:dyDescent="0.3">
      <c r="A630" s="3110" t="s">
        <v>1000</v>
      </c>
      <c r="B630" s="3111"/>
      <c r="C630" s="3111"/>
      <c r="D630" s="3111"/>
      <c r="E630" s="3111"/>
      <c r="F630" s="680">
        <f>F622</f>
        <v>2151</v>
      </c>
      <c r="G630" s="680">
        <f>G622+G625</f>
        <v>13026</v>
      </c>
      <c r="H630" s="680">
        <f>H622+H625</f>
        <v>13026</v>
      </c>
      <c r="I630" s="681">
        <f t="shared" si="81"/>
        <v>100</v>
      </c>
      <c r="R630" s="374">
        <f>F630</f>
        <v>2151</v>
      </c>
      <c r="S630" s="374">
        <f>G630</f>
        <v>13026</v>
      </c>
      <c r="T630" s="374">
        <f>H630</f>
        <v>13026</v>
      </c>
    </row>
    <row r="631" spans="1:20" ht="13.5" thickTop="1" x14ac:dyDescent="0.2"/>
    <row r="632" spans="1:20" ht="13.5" thickBot="1" x14ac:dyDescent="0.25">
      <c r="A632" s="421" t="s">
        <v>308</v>
      </c>
      <c r="I632" s="1125" t="s">
        <v>148</v>
      </c>
    </row>
    <row r="633" spans="1:20" s="106" customFormat="1" ht="18" customHeight="1" thickTop="1" thickBot="1" x14ac:dyDescent="0.25">
      <c r="A633" s="586" t="s">
        <v>565</v>
      </c>
      <c r="B633" s="658" t="s">
        <v>149</v>
      </c>
      <c r="C633" s="587" t="s">
        <v>150</v>
      </c>
      <c r="D633" s="589" t="s">
        <v>639</v>
      </c>
      <c r="E633" s="589" t="s">
        <v>151</v>
      </c>
      <c r="F633" s="589" t="s">
        <v>569</v>
      </c>
      <c r="G633" s="589" t="s">
        <v>570</v>
      </c>
      <c r="H633" s="589" t="s">
        <v>797</v>
      </c>
      <c r="I633" s="674" t="s">
        <v>798</v>
      </c>
    </row>
    <row r="634" spans="1:20" s="375" customFormat="1" ht="13.5" thickTop="1" thickBot="1" x14ac:dyDescent="0.25">
      <c r="A634" s="525">
        <v>1</v>
      </c>
      <c r="B634" s="526">
        <v>2</v>
      </c>
      <c r="C634" s="526">
        <v>3</v>
      </c>
      <c r="D634" s="526">
        <v>4</v>
      </c>
      <c r="E634" s="526">
        <v>5</v>
      </c>
      <c r="F634" s="512">
        <v>6</v>
      </c>
      <c r="G634" s="512">
        <v>7</v>
      </c>
      <c r="H634" s="513">
        <v>8</v>
      </c>
      <c r="I634" s="591" t="s">
        <v>689</v>
      </c>
    </row>
    <row r="635" spans="1:20" ht="15.75" thickTop="1" x14ac:dyDescent="0.25">
      <c r="A635" s="1126">
        <v>1106</v>
      </c>
      <c r="B635" s="659">
        <v>3121</v>
      </c>
      <c r="C635" s="659">
        <v>5331</v>
      </c>
      <c r="D635" s="694"/>
      <c r="E635" s="713" t="s">
        <v>858</v>
      </c>
      <c r="F635" s="714">
        <f>SUM(F636:F642)</f>
        <v>3651</v>
      </c>
      <c r="G635" s="714">
        <f>G636+G637</f>
        <v>610</v>
      </c>
      <c r="H635" s="714">
        <f>H636+H637</f>
        <v>610</v>
      </c>
      <c r="I635" s="682">
        <f t="shared" ref="I635:I651" si="84">(H635/G635)*100</f>
        <v>100</v>
      </c>
    </row>
    <row r="636" spans="1:20" ht="14.25" x14ac:dyDescent="0.2">
      <c r="A636" s="420"/>
      <c r="B636" s="617"/>
      <c r="C636" s="617"/>
      <c r="D636" s="636" t="s">
        <v>1811</v>
      </c>
      <c r="E636" s="1162" t="s">
        <v>717</v>
      </c>
      <c r="F636" s="683">
        <v>631</v>
      </c>
      <c r="G636" s="683">
        <v>106</v>
      </c>
      <c r="H636" s="683">
        <v>106</v>
      </c>
      <c r="I636" s="679">
        <f t="shared" si="84"/>
        <v>100</v>
      </c>
    </row>
    <row r="637" spans="1:20" ht="14.25" x14ac:dyDescent="0.2">
      <c r="A637" s="420"/>
      <c r="B637" s="617"/>
      <c r="C637" s="617"/>
      <c r="D637" s="518" t="s">
        <v>1812</v>
      </c>
      <c r="E637" s="442" t="s">
        <v>63</v>
      </c>
      <c r="F637" s="683">
        <v>3020</v>
      </c>
      <c r="G637" s="683">
        <v>504</v>
      </c>
      <c r="H637" s="683">
        <v>504</v>
      </c>
      <c r="I637" s="679">
        <f t="shared" si="84"/>
        <v>100</v>
      </c>
    </row>
    <row r="638" spans="1:20" ht="20.25" customHeight="1" x14ac:dyDescent="0.25">
      <c r="A638" s="420">
        <v>1106</v>
      </c>
      <c r="B638" s="651">
        <v>3121</v>
      </c>
      <c r="C638" s="651">
        <v>5336</v>
      </c>
      <c r="D638" s="527"/>
      <c r="E638" s="616" t="s">
        <v>1740</v>
      </c>
      <c r="F638" s="700"/>
      <c r="G638" s="700">
        <f>G639+G640+G641+G642+G643+G644</f>
        <v>31688</v>
      </c>
      <c r="H638" s="700">
        <f>H639+H640+H641+H642+H643+H644</f>
        <v>31688</v>
      </c>
      <c r="I638" s="693">
        <f t="shared" si="84"/>
        <v>100</v>
      </c>
    </row>
    <row r="639" spans="1:20" ht="14.25" customHeight="1" x14ac:dyDescent="0.2">
      <c r="A639" s="420"/>
      <c r="B639" s="651"/>
      <c r="C639" s="651"/>
      <c r="D639" s="887" t="s">
        <v>1827</v>
      </c>
      <c r="E639" s="1676" t="s">
        <v>1407</v>
      </c>
      <c r="F639" s="683"/>
      <c r="G639" s="683">
        <v>64</v>
      </c>
      <c r="H639" s="683">
        <v>64</v>
      </c>
      <c r="I639" s="679">
        <f t="shared" ref="I639" si="85">(H639/G639)*100</f>
        <v>100</v>
      </c>
    </row>
    <row r="640" spans="1:20" ht="14.25" customHeight="1" x14ac:dyDescent="0.2">
      <c r="A640" s="420"/>
      <c r="B640" s="651"/>
      <c r="C640" s="651"/>
      <c r="D640" s="887" t="s">
        <v>1808</v>
      </c>
      <c r="E640" s="1676" t="s">
        <v>1739</v>
      </c>
      <c r="F640" s="1964"/>
      <c r="G640" s="1965">
        <v>806</v>
      </c>
      <c r="H640" s="1965">
        <v>806</v>
      </c>
      <c r="I640" s="368">
        <f t="shared" ref="I640:I641" si="86">(H640/G640)*100</f>
        <v>100</v>
      </c>
    </row>
    <row r="641" spans="1:22" ht="28.5" x14ac:dyDescent="0.2">
      <c r="A641" s="420"/>
      <c r="B641" s="651"/>
      <c r="C641" s="651"/>
      <c r="D641" s="887" t="s">
        <v>1809</v>
      </c>
      <c r="E641" s="2019" t="s">
        <v>1810</v>
      </c>
      <c r="F641" s="1964"/>
      <c r="G641" s="2031">
        <v>152</v>
      </c>
      <c r="H641" s="2031">
        <v>152</v>
      </c>
      <c r="I641" s="1234">
        <f t="shared" si="86"/>
        <v>100</v>
      </c>
    </row>
    <row r="642" spans="1:22" ht="14.25" x14ac:dyDescent="0.2">
      <c r="A642" s="420"/>
      <c r="B642" s="617"/>
      <c r="C642" s="617"/>
      <c r="D642" s="518" t="s">
        <v>1807</v>
      </c>
      <c r="E642" s="442" t="s">
        <v>716</v>
      </c>
      <c r="F642" s="683"/>
      <c r="G642" s="683">
        <v>29578</v>
      </c>
      <c r="H642" s="683">
        <v>29578</v>
      </c>
      <c r="I642" s="679">
        <f t="shared" si="84"/>
        <v>100</v>
      </c>
    </row>
    <row r="643" spans="1:22" ht="14.25" x14ac:dyDescent="0.2">
      <c r="A643" s="420"/>
      <c r="B643" s="651"/>
      <c r="C643" s="651"/>
      <c r="D643" s="518" t="s">
        <v>1813</v>
      </c>
      <c r="E643" s="1162" t="s">
        <v>1815</v>
      </c>
      <c r="F643" s="689"/>
      <c r="G643" s="689">
        <v>163</v>
      </c>
      <c r="H643" s="689">
        <v>163</v>
      </c>
      <c r="I643" s="679">
        <f t="shared" si="84"/>
        <v>100</v>
      </c>
    </row>
    <row r="644" spans="1:22" ht="14.25" x14ac:dyDescent="0.2">
      <c r="A644" s="420"/>
      <c r="B644" s="651"/>
      <c r="C644" s="651"/>
      <c r="D644" s="518" t="s">
        <v>1814</v>
      </c>
      <c r="E644" s="1162" t="s">
        <v>1815</v>
      </c>
      <c r="F644" s="689"/>
      <c r="G644" s="689">
        <v>925</v>
      </c>
      <c r="H644" s="689">
        <v>925</v>
      </c>
      <c r="I644" s="679">
        <f t="shared" si="84"/>
        <v>100</v>
      </c>
    </row>
    <row r="645" spans="1:22" ht="15" x14ac:dyDescent="0.25">
      <c r="A645" s="420">
        <v>1106</v>
      </c>
      <c r="B645" s="651">
        <v>3141</v>
      </c>
      <c r="C645" s="651">
        <v>5336</v>
      </c>
      <c r="D645" s="697"/>
      <c r="E645" s="616" t="s">
        <v>1740</v>
      </c>
      <c r="F645" s="690"/>
      <c r="G645" s="690">
        <v>77</v>
      </c>
      <c r="H645" s="690">
        <v>77</v>
      </c>
      <c r="I645" s="691">
        <f t="shared" si="84"/>
        <v>100</v>
      </c>
    </row>
    <row r="646" spans="1:22" ht="14.25" x14ac:dyDescent="0.2">
      <c r="A646" s="420"/>
      <c r="B646" s="651"/>
      <c r="C646" s="651"/>
      <c r="D646" s="518" t="s">
        <v>1807</v>
      </c>
      <c r="E646" s="442" t="s">
        <v>716</v>
      </c>
      <c r="F646" s="689"/>
      <c r="G646" s="689">
        <v>77</v>
      </c>
      <c r="H646" s="689">
        <v>77</v>
      </c>
      <c r="I646" s="684">
        <f t="shared" si="84"/>
        <v>100</v>
      </c>
    </row>
    <row r="647" spans="1:22" ht="15" x14ac:dyDescent="0.25">
      <c r="A647" s="420">
        <v>1106</v>
      </c>
      <c r="B647" s="651">
        <v>3143</v>
      </c>
      <c r="C647" s="651">
        <v>5336</v>
      </c>
      <c r="D647" s="697"/>
      <c r="E647" s="616" t="s">
        <v>1740</v>
      </c>
      <c r="F647" s="689"/>
      <c r="G647" s="700">
        <v>521</v>
      </c>
      <c r="H647" s="700">
        <v>521</v>
      </c>
      <c r="I647" s="693">
        <f t="shared" si="84"/>
        <v>100</v>
      </c>
    </row>
    <row r="648" spans="1:22" ht="14.25" x14ac:dyDescent="0.2">
      <c r="A648" s="420"/>
      <c r="B648" s="651"/>
      <c r="C648" s="651"/>
      <c r="D648" s="518" t="s">
        <v>1807</v>
      </c>
      <c r="E648" s="442" t="s">
        <v>716</v>
      </c>
      <c r="F648" s="689"/>
      <c r="G648" s="689">
        <v>521</v>
      </c>
      <c r="H648" s="689">
        <v>521</v>
      </c>
      <c r="I648" s="684">
        <f t="shared" si="84"/>
        <v>100</v>
      </c>
    </row>
    <row r="649" spans="1:22" ht="15" x14ac:dyDescent="0.25">
      <c r="A649" s="420">
        <v>1106</v>
      </c>
      <c r="B649" s="651">
        <v>3299</v>
      </c>
      <c r="C649" s="651">
        <v>5331</v>
      </c>
      <c r="D649" s="518"/>
      <c r="E649" s="664" t="s">
        <v>858</v>
      </c>
      <c r="F649" s="689"/>
      <c r="G649" s="700">
        <v>5</v>
      </c>
      <c r="H649" s="700">
        <v>5</v>
      </c>
      <c r="I649" s="691">
        <f t="shared" si="84"/>
        <v>100</v>
      </c>
    </row>
    <row r="650" spans="1:22" ht="15" thickBot="1" x14ac:dyDescent="0.25">
      <c r="A650" s="420"/>
      <c r="B650" s="651"/>
      <c r="C650" s="651"/>
      <c r="D650" s="1115" t="s">
        <v>1830</v>
      </c>
      <c r="E650" s="1677" t="s">
        <v>1204</v>
      </c>
      <c r="F650" s="1074"/>
      <c r="G650" s="438">
        <v>5</v>
      </c>
      <c r="H650" s="312">
        <v>5</v>
      </c>
      <c r="I650" s="893">
        <f t="shared" ref="I650" si="87">(H650/G650)*100</f>
        <v>100</v>
      </c>
    </row>
    <row r="651" spans="1:22" ht="16.5" thickTop="1" thickBot="1" x14ac:dyDescent="0.3">
      <c r="A651" s="3110" t="s">
        <v>1000</v>
      </c>
      <c r="B651" s="3111"/>
      <c r="C651" s="3111"/>
      <c r="D651" s="3111"/>
      <c r="E651" s="3111"/>
      <c r="F651" s="680">
        <f>SUM(F635,F645)</f>
        <v>3651</v>
      </c>
      <c r="G651" s="680">
        <f>G649+G647+G645+G638+G635</f>
        <v>32901</v>
      </c>
      <c r="H651" s="680">
        <f>H649+H647+H645+H638+H635</f>
        <v>32901</v>
      </c>
      <c r="I651" s="681">
        <f t="shared" si="84"/>
        <v>100</v>
      </c>
      <c r="Q651" s="1131"/>
      <c r="R651" s="741">
        <f>F651</f>
        <v>3651</v>
      </c>
      <c r="S651" s="741">
        <f>G651</f>
        <v>32901</v>
      </c>
      <c r="T651" s="741">
        <f>H651</f>
        <v>32901</v>
      </c>
      <c r="U651" s="1131"/>
      <c r="V651" s="1131"/>
    </row>
    <row r="652" spans="1:22" ht="18" customHeight="1" thickTop="1" x14ac:dyDescent="0.25">
      <c r="A652" s="361"/>
      <c r="B652" s="361"/>
      <c r="C652" s="361"/>
      <c r="D652" s="361"/>
      <c r="E652" s="361"/>
      <c r="F652" s="178"/>
      <c r="G652" s="178"/>
      <c r="H652" s="178"/>
      <c r="I652" s="207"/>
      <c r="Q652" s="1131"/>
      <c r="R652" s="741"/>
      <c r="S652" s="741"/>
      <c r="T652" s="741"/>
      <c r="U652" s="1131"/>
      <c r="V652" s="1131"/>
    </row>
    <row r="653" spans="1:22" ht="13.5" thickBot="1" x14ac:dyDescent="0.25">
      <c r="A653" s="421" t="s">
        <v>309</v>
      </c>
      <c r="I653" s="1125" t="s">
        <v>148</v>
      </c>
    </row>
    <row r="654" spans="1:22" s="106" customFormat="1" thickTop="1" thickBot="1" x14ac:dyDescent="0.25">
      <c r="A654" s="586" t="s">
        <v>565</v>
      </c>
      <c r="B654" s="658" t="s">
        <v>149</v>
      </c>
      <c r="C654" s="587" t="s">
        <v>150</v>
      </c>
      <c r="D654" s="589" t="s">
        <v>639</v>
      </c>
      <c r="E654" s="589" t="s">
        <v>151</v>
      </c>
      <c r="F654" s="589" t="s">
        <v>569</v>
      </c>
      <c r="G654" s="589" t="s">
        <v>570</v>
      </c>
      <c r="H654" s="589" t="s">
        <v>797</v>
      </c>
      <c r="I654" s="674" t="s">
        <v>798</v>
      </c>
    </row>
    <row r="655" spans="1:22" s="106" customFormat="1" thickTop="1" thickBot="1" x14ac:dyDescent="0.25">
      <c r="A655" s="626"/>
      <c r="B655" s="628"/>
      <c r="C655" s="627"/>
      <c r="D655" s="629"/>
      <c r="E655" s="629"/>
      <c r="F655" s="629"/>
      <c r="G655" s="629"/>
      <c r="H655" s="629"/>
      <c r="I655" s="630"/>
    </row>
    <row r="656" spans="1:22" ht="15.75" thickTop="1" x14ac:dyDescent="0.25">
      <c r="A656" s="1126">
        <v>1108</v>
      </c>
      <c r="B656" s="659">
        <v>3121</v>
      </c>
      <c r="C656" s="659">
        <v>5331</v>
      </c>
      <c r="D656" s="694"/>
      <c r="E656" s="713" t="s">
        <v>858</v>
      </c>
      <c r="F656" s="714">
        <f>F657+F658</f>
        <v>5466</v>
      </c>
      <c r="G656" s="714">
        <f>G657+G658</f>
        <v>910</v>
      </c>
      <c r="H656" s="714">
        <f>H657+H658</f>
        <v>910</v>
      </c>
      <c r="I656" s="682">
        <f t="shared" ref="I656:I666" si="88">(H656/G656)*100</f>
        <v>100</v>
      </c>
    </row>
    <row r="657" spans="1:20" ht="14.25" x14ac:dyDescent="0.2">
      <c r="A657" s="420"/>
      <c r="B657" s="617"/>
      <c r="C657" s="617"/>
      <c r="D657" s="636" t="s">
        <v>1811</v>
      </c>
      <c r="E657" s="1162" t="s">
        <v>717</v>
      </c>
      <c r="F657" s="683">
        <v>376</v>
      </c>
      <c r="G657" s="683">
        <v>62</v>
      </c>
      <c r="H657" s="683">
        <v>62</v>
      </c>
      <c r="I657" s="679">
        <f t="shared" si="88"/>
        <v>100</v>
      </c>
    </row>
    <row r="658" spans="1:20" ht="14.25" x14ac:dyDescent="0.2">
      <c r="A658" s="420"/>
      <c r="B658" s="617"/>
      <c r="C658" s="617"/>
      <c r="D658" s="518" t="s">
        <v>1812</v>
      </c>
      <c r="E658" s="442" t="s">
        <v>63</v>
      </c>
      <c r="F658" s="683">
        <v>5090</v>
      </c>
      <c r="G658" s="683">
        <v>848</v>
      </c>
      <c r="H658" s="683">
        <v>848</v>
      </c>
      <c r="I658" s="679">
        <f t="shared" si="88"/>
        <v>100</v>
      </c>
    </row>
    <row r="659" spans="1:20" ht="15" x14ac:dyDescent="0.25">
      <c r="A659" s="420">
        <v>1108</v>
      </c>
      <c r="B659" s="651">
        <v>3121</v>
      </c>
      <c r="C659" s="651">
        <v>5336</v>
      </c>
      <c r="D659" s="1061"/>
      <c r="E659" s="616" t="s">
        <v>1740</v>
      </c>
      <c r="F659" s="700"/>
      <c r="G659" s="700">
        <f>G660+G661+G662+G663+G664+G665+G666</f>
        <v>32138</v>
      </c>
      <c r="H659" s="700">
        <f>H660+H661+H662+H663+H664+H665+H666</f>
        <v>32138</v>
      </c>
      <c r="I659" s="691">
        <f t="shared" si="88"/>
        <v>100</v>
      </c>
    </row>
    <row r="660" spans="1:20" ht="14.25" x14ac:dyDescent="0.2">
      <c r="A660" s="420"/>
      <c r="B660" s="651"/>
      <c r="C660" s="651"/>
      <c r="D660" s="887" t="s">
        <v>1827</v>
      </c>
      <c r="E660" s="1676" t="s">
        <v>1407</v>
      </c>
      <c r="F660" s="683"/>
      <c r="G660" s="683">
        <v>346</v>
      </c>
      <c r="H660" s="683">
        <v>346</v>
      </c>
      <c r="I660" s="679">
        <f t="shared" ref="I660" si="89">(H660/G660)*100</f>
        <v>100</v>
      </c>
    </row>
    <row r="661" spans="1:20" ht="15" x14ac:dyDescent="0.2">
      <c r="A661" s="420"/>
      <c r="B661" s="651"/>
      <c r="C661" s="651"/>
      <c r="D661" s="887" t="s">
        <v>1808</v>
      </c>
      <c r="E661" s="1676" t="s">
        <v>1739</v>
      </c>
      <c r="F661" s="1964"/>
      <c r="G661" s="1965">
        <v>943</v>
      </c>
      <c r="H661" s="1965">
        <v>943</v>
      </c>
      <c r="I661" s="368">
        <f t="shared" ref="I661:I663" si="90">(H661/G661)*100</f>
        <v>100</v>
      </c>
    </row>
    <row r="662" spans="1:20" ht="28.5" x14ac:dyDescent="0.2">
      <c r="A662" s="420"/>
      <c r="B662" s="651"/>
      <c r="C662" s="651"/>
      <c r="D662" s="887" t="s">
        <v>1834</v>
      </c>
      <c r="E662" s="2019" t="s">
        <v>1835</v>
      </c>
      <c r="F662" s="1964"/>
      <c r="G662" s="2031">
        <v>18</v>
      </c>
      <c r="H662" s="2031">
        <v>18</v>
      </c>
      <c r="I662" s="1234">
        <f t="shared" si="90"/>
        <v>100</v>
      </c>
    </row>
    <row r="663" spans="1:20" ht="28.5" x14ac:dyDescent="0.2">
      <c r="A663" s="420"/>
      <c r="B663" s="651"/>
      <c r="C663" s="651"/>
      <c r="D663" s="887" t="s">
        <v>1809</v>
      </c>
      <c r="E663" s="2019" t="s">
        <v>1810</v>
      </c>
      <c r="F663" s="1964"/>
      <c r="G663" s="2031">
        <v>149</v>
      </c>
      <c r="H663" s="2031">
        <v>149</v>
      </c>
      <c r="I663" s="1234">
        <f t="shared" si="90"/>
        <v>100</v>
      </c>
    </row>
    <row r="664" spans="1:20" ht="14.25" x14ac:dyDescent="0.2">
      <c r="A664" s="420"/>
      <c r="B664" s="617"/>
      <c r="C664" s="617"/>
      <c r="D664" s="518" t="s">
        <v>1807</v>
      </c>
      <c r="E664" s="442" t="s">
        <v>716</v>
      </c>
      <c r="F664" s="683"/>
      <c r="G664" s="683">
        <v>29682</v>
      </c>
      <c r="H664" s="683">
        <v>29682</v>
      </c>
      <c r="I664" s="679">
        <f t="shared" si="88"/>
        <v>100</v>
      </c>
    </row>
    <row r="665" spans="1:20" ht="14.25" x14ac:dyDescent="0.2">
      <c r="A665" s="420"/>
      <c r="B665" s="651"/>
      <c r="C665" s="651"/>
      <c r="D665" s="518" t="s">
        <v>1813</v>
      </c>
      <c r="E665" s="1162" t="s">
        <v>1815</v>
      </c>
      <c r="F665" s="689"/>
      <c r="G665" s="689">
        <v>150</v>
      </c>
      <c r="H665" s="689">
        <v>150</v>
      </c>
      <c r="I665" s="684">
        <f t="shared" si="88"/>
        <v>100</v>
      </c>
    </row>
    <row r="666" spans="1:20" ht="14.25" x14ac:dyDescent="0.2">
      <c r="A666" s="420"/>
      <c r="B666" s="651"/>
      <c r="C666" s="651"/>
      <c r="D666" s="518" t="s">
        <v>1814</v>
      </c>
      <c r="E666" s="1162" t="s">
        <v>1815</v>
      </c>
      <c r="F666" s="689"/>
      <c r="G666" s="689">
        <v>850</v>
      </c>
      <c r="H666" s="689">
        <v>850</v>
      </c>
      <c r="I666" s="684">
        <f t="shared" si="88"/>
        <v>100</v>
      </c>
    </row>
    <row r="667" spans="1:20" ht="15" x14ac:dyDescent="0.25">
      <c r="A667" s="420">
        <v>1108</v>
      </c>
      <c r="B667" s="651">
        <v>3299</v>
      </c>
      <c r="C667" s="651">
        <v>5331</v>
      </c>
      <c r="D667" s="712"/>
      <c r="E667" s="616" t="s">
        <v>858</v>
      </c>
      <c r="F667" s="690"/>
      <c r="G667" s="690">
        <v>8</v>
      </c>
      <c r="H667" s="690">
        <v>8</v>
      </c>
      <c r="I667" s="691">
        <f>(H667/G667)*100</f>
        <v>100</v>
      </c>
    </row>
    <row r="668" spans="1:20" ht="15.75" thickBot="1" x14ac:dyDescent="0.3">
      <c r="A668" s="420"/>
      <c r="B668" s="651"/>
      <c r="C668" s="651"/>
      <c r="D668" s="1068" t="s">
        <v>1830</v>
      </c>
      <c r="E668" s="446" t="s">
        <v>1011</v>
      </c>
      <c r="F668" s="690"/>
      <c r="G668" s="689">
        <v>8</v>
      </c>
      <c r="H668" s="689">
        <v>8</v>
      </c>
      <c r="I668" s="684">
        <f>(H668/G668)*100</f>
        <v>100</v>
      </c>
    </row>
    <row r="669" spans="1:20" ht="16.5" thickTop="1" thickBot="1" x14ac:dyDescent="0.3">
      <c r="A669" s="3110" t="s">
        <v>1000</v>
      </c>
      <c r="B669" s="3111"/>
      <c r="C669" s="3111"/>
      <c r="D669" s="3111"/>
      <c r="E669" s="3111"/>
      <c r="F669" s="680">
        <f>F656</f>
        <v>5466</v>
      </c>
      <c r="G669" s="680">
        <f>G659+G667+G656</f>
        <v>33056</v>
      </c>
      <c r="H669" s="680">
        <f>H659+H667+H656</f>
        <v>33056</v>
      </c>
      <c r="I669" s="681">
        <f>(H669/G669)*100</f>
        <v>100</v>
      </c>
      <c r="R669" s="374">
        <f>F669</f>
        <v>5466</v>
      </c>
      <c r="S669" s="374">
        <f>G669</f>
        <v>33056</v>
      </c>
      <c r="T669" s="374">
        <f>H669</f>
        <v>33056</v>
      </c>
    </row>
    <row r="670" spans="1:20" ht="15.75" thickTop="1" x14ac:dyDescent="0.25">
      <c r="A670" s="361"/>
      <c r="B670" s="361"/>
      <c r="C670" s="361"/>
      <c r="D670" s="361"/>
      <c r="E670" s="361"/>
      <c r="F670" s="178"/>
      <c r="G670" s="178"/>
      <c r="H670" s="178"/>
      <c r="I670" s="207"/>
      <c r="R670" s="374"/>
      <c r="S670" s="374"/>
      <c r="T670" s="374"/>
    </row>
    <row r="671" spans="1:20" ht="13.5" thickBot="1" x14ac:dyDescent="0.25">
      <c r="A671" s="421" t="s">
        <v>1110</v>
      </c>
      <c r="I671" s="1125" t="s">
        <v>148</v>
      </c>
    </row>
    <row r="672" spans="1:20" s="106" customFormat="1" thickTop="1" thickBot="1" x14ac:dyDescent="0.25">
      <c r="A672" s="586" t="s">
        <v>565</v>
      </c>
      <c r="B672" s="658" t="s">
        <v>149</v>
      </c>
      <c r="C672" s="587" t="s">
        <v>150</v>
      </c>
      <c r="D672" s="589" t="s">
        <v>639</v>
      </c>
      <c r="E672" s="589" t="s">
        <v>151</v>
      </c>
      <c r="F672" s="589" t="s">
        <v>569</v>
      </c>
      <c r="G672" s="589" t="s">
        <v>570</v>
      </c>
      <c r="H672" s="589" t="s">
        <v>797</v>
      </c>
      <c r="I672" s="674" t="s">
        <v>798</v>
      </c>
    </row>
    <row r="673" spans="1:20" s="375" customFormat="1" ht="13.5" thickTop="1" thickBot="1" x14ac:dyDescent="0.25">
      <c r="A673" s="525">
        <v>1</v>
      </c>
      <c r="B673" s="526">
        <v>2</v>
      </c>
      <c r="C673" s="526">
        <v>3</v>
      </c>
      <c r="D673" s="526">
        <v>4</v>
      </c>
      <c r="E673" s="526">
        <v>5</v>
      </c>
      <c r="F673" s="512">
        <v>6</v>
      </c>
      <c r="G673" s="512">
        <v>7</v>
      </c>
      <c r="H673" s="513">
        <v>8</v>
      </c>
      <c r="I673" s="591" t="s">
        <v>689</v>
      </c>
    </row>
    <row r="674" spans="1:20" ht="15.75" thickTop="1" x14ac:dyDescent="0.25">
      <c r="A674" s="1126">
        <v>1109</v>
      </c>
      <c r="B674" s="659">
        <v>3121</v>
      </c>
      <c r="C674" s="659">
        <v>5331</v>
      </c>
      <c r="D674" s="694"/>
      <c r="E674" s="713" t="s">
        <v>858</v>
      </c>
      <c r="F674" s="714">
        <f>F676+F675</f>
        <v>2700</v>
      </c>
      <c r="G674" s="714">
        <f t="shared" ref="G674:H674" si="91">G676+G675</f>
        <v>490</v>
      </c>
      <c r="H674" s="714">
        <f t="shared" si="91"/>
        <v>490</v>
      </c>
      <c r="I674" s="682">
        <f t="shared" ref="I674:I683" si="92">(H674/G674)*100</f>
        <v>100</v>
      </c>
    </row>
    <row r="675" spans="1:20" ht="14.25" x14ac:dyDescent="0.2">
      <c r="A675" s="420"/>
      <c r="B675" s="617"/>
      <c r="C675" s="617"/>
      <c r="D675" s="636" t="s">
        <v>1811</v>
      </c>
      <c r="E675" s="1162" t="s">
        <v>717</v>
      </c>
      <c r="F675" s="683">
        <v>813</v>
      </c>
      <c r="G675" s="683">
        <v>136</v>
      </c>
      <c r="H675" s="683">
        <v>136</v>
      </c>
      <c r="I675" s="679">
        <f t="shared" si="92"/>
        <v>100</v>
      </c>
    </row>
    <row r="676" spans="1:20" ht="14.25" x14ac:dyDescent="0.2">
      <c r="A676" s="420"/>
      <c r="B676" s="617"/>
      <c r="C676" s="617"/>
      <c r="D676" s="518" t="s">
        <v>1812</v>
      </c>
      <c r="E676" s="442" t="s">
        <v>63</v>
      </c>
      <c r="F676" s="683">
        <v>1887</v>
      </c>
      <c r="G676" s="683">
        <v>354</v>
      </c>
      <c r="H676" s="683">
        <v>354</v>
      </c>
      <c r="I676" s="679">
        <f t="shared" si="92"/>
        <v>100</v>
      </c>
    </row>
    <row r="677" spans="1:20" ht="18" customHeight="1" x14ac:dyDescent="0.25">
      <c r="A677" s="420">
        <v>1109</v>
      </c>
      <c r="B677" s="651">
        <v>3121</v>
      </c>
      <c r="C677" s="651">
        <v>5336</v>
      </c>
      <c r="D677" s="1061"/>
      <c r="E677" s="616" t="s">
        <v>1740</v>
      </c>
      <c r="F677" s="700"/>
      <c r="G677" s="700">
        <f>G678+G679+G680+G681+G682+G683</f>
        <v>14342</v>
      </c>
      <c r="H677" s="700">
        <f>H678+H679+H680+H681+H682+H683</f>
        <v>14342</v>
      </c>
      <c r="I677" s="691">
        <f>(H677/G677)*100</f>
        <v>100</v>
      </c>
    </row>
    <row r="678" spans="1:20" ht="15" customHeight="1" x14ac:dyDescent="0.2">
      <c r="A678" s="420"/>
      <c r="B678" s="651"/>
      <c r="C678" s="651"/>
      <c r="D678" s="887" t="s">
        <v>1827</v>
      </c>
      <c r="E678" s="1676" t="s">
        <v>1407</v>
      </c>
      <c r="F678" s="683"/>
      <c r="G678" s="683">
        <v>58</v>
      </c>
      <c r="H678" s="683">
        <v>58</v>
      </c>
      <c r="I678" s="679">
        <f t="shared" ref="I678" si="93">(H678/G678)*100</f>
        <v>100</v>
      </c>
    </row>
    <row r="679" spans="1:20" ht="12" customHeight="1" x14ac:dyDescent="0.2">
      <c r="A679" s="420"/>
      <c r="B679" s="651"/>
      <c r="C679" s="651"/>
      <c r="D679" s="887" t="s">
        <v>1808</v>
      </c>
      <c r="E679" s="1676" t="s">
        <v>1739</v>
      </c>
      <c r="F679" s="1964"/>
      <c r="G679" s="1965">
        <v>487</v>
      </c>
      <c r="H679" s="1965">
        <v>487</v>
      </c>
      <c r="I679" s="368">
        <f t="shared" ref="I679:I680" si="94">(H679/G679)*100</f>
        <v>100</v>
      </c>
    </row>
    <row r="680" spans="1:20" ht="28.5" x14ac:dyDescent="0.2">
      <c r="A680" s="420"/>
      <c r="B680" s="651"/>
      <c r="C680" s="651"/>
      <c r="D680" s="887" t="s">
        <v>1809</v>
      </c>
      <c r="E680" s="2019" t="s">
        <v>1810</v>
      </c>
      <c r="F680" s="1964"/>
      <c r="G680" s="2031">
        <v>64</v>
      </c>
      <c r="H680" s="2031">
        <v>64</v>
      </c>
      <c r="I680" s="1234">
        <f t="shared" si="94"/>
        <v>100</v>
      </c>
    </row>
    <row r="681" spans="1:20" ht="16.5" customHeight="1" x14ac:dyDescent="0.2">
      <c r="A681" s="420"/>
      <c r="B681" s="617"/>
      <c r="C681" s="617"/>
      <c r="D681" s="518" t="s">
        <v>1807</v>
      </c>
      <c r="E681" s="442" t="s">
        <v>716</v>
      </c>
      <c r="F681" s="683"/>
      <c r="G681" s="683">
        <v>12761</v>
      </c>
      <c r="H681" s="683">
        <v>12761</v>
      </c>
      <c r="I681" s="679">
        <f t="shared" si="92"/>
        <v>100</v>
      </c>
    </row>
    <row r="682" spans="1:20" ht="16.5" customHeight="1" x14ac:dyDescent="0.2">
      <c r="A682" s="420"/>
      <c r="B682" s="651"/>
      <c r="C682" s="651"/>
      <c r="D682" s="518" t="s">
        <v>1813</v>
      </c>
      <c r="E682" s="1162" t="s">
        <v>1815</v>
      </c>
      <c r="F682" s="689"/>
      <c r="G682" s="689">
        <v>146</v>
      </c>
      <c r="H682" s="689">
        <v>146</v>
      </c>
      <c r="I682" s="679">
        <f t="shared" si="92"/>
        <v>100</v>
      </c>
    </row>
    <row r="683" spans="1:20" ht="16.5" customHeight="1" thickBot="1" x14ac:dyDescent="0.25">
      <c r="A683" s="420"/>
      <c r="B683" s="651"/>
      <c r="C683" s="651"/>
      <c r="D683" s="518" t="s">
        <v>1814</v>
      </c>
      <c r="E683" s="1162" t="s">
        <v>1815</v>
      </c>
      <c r="F683" s="689"/>
      <c r="G683" s="689">
        <v>826</v>
      </c>
      <c r="H683" s="689">
        <v>826</v>
      </c>
      <c r="I683" s="679">
        <f t="shared" si="92"/>
        <v>100</v>
      </c>
    </row>
    <row r="684" spans="1:20" s="1165" customFormat="1" ht="16.5" thickTop="1" thickBot="1" x14ac:dyDescent="0.25">
      <c r="A684" s="3117" t="s">
        <v>1000</v>
      </c>
      <c r="B684" s="3118"/>
      <c r="C684" s="3118"/>
      <c r="D684" s="3118"/>
      <c r="E684" s="3118"/>
      <c r="F684" s="1175">
        <f>F674</f>
        <v>2700</v>
      </c>
      <c r="G684" s="1175">
        <f>G674+G677</f>
        <v>14832</v>
      </c>
      <c r="H684" s="1175">
        <f>H674+H677</f>
        <v>14832</v>
      </c>
      <c r="I684" s="1176">
        <f>(H684/G684)*100</f>
        <v>100</v>
      </c>
      <c r="R684" s="1177">
        <f>F684</f>
        <v>2700</v>
      </c>
      <c r="S684" s="1177">
        <f>G684</f>
        <v>14832</v>
      </c>
      <c r="T684" s="1177">
        <f>H684</f>
        <v>14832</v>
      </c>
    </row>
    <row r="685" spans="1:20" s="1165" customFormat="1" ht="13.5" thickTop="1" x14ac:dyDescent="0.2">
      <c r="B685" s="1178"/>
      <c r="D685" s="1179"/>
      <c r="F685" s="1177"/>
      <c r="G685" s="1177"/>
      <c r="H685" s="1177"/>
      <c r="I685" s="1180"/>
    </row>
    <row r="686" spans="1:20" ht="13.5" thickBot="1" x14ac:dyDescent="0.25">
      <c r="A686" s="421" t="s">
        <v>654</v>
      </c>
      <c r="I686" s="1125" t="s">
        <v>148</v>
      </c>
    </row>
    <row r="687" spans="1:20" s="106" customFormat="1" thickTop="1" thickBot="1" x14ac:dyDescent="0.25">
      <c r="A687" s="586" t="s">
        <v>565</v>
      </c>
      <c r="B687" s="658" t="s">
        <v>149</v>
      </c>
      <c r="C687" s="587" t="s">
        <v>150</v>
      </c>
      <c r="D687" s="589" t="s">
        <v>639</v>
      </c>
      <c r="E687" s="589" t="s">
        <v>151</v>
      </c>
      <c r="F687" s="589" t="s">
        <v>569</v>
      </c>
      <c r="G687" s="589" t="s">
        <v>570</v>
      </c>
      <c r="H687" s="589" t="s">
        <v>797</v>
      </c>
      <c r="I687" s="674" t="s">
        <v>798</v>
      </c>
    </row>
    <row r="688" spans="1:20" s="375" customFormat="1" ht="13.5" thickTop="1" thickBot="1" x14ac:dyDescent="0.25">
      <c r="A688" s="525">
        <v>1</v>
      </c>
      <c r="B688" s="526">
        <v>2</v>
      </c>
      <c r="C688" s="526">
        <v>3</v>
      </c>
      <c r="D688" s="526">
        <v>4</v>
      </c>
      <c r="E688" s="526">
        <v>5</v>
      </c>
      <c r="F688" s="512">
        <v>6</v>
      </c>
      <c r="G688" s="512">
        <v>7</v>
      </c>
      <c r="H688" s="513">
        <v>8</v>
      </c>
      <c r="I688" s="591" t="s">
        <v>689</v>
      </c>
    </row>
    <row r="689" spans="1:20" ht="15.75" thickTop="1" x14ac:dyDescent="0.25">
      <c r="A689" s="1126">
        <v>1110</v>
      </c>
      <c r="B689" s="659">
        <v>3121</v>
      </c>
      <c r="C689" s="659">
        <v>5331</v>
      </c>
      <c r="D689" s="694"/>
      <c r="E689" s="713" t="s">
        <v>858</v>
      </c>
      <c r="F689" s="714">
        <f>SUM(F690:F697)</f>
        <v>2597</v>
      </c>
      <c r="G689" s="714">
        <f>G690+G691</f>
        <v>434</v>
      </c>
      <c r="H689" s="714">
        <f>H690+H691</f>
        <v>434</v>
      </c>
      <c r="I689" s="682">
        <f t="shared" ref="I689:I699" si="95">(H689/G689)*100</f>
        <v>100</v>
      </c>
    </row>
    <row r="690" spans="1:20" ht="14.25" x14ac:dyDescent="0.2">
      <c r="A690" s="420"/>
      <c r="B690" s="617"/>
      <c r="C690" s="617"/>
      <c r="D690" s="636" t="s">
        <v>1811</v>
      </c>
      <c r="E690" s="1162" t="s">
        <v>717</v>
      </c>
      <c r="F690" s="683">
        <v>787</v>
      </c>
      <c r="G690" s="683">
        <v>132</v>
      </c>
      <c r="H690" s="683">
        <v>132</v>
      </c>
      <c r="I690" s="679">
        <f t="shared" si="95"/>
        <v>100</v>
      </c>
    </row>
    <row r="691" spans="1:20" ht="14.25" x14ac:dyDescent="0.2">
      <c r="A691" s="420"/>
      <c r="B691" s="617"/>
      <c r="C691" s="617"/>
      <c r="D691" s="518" t="s">
        <v>1812</v>
      </c>
      <c r="E691" s="442" t="s">
        <v>63</v>
      </c>
      <c r="F691" s="683">
        <v>1810</v>
      </c>
      <c r="G691" s="683">
        <v>302</v>
      </c>
      <c r="H691" s="683">
        <v>302</v>
      </c>
      <c r="I691" s="679">
        <f t="shared" si="95"/>
        <v>100</v>
      </c>
    </row>
    <row r="692" spans="1:20" ht="15" x14ac:dyDescent="0.25">
      <c r="A692" s="420">
        <v>1110</v>
      </c>
      <c r="B692" s="651">
        <v>3121</v>
      </c>
      <c r="C692" s="651">
        <v>5336</v>
      </c>
      <c r="D692" s="1061"/>
      <c r="E692" s="616" t="s">
        <v>1740</v>
      </c>
      <c r="F692" s="700"/>
      <c r="G692" s="700">
        <f>G693+G694+G695+G696+G697+G698+G699</f>
        <v>13320</v>
      </c>
      <c r="H692" s="700">
        <f>H693+H694+H695+H696+H697+H698+H699</f>
        <v>13320</v>
      </c>
      <c r="I692" s="691">
        <f>(H692/G692)*100</f>
        <v>100</v>
      </c>
    </row>
    <row r="693" spans="1:20" ht="14.25" x14ac:dyDescent="0.2">
      <c r="A693" s="420"/>
      <c r="B693" s="651"/>
      <c r="C693" s="651"/>
      <c r="D693" s="888" t="s">
        <v>1836</v>
      </c>
      <c r="E693" s="1966" t="s">
        <v>1727</v>
      </c>
      <c r="F693" s="310"/>
      <c r="G693" s="312">
        <v>18</v>
      </c>
      <c r="H693" s="312">
        <v>18</v>
      </c>
      <c r="I693" s="893">
        <f t="shared" ref="I693" si="96">(H693/G693)*100</f>
        <v>100</v>
      </c>
    </row>
    <row r="694" spans="1:20" ht="14.25" x14ac:dyDescent="0.2">
      <c r="A694" s="420"/>
      <c r="B694" s="651"/>
      <c r="C694" s="651"/>
      <c r="D694" s="887" t="s">
        <v>1827</v>
      </c>
      <c r="E694" s="1676" t="s">
        <v>1407</v>
      </c>
      <c r="F694" s="683"/>
      <c r="G694" s="683">
        <v>48</v>
      </c>
      <c r="H694" s="683">
        <v>48</v>
      </c>
      <c r="I694" s="679">
        <f t="shared" ref="I694" si="97">(H694/G694)*100</f>
        <v>100</v>
      </c>
    </row>
    <row r="695" spans="1:20" ht="15" x14ac:dyDescent="0.2">
      <c r="A695" s="420"/>
      <c r="B695" s="651"/>
      <c r="C695" s="651"/>
      <c r="D695" s="887" t="s">
        <v>1808</v>
      </c>
      <c r="E695" s="1676" t="s">
        <v>1739</v>
      </c>
      <c r="F695" s="1964"/>
      <c r="G695" s="1965">
        <v>398</v>
      </c>
      <c r="H695" s="1965">
        <v>398</v>
      </c>
      <c r="I695" s="368">
        <f t="shared" ref="I695:I696" si="98">(H695/G695)*100</f>
        <v>100</v>
      </c>
    </row>
    <row r="696" spans="1:20" ht="28.5" x14ac:dyDescent="0.2">
      <c r="A696" s="420"/>
      <c r="B696" s="651"/>
      <c r="C696" s="651"/>
      <c r="D696" s="887" t="s">
        <v>1809</v>
      </c>
      <c r="E696" s="2019" t="s">
        <v>1810</v>
      </c>
      <c r="F696" s="1964"/>
      <c r="G696" s="2031">
        <v>62</v>
      </c>
      <c r="H696" s="2031">
        <v>62</v>
      </c>
      <c r="I696" s="1234">
        <f t="shared" si="98"/>
        <v>100</v>
      </c>
    </row>
    <row r="697" spans="1:20" ht="14.25" x14ac:dyDescent="0.2">
      <c r="A697" s="420"/>
      <c r="B697" s="617"/>
      <c r="C697" s="1127"/>
      <c r="D697" s="518" t="s">
        <v>1807</v>
      </c>
      <c r="E697" s="442" t="s">
        <v>716</v>
      </c>
      <c r="F697" s="683"/>
      <c r="G697" s="683">
        <v>12193</v>
      </c>
      <c r="H697" s="683">
        <v>12193</v>
      </c>
      <c r="I697" s="679">
        <f t="shared" si="95"/>
        <v>100</v>
      </c>
    </row>
    <row r="698" spans="1:20" ht="14.25" x14ac:dyDescent="0.2">
      <c r="A698" s="420"/>
      <c r="B698" s="651"/>
      <c r="C698" s="1128"/>
      <c r="D698" s="518" t="s">
        <v>1813</v>
      </c>
      <c r="E698" s="1162" t="s">
        <v>1815</v>
      </c>
      <c r="F698" s="689"/>
      <c r="G698" s="689">
        <v>90</v>
      </c>
      <c r="H698" s="689">
        <v>90</v>
      </c>
      <c r="I698" s="679">
        <f t="shared" si="95"/>
        <v>100</v>
      </c>
    </row>
    <row r="699" spans="1:20" ht="15" thickBot="1" x14ac:dyDescent="0.25">
      <c r="A699" s="420"/>
      <c r="B699" s="651"/>
      <c r="C699" s="1128"/>
      <c r="D699" s="518" t="s">
        <v>1814</v>
      </c>
      <c r="E699" s="1162" t="s">
        <v>1815</v>
      </c>
      <c r="F699" s="689"/>
      <c r="G699" s="689">
        <v>511</v>
      </c>
      <c r="H699" s="689">
        <v>511</v>
      </c>
      <c r="I699" s="679">
        <f t="shared" si="95"/>
        <v>100</v>
      </c>
    </row>
    <row r="700" spans="1:20" ht="16.5" thickTop="1" thickBot="1" x14ac:dyDescent="0.3">
      <c r="A700" s="3110" t="s">
        <v>1000</v>
      </c>
      <c r="B700" s="3111"/>
      <c r="C700" s="3111"/>
      <c r="D700" s="3111"/>
      <c r="E700" s="3111"/>
      <c r="F700" s="680">
        <f>F689</f>
        <v>2597</v>
      </c>
      <c r="G700" s="680">
        <f>G689+G692</f>
        <v>13754</v>
      </c>
      <c r="H700" s="680">
        <f>H689+H692</f>
        <v>13754</v>
      </c>
      <c r="I700" s="681">
        <f>(H700/G700)*100</f>
        <v>100</v>
      </c>
      <c r="K700" s="374" t="e">
        <f>SUM(F700,#REF!,#REF!,#REF!,#REF!,F630,#REF!,#REF!,F582,F562,F537,#REF!,F521,#REF!,F500,F471,F446,F409,F388)</f>
        <v>#REF!</v>
      </c>
      <c r="L700" s="374" t="e">
        <f>SUM(G700,#REF!,#REF!,#REF!,#REF!,G630,#REF!,#REF!,G582,G562,G537,#REF!,G521,#REF!,G500,G471,G446,G409,G388)</f>
        <v>#REF!</v>
      </c>
      <c r="M700" s="374" t="e">
        <f>SUM(H700,#REF!,#REF!,#REF!,#REF!,H630,#REF!,#REF!,H582,H562,H537,#REF!,H521,#REF!,H500,H471,H446,H409,H388)</f>
        <v>#REF!</v>
      </c>
      <c r="R700" s="374">
        <f>F700</f>
        <v>2597</v>
      </c>
      <c r="S700" s="374">
        <f>G700</f>
        <v>13754</v>
      </c>
      <c r="T700" s="374">
        <f>H700</f>
        <v>13754</v>
      </c>
    </row>
    <row r="701" spans="1:20" ht="15.75" thickTop="1" x14ac:dyDescent="0.25">
      <c r="A701" s="361"/>
      <c r="B701" s="361"/>
      <c r="C701" s="361"/>
      <c r="D701" s="361"/>
      <c r="E701" s="361"/>
      <c r="F701" s="178"/>
      <c r="G701" s="178"/>
      <c r="H701" s="178"/>
      <c r="I701" s="207"/>
      <c r="K701" s="374"/>
      <c r="L701" s="374"/>
      <c r="M701" s="374"/>
      <c r="R701" s="374"/>
      <c r="S701" s="374"/>
      <c r="T701" s="374"/>
    </row>
    <row r="702" spans="1:20" ht="13.5" thickBot="1" x14ac:dyDescent="0.25">
      <c r="A702" s="421" t="s">
        <v>578</v>
      </c>
      <c r="I702" s="1125" t="s">
        <v>148</v>
      </c>
    </row>
    <row r="703" spans="1:20" s="106" customFormat="1" ht="18" customHeight="1" thickTop="1" thickBot="1" x14ac:dyDescent="0.25">
      <c r="A703" s="586" t="s">
        <v>565</v>
      </c>
      <c r="B703" s="658" t="s">
        <v>149</v>
      </c>
      <c r="C703" s="587" t="s">
        <v>150</v>
      </c>
      <c r="D703" s="589" t="s">
        <v>639</v>
      </c>
      <c r="E703" s="589" t="s">
        <v>151</v>
      </c>
      <c r="F703" s="589" t="s">
        <v>569</v>
      </c>
      <c r="G703" s="589" t="s">
        <v>570</v>
      </c>
      <c r="H703" s="589" t="s">
        <v>797</v>
      </c>
      <c r="I703" s="674" t="s">
        <v>798</v>
      </c>
    </row>
    <row r="704" spans="1:20" s="375" customFormat="1" ht="13.5" thickTop="1" thickBot="1" x14ac:dyDescent="0.25">
      <c r="A704" s="525">
        <v>1</v>
      </c>
      <c r="B704" s="526">
        <v>2</v>
      </c>
      <c r="C704" s="526">
        <v>3</v>
      </c>
      <c r="D704" s="526">
        <v>4</v>
      </c>
      <c r="E704" s="526">
        <v>5</v>
      </c>
      <c r="F704" s="512">
        <v>6</v>
      </c>
      <c r="G704" s="512">
        <v>7</v>
      </c>
      <c r="H704" s="513">
        <v>8</v>
      </c>
      <c r="I704" s="591" t="s">
        <v>689</v>
      </c>
    </row>
    <row r="705" spans="1:20" ht="15.75" thickTop="1" x14ac:dyDescent="0.25">
      <c r="A705" s="1126">
        <v>1111</v>
      </c>
      <c r="B705" s="659">
        <v>3121</v>
      </c>
      <c r="C705" s="659">
        <v>5331</v>
      </c>
      <c r="D705" s="694"/>
      <c r="E705" s="713" t="s">
        <v>858</v>
      </c>
      <c r="F705" s="714">
        <f>F706+F707</f>
        <v>4645</v>
      </c>
      <c r="G705" s="714">
        <f>G706+G707</f>
        <v>774</v>
      </c>
      <c r="H705" s="714">
        <f>H706+H707</f>
        <v>774</v>
      </c>
      <c r="I705" s="682">
        <f t="shared" ref="I705:I719" si="99">(H705/G705)*100</f>
        <v>100</v>
      </c>
    </row>
    <row r="706" spans="1:20" ht="14.25" x14ac:dyDescent="0.2">
      <c r="A706" s="420"/>
      <c r="B706" s="617"/>
      <c r="C706" s="617"/>
      <c r="D706" s="636" t="s">
        <v>1811</v>
      </c>
      <c r="E706" s="1162" t="s">
        <v>717</v>
      </c>
      <c r="F706" s="683">
        <v>1345</v>
      </c>
      <c r="G706" s="683">
        <v>224</v>
      </c>
      <c r="H706" s="683">
        <v>224</v>
      </c>
      <c r="I706" s="679">
        <f t="shared" si="99"/>
        <v>100</v>
      </c>
    </row>
    <row r="707" spans="1:20" ht="14.25" x14ac:dyDescent="0.2">
      <c r="A707" s="420"/>
      <c r="B707" s="617"/>
      <c r="C707" s="617"/>
      <c r="D707" s="518" t="s">
        <v>1812</v>
      </c>
      <c r="E707" s="442" t="s">
        <v>63</v>
      </c>
      <c r="F707" s="683">
        <v>3300</v>
      </c>
      <c r="G707" s="683">
        <v>550</v>
      </c>
      <c r="H707" s="683">
        <v>550</v>
      </c>
      <c r="I707" s="679">
        <f t="shared" si="99"/>
        <v>100</v>
      </c>
    </row>
    <row r="708" spans="1:20" ht="15" x14ac:dyDescent="0.25">
      <c r="A708" s="420">
        <v>1111</v>
      </c>
      <c r="B708" s="651">
        <v>3121</v>
      </c>
      <c r="C708" s="651">
        <v>5336</v>
      </c>
      <c r="D708" s="1061"/>
      <c r="E708" s="616" t="s">
        <v>1740</v>
      </c>
      <c r="F708" s="700"/>
      <c r="G708" s="700">
        <f>G709+G710+G711+G712+G713+G714</f>
        <v>25177</v>
      </c>
      <c r="H708" s="700">
        <f>H709+H710+H711+H712+H713+H714</f>
        <v>25177</v>
      </c>
      <c r="I708" s="691">
        <f>(H708/G708)*100</f>
        <v>100</v>
      </c>
    </row>
    <row r="709" spans="1:20" ht="14.25" x14ac:dyDescent="0.2">
      <c r="A709" s="420"/>
      <c r="B709" s="651"/>
      <c r="C709" s="651"/>
      <c r="D709" s="887" t="s">
        <v>1827</v>
      </c>
      <c r="E709" s="1676" t="s">
        <v>1407</v>
      </c>
      <c r="F709" s="683"/>
      <c r="G709" s="683">
        <v>51</v>
      </c>
      <c r="H709" s="683">
        <v>51</v>
      </c>
      <c r="I709" s="679">
        <f t="shared" ref="I709" si="100">(H709/G709)*100</f>
        <v>100</v>
      </c>
    </row>
    <row r="710" spans="1:20" ht="15" x14ac:dyDescent="0.2">
      <c r="A710" s="420"/>
      <c r="B710" s="651"/>
      <c r="C710" s="651"/>
      <c r="D710" s="887" t="s">
        <v>1808</v>
      </c>
      <c r="E710" s="1676" t="s">
        <v>1739</v>
      </c>
      <c r="F710" s="1964"/>
      <c r="G710" s="1965">
        <v>804</v>
      </c>
      <c r="H710" s="1965">
        <v>804</v>
      </c>
      <c r="I710" s="368">
        <f t="shared" ref="I710:I711" si="101">(H710/G710)*100</f>
        <v>100</v>
      </c>
    </row>
    <row r="711" spans="1:20" ht="28.5" x14ac:dyDescent="0.2">
      <c r="A711" s="420"/>
      <c r="B711" s="651"/>
      <c r="C711" s="651"/>
      <c r="D711" s="887" t="s">
        <v>1809</v>
      </c>
      <c r="E711" s="2019" t="s">
        <v>1810</v>
      </c>
      <c r="F711" s="1964"/>
      <c r="G711" s="2031">
        <v>124</v>
      </c>
      <c r="H711" s="2031">
        <v>124</v>
      </c>
      <c r="I711" s="1234">
        <f t="shared" si="101"/>
        <v>100</v>
      </c>
    </row>
    <row r="712" spans="1:20" ht="14.25" x14ac:dyDescent="0.2">
      <c r="A712" s="420"/>
      <c r="B712" s="617"/>
      <c r="C712" s="1127"/>
      <c r="D712" s="518" t="s">
        <v>1807</v>
      </c>
      <c r="E712" s="442" t="s">
        <v>716</v>
      </c>
      <c r="F712" s="683"/>
      <c r="G712" s="683">
        <v>23374</v>
      </c>
      <c r="H712" s="683">
        <v>23374</v>
      </c>
      <c r="I712" s="679">
        <f t="shared" si="99"/>
        <v>100</v>
      </c>
    </row>
    <row r="713" spans="1:20" ht="14.25" x14ac:dyDescent="0.2">
      <c r="A713" s="420"/>
      <c r="B713" s="651"/>
      <c r="C713" s="1128"/>
      <c r="D713" s="518" t="s">
        <v>1813</v>
      </c>
      <c r="E713" s="1162" t="s">
        <v>1815</v>
      </c>
      <c r="F713" s="689"/>
      <c r="G713" s="689">
        <v>123</v>
      </c>
      <c r="H713" s="689">
        <v>123</v>
      </c>
      <c r="I713" s="679">
        <f t="shared" si="99"/>
        <v>100</v>
      </c>
    </row>
    <row r="714" spans="1:20" ht="14.25" x14ac:dyDescent="0.2">
      <c r="A714" s="420"/>
      <c r="B714" s="651"/>
      <c r="C714" s="1128"/>
      <c r="D714" s="518" t="s">
        <v>1814</v>
      </c>
      <c r="E714" s="1162" t="s">
        <v>1815</v>
      </c>
      <c r="F714" s="689"/>
      <c r="G714" s="689">
        <v>701</v>
      </c>
      <c r="H714" s="689">
        <v>701</v>
      </c>
      <c r="I714" s="679">
        <f t="shared" si="99"/>
        <v>100</v>
      </c>
    </row>
    <row r="715" spans="1:20" ht="15" x14ac:dyDescent="0.25">
      <c r="A715" s="420">
        <v>1111</v>
      </c>
      <c r="B715" s="651">
        <v>3141</v>
      </c>
      <c r="C715" s="1128">
        <v>5336</v>
      </c>
      <c r="D715" s="527"/>
      <c r="E715" s="616" t="s">
        <v>1740</v>
      </c>
      <c r="F715" s="700"/>
      <c r="G715" s="700">
        <f>G716</f>
        <v>1328</v>
      </c>
      <c r="H715" s="700">
        <f>H716</f>
        <v>1328</v>
      </c>
      <c r="I715" s="707">
        <f t="shared" si="99"/>
        <v>100</v>
      </c>
    </row>
    <row r="716" spans="1:20" ht="14.25" x14ac:dyDescent="0.2">
      <c r="A716" s="420"/>
      <c r="B716" s="651"/>
      <c r="C716" s="1128"/>
      <c r="D716" s="518" t="s">
        <v>1807</v>
      </c>
      <c r="E716" s="442" t="s">
        <v>716</v>
      </c>
      <c r="F716" s="689"/>
      <c r="G716" s="689">
        <v>1328</v>
      </c>
      <c r="H716" s="689">
        <v>1328</v>
      </c>
      <c r="I716" s="679">
        <f t="shared" si="99"/>
        <v>100</v>
      </c>
    </row>
    <row r="717" spans="1:20" ht="15" x14ac:dyDescent="0.25">
      <c r="A717" s="420">
        <v>1111</v>
      </c>
      <c r="B717" s="651">
        <v>3299</v>
      </c>
      <c r="C717" s="1128">
        <v>5331</v>
      </c>
      <c r="D717" s="518"/>
      <c r="E717" s="616" t="s">
        <v>858</v>
      </c>
      <c r="F717" s="689"/>
      <c r="G717" s="700">
        <f>G718+G719</f>
        <v>25</v>
      </c>
      <c r="H717" s="700">
        <f>H718+H719</f>
        <v>25</v>
      </c>
      <c r="I717" s="693">
        <f t="shared" si="99"/>
        <v>100</v>
      </c>
    </row>
    <row r="718" spans="1:20" ht="14.25" x14ac:dyDescent="0.2">
      <c r="A718" s="420"/>
      <c r="B718" s="651"/>
      <c r="C718" s="1128"/>
      <c r="D718" s="1068" t="s">
        <v>1830</v>
      </c>
      <c r="E718" s="446" t="s">
        <v>1011</v>
      </c>
      <c r="F718" s="689"/>
      <c r="G718" s="689">
        <v>10</v>
      </c>
      <c r="H718" s="689">
        <v>10</v>
      </c>
      <c r="I718" s="684">
        <f t="shared" si="99"/>
        <v>100</v>
      </c>
    </row>
    <row r="719" spans="1:20" ht="43.5" thickBot="1" x14ac:dyDescent="0.25">
      <c r="A719" s="420"/>
      <c r="B719" s="651"/>
      <c r="C719" s="1128"/>
      <c r="D719" s="649" t="s">
        <v>1831</v>
      </c>
      <c r="E719" s="2020" t="s">
        <v>1832</v>
      </c>
      <c r="F719" s="689"/>
      <c r="G719" s="1062">
        <v>15</v>
      </c>
      <c r="H719" s="1062">
        <v>15</v>
      </c>
      <c r="I719" s="1066">
        <f t="shared" si="99"/>
        <v>100</v>
      </c>
    </row>
    <row r="720" spans="1:20" ht="16.5" thickTop="1" thickBot="1" x14ac:dyDescent="0.3">
      <c r="A720" s="3110" t="s">
        <v>1000</v>
      </c>
      <c r="B720" s="3111"/>
      <c r="C720" s="3111"/>
      <c r="D720" s="3111"/>
      <c r="E720" s="3111"/>
      <c r="F720" s="680">
        <f>F705</f>
        <v>4645</v>
      </c>
      <c r="G720" s="680">
        <f>G705+G708+G715+G717</f>
        <v>27304</v>
      </c>
      <c r="H720" s="680">
        <f>H705+H708+H715+H717</f>
        <v>27304</v>
      </c>
      <c r="I720" s="681">
        <f>(H720/G720)*100</f>
        <v>100</v>
      </c>
      <c r="R720" s="374">
        <f>F720</f>
        <v>4645</v>
      </c>
      <c r="S720" s="374">
        <f>G720</f>
        <v>27304</v>
      </c>
      <c r="T720" s="374">
        <f>H720</f>
        <v>27304</v>
      </c>
    </row>
    <row r="721" spans="1:20" ht="15.75" thickTop="1" x14ac:dyDescent="0.25">
      <c r="A721" s="361"/>
      <c r="B721" s="361"/>
      <c r="C721" s="361"/>
      <c r="D721" s="361"/>
      <c r="E721" s="361"/>
      <c r="F721" s="178"/>
      <c r="G721" s="178"/>
      <c r="H721" s="178"/>
      <c r="I721" s="207"/>
      <c r="R721" s="374"/>
      <c r="S721" s="374"/>
      <c r="T721" s="374"/>
    </row>
    <row r="722" spans="1:20" ht="15" x14ac:dyDescent="0.25">
      <c r="A722" s="361"/>
      <c r="B722" s="361"/>
      <c r="C722" s="361"/>
      <c r="D722" s="361"/>
      <c r="E722" s="361"/>
      <c r="F722" s="178"/>
      <c r="G722" s="178"/>
      <c r="H722" s="178"/>
      <c r="I722" s="207"/>
      <c r="R722" s="374"/>
      <c r="S722" s="374"/>
      <c r="T722" s="374"/>
    </row>
    <row r="723" spans="1:20" ht="13.5" thickBot="1" x14ac:dyDescent="0.25">
      <c r="A723" s="421" t="s">
        <v>1286</v>
      </c>
      <c r="I723" s="1125" t="s">
        <v>148</v>
      </c>
    </row>
    <row r="724" spans="1:20" s="106" customFormat="1" thickTop="1" thickBot="1" x14ac:dyDescent="0.25">
      <c r="A724" s="586" t="s">
        <v>565</v>
      </c>
      <c r="B724" s="658" t="s">
        <v>149</v>
      </c>
      <c r="C724" s="587" t="s">
        <v>150</v>
      </c>
      <c r="D724" s="589" t="s">
        <v>639</v>
      </c>
      <c r="E724" s="589" t="s">
        <v>151</v>
      </c>
      <c r="F724" s="589" t="s">
        <v>569</v>
      </c>
      <c r="G724" s="589" t="s">
        <v>570</v>
      </c>
      <c r="H724" s="589" t="s">
        <v>797</v>
      </c>
      <c r="I724" s="674" t="s">
        <v>798</v>
      </c>
    </row>
    <row r="725" spans="1:20" s="375" customFormat="1" ht="13.5" thickTop="1" thickBot="1" x14ac:dyDescent="0.25">
      <c r="A725" s="525">
        <v>1</v>
      </c>
      <c r="B725" s="526">
        <v>2</v>
      </c>
      <c r="C725" s="526">
        <v>3</v>
      </c>
      <c r="D725" s="526">
        <v>4</v>
      </c>
      <c r="E725" s="526">
        <v>5</v>
      </c>
      <c r="F725" s="512">
        <v>6</v>
      </c>
      <c r="G725" s="512">
        <v>7</v>
      </c>
      <c r="H725" s="513">
        <v>8</v>
      </c>
      <c r="I725" s="591" t="s">
        <v>689</v>
      </c>
    </row>
    <row r="726" spans="1:20" ht="15.75" thickTop="1" x14ac:dyDescent="0.25">
      <c r="A726" s="1126">
        <v>1112</v>
      </c>
      <c r="B726" s="659">
        <v>3121</v>
      </c>
      <c r="C726" s="659">
        <v>5331</v>
      </c>
      <c r="D726" s="694"/>
      <c r="E726" s="713" t="s">
        <v>858</v>
      </c>
      <c r="F726" s="714">
        <f>F727+F728</f>
        <v>2799</v>
      </c>
      <c r="G726" s="714">
        <f>G727+G728</f>
        <v>468</v>
      </c>
      <c r="H726" s="714">
        <f>H727+H728</f>
        <v>468</v>
      </c>
      <c r="I726" s="682">
        <f>(H726/G726)*100</f>
        <v>100</v>
      </c>
    </row>
    <row r="727" spans="1:20" ht="14.25" x14ac:dyDescent="0.2">
      <c r="A727" s="420"/>
      <c r="B727" s="617"/>
      <c r="C727" s="617"/>
      <c r="D727" s="636" t="s">
        <v>1811</v>
      </c>
      <c r="E727" s="1162" t="s">
        <v>717</v>
      </c>
      <c r="F727" s="683">
        <v>200</v>
      </c>
      <c r="G727" s="683">
        <v>34</v>
      </c>
      <c r="H727" s="683">
        <v>34</v>
      </c>
      <c r="I727" s="679">
        <f>(H727/G727)*100</f>
        <v>100</v>
      </c>
    </row>
    <row r="728" spans="1:20" ht="14.25" x14ac:dyDescent="0.2">
      <c r="A728" s="420"/>
      <c r="B728" s="617"/>
      <c r="C728" s="617"/>
      <c r="D728" s="518" t="s">
        <v>1812</v>
      </c>
      <c r="E728" s="442" t="s">
        <v>63</v>
      </c>
      <c r="F728" s="683">
        <v>2599</v>
      </c>
      <c r="G728" s="683">
        <v>434</v>
      </c>
      <c r="H728" s="683">
        <v>434</v>
      </c>
      <c r="I728" s="679">
        <v>100</v>
      </c>
    </row>
    <row r="729" spans="1:20" ht="16.5" customHeight="1" x14ac:dyDescent="0.25">
      <c r="A729" s="420">
        <v>1112</v>
      </c>
      <c r="B729" s="651">
        <v>3121</v>
      </c>
      <c r="C729" s="651">
        <v>5336</v>
      </c>
      <c r="D729" s="518"/>
      <c r="E729" s="616" t="s">
        <v>1740</v>
      </c>
      <c r="F729" s="689"/>
      <c r="G729" s="700">
        <f>G730+G731+G732+G733</f>
        <v>15116</v>
      </c>
      <c r="H729" s="700">
        <f>H730+H731+H732+H733</f>
        <v>15116</v>
      </c>
      <c r="I729" s="693">
        <f>(H729/G729)*100</f>
        <v>100</v>
      </c>
    </row>
    <row r="730" spans="1:20" ht="16.5" customHeight="1" x14ac:dyDescent="0.2">
      <c r="A730" s="420"/>
      <c r="B730" s="651"/>
      <c r="C730" s="651"/>
      <c r="D730" s="887" t="s">
        <v>1827</v>
      </c>
      <c r="E730" s="1676" t="s">
        <v>1407</v>
      </c>
      <c r="F730" s="683"/>
      <c r="G730" s="683">
        <v>73</v>
      </c>
      <c r="H730" s="683">
        <v>73</v>
      </c>
      <c r="I730" s="679">
        <v>100</v>
      </c>
    </row>
    <row r="731" spans="1:20" ht="16.5" customHeight="1" x14ac:dyDescent="0.2">
      <c r="A731" s="420"/>
      <c r="B731" s="651"/>
      <c r="C731" s="651"/>
      <c r="D731" s="887" t="s">
        <v>1808</v>
      </c>
      <c r="E731" s="1676" t="s">
        <v>1739</v>
      </c>
      <c r="F731" s="1964"/>
      <c r="G731" s="1965">
        <v>468</v>
      </c>
      <c r="H731" s="1965">
        <v>468</v>
      </c>
      <c r="I731" s="368">
        <f t="shared" ref="I731:I732" si="102">(H731/G731)*100</f>
        <v>100</v>
      </c>
    </row>
    <row r="732" spans="1:20" ht="28.5" x14ac:dyDescent="0.2">
      <c r="A732" s="420"/>
      <c r="B732" s="651"/>
      <c r="C732" s="651"/>
      <c r="D732" s="887" t="s">
        <v>1809</v>
      </c>
      <c r="E732" s="2019" t="s">
        <v>1810</v>
      </c>
      <c r="F732" s="1964"/>
      <c r="G732" s="2031">
        <v>78</v>
      </c>
      <c r="H732" s="2031">
        <v>78</v>
      </c>
      <c r="I732" s="1234">
        <f t="shared" si="102"/>
        <v>100</v>
      </c>
    </row>
    <row r="733" spans="1:20" ht="14.25" x14ac:dyDescent="0.2">
      <c r="A733" s="420"/>
      <c r="B733" s="617"/>
      <c r="C733" s="1127"/>
      <c r="D733" s="518" t="s">
        <v>1807</v>
      </c>
      <c r="E733" s="442" t="s">
        <v>716</v>
      </c>
      <c r="F733" s="683"/>
      <c r="G733" s="683">
        <v>14497</v>
      </c>
      <c r="H733" s="683">
        <v>14497</v>
      </c>
      <c r="I733" s="684">
        <f t="shared" ref="I733:I738" si="103">(H733/G733)*100</f>
        <v>100</v>
      </c>
    </row>
    <row r="734" spans="1:20" ht="15" x14ac:dyDescent="0.25">
      <c r="A734" s="420">
        <v>1112</v>
      </c>
      <c r="B734" s="651">
        <v>3141</v>
      </c>
      <c r="C734" s="1128">
        <v>5336</v>
      </c>
      <c r="D734" s="527"/>
      <c r="E734" s="616" t="s">
        <v>1740</v>
      </c>
      <c r="F734" s="700"/>
      <c r="G734" s="700">
        <v>916</v>
      </c>
      <c r="H734" s="700">
        <v>916</v>
      </c>
      <c r="I734" s="693">
        <f t="shared" si="103"/>
        <v>100</v>
      </c>
    </row>
    <row r="735" spans="1:20" ht="14.25" x14ac:dyDescent="0.2">
      <c r="A735" s="420"/>
      <c r="B735" s="651"/>
      <c r="C735" s="1128"/>
      <c r="D735" s="518" t="s">
        <v>1807</v>
      </c>
      <c r="E735" s="442" t="s">
        <v>716</v>
      </c>
      <c r="F735" s="689"/>
      <c r="G735" s="689">
        <v>916</v>
      </c>
      <c r="H735" s="689">
        <v>916</v>
      </c>
      <c r="I735" s="684">
        <f t="shared" si="103"/>
        <v>100</v>
      </c>
    </row>
    <row r="736" spans="1:20" ht="15" x14ac:dyDescent="0.25">
      <c r="A736" s="420">
        <v>1112</v>
      </c>
      <c r="B736" s="651">
        <v>3299</v>
      </c>
      <c r="C736" s="1128">
        <v>5331</v>
      </c>
      <c r="D736" s="518"/>
      <c r="E736" s="616" t="s">
        <v>858</v>
      </c>
      <c r="F736" s="689"/>
      <c r="G736" s="700">
        <v>10</v>
      </c>
      <c r="H736" s="700">
        <v>10</v>
      </c>
      <c r="I736" s="693">
        <f t="shared" si="103"/>
        <v>100</v>
      </c>
    </row>
    <row r="737" spans="1:20" ht="43.5" thickBot="1" x14ac:dyDescent="0.25">
      <c r="A737" s="420"/>
      <c r="B737" s="651"/>
      <c r="C737" s="1128"/>
      <c r="D737" s="649" t="s">
        <v>1831</v>
      </c>
      <c r="E737" s="2020" t="s">
        <v>1832</v>
      </c>
      <c r="F737" s="683"/>
      <c r="G737" s="1067">
        <v>10</v>
      </c>
      <c r="H737" s="1067">
        <v>10</v>
      </c>
      <c r="I737" s="1063">
        <v>100</v>
      </c>
    </row>
    <row r="738" spans="1:20" ht="16.5" thickTop="1" thickBot="1" x14ac:dyDescent="0.3">
      <c r="A738" s="3110" t="s">
        <v>1000</v>
      </c>
      <c r="B738" s="3111"/>
      <c r="C738" s="3111"/>
      <c r="D738" s="3111"/>
      <c r="E738" s="3111"/>
      <c r="F738" s="680">
        <f>F726</f>
        <v>2799</v>
      </c>
      <c r="G738" s="680">
        <f>G726+G729+G734+G736</f>
        <v>16510</v>
      </c>
      <c r="H738" s="680">
        <f>H726+H729+H734+H736</f>
        <v>16510</v>
      </c>
      <c r="I738" s="681">
        <f t="shared" si="103"/>
        <v>100</v>
      </c>
      <c r="R738" s="374">
        <f>F738</f>
        <v>2799</v>
      </c>
      <c r="S738" s="374">
        <f>G738</f>
        <v>16510</v>
      </c>
      <c r="T738" s="374">
        <f>H738</f>
        <v>16510</v>
      </c>
    </row>
    <row r="739" spans="1:20" ht="15.75" thickTop="1" x14ac:dyDescent="0.25">
      <c r="A739" s="361"/>
      <c r="B739" s="361"/>
      <c r="C739" s="361"/>
      <c r="D739" s="361"/>
      <c r="E739" s="361"/>
      <c r="F739" s="178"/>
      <c r="G739" s="178"/>
      <c r="H739" s="178"/>
      <c r="I739" s="207"/>
      <c r="R739" s="374"/>
      <c r="S739" s="374"/>
      <c r="T739" s="374"/>
    </row>
    <row r="740" spans="1:20" ht="13.5" thickBot="1" x14ac:dyDescent="0.25">
      <c r="A740" s="421" t="s">
        <v>997</v>
      </c>
      <c r="I740" s="1125" t="s">
        <v>148</v>
      </c>
    </row>
    <row r="741" spans="1:20" s="106" customFormat="1" thickTop="1" thickBot="1" x14ac:dyDescent="0.25">
      <c r="A741" s="586" t="s">
        <v>565</v>
      </c>
      <c r="B741" s="658" t="s">
        <v>149</v>
      </c>
      <c r="C741" s="587" t="s">
        <v>150</v>
      </c>
      <c r="D741" s="589" t="s">
        <v>639</v>
      </c>
      <c r="E741" s="589" t="s">
        <v>151</v>
      </c>
      <c r="F741" s="589" t="s">
        <v>569</v>
      </c>
      <c r="G741" s="589" t="s">
        <v>570</v>
      </c>
      <c r="H741" s="589" t="s">
        <v>797</v>
      </c>
      <c r="I741" s="674" t="s">
        <v>798</v>
      </c>
    </row>
    <row r="742" spans="1:20" s="375" customFormat="1" ht="13.5" thickTop="1" thickBot="1" x14ac:dyDescent="0.25">
      <c r="A742" s="525">
        <v>1</v>
      </c>
      <c r="B742" s="526">
        <v>2</v>
      </c>
      <c r="C742" s="526">
        <v>3</v>
      </c>
      <c r="D742" s="526">
        <v>4</v>
      </c>
      <c r="E742" s="526">
        <v>5</v>
      </c>
      <c r="F742" s="512">
        <v>6</v>
      </c>
      <c r="G742" s="512">
        <v>7</v>
      </c>
      <c r="H742" s="513">
        <v>8</v>
      </c>
      <c r="I742" s="591" t="s">
        <v>689</v>
      </c>
    </row>
    <row r="743" spans="1:20" ht="20.25" customHeight="1" thickTop="1" x14ac:dyDescent="0.25">
      <c r="A743" s="1126">
        <v>1113</v>
      </c>
      <c r="B743" s="659">
        <v>3121</v>
      </c>
      <c r="C743" s="659">
        <v>5331</v>
      </c>
      <c r="D743" s="694"/>
      <c r="E743" s="713" t="s">
        <v>858</v>
      </c>
      <c r="F743" s="714">
        <f>SUM(F744:F745)</f>
        <v>3305</v>
      </c>
      <c r="G743" s="714">
        <f>SUM(G744:G745)</f>
        <v>550</v>
      </c>
      <c r="H743" s="714">
        <f>SUM(H744:H745)</f>
        <v>550</v>
      </c>
      <c r="I743" s="682">
        <f t="shared" ref="I743:I757" si="104">(H743/G743)*100</f>
        <v>100</v>
      </c>
    </row>
    <row r="744" spans="1:20" ht="14.25" x14ac:dyDescent="0.2">
      <c r="A744" s="420"/>
      <c r="B744" s="617"/>
      <c r="C744" s="617"/>
      <c r="D744" s="636" t="s">
        <v>1811</v>
      </c>
      <c r="E744" s="1162" t="s">
        <v>717</v>
      </c>
      <c r="F744" s="683">
        <v>869</v>
      </c>
      <c r="G744" s="683">
        <v>144</v>
      </c>
      <c r="H744" s="683">
        <v>144</v>
      </c>
      <c r="I744" s="679">
        <f t="shared" si="104"/>
        <v>100</v>
      </c>
    </row>
    <row r="745" spans="1:20" ht="14.25" x14ac:dyDescent="0.2">
      <c r="A745" s="420"/>
      <c r="B745" s="617"/>
      <c r="C745" s="617"/>
      <c r="D745" s="518" t="s">
        <v>1812</v>
      </c>
      <c r="E745" s="442" t="s">
        <v>63</v>
      </c>
      <c r="F745" s="683">
        <v>2436</v>
      </c>
      <c r="G745" s="683">
        <v>406</v>
      </c>
      <c r="H745" s="683">
        <v>406</v>
      </c>
      <c r="I745" s="679">
        <f t="shared" si="104"/>
        <v>100</v>
      </c>
    </row>
    <row r="746" spans="1:20" ht="15" x14ac:dyDescent="0.25">
      <c r="A746" s="420">
        <v>1113</v>
      </c>
      <c r="B746" s="651">
        <v>3121</v>
      </c>
      <c r="C746" s="651">
        <v>5336</v>
      </c>
      <c r="D746" s="518"/>
      <c r="E746" s="616" t="s">
        <v>1740</v>
      </c>
      <c r="F746" s="683"/>
      <c r="G746" s="705">
        <f>G747+G748+G749+G750+G751+G752</f>
        <v>18806</v>
      </c>
      <c r="H746" s="705">
        <f>H747+H748+H749+H750+H751+H752</f>
        <v>18806</v>
      </c>
      <c r="I746" s="707">
        <f t="shared" si="104"/>
        <v>100</v>
      </c>
    </row>
    <row r="747" spans="1:20" ht="14.25" x14ac:dyDescent="0.2">
      <c r="A747" s="420"/>
      <c r="B747" s="651"/>
      <c r="C747" s="651"/>
      <c r="D747" s="887" t="s">
        <v>1827</v>
      </c>
      <c r="E747" s="1676" t="s">
        <v>1407</v>
      </c>
      <c r="F747" s="683"/>
      <c r="G747" s="683">
        <v>13</v>
      </c>
      <c r="H747" s="689">
        <v>13</v>
      </c>
      <c r="I747" s="679">
        <f t="shared" ref="I747" si="105">(H747/G747)*100</f>
        <v>100</v>
      </c>
    </row>
    <row r="748" spans="1:20" ht="15" x14ac:dyDescent="0.2">
      <c r="A748" s="420"/>
      <c r="B748" s="651"/>
      <c r="C748" s="651"/>
      <c r="D748" s="887" t="s">
        <v>1808</v>
      </c>
      <c r="E748" s="1676" t="s">
        <v>1739</v>
      </c>
      <c r="F748" s="1964"/>
      <c r="G748" s="1965">
        <v>570</v>
      </c>
      <c r="H748" s="1965">
        <v>570</v>
      </c>
      <c r="I748" s="368">
        <f t="shared" ref="I748:I749" si="106">(H748/G748)*100</f>
        <v>100</v>
      </c>
    </row>
    <row r="749" spans="1:20" ht="28.5" x14ac:dyDescent="0.2">
      <c r="A749" s="420"/>
      <c r="B749" s="651"/>
      <c r="C749" s="651"/>
      <c r="D749" s="887" t="s">
        <v>1809</v>
      </c>
      <c r="E749" s="2019" t="s">
        <v>1810</v>
      </c>
      <c r="F749" s="1964"/>
      <c r="G749" s="2031">
        <v>88</v>
      </c>
      <c r="H749" s="2031">
        <v>88</v>
      </c>
      <c r="I749" s="1234">
        <f t="shared" si="106"/>
        <v>100</v>
      </c>
    </row>
    <row r="750" spans="1:20" ht="14.25" x14ac:dyDescent="0.2">
      <c r="A750" s="420"/>
      <c r="B750" s="617"/>
      <c r="C750" s="617"/>
      <c r="D750" s="518" t="s">
        <v>1807</v>
      </c>
      <c r="E750" s="442" t="s">
        <v>716</v>
      </c>
      <c r="F750" s="683"/>
      <c r="G750" s="683">
        <v>17138</v>
      </c>
      <c r="H750" s="689">
        <v>17138</v>
      </c>
      <c r="I750" s="679">
        <f t="shared" si="104"/>
        <v>100</v>
      </c>
    </row>
    <row r="751" spans="1:20" ht="14.25" x14ac:dyDescent="0.2">
      <c r="A751" s="420"/>
      <c r="B751" s="617"/>
      <c r="C751" s="617"/>
      <c r="D751" s="518" t="s">
        <v>1813</v>
      </c>
      <c r="E751" s="1162" t="s">
        <v>1815</v>
      </c>
      <c r="F751" s="683"/>
      <c r="G751" s="683">
        <v>149</v>
      </c>
      <c r="H751" s="689">
        <v>149</v>
      </c>
      <c r="I751" s="679">
        <f t="shared" si="104"/>
        <v>100</v>
      </c>
    </row>
    <row r="752" spans="1:20" ht="14.25" x14ac:dyDescent="0.2">
      <c r="A752" s="420"/>
      <c r="B752" s="617"/>
      <c r="C752" s="617"/>
      <c r="D752" s="518" t="s">
        <v>1814</v>
      </c>
      <c r="E752" s="1162" t="s">
        <v>1815</v>
      </c>
      <c r="F752" s="683"/>
      <c r="G752" s="683">
        <v>848</v>
      </c>
      <c r="H752" s="689">
        <v>848</v>
      </c>
      <c r="I752" s="679">
        <f t="shared" si="104"/>
        <v>100</v>
      </c>
    </row>
    <row r="753" spans="1:20" ht="15" x14ac:dyDescent="0.25">
      <c r="A753" s="420">
        <v>1113</v>
      </c>
      <c r="B753" s="617">
        <v>3141</v>
      </c>
      <c r="C753" s="617">
        <v>5336</v>
      </c>
      <c r="D753" s="518"/>
      <c r="E753" s="616" t="s">
        <v>1740</v>
      </c>
      <c r="F753" s="705"/>
      <c r="G753" s="705">
        <v>262</v>
      </c>
      <c r="H753" s="700">
        <v>262</v>
      </c>
      <c r="I753" s="707">
        <f t="shared" si="104"/>
        <v>100</v>
      </c>
    </row>
    <row r="754" spans="1:20" ht="14.25" x14ac:dyDescent="0.2">
      <c r="A754" s="420"/>
      <c r="B754" s="617"/>
      <c r="C754" s="617"/>
      <c r="D754" s="518" t="s">
        <v>1807</v>
      </c>
      <c r="E754" s="721" t="s">
        <v>716</v>
      </c>
      <c r="F754" s="683"/>
      <c r="G754" s="683">
        <v>262</v>
      </c>
      <c r="H754" s="689">
        <v>262</v>
      </c>
      <c r="I754" s="679">
        <f t="shared" si="104"/>
        <v>100</v>
      </c>
    </row>
    <row r="755" spans="1:20" ht="15" x14ac:dyDescent="0.25">
      <c r="A755" s="420">
        <v>1113</v>
      </c>
      <c r="B755" s="617">
        <v>3293</v>
      </c>
      <c r="C755" s="617">
        <v>5336</v>
      </c>
      <c r="D755" s="518"/>
      <c r="E755" s="616" t="s">
        <v>1740</v>
      </c>
      <c r="F755" s="705"/>
      <c r="G755" s="705">
        <v>7</v>
      </c>
      <c r="H755" s="700">
        <v>7</v>
      </c>
      <c r="I755" s="707">
        <f t="shared" si="104"/>
        <v>100</v>
      </c>
    </row>
    <row r="756" spans="1:20" ht="15" thickBot="1" x14ac:dyDescent="0.25">
      <c r="A756" s="420"/>
      <c r="B756" s="617"/>
      <c r="C756" s="617"/>
      <c r="D756" s="518" t="s">
        <v>1819</v>
      </c>
      <c r="E756" s="721" t="s">
        <v>1406</v>
      </c>
      <c r="F756" s="683"/>
      <c r="G756" s="683">
        <v>7</v>
      </c>
      <c r="H756" s="689">
        <v>7</v>
      </c>
      <c r="I756" s="679">
        <f t="shared" si="104"/>
        <v>100</v>
      </c>
    </row>
    <row r="757" spans="1:20" ht="18" customHeight="1" thickTop="1" thickBot="1" x14ac:dyDescent="0.3">
      <c r="A757" s="3119" t="s">
        <v>1000</v>
      </c>
      <c r="B757" s="3120"/>
      <c r="C757" s="3120"/>
      <c r="D757" s="3120"/>
      <c r="E757" s="3121"/>
      <c r="F757" s="680">
        <f>F743</f>
        <v>3305</v>
      </c>
      <c r="G757" s="680">
        <f>G743+G746+G753+G755</f>
        <v>19625</v>
      </c>
      <c r="H757" s="680">
        <f>H743+H746+H753+H755</f>
        <v>19625</v>
      </c>
      <c r="I757" s="681">
        <f t="shared" si="104"/>
        <v>100</v>
      </c>
      <c r="R757" s="374">
        <f>F757</f>
        <v>3305</v>
      </c>
      <c r="S757" s="374">
        <f>G757</f>
        <v>19625</v>
      </c>
      <c r="T757" s="374">
        <f>H757</f>
        <v>19625</v>
      </c>
    </row>
    <row r="758" spans="1:20" ht="18" customHeight="1" thickTop="1" x14ac:dyDescent="0.25">
      <c r="A758" s="361"/>
      <c r="B758" s="361"/>
      <c r="C758" s="361"/>
      <c r="D758" s="361"/>
      <c r="E758" s="361"/>
      <c r="F758" s="178"/>
      <c r="G758" s="178"/>
      <c r="H758" s="178"/>
      <c r="I758" s="207"/>
      <c r="R758" s="374"/>
      <c r="S758" s="374"/>
      <c r="T758" s="374"/>
    </row>
    <row r="759" spans="1:20" ht="20.25" customHeight="1" x14ac:dyDescent="0.2"/>
    <row r="760" spans="1:20" ht="20.25" customHeight="1" x14ac:dyDescent="0.2"/>
    <row r="761" spans="1:20" ht="20.25" customHeight="1" x14ac:dyDescent="0.2"/>
    <row r="762" spans="1:20" ht="20.25" customHeight="1" x14ac:dyDescent="0.2"/>
    <row r="763" spans="1:20" ht="20.25" customHeight="1" x14ac:dyDescent="0.2"/>
    <row r="764" spans="1:20" ht="20.25" customHeight="1" x14ac:dyDescent="0.2"/>
    <row r="765" spans="1:20" ht="20.25" customHeight="1" x14ac:dyDescent="0.2"/>
    <row r="766" spans="1:20" ht="13.5" thickBot="1" x14ac:dyDescent="0.25">
      <c r="A766" s="421" t="s">
        <v>998</v>
      </c>
      <c r="I766" s="1125" t="s">
        <v>148</v>
      </c>
    </row>
    <row r="767" spans="1:20" s="106" customFormat="1" thickTop="1" thickBot="1" x14ac:dyDescent="0.25">
      <c r="A767" s="586" t="s">
        <v>565</v>
      </c>
      <c r="B767" s="658" t="s">
        <v>149</v>
      </c>
      <c r="C767" s="587" t="s">
        <v>150</v>
      </c>
      <c r="D767" s="589" t="s">
        <v>639</v>
      </c>
      <c r="E767" s="589" t="s">
        <v>151</v>
      </c>
      <c r="F767" s="589" t="s">
        <v>569</v>
      </c>
      <c r="G767" s="589" t="s">
        <v>570</v>
      </c>
      <c r="H767" s="589" t="s">
        <v>797</v>
      </c>
      <c r="I767" s="674" t="s">
        <v>798</v>
      </c>
    </row>
    <row r="768" spans="1:20" s="375" customFormat="1" ht="13.5" thickTop="1" thickBot="1" x14ac:dyDescent="0.25">
      <c r="A768" s="525">
        <v>1</v>
      </c>
      <c r="B768" s="526">
        <v>2</v>
      </c>
      <c r="C768" s="526">
        <v>3</v>
      </c>
      <c r="D768" s="526">
        <v>4</v>
      </c>
      <c r="E768" s="526">
        <v>5</v>
      </c>
      <c r="F768" s="512">
        <v>6</v>
      </c>
      <c r="G768" s="512">
        <v>7</v>
      </c>
      <c r="H768" s="513">
        <v>8</v>
      </c>
      <c r="I768" s="591" t="s">
        <v>689</v>
      </c>
    </row>
    <row r="769" spans="1:20" ht="15.75" thickTop="1" x14ac:dyDescent="0.25">
      <c r="A769" s="1126">
        <v>1120</v>
      </c>
      <c r="B769" s="659">
        <v>3122</v>
      </c>
      <c r="C769" s="659">
        <v>5331</v>
      </c>
      <c r="D769" s="694"/>
      <c r="E769" s="713" t="s">
        <v>858</v>
      </c>
      <c r="F769" s="714">
        <f>SUM(F770:F771)</f>
        <v>2665</v>
      </c>
      <c r="G769" s="714">
        <f>SUM(G770:G771,G772)</f>
        <v>482</v>
      </c>
      <c r="H769" s="714">
        <f>SUM(H770:H771,H772)</f>
        <v>482</v>
      </c>
      <c r="I769" s="682">
        <f t="shared" ref="I769:I784" si="107">(H769/G769)*100</f>
        <v>100</v>
      </c>
    </row>
    <row r="770" spans="1:20" ht="14.25" x14ac:dyDescent="0.2">
      <c r="A770" s="420"/>
      <c r="B770" s="617"/>
      <c r="C770" s="617"/>
      <c r="D770" s="636" t="s">
        <v>1811</v>
      </c>
      <c r="E770" s="1162" t="s">
        <v>717</v>
      </c>
      <c r="F770" s="683">
        <v>192</v>
      </c>
      <c r="G770" s="683">
        <v>32</v>
      </c>
      <c r="H770" s="683">
        <v>32</v>
      </c>
      <c r="I770" s="679">
        <f t="shared" si="107"/>
        <v>100</v>
      </c>
    </row>
    <row r="771" spans="1:20" ht="14.25" x14ac:dyDescent="0.2">
      <c r="A771" s="420"/>
      <c r="B771" s="617"/>
      <c r="C771" s="1127"/>
      <c r="D771" s="518" t="s">
        <v>1812</v>
      </c>
      <c r="E771" s="442" t="s">
        <v>63</v>
      </c>
      <c r="F771" s="683">
        <v>2473</v>
      </c>
      <c r="G771" s="683">
        <v>412</v>
      </c>
      <c r="H771" s="683">
        <v>412</v>
      </c>
      <c r="I771" s="679">
        <f t="shared" si="107"/>
        <v>100</v>
      </c>
    </row>
    <row r="772" spans="1:20" ht="14.25" x14ac:dyDescent="0.2">
      <c r="A772" s="420"/>
      <c r="B772" s="617"/>
      <c r="C772" s="1127"/>
      <c r="D772" s="518" t="s">
        <v>1837</v>
      </c>
      <c r="E772" s="721" t="s">
        <v>1644</v>
      </c>
      <c r="F772" s="683"/>
      <c r="G772" s="683">
        <v>38</v>
      </c>
      <c r="H772" s="683">
        <v>38</v>
      </c>
      <c r="I772" s="679">
        <f t="shared" si="107"/>
        <v>100</v>
      </c>
    </row>
    <row r="773" spans="1:20" ht="15" x14ac:dyDescent="0.25">
      <c r="A773" s="420">
        <v>1120</v>
      </c>
      <c r="B773" s="617">
        <v>3122</v>
      </c>
      <c r="C773" s="617">
        <v>5336</v>
      </c>
      <c r="D773" s="518"/>
      <c r="E773" s="616" t="s">
        <v>1740</v>
      </c>
      <c r="F773" s="705"/>
      <c r="G773" s="705">
        <f>G774+G775+G776+G777+G778+G779</f>
        <v>17012</v>
      </c>
      <c r="H773" s="705">
        <f>H774+H775+H776+H777+H778+H779</f>
        <v>17012</v>
      </c>
      <c r="I773" s="707">
        <f t="shared" si="107"/>
        <v>100</v>
      </c>
    </row>
    <row r="774" spans="1:20" ht="14.25" x14ac:dyDescent="0.2">
      <c r="A774" s="420"/>
      <c r="B774" s="651"/>
      <c r="C774" s="651"/>
      <c r="D774" s="887" t="s">
        <v>1827</v>
      </c>
      <c r="E774" s="1676" t="s">
        <v>1407</v>
      </c>
      <c r="F774" s="689"/>
      <c r="G774" s="689">
        <v>100</v>
      </c>
      <c r="H774" s="689">
        <v>100</v>
      </c>
      <c r="I774" s="679">
        <f t="shared" ref="I774" si="108">(H774/G774)*100</f>
        <v>100</v>
      </c>
    </row>
    <row r="775" spans="1:20" ht="15" x14ac:dyDescent="0.2">
      <c r="A775" s="420"/>
      <c r="B775" s="651"/>
      <c r="C775" s="651"/>
      <c r="D775" s="887" t="s">
        <v>1808</v>
      </c>
      <c r="E775" s="1676" t="s">
        <v>1739</v>
      </c>
      <c r="F775" s="1964"/>
      <c r="G775" s="1965">
        <v>669</v>
      </c>
      <c r="H775" s="1965">
        <v>669</v>
      </c>
      <c r="I775" s="368">
        <f t="shared" ref="I775:I776" si="109">(H775/G775)*100</f>
        <v>100</v>
      </c>
    </row>
    <row r="776" spans="1:20" ht="28.5" x14ac:dyDescent="0.2">
      <c r="A776" s="420"/>
      <c r="B776" s="651"/>
      <c r="C776" s="651"/>
      <c r="D776" s="887" t="s">
        <v>1809</v>
      </c>
      <c r="E776" s="2019" t="s">
        <v>1810</v>
      </c>
      <c r="F776" s="1964"/>
      <c r="G776" s="2031">
        <v>104</v>
      </c>
      <c r="H776" s="2031">
        <v>104</v>
      </c>
      <c r="I776" s="1234">
        <f t="shared" si="109"/>
        <v>100</v>
      </c>
    </row>
    <row r="777" spans="1:20" ht="14.25" x14ac:dyDescent="0.2">
      <c r="A777" s="420"/>
      <c r="B777" s="651"/>
      <c r="C777" s="1128"/>
      <c r="D777" s="518" t="s">
        <v>1807</v>
      </c>
      <c r="E777" s="442" t="s">
        <v>716</v>
      </c>
      <c r="F777" s="689"/>
      <c r="G777" s="689">
        <v>15148</v>
      </c>
      <c r="H777" s="689">
        <v>15148</v>
      </c>
      <c r="I777" s="684">
        <f t="shared" si="107"/>
        <v>100</v>
      </c>
    </row>
    <row r="778" spans="1:20" ht="14.25" x14ac:dyDescent="0.2">
      <c r="A778" s="420"/>
      <c r="B778" s="617"/>
      <c r="C778" s="1127"/>
      <c r="D778" s="518" t="s">
        <v>1813</v>
      </c>
      <c r="E778" s="1162" t="s">
        <v>1815</v>
      </c>
      <c r="F778" s="683"/>
      <c r="G778" s="683">
        <v>149</v>
      </c>
      <c r="H778" s="683">
        <v>149</v>
      </c>
      <c r="I778" s="679">
        <f t="shared" si="107"/>
        <v>100</v>
      </c>
    </row>
    <row r="779" spans="1:20" ht="14.25" x14ac:dyDescent="0.2">
      <c r="A779" s="420"/>
      <c r="B779" s="617"/>
      <c r="C779" s="1127"/>
      <c r="D779" s="518" t="s">
        <v>1814</v>
      </c>
      <c r="E779" s="1162" t="s">
        <v>1815</v>
      </c>
      <c r="F779" s="683"/>
      <c r="G779" s="683">
        <v>842</v>
      </c>
      <c r="H779" s="683">
        <v>842</v>
      </c>
      <c r="I779" s="679">
        <f t="shared" si="107"/>
        <v>100</v>
      </c>
    </row>
    <row r="780" spans="1:20" ht="15" x14ac:dyDescent="0.25">
      <c r="A780" s="420">
        <v>1120</v>
      </c>
      <c r="B780" s="617">
        <v>3141</v>
      </c>
      <c r="C780" s="617">
        <v>5336</v>
      </c>
      <c r="D780" s="518"/>
      <c r="E780" s="664" t="s">
        <v>1740</v>
      </c>
      <c r="F780" s="705"/>
      <c r="G780" s="705">
        <v>217</v>
      </c>
      <c r="H780" s="705">
        <v>217</v>
      </c>
      <c r="I780" s="707">
        <f t="shared" si="107"/>
        <v>100</v>
      </c>
    </row>
    <row r="781" spans="1:20" ht="14.25" x14ac:dyDescent="0.2">
      <c r="A781" s="420"/>
      <c r="B781" s="651"/>
      <c r="C781" s="1128"/>
      <c r="D781" s="518" t="s">
        <v>1807</v>
      </c>
      <c r="E781" s="442" t="s">
        <v>716</v>
      </c>
      <c r="F781" s="689"/>
      <c r="G781" s="689">
        <v>217</v>
      </c>
      <c r="H781" s="689">
        <v>217</v>
      </c>
      <c r="I781" s="684">
        <f t="shared" si="107"/>
        <v>100</v>
      </c>
    </row>
    <row r="782" spans="1:20" ht="15" x14ac:dyDescent="0.25">
      <c r="A782" s="420">
        <v>1120</v>
      </c>
      <c r="B782" s="617">
        <v>3150</v>
      </c>
      <c r="C782" s="617">
        <v>5336</v>
      </c>
      <c r="D782" s="518"/>
      <c r="E782" s="616" t="s">
        <v>1740</v>
      </c>
      <c r="F782" s="705"/>
      <c r="G782" s="705">
        <f>G783</f>
        <v>5256</v>
      </c>
      <c r="H782" s="705">
        <f>H783</f>
        <v>5256</v>
      </c>
      <c r="I782" s="707">
        <f t="shared" si="107"/>
        <v>100</v>
      </c>
    </row>
    <row r="783" spans="1:20" ht="15" thickBot="1" x14ac:dyDescent="0.25">
      <c r="A783" s="420"/>
      <c r="B783" s="651"/>
      <c r="C783" s="1128"/>
      <c r="D783" s="518" t="s">
        <v>1807</v>
      </c>
      <c r="E783" s="442" t="s">
        <v>716</v>
      </c>
      <c r="F783" s="689"/>
      <c r="G783" s="689">
        <v>5256</v>
      </c>
      <c r="H783" s="689">
        <v>5256</v>
      </c>
      <c r="I783" s="684">
        <f t="shared" si="107"/>
        <v>100</v>
      </c>
    </row>
    <row r="784" spans="1:20" ht="16.5" thickTop="1" thickBot="1" x14ac:dyDescent="0.3">
      <c r="A784" s="3110" t="s">
        <v>1000</v>
      </c>
      <c r="B784" s="3111"/>
      <c r="C784" s="3111"/>
      <c r="D784" s="3111"/>
      <c r="E784" s="3111"/>
      <c r="F784" s="680">
        <f>F769</f>
        <v>2665</v>
      </c>
      <c r="G784" s="680">
        <f>G769+G773+G780+G782</f>
        <v>22967</v>
      </c>
      <c r="H784" s="680">
        <f>H769+H773+H780+H782</f>
        <v>22967</v>
      </c>
      <c r="I784" s="681">
        <f t="shared" si="107"/>
        <v>100</v>
      </c>
      <c r="R784" s="374">
        <f>F784</f>
        <v>2665</v>
      </c>
      <c r="S784" s="374">
        <f>G784</f>
        <v>22967</v>
      </c>
      <c r="T784" s="374">
        <f>H784</f>
        <v>22967</v>
      </c>
    </row>
    <row r="785" spans="1:9" ht="13.5" thickTop="1" x14ac:dyDescent="0.2"/>
    <row r="787" spans="1:9" ht="13.5" thickBot="1" x14ac:dyDescent="0.25">
      <c r="A787" s="421" t="s">
        <v>310</v>
      </c>
      <c r="I787" s="1125" t="s">
        <v>148</v>
      </c>
    </row>
    <row r="788" spans="1:9" s="106" customFormat="1" thickTop="1" thickBot="1" x14ac:dyDescent="0.25">
      <c r="A788" s="586" t="s">
        <v>565</v>
      </c>
      <c r="B788" s="658" t="s">
        <v>149</v>
      </c>
      <c r="C788" s="587" t="s">
        <v>150</v>
      </c>
      <c r="D788" s="589" t="s">
        <v>639</v>
      </c>
      <c r="E788" s="589" t="s">
        <v>151</v>
      </c>
      <c r="F788" s="589" t="s">
        <v>569</v>
      </c>
      <c r="G788" s="589" t="s">
        <v>570</v>
      </c>
      <c r="H788" s="589" t="s">
        <v>797</v>
      </c>
      <c r="I788" s="674" t="s">
        <v>798</v>
      </c>
    </row>
    <row r="789" spans="1:9" s="375" customFormat="1" ht="13.5" thickTop="1" thickBot="1" x14ac:dyDescent="0.25">
      <c r="A789" s="525">
        <v>1</v>
      </c>
      <c r="B789" s="526">
        <v>2</v>
      </c>
      <c r="C789" s="526">
        <v>3</v>
      </c>
      <c r="D789" s="526">
        <v>4</v>
      </c>
      <c r="E789" s="526">
        <v>5</v>
      </c>
      <c r="F789" s="512">
        <v>6</v>
      </c>
      <c r="G789" s="512">
        <v>7</v>
      </c>
      <c r="H789" s="513">
        <v>8</v>
      </c>
      <c r="I789" s="591" t="s">
        <v>689</v>
      </c>
    </row>
    <row r="790" spans="1:9" ht="15.75" thickTop="1" x14ac:dyDescent="0.25">
      <c r="A790" s="1126">
        <v>1121</v>
      </c>
      <c r="B790" s="659">
        <v>3122</v>
      </c>
      <c r="C790" s="659">
        <v>5331</v>
      </c>
      <c r="D790" s="694"/>
      <c r="E790" s="713" t="s">
        <v>858</v>
      </c>
      <c r="F790" s="714">
        <f>F791+F792+F793</f>
        <v>3107</v>
      </c>
      <c r="G790" s="714">
        <f t="shared" ref="G790:H790" si="110">G791+G792+G793</f>
        <v>564</v>
      </c>
      <c r="H790" s="714">
        <f t="shared" si="110"/>
        <v>564</v>
      </c>
      <c r="I790" s="682">
        <f t="shared" ref="I790:I801" si="111">(H790/G790)*100</f>
        <v>100</v>
      </c>
    </row>
    <row r="791" spans="1:9" ht="14.25" x14ac:dyDescent="0.2">
      <c r="A791" s="420"/>
      <c r="B791" s="617"/>
      <c r="C791" s="617"/>
      <c r="D791" s="636" t="s">
        <v>1811</v>
      </c>
      <c r="E791" s="1162" t="s">
        <v>717</v>
      </c>
      <c r="F791" s="683">
        <v>1666</v>
      </c>
      <c r="G791" s="683">
        <v>278</v>
      </c>
      <c r="H791" s="683">
        <v>278</v>
      </c>
      <c r="I791" s="679">
        <f t="shared" si="111"/>
        <v>100</v>
      </c>
    </row>
    <row r="792" spans="1:9" ht="14.25" x14ac:dyDescent="0.2">
      <c r="A792" s="420"/>
      <c r="B792" s="617"/>
      <c r="C792" s="617"/>
      <c r="D792" s="518" t="s">
        <v>1812</v>
      </c>
      <c r="E792" s="442" t="s">
        <v>63</v>
      </c>
      <c r="F792" s="683">
        <v>1441</v>
      </c>
      <c r="G792" s="683">
        <v>240</v>
      </c>
      <c r="H792" s="683">
        <v>240</v>
      </c>
      <c r="I792" s="679">
        <f t="shared" si="111"/>
        <v>100</v>
      </c>
    </row>
    <row r="793" spans="1:9" ht="14.25" x14ac:dyDescent="0.2">
      <c r="A793" s="420"/>
      <c r="B793" s="617"/>
      <c r="C793" s="617"/>
      <c r="D793" s="518" t="s">
        <v>1837</v>
      </c>
      <c r="E793" s="721" t="s">
        <v>1644</v>
      </c>
      <c r="F793" s="1074"/>
      <c r="G793" s="438">
        <v>46</v>
      </c>
      <c r="H793" s="312">
        <v>46</v>
      </c>
      <c r="I793" s="893">
        <f t="shared" si="111"/>
        <v>100</v>
      </c>
    </row>
    <row r="794" spans="1:9" ht="15" x14ac:dyDescent="0.25">
      <c r="A794" s="420">
        <v>1121</v>
      </c>
      <c r="B794" s="617">
        <v>3122</v>
      </c>
      <c r="C794" s="617">
        <v>5336</v>
      </c>
      <c r="D794" s="518"/>
      <c r="E794" s="616" t="s">
        <v>1740</v>
      </c>
      <c r="F794" s="705"/>
      <c r="G794" s="705">
        <f>G795+G796+G797+G798+G799+G800</f>
        <v>16257</v>
      </c>
      <c r="H794" s="705">
        <f>H795+H796+H797+H798+H799+H800</f>
        <v>16257</v>
      </c>
      <c r="I794" s="707">
        <f t="shared" si="111"/>
        <v>100</v>
      </c>
    </row>
    <row r="795" spans="1:9" ht="14.25" x14ac:dyDescent="0.2">
      <c r="A795" s="420"/>
      <c r="B795" s="617"/>
      <c r="C795" s="617"/>
      <c r="D795" s="887" t="s">
        <v>1827</v>
      </c>
      <c r="E795" s="1676" t="s">
        <v>1407</v>
      </c>
      <c r="F795" s="683"/>
      <c r="G795" s="683">
        <v>27</v>
      </c>
      <c r="H795" s="683">
        <v>27</v>
      </c>
      <c r="I795" s="679">
        <f t="shared" ref="I795" si="112">(H795/G795)*100</f>
        <v>100</v>
      </c>
    </row>
    <row r="796" spans="1:9" ht="15" x14ac:dyDescent="0.2">
      <c r="A796" s="420"/>
      <c r="B796" s="617"/>
      <c r="C796" s="617"/>
      <c r="D796" s="887" t="s">
        <v>1808</v>
      </c>
      <c r="E796" s="1676" t="s">
        <v>1739</v>
      </c>
      <c r="F796" s="1964"/>
      <c r="G796" s="1965">
        <v>442</v>
      </c>
      <c r="H796" s="1965">
        <v>442</v>
      </c>
      <c r="I796" s="368">
        <f t="shared" ref="I796:I797" si="113">(H796/G796)*100</f>
        <v>100</v>
      </c>
    </row>
    <row r="797" spans="1:9" ht="28.5" x14ac:dyDescent="0.2">
      <c r="A797" s="420"/>
      <c r="B797" s="617"/>
      <c r="C797" s="617"/>
      <c r="D797" s="887" t="s">
        <v>1809</v>
      </c>
      <c r="E797" s="2019" t="s">
        <v>1810</v>
      </c>
      <c r="F797" s="1964"/>
      <c r="G797" s="2031">
        <v>75</v>
      </c>
      <c r="H797" s="2031">
        <v>75</v>
      </c>
      <c r="I797" s="1234">
        <f t="shared" si="113"/>
        <v>100</v>
      </c>
    </row>
    <row r="798" spans="1:9" ht="14.25" x14ac:dyDescent="0.2">
      <c r="A798" s="420"/>
      <c r="B798" s="617"/>
      <c r="C798" s="617"/>
      <c r="D798" s="518" t="s">
        <v>1807</v>
      </c>
      <c r="E798" s="442" t="s">
        <v>716</v>
      </c>
      <c r="F798" s="683"/>
      <c r="G798" s="683">
        <v>15007</v>
      </c>
      <c r="H798" s="683">
        <v>15007</v>
      </c>
      <c r="I798" s="679">
        <f t="shared" si="111"/>
        <v>100</v>
      </c>
    </row>
    <row r="799" spans="1:9" ht="14.25" x14ac:dyDescent="0.2">
      <c r="A799" s="420"/>
      <c r="B799" s="617"/>
      <c r="C799" s="617"/>
      <c r="D799" s="518" t="s">
        <v>1813</v>
      </c>
      <c r="E799" s="1162" t="s">
        <v>1815</v>
      </c>
      <c r="F799" s="683"/>
      <c r="G799" s="683">
        <v>106</v>
      </c>
      <c r="H799" s="683">
        <v>106</v>
      </c>
      <c r="I799" s="679">
        <f t="shared" si="111"/>
        <v>100</v>
      </c>
    </row>
    <row r="800" spans="1:9" ht="15" thickBot="1" x14ac:dyDescent="0.25">
      <c r="A800" s="420"/>
      <c r="B800" s="617"/>
      <c r="C800" s="617"/>
      <c r="D800" s="518" t="s">
        <v>1814</v>
      </c>
      <c r="E800" s="1162" t="s">
        <v>1815</v>
      </c>
      <c r="F800" s="683"/>
      <c r="G800" s="683">
        <v>600</v>
      </c>
      <c r="H800" s="683">
        <v>600</v>
      </c>
      <c r="I800" s="679">
        <f t="shared" si="111"/>
        <v>100</v>
      </c>
    </row>
    <row r="801" spans="1:20" ht="16.5" thickTop="1" thickBot="1" x14ac:dyDescent="0.3">
      <c r="A801" s="3110" t="s">
        <v>1000</v>
      </c>
      <c r="B801" s="3111"/>
      <c r="C801" s="3111"/>
      <c r="D801" s="3111"/>
      <c r="E801" s="3111"/>
      <c r="F801" s="680">
        <f>SUM(F790)</f>
        <v>3107</v>
      </c>
      <c r="G801" s="680">
        <f>G790+G794</f>
        <v>16821</v>
      </c>
      <c r="H801" s="680">
        <f>H790+H794</f>
        <v>16821</v>
      </c>
      <c r="I801" s="681">
        <f t="shared" si="111"/>
        <v>100</v>
      </c>
      <c r="R801" s="374">
        <f>F801</f>
        <v>3107</v>
      </c>
      <c r="S801" s="374">
        <f>G801</f>
        <v>16821</v>
      </c>
      <c r="T801" s="374">
        <f>H801</f>
        <v>16821</v>
      </c>
    </row>
    <row r="802" spans="1:20" ht="13.5" thickTop="1" x14ac:dyDescent="0.2"/>
    <row r="804" spans="1:20" ht="13.5" thickBot="1" x14ac:dyDescent="0.25">
      <c r="A804" s="421" t="s">
        <v>1746</v>
      </c>
      <c r="I804" s="1125" t="s">
        <v>148</v>
      </c>
    </row>
    <row r="805" spans="1:20" s="106" customFormat="1" thickTop="1" thickBot="1" x14ac:dyDescent="0.25">
      <c r="A805" s="586" t="s">
        <v>565</v>
      </c>
      <c r="B805" s="658" t="s">
        <v>149</v>
      </c>
      <c r="C805" s="587" t="s">
        <v>150</v>
      </c>
      <c r="D805" s="589" t="s">
        <v>639</v>
      </c>
      <c r="E805" s="589" t="s">
        <v>151</v>
      </c>
      <c r="F805" s="589" t="s">
        <v>569</v>
      </c>
      <c r="G805" s="589" t="s">
        <v>570</v>
      </c>
      <c r="H805" s="589" t="s">
        <v>797</v>
      </c>
      <c r="I805" s="674" t="s">
        <v>798</v>
      </c>
    </row>
    <row r="806" spans="1:20" s="375" customFormat="1" ht="14.25" customHeight="1" thickTop="1" thickBot="1" x14ac:dyDescent="0.25">
      <c r="A806" s="525">
        <v>1</v>
      </c>
      <c r="B806" s="526">
        <v>2</v>
      </c>
      <c r="C806" s="526">
        <v>3</v>
      </c>
      <c r="D806" s="526">
        <v>4</v>
      </c>
      <c r="E806" s="526">
        <v>5</v>
      </c>
      <c r="F806" s="512">
        <v>6</v>
      </c>
      <c r="G806" s="512">
        <v>7</v>
      </c>
      <c r="H806" s="513">
        <v>8</v>
      </c>
      <c r="I806" s="591" t="s">
        <v>689</v>
      </c>
    </row>
    <row r="807" spans="1:20" ht="15.75" thickTop="1" x14ac:dyDescent="0.25">
      <c r="A807" s="420">
        <v>1122</v>
      </c>
      <c r="B807" s="617">
        <v>3122</v>
      </c>
      <c r="C807" s="617">
        <v>5336</v>
      </c>
      <c r="D807" s="518"/>
      <c r="E807" s="616" t="s">
        <v>1740</v>
      </c>
      <c r="F807" s="705"/>
      <c r="G807" s="705">
        <f>G808</f>
        <v>10342</v>
      </c>
      <c r="H807" s="705">
        <f>H808</f>
        <v>10342</v>
      </c>
      <c r="I807" s="707">
        <f t="shared" ref="I807:I825" si="114">(H807/G807)*100</f>
        <v>100</v>
      </c>
    </row>
    <row r="808" spans="1:20" ht="14.25" x14ac:dyDescent="0.2">
      <c r="A808" s="420"/>
      <c r="B808" s="617"/>
      <c r="C808" s="617"/>
      <c r="D808" s="518" t="s">
        <v>1807</v>
      </c>
      <c r="E808" s="442" t="s">
        <v>716</v>
      </c>
      <c r="F808" s="683"/>
      <c r="G808" s="683">
        <v>10342</v>
      </c>
      <c r="H808" s="683">
        <v>10342</v>
      </c>
      <c r="I808" s="679">
        <f t="shared" si="114"/>
        <v>100</v>
      </c>
    </row>
    <row r="809" spans="1:20" ht="15" x14ac:dyDescent="0.25">
      <c r="A809" s="420">
        <v>1122</v>
      </c>
      <c r="B809" s="651">
        <v>3123</v>
      </c>
      <c r="C809" s="651">
        <v>5336</v>
      </c>
      <c r="D809" s="1678"/>
      <c r="E809" s="616" t="s">
        <v>1740</v>
      </c>
      <c r="F809" s="689"/>
      <c r="G809" s="700">
        <f>G810</f>
        <v>12437</v>
      </c>
      <c r="H809" s="700">
        <f>H810</f>
        <v>12437</v>
      </c>
      <c r="I809" s="707">
        <f t="shared" si="114"/>
        <v>100</v>
      </c>
    </row>
    <row r="810" spans="1:20" ht="14.25" x14ac:dyDescent="0.2">
      <c r="A810" s="420"/>
      <c r="B810" s="651"/>
      <c r="C810" s="651"/>
      <c r="D810" s="518" t="s">
        <v>1807</v>
      </c>
      <c r="E810" s="442" t="s">
        <v>716</v>
      </c>
      <c r="F810" s="689"/>
      <c r="G810" s="689">
        <v>12437</v>
      </c>
      <c r="H810" s="689">
        <v>12437</v>
      </c>
      <c r="I810" s="684">
        <f t="shared" ref="I810" si="115">(H810/G810)*100</f>
        <v>100</v>
      </c>
    </row>
    <row r="811" spans="1:20" ht="15" x14ac:dyDescent="0.25">
      <c r="A811" s="420">
        <v>1122</v>
      </c>
      <c r="B811" s="651">
        <v>3127</v>
      </c>
      <c r="C811" s="651">
        <v>5331</v>
      </c>
      <c r="D811" s="527"/>
      <c r="E811" s="616" t="s">
        <v>858</v>
      </c>
      <c r="F811" s="700">
        <f>F812+F813+F814</f>
        <v>7599</v>
      </c>
      <c r="G811" s="700">
        <f>G812+G813+G814</f>
        <v>1271</v>
      </c>
      <c r="H811" s="700">
        <f>H812+H813+H814</f>
        <v>1271</v>
      </c>
      <c r="I811" s="693">
        <f t="shared" si="114"/>
        <v>100</v>
      </c>
    </row>
    <row r="812" spans="1:20" ht="14.25" x14ac:dyDescent="0.2">
      <c r="A812" s="420"/>
      <c r="B812" s="651"/>
      <c r="C812" s="651"/>
      <c r="D812" s="636" t="s">
        <v>1811</v>
      </c>
      <c r="E812" s="1162" t="s">
        <v>717</v>
      </c>
      <c r="F812" s="692">
        <v>1424</v>
      </c>
      <c r="G812" s="692">
        <v>238</v>
      </c>
      <c r="H812" s="692">
        <v>238</v>
      </c>
      <c r="I812" s="368">
        <f t="shared" si="114"/>
        <v>100</v>
      </c>
    </row>
    <row r="813" spans="1:20" ht="14.25" x14ac:dyDescent="0.2">
      <c r="A813" s="420"/>
      <c r="B813" s="651"/>
      <c r="C813" s="651"/>
      <c r="D813" s="518" t="s">
        <v>1812</v>
      </c>
      <c r="E813" s="442" t="s">
        <v>63</v>
      </c>
      <c r="F813" s="692">
        <v>6175</v>
      </c>
      <c r="G813" s="692">
        <v>1030</v>
      </c>
      <c r="H813" s="692">
        <v>1030</v>
      </c>
      <c r="I813" s="368">
        <f t="shared" si="114"/>
        <v>100</v>
      </c>
    </row>
    <row r="814" spans="1:20" ht="14.25" x14ac:dyDescent="0.2">
      <c r="A814" s="420"/>
      <c r="B814" s="651"/>
      <c r="C814" s="651"/>
      <c r="D814" s="518" t="s">
        <v>1837</v>
      </c>
      <c r="E814" s="721" t="s">
        <v>1644</v>
      </c>
      <c r="F814" s="692"/>
      <c r="G814" s="692">
        <v>3</v>
      </c>
      <c r="H814" s="692">
        <v>3</v>
      </c>
      <c r="I814" s="368">
        <f t="shared" si="114"/>
        <v>100</v>
      </c>
    </row>
    <row r="815" spans="1:20" ht="15" x14ac:dyDescent="0.25">
      <c r="A815" s="420">
        <v>1122</v>
      </c>
      <c r="B815" s="651">
        <v>3127</v>
      </c>
      <c r="C815" s="651">
        <v>5336</v>
      </c>
      <c r="D815" s="712"/>
      <c r="E815" s="616" t="s">
        <v>1740</v>
      </c>
      <c r="F815" s="690"/>
      <c r="G815" s="690">
        <f>G816+G817+G818+G819+G820+G821</f>
        <v>2007</v>
      </c>
      <c r="H815" s="690">
        <f>H816+H817+H818+H819+H820+H821</f>
        <v>2007</v>
      </c>
      <c r="I815" s="691">
        <f t="shared" si="114"/>
        <v>100</v>
      </c>
    </row>
    <row r="816" spans="1:20" ht="14.25" x14ac:dyDescent="0.2">
      <c r="A816" s="420"/>
      <c r="B816" s="651"/>
      <c r="C816" s="651"/>
      <c r="D816" s="887" t="s">
        <v>1827</v>
      </c>
      <c r="E816" s="1676" t="s">
        <v>1407</v>
      </c>
      <c r="F816" s="689"/>
      <c r="G816" s="689">
        <v>11</v>
      </c>
      <c r="H816" s="689">
        <v>11</v>
      </c>
      <c r="I816" s="684">
        <f t="shared" si="114"/>
        <v>100</v>
      </c>
    </row>
    <row r="817" spans="1:20" ht="14.25" x14ac:dyDescent="0.2">
      <c r="A817" s="420"/>
      <c r="B817" s="651"/>
      <c r="C817" s="651"/>
      <c r="D817" s="518" t="s">
        <v>1818</v>
      </c>
      <c r="E817" s="442" t="s">
        <v>1600</v>
      </c>
      <c r="F817" s="689"/>
      <c r="G817" s="689">
        <v>563</v>
      </c>
      <c r="H817" s="689">
        <v>563</v>
      </c>
      <c r="I817" s="684">
        <f t="shared" si="114"/>
        <v>100</v>
      </c>
    </row>
    <row r="818" spans="1:20" ht="14.25" x14ac:dyDescent="0.2">
      <c r="A818" s="420"/>
      <c r="B818" s="651"/>
      <c r="C818" s="651"/>
      <c r="D818" s="887" t="s">
        <v>1808</v>
      </c>
      <c r="E818" s="1676" t="s">
        <v>1739</v>
      </c>
      <c r="F818" s="689"/>
      <c r="G818" s="689">
        <v>808</v>
      </c>
      <c r="H818" s="689">
        <v>808</v>
      </c>
      <c r="I818" s="684">
        <f t="shared" si="114"/>
        <v>100</v>
      </c>
    </row>
    <row r="819" spans="1:20" ht="28.5" x14ac:dyDescent="0.2">
      <c r="A819" s="420"/>
      <c r="B819" s="651"/>
      <c r="C819" s="651"/>
      <c r="D819" s="887" t="s">
        <v>1809</v>
      </c>
      <c r="E819" s="2019" t="s">
        <v>1810</v>
      </c>
      <c r="F819" s="689"/>
      <c r="G819" s="1062">
        <v>129</v>
      </c>
      <c r="H819" s="1062">
        <v>129</v>
      </c>
      <c r="I819" s="1066">
        <f t="shared" si="114"/>
        <v>100</v>
      </c>
    </row>
    <row r="820" spans="1:20" ht="14.25" x14ac:dyDescent="0.2">
      <c r="A820" s="420"/>
      <c r="B820" s="651"/>
      <c r="C820" s="651"/>
      <c r="D820" s="518" t="s">
        <v>1813</v>
      </c>
      <c r="E820" s="1162" t="s">
        <v>1815</v>
      </c>
      <c r="F820" s="689"/>
      <c r="G820" s="1062">
        <v>74</v>
      </c>
      <c r="H820" s="1062">
        <v>74</v>
      </c>
      <c r="I820" s="1066">
        <f t="shared" si="114"/>
        <v>100</v>
      </c>
    </row>
    <row r="821" spans="1:20" ht="14.25" x14ac:dyDescent="0.2">
      <c r="A821" s="420"/>
      <c r="B821" s="651"/>
      <c r="C821" s="651"/>
      <c r="D821" s="518" t="s">
        <v>1814</v>
      </c>
      <c r="E821" s="1162" t="s">
        <v>1815</v>
      </c>
      <c r="F821" s="689"/>
      <c r="G821" s="1062">
        <v>422</v>
      </c>
      <c r="H821" s="1062">
        <v>422</v>
      </c>
      <c r="I821" s="1066">
        <f t="shared" si="114"/>
        <v>100</v>
      </c>
    </row>
    <row r="822" spans="1:20" ht="15" x14ac:dyDescent="0.25">
      <c r="A822" s="420">
        <v>1122</v>
      </c>
      <c r="B822" s="651">
        <v>3141</v>
      </c>
      <c r="C822" s="651">
        <v>5336</v>
      </c>
      <c r="D822" s="527"/>
      <c r="E822" s="616" t="s">
        <v>1740</v>
      </c>
      <c r="F822" s="700"/>
      <c r="G822" s="700">
        <v>1545</v>
      </c>
      <c r="H822" s="700">
        <v>1545</v>
      </c>
      <c r="I822" s="693">
        <f t="shared" si="114"/>
        <v>100</v>
      </c>
    </row>
    <row r="823" spans="1:20" ht="14.25" x14ac:dyDescent="0.2">
      <c r="A823" s="420"/>
      <c r="B823" s="651"/>
      <c r="C823" s="651"/>
      <c r="D823" s="518" t="s">
        <v>1807</v>
      </c>
      <c r="E823" s="442" t="s">
        <v>716</v>
      </c>
      <c r="F823" s="689"/>
      <c r="G823" s="689">
        <v>1545</v>
      </c>
      <c r="H823" s="689">
        <v>1545</v>
      </c>
      <c r="I823" s="684">
        <f t="shared" si="114"/>
        <v>100</v>
      </c>
    </row>
    <row r="824" spans="1:20" ht="15" x14ac:dyDescent="0.25">
      <c r="A824" s="420">
        <v>1122</v>
      </c>
      <c r="B824" s="651">
        <v>3147</v>
      </c>
      <c r="C824" s="651">
        <v>5336</v>
      </c>
      <c r="D824" s="518"/>
      <c r="E824" s="616" t="s">
        <v>1740</v>
      </c>
      <c r="F824" s="689"/>
      <c r="G824" s="700">
        <v>1421</v>
      </c>
      <c r="H824" s="700">
        <v>1421</v>
      </c>
      <c r="I824" s="693">
        <f t="shared" si="114"/>
        <v>100</v>
      </c>
    </row>
    <row r="825" spans="1:20" ht="18" customHeight="1" thickBot="1" x14ac:dyDescent="0.25">
      <c r="A825" s="420"/>
      <c r="B825" s="651"/>
      <c r="C825" s="1128"/>
      <c r="D825" s="518" t="s">
        <v>1807</v>
      </c>
      <c r="E825" s="442" t="s">
        <v>716</v>
      </c>
      <c r="F825" s="689"/>
      <c r="G825" s="689">
        <v>1421</v>
      </c>
      <c r="H825" s="689">
        <v>1421</v>
      </c>
      <c r="I825" s="684">
        <f t="shared" si="114"/>
        <v>100</v>
      </c>
    </row>
    <row r="826" spans="1:20" ht="16.5" thickTop="1" thickBot="1" x14ac:dyDescent="0.3">
      <c r="A826" s="3110" t="s">
        <v>1000</v>
      </c>
      <c r="B826" s="3111"/>
      <c r="C826" s="3111"/>
      <c r="D826" s="3111"/>
      <c r="E826" s="3111"/>
      <c r="F826" s="680">
        <f>F811</f>
        <v>7599</v>
      </c>
      <c r="G826" s="680">
        <f>G807+G809+G811+G815+G822+G824</f>
        <v>29023</v>
      </c>
      <c r="H826" s="680">
        <f>H807+H809+H811+H815+H822+H824</f>
        <v>29023</v>
      </c>
      <c r="I826" s="681">
        <f>(H826/G826)*100</f>
        <v>100</v>
      </c>
      <c r="R826" s="374">
        <f>F826</f>
        <v>7599</v>
      </c>
      <c r="S826" s="374">
        <f>G826</f>
        <v>29023</v>
      </c>
      <c r="T826" s="374">
        <f>H826</f>
        <v>29023</v>
      </c>
    </row>
    <row r="827" spans="1:20" ht="15" customHeight="1" thickTop="1" x14ac:dyDescent="0.2"/>
    <row r="828" spans="1:20" ht="15" customHeight="1" x14ac:dyDescent="0.2"/>
    <row r="829" spans="1:20" ht="15" customHeight="1" x14ac:dyDescent="0.2"/>
    <row r="830" spans="1:20" ht="15" customHeight="1" x14ac:dyDescent="0.2"/>
    <row r="831" spans="1:20" ht="15" customHeight="1" x14ac:dyDescent="0.2"/>
    <row r="832" spans="1:20" ht="15" customHeight="1" x14ac:dyDescent="0.2"/>
    <row r="833" spans="1:9" ht="15" customHeight="1" x14ac:dyDescent="0.2"/>
    <row r="834" spans="1:9" ht="15" customHeight="1" x14ac:dyDescent="0.2"/>
    <row r="835" spans="1:9" ht="15" customHeight="1" x14ac:dyDescent="0.2"/>
    <row r="836" spans="1:9" ht="15" customHeight="1" x14ac:dyDescent="0.2"/>
    <row r="837" spans="1:9" ht="15" customHeight="1" x14ac:dyDescent="0.2"/>
    <row r="838" spans="1:9" ht="15" customHeight="1" x14ac:dyDescent="0.2"/>
    <row r="839" spans="1:9" ht="13.5" thickBot="1" x14ac:dyDescent="0.25">
      <c r="A839" s="1764" t="s">
        <v>311</v>
      </c>
      <c r="B839" s="2939"/>
      <c r="C839" s="1728"/>
      <c r="D839" s="1832"/>
      <c r="E839" s="1728"/>
      <c r="F839" s="1733"/>
      <c r="G839" s="1733"/>
      <c r="H839" s="1733"/>
      <c r="I839" s="2940" t="s">
        <v>148</v>
      </c>
    </row>
    <row r="840" spans="1:9" s="106" customFormat="1" ht="20.25" customHeight="1" thickTop="1" thickBot="1" x14ac:dyDescent="0.25">
      <c r="A840" s="2941" t="s">
        <v>565</v>
      </c>
      <c r="B840" s="2942" t="s">
        <v>149</v>
      </c>
      <c r="C840" s="2943" t="s">
        <v>150</v>
      </c>
      <c r="D840" s="2944" t="s">
        <v>639</v>
      </c>
      <c r="E840" s="2944" t="s">
        <v>151</v>
      </c>
      <c r="F840" s="2944" t="s">
        <v>569</v>
      </c>
      <c r="G840" s="2944" t="s">
        <v>570</v>
      </c>
      <c r="H840" s="2944" t="s">
        <v>797</v>
      </c>
      <c r="I840" s="2945" t="s">
        <v>798</v>
      </c>
    </row>
    <row r="841" spans="1:9" s="375" customFormat="1" ht="13.5" thickTop="1" thickBot="1" x14ac:dyDescent="0.25">
      <c r="A841" s="1783">
        <v>1</v>
      </c>
      <c r="B841" s="2947">
        <v>2</v>
      </c>
      <c r="C841" s="2947">
        <v>3</v>
      </c>
      <c r="D841" s="2947">
        <v>4</v>
      </c>
      <c r="E841" s="2947">
        <v>5</v>
      </c>
      <c r="F841" s="2948">
        <v>6</v>
      </c>
      <c r="G841" s="2948">
        <v>7</v>
      </c>
      <c r="H841" s="2949">
        <v>8</v>
      </c>
      <c r="I841" s="2950" t="s">
        <v>689</v>
      </c>
    </row>
    <row r="842" spans="1:9" ht="15.75" thickTop="1" x14ac:dyDescent="0.25">
      <c r="A842" s="1747">
        <v>1123</v>
      </c>
      <c r="B842" s="2952">
        <v>3122</v>
      </c>
      <c r="C842" s="2952">
        <v>5336</v>
      </c>
      <c r="D842" s="2953"/>
      <c r="E842" s="2954" t="s">
        <v>1740</v>
      </c>
      <c r="F842" s="2972"/>
      <c r="G842" s="2968">
        <f>G843</f>
        <v>8472</v>
      </c>
      <c r="H842" s="2968">
        <f>H843</f>
        <v>8472</v>
      </c>
      <c r="I842" s="2969">
        <f t="shared" ref="I842:I861" si="116">(H842/G842)*100</f>
        <v>100</v>
      </c>
    </row>
    <row r="843" spans="1:9" ht="14.25" x14ac:dyDescent="0.2">
      <c r="A843" s="1747"/>
      <c r="B843" s="2957"/>
      <c r="C843" s="2957"/>
      <c r="D843" s="2953" t="s">
        <v>1807</v>
      </c>
      <c r="E843" s="2958" t="s">
        <v>716</v>
      </c>
      <c r="F843" s="2960"/>
      <c r="G843" s="2960">
        <v>8472</v>
      </c>
      <c r="H843" s="2960">
        <v>8472</v>
      </c>
      <c r="I843" s="2961">
        <f t="shared" si="116"/>
        <v>100</v>
      </c>
    </row>
    <row r="844" spans="1:9" ht="15" x14ac:dyDescent="0.25">
      <c r="A844" s="1747">
        <v>1123</v>
      </c>
      <c r="B844" s="2952">
        <v>3123</v>
      </c>
      <c r="C844" s="2952">
        <v>5336</v>
      </c>
      <c r="D844" s="2953"/>
      <c r="E844" s="2954" t="s">
        <v>1740</v>
      </c>
      <c r="F844" s="2972"/>
      <c r="G844" s="2968">
        <f>G845</f>
        <v>8594</v>
      </c>
      <c r="H844" s="2968">
        <f>H845</f>
        <v>8594</v>
      </c>
      <c r="I844" s="2969">
        <f>(H844/G844)*100</f>
        <v>100</v>
      </c>
    </row>
    <row r="845" spans="1:9" ht="14.25" x14ac:dyDescent="0.2">
      <c r="A845" s="1747"/>
      <c r="B845" s="2952"/>
      <c r="C845" s="2970"/>
      <c r="D845" s="2953" t="s">
        <v>1807</v>
      </c>
      <c r="E845" s="2958" t="s">
        <v>716</v>
      </c>
      <c r="F845" s="2972"/>
      <c r="G845" s="2972">
        <v>8594</v>
      </c>
      <c r="H845" s="2972">
        <v>8594</v>
      </c>
      <c r="I845" s="2973">
        <f t="shared" si="116"/>
        <v>100</v>
      </c>
    </row>
    <row r="846" spans="1:9" ht="15" x14ac:dyDescent="0.25">
      <c r="A846" s="1747">
        <v>1123</v>
      </c>
      <c r="B846" s="2952">
        <v>3124</v>
      </c>
      <c r="C846" s="2952">
        <v>5336</v>
      </c>
      <c r="D846" s="2953"/>
      <c r="E846" s="2954" t="s">
        <v>1740</v>
      </c>
      <c r="F846" s="2972"/>
      <c r="G846" s="2968">
        <f>G847</f>
        <v>1747</v>
      </c>
      <c r="H846" s="2968">
        <f>H847</f>
        <v>1747</v>
      </c>
      <c r="I846" s="2969">
        <f t="shared" si="116"/>
        <v>100</v>
      </c>
    </row>
    <row r="847" spans="1:9" ht="14.25" x14ac:dyDescent="0.2">
      <c r="A847" s="1747"/>
      <c r="B847" s="2952"/>
      <c r="C847" s="2970"/>
      <c r="D847" s="2953" t="s">
        <v>1807</v>
      </c>
      <c r="E847" s="2958" t="s">
        <v>716</v>
      </c>
      <c r="F847" s="2972"/>
      <c r="G847" s="2972">
        <v>1747</v>
      </c>
      <c r="H847" s="2972">
        <v>1747</v>
      </c>
      <c r="I847" s="2973">
        <f t="shared" si="116"/>
        <v>100</v>
      </c>
    </row>
    <row r="848" spans="1:9" ht="15" x14ac:dyDescent="0.25">
      <c r="A848" s="1747">
        <v>1123</v>
      </c>
      <c r="B848" s="2952">
        <v>3127</v>
      </c>
      <c r="C848" s="2952">
        <v>5331</v>
      </c>
      <c r="D848" s="2981"/>
      <c r="E848" s="2954" t="s">
        <v>858</v>
      </c>
      <c r="F848" s="2971">
        <f>F849+F850</f>
        <v>7524</v>
      </c>
      <c r="G848" s="2971">
        <f>G849+G850</f>
        <v>1254</v>
      </c>
      <c r="H848" s="2971">
        <f>H849+H850</f>
        <v>1254</v>
      </c>
      <c r="I848" s="2982">
        <f t="shared" si="116"/>
        <v>100</v>
      </c>
    </row>
    <row r="849" spans="1:20" ht="14.25" x14ac:dyDescent="0.2">
      <c r="A849" s="1747"/>
      <c r="B849" s="2952"/>
      <c r="C849" s="2952"/>
      <c r="D849" s="2983" t="s">
        <v>1811</v>
      </c>
      <c r="E849" s="2966" t="s">
        <v>717</v>
      </c>
      <c r="F849" s="2972">
        <v>1364</v>
      </c>
      <c r="G849" s="2972">
        <v>228</v>
      </c>
      <c r="H849" s="2972">
        <v>228</v>
      </c>
      <c r="I849" s="2973">
        <f t="shared" si="116"/>
        <v>100</v>
      </c>
    </row>
    <row r="850" spans="1:20" ht="14.25" x14ac:dyDescent="0.2">
      <c r="A850" s="1747"/>
      <c r="B850" s="2952"/>
      <c r="C850" s="2952"/>
      <c r="D850" s="2953" t="s">
        <v>1812</v>
      </c>
      <c r="E850" s="2958" t="s">
        <v>63</v>
      </c>
      <c r="F850" s="2972">
        <v>6160</v>
      </c>
      <c r="G850" s="2972">
        <v>1026</v>
      </c>
      <c r="H850" s="2972">
        <v>1026</v>
      </c>
      <c r="I850" s="2973">
        <f t="shared" si="116"/>
        <v>100</v>
      </c>
    </row>
    <row r="851" spans="1:20" ht="15" x14ac:dyDescent="0.25">
      <c r="A851" s="1747">
        <v>1123</v>
      </c>
      <c r="B851" s="2952">
        <v>3127</v>
      </c>
      <c r="C851" s="2952">
        <v>5336</v>
      </c>
      <c r="D851" s="2953"/>
      <c r="E851" s="2954" t="s">
        <v>1740</v>
      </c>
      <c r="F851" s="2972"/>
      <c r="G851" s="2968">
        <f>G852+G853+G854+G855+G856+G857</f>
        <v>2229</v>
      </c>
      <c r="H851" s="2968">
        <f>H852+H853+H854+H855+H856+H857</f>
        <v>2229</v>
      </c>
      <c r="I851" s="2969">
        <f t="shared" si="116"/>
        <v>100</v>
      </c>
    </row>
    <row r="852" spans="1:20" ht="14.25" x14ac:dyDescent="0.2">
      <c r="A852" s="1747"/>
      <c r="B852" s="2952"/>
      <c r="C852" s="2952"/>
      <c r="D852" s="2975" t="s">
        <v>1827</v>
      </c>
      <c r="E852" s="2976" t="s">
        <v>1407</v>
      </c>
      <c r="F852" s="2972"/>
      <c r="G852" s="2967">
        <v>9</v>
      </c>
      <c r="H852" s="2967">
        <v>9</v>
      </c>
      <c r="I852" s="1888">
        <f t="shared" si="116"/>
        <v>100</v>
      </c>
    </row>
    <row r="853" spans="1:20" ht="14.25" x14ac:dyDescent="0.2">
      <c r="A853" s="1747"/>
      <c r="B853" s="2952"/>
      <c r="C853" s="2952"/>
      <c r="D853" s="2953" t="s">
        <v>1818</v>
      </c>
      <c r="E853" s="2958" t="s">
        <v>1600</v>
      </c>
      <c r="F853" s="2972"/>
      <c r="G853" s="2967">
        <v>416</v>
      </c>
      <c r="H853" s="2967">
        <v>416</v>
      </c>
      <c r="I853" s="1888">
        <f t="shared" si="116"/>
        <v>100</v>
      </c>
    </row>
    <row r="854" spans="1:20" ht="14.25" x14ac:dyDescent="0.2">
      <c r="A854" s="1747"/>
      <c r="B854" s="2952"/>
      <c r="C854" s="2952"/>
      <c r="D854" s="2975" t="s">
        <v>1808</v>
      </c>
      <c r="E854" s="2976" t="s">
        <v>1739</v>
      </c>
      <c r="F854" s="2972"/>
      <c r="G854" s="2967">
        <v>874</v>
      </c>
      <c r="H854" s="2967">
        <v>874</v>
      </c>
      <c r="I854" s="1888">
        <f t="shared" si="116"/>
        <v>100</v>
      </c>
    </row>
    <row r="855" spans="1:20" ht="28.5" x14ac:dyDescent="0.2">
      <c r="A855" s="1747"/>
      <c r="B855" s="2952"/>
      <c r="C855" s="2952"/>
      <c r="D855" s="2975" t="s">
        <v>1809</v>
      </c>
      <c r="E855" s="2978" t="s">
        <v>1810</v>
      </c>
      <c r="F855" s="2972"/>
      <c r="G855" s="2967">
        <v>115</v>
      </c>
      <c r="H855" s="2967">
        <v>115</v>
      </c>
      <c r="I855" s="1888">
        <f t="shared" si="116"/>
        <v>100</v>
      </c>
    </row>
    <row r="856" spans="1:20" ht="14.25" x14ac:dyDescent="0.2">
      <c r="A856" s="1747"/>
      <c r="B856" s="2952"/>
      <c r="C856" s="2952"/>
      <c r="D856" s="2953" t="s">
        <v>1813</v>
      </c>
      <c r="E856" s="2966" t="s">
        <v>1815</v>
      </c>
      <c r="F856" s="2972"/>
      <c r="G856" s="2967">
        <v>122</v>
      </c>
      <c r="H856" s="2967">
        <v>122</v>
      </c>
      <c r="I856" s="1888">
        <f t="shared" si="116"/>
        <v>100</v>
      </c>
    </row>
    <row r="857" spans="1:20" ht="14.25" x14ac:dyDescent="0.2">
      <c r="A857" s="1747"/>
      <c r="B857" s="2952"/>
      <c r="C857" s="2970"/>
      <c r="D857" s="2953" t="s">
        <v>1814</v>
      </c>
      <c r="E857" s="2966" t="s">
        <v>1815</v>
      </c>
      <c r="F857" s="2972"/>
      <c r="G857" s="2967">
        <v>693</v>
      </c>
      <c r="H857" s="2967">
        <v>693</v>
      </c>
      <c r="I857" s="1888">
        <f t="shared" si="116"/>
        <v>100</v>
      </c>
    </row>
    <row r="858" spans="1:20" ht="15" x14ac:dyDescent="0.25">
      <c r="A858" s="1747">
        <v>1123</v>
      </c>
      <c r="B858" s="2952">
        <v>3141</v>
      </c>
      <c r="C858" s="2952">
        <v>5336</v>
      </c>
      <c r="D858" s="2953"/>
      <c r="E858" s="2954" t="s">
        <v>1740</v>
      </c>
      <c r="F858" s="2972"/>
      <c r="G858" s="2968">
        <v>1358</v>
      </c>
      <c r="H858" s="2968">
        <v>1358</v>
      </c>
      <c r="I858" s="2969">
        <f t="shared" si="116"/>
        <v>100</v>
      </c>
    </row>
    <row r="859" spans="1:20" ht="14.25" x14ac:dyDescent="0.2">
      <c r="A859" s="1747"/>
      <c r="B859" s="2952"/>
      <c r="C859" s="2970"/>
      <c r="D859" s="2953" t="s">
        <v>1807</v>
      </c>
      <c r="E859" s="2958" t="s">
        <v>716</v>
      </c>
      <c r="F859" s="2972"/>
      <c r="G859" s="2972">
        <v>1358</v>
      </c>
      <c r="H859" s="2972">
        <v>1358</v>
      </c>
      <c r="I859" s="2973">
        <f t="shared" si="116"/>
        <v>100</v>
      </c>
    </row>
    <row r="860" spans="1:20" ht="15" x14ac:dyDescent="0.25">
      <c r="A860" s="1747">
        <v>1123</v>
      </c>
      <c r="B860" s="2952">
        <v>3147</v>
      </c>
      <c r="C860" s="2952">
        <v>5336</v>
      </c>
      <c r="D860" s="2953"/>
      <c r="E860" s="2954" t="s">
        <v>1740</v>
      </c>
      <c r="F860" s="2972"/>
      <c r="G860" s="2968">
        <f>G861</f>
        <v>3212</v>
      </c>
      <c r="H860" s="2968">
        <f t="shared" ref="H860" si="117">H861</f>
        <v>3212</v>
      </c>
      <c r="I860" s="2969">
        <f t="shared" si="116"/>
        <v>100</v>
      </c>
    </row>
    <row r="861" spans="1:20" ht="15" thickBot="1" x14ac:dyDescent="0.25">
      <c r="A861" s="1747"/>
      <c r="B861" s="2952"/>
      <c r="C861" s="2970"/>
      <c r="D861" s="2953" t="s">
        <v>1807</v>
      </c>
      <c r="E861" s="2958" t="s">
        <v>716</v>
      </c>
      <c r="F861" s="2972"/>
      <c r="G861" s="2972">
        <v>3212</v>
      </c>
      <c r="H861" s="2972">
        <v>3212</v>
      </c>
      <c r="I861" s="2973">
        <f t="shared" si="116"/>
        <v>100</v>
      </c>
    </row>
    <row r="862" spans="1:20" ht="16.5" thickTop="1" thickBot="1" x14ac:dyDescent="0.3">
      <c r="A862" s="3110" t="s">
        <v>1000</v>
      </c>
      <c r="B862" s="3111"/>
      <c r="C862" s="3111"/>
      <c r="D862" s="3111"/>
      <c r="E862" s="3111"/>
      <c r="F862" s="680">
        <f>F848</f>
        <v>7524</v>
      </c>
      <c r="G862" s="680">
        <f>G842+G844+G846+G848+G851+G858+G860</f>
        <v>26866</v>
      </c>
      <c r="H862" s="680">
        <f>H842+H844+H846+H848+H851+H858+H860</f>
        <v>26866</v>
      </c>
      <c r="I862" s="681">
        <f>(H862/G862)*100</f>
        <v>100</v>
      </c>
      <c r="R862" s="374">
        <f>F862</f>
        <v>7524</v>
      </c>
      <c r="S862" s="374">
        <f>G862</f>
        <v>26866</v>
      </c>
      <c r="T862" s="374">
        <f>H862</f>
        <v>26866</v>
      </c>
    </row>
    <row r="863" spans="1:20" ht="13.5" thickTop="1" x14ac:dyDescent="0.2">
      <c r="R863" s="374"/>
    </row>
    <row r="865" spans="1:9" ht="13.5" thickBot="1" x14ac:dyDescent="0.25">
      <c r="A865" s="421" t="s">
        <v>1288</v>
      </c>
      <c r="I865" s="1125" t="s">
        <v>148</v>
      </c>
    </row>
    <row r="866" spans="1:9" s="106" customFormat="1" thickTop="1" thickBot="1" x14ac:dyDescent="0.25">
      <c r="A866" s="586" t="s">
        <v>565</v>
      </c>
      <c r="B866" s="658" t="s">
        <v>149</v>
      </c>
      <c r="C866" s="587" t="s">
        <v>150</v>
      </c>
      <c r="D866" s="589" t="s">
        <v>639</v>
      </c>
      <c r="E866" s="589" t="s">
        <v>151</v>
      </c>
      <c r="F866" s="589" t="s">
        <v>569</v>
      </c>
      <c r="G866" s="589" t="s">
        <v>570</v>
      </c>
      <c r="H866" s="589" t="s">
        <v>797</v>
      </c>
      <c r="I866" s="674" t="s">
        <v>798</v>
      </c>
    </row>
    <row r="867" spans="1:9" s="375" customFormat="1" ht="13.5" thickTop="1" thickBot="1" x14ac:dyDescent="0.25">
      <c r="A867" s="525">
        <v>1</v>
      </c>
      <c r="B867" s="526">
        <v>2</v>
      </c>
      <c r="C867" s="526">
        <v>3</v>
      </c>
      <c r="D867" s="526">
        <v>4</v>
      </c>
      <c r="E867" s="526">
        <v>5</v>
      </c>
      <c r="F867" s="512">
        <v>6</v>
      </c>
      <c r="G867" s="512">
        <v>7</v>
      </c>
      <c r="H867" s="513">
        <v>8</v>
      </c>
      <c r="I867" s="591" t="s">
        <v>689</v>
      </c>
    </row>
    <row r="868" spans="1:9" ht="15.75" thickTop="1" x14ac:dyDescent="0.25">
      <c r="A868" s="1126">
        <v>1125</v>
      </c>
      <c r="B868" s="659">
        <v>3122</v>
      </c>
      <c r="C868" s="659">
        <v>5331</v>
      </c>
      <c r="D868" s="694"/>
      <c r="E868" s="713" t="s">
        <v>858</v>
      </c>
      <c r="F868" s="714">
        <f>F869+F870</f>
        <v>3599</v>
      </c>
      <c r="G868" s="714">
        <f>G869+G870</f>
        <v>600</v>
      </c>
      <c r="H868" s="714">
        <f>H869+H870</f>
        <v>600</v>
      </c>
      <c r="I868" s="682">
        <f t="shared" ref="I868:I883" si="118">(H868/G868)*100</f>
        <v>100</v>
      </c>
    </row>
    <row r="869" spans="1:9" ht="14.25" x14ac:dyDescent="0.2">
      <c r="A869" s="420"/>
      <c r="B869" s="617"/>
      <c r="C869" s="617"/>
      <c r="D869" s="636" t="s">
        <v>1811</v>
      </c>
      <c r="E869" s="1162" t="s">
        <v>717</v>
      </c>
      <c r="F869" s="683">
        <v>548</v>
      </c>
      <c r="G869" s="683">
        <v>92</v>
      </c>
      <c r="H869" s="683">
        <v>92</v>
      </c>
      <c r="I869" s="679">
        <f t="shared" si="118"/>
        <v>100</v>
      </c>
    </row>
    <row r="870" spans="1:9" ht="14.25" customHeight="1" x14ac:dyDescent="0.2">
      <c r="A870" s="420"/>
      <c r="B870" s="617"/>
      <c r="C870" s="617"/>
      <c r="D870" s="518" t="s">
        <v>1812</v>
      </c>
      <c r="E870" s="442" t="s">
        <v>63</v>
      </c>
      <c r="F870" s="683">
        <v>3051</v>
      </c>
      <c r="G870" s="683">
        <v>508</v>
      </c>
      <c r="H870" s="683">
        <v>508</v>
      </c>
      <c r="I870" s="679">
        <f t="shared" si="118"/>
        <v>100</v>
      </c>
    </row>
    <row r="871" spans="1:9" ht="15" x14ac:dyDescent="0.25">
      <c r="A871" s="420">
        <v>1125</v>
      </c>
      <c r="B871" s="617">
        <v>3122</v>
      </c>
      <c r="C871" s="617">
        <v>5336</v>
      </c>
      <c r="D871" s="887"/>
      <c r="E871" s="616" t="s">
        <v>1740</v>
      </c>
      <c r="F871" s="683"/>
      <c r="G871" s="705">
        <f>G872+G873+G874+G875+G876+G877+G878</f>
        <v>14876</v>
      </c>
      <c r="H871" s="705">
        <f>H872+H873+H874+H875+H876+H877+H878</f>
        <v>14876</v>
      </c>
      <c r="I871" s="707">
        <f t="shared" si="118"/>
        <v>100</v>
      </c>
    </row>
    <row r="872" spans="1:9" ht="14.25" customHeight="1" x14ac:dyDescent="0.2">
      <c r="A872" s="420"/>
      <c r="B872" s="617"/>
      <c r="C872" s="617"/>
      <c r="D872" s="887" t="s">
        <v>1827</v>
      </c>
      <c r="E872" s="1676" t="s">
        <v>1407</v>
      </c>
      <c r="F872" s="683"/>
      <c r="G872" s="692">
        <v>9</v>
      </c>
      <c r="H872" s="692">
        <v>9</v>
      </c>
      <c r="I872" s="679">
        <f t="shared" si="118"/>
        <v>100</v>
      </c>
    </row>
    <row r="873" spans="1:9" ht="15" x14ac:dyDescent="0.2">
      <c r="A873" s="420"/>
      <c r="B873" s="617"/>
      <c r="C873" s="617"/>
      <c r="D873" s="887" t="s">
        <v>1808</v>
      </c>
      <c r="E873" s="1676" t="s">
        <v>1739</v>
      </c>
      <c r="F873" s="1964"/>
      <c r="G873" s="1965">
        <v>461</v>
      </c>
      <c r="H873" s="1965">
        <v>461</v>
      </c>
      <c r="I873" s="368">
        <f t="shared" ref="I873:I875" si="119">(H873/G873)*100</f>
        <v>100</v>
      </c>
    </row>
    <row r="874" spans="1:9" ht="15" x14ac:dyDescent="0.2">
      <c r="A874" s="420"/>
      <c r="B874" s="617"/>
      <c r="C874" s="617"/>
      <c r="D874" s="887" t="s">
        <v>1838</v>
      </c>
      <c r="E874" s="1676" t="s">
        <v>1839</v>
      </c>
      <c r="F874" s="1964"/>
      <c r="G874" s="1965">
        <v>20</v>
      </c>
      <c r="H874" s="1965">
        <v>20</v>
      </c>
      <c r="I874" s="368">
        <f t="shared" si="119"/>
        <v>100</v>
      </c>
    </row>
    <row r="875" spans="1:9" ht="28.5" x14ac:dyDescent="0.2">
      <c r="A875" s="420"/>
      <c r="B875" s="617"/>
      <c r="C875" s="617"/>
      <c r="D875" s="887" t="s">
        <v>1809</v>
      </c>
      <c r="E875" s="2019" t="s">
        <v>1810</v>
      </c>
      <c r="F875" s="1964"/>
      <c r="G875" s="2031">
        <v>82</v>
      </c>
      <c r="H875" s="2031">
        <v>82</v>
      </c>
      <c r="I875" s="1234">
        <f t="shared" si="119"/>
        <v>100</v>
      </c>
    </row>
    <row r="876" spans="1:9" ht="14.25" x14ac:dyDescent="0.2">
      <c r="A876" s="420"/>
      <c r="B876" s="617"/>
      <c r="C876" s="617"/>
      <c r="D876" s="518" t="s">
        <v>1807</v>
      </c>
      <c r="E876" s="442" t="s">
        <v>716</v>
      </c>
      <c r="F876" s="683"/>
      <c r="G876" s="683">
        <v>13611</v>
      </c>
      <c r="H876" s="683">
        <v>13611</v>
      </c>
      <c r="I876" s="679">
        <f t="shared" si="118"/>
        <v>100</v>
      </c>
    </row>
    <row r="877" spans="1:9" ht="14.25" x14ac:dyDescent="0.2">
      <c r="A877" s="420"/>
      <c r="B877" s="651"/>
      <c r="C877" s="651"/>
      <c r="D877" s="518" t="s">
        <v>1813</v>
      </c>
      <c r="E877" s="1162" t="s">
        <v>1815</v>
      </c>
      <c r="F877" s="689"/>
      <c r="G877" s="689">
        <v>104</v>
      </c>
      <c r="H877" s="689">
        <v>104</v>
      </c>
      <c r="I877" s="679">
        <f t="shared" si="118"/>
        <v>100</v>
      </c>
    </row>
    <row r="878" spans="1:9" ht="14.25" x14ac:dyDescent="0.2">
      <c r="A878" s="420"/>
      <c r="B878" s="651"/>
      <c r="C878" s="651"/>
      <c r="D878" s="518" t="s">
        <v>1814</v>
      </c>
      <c r="E878" s="1162" t="s">
        <v>1815</v>
      </c>
      <c r="F878" s="689"/>
      <c r="G878" s="689">
        <v>589</v>
      </c>
      <c r="H878" s="689">
        <v>589</v>
      </c>
      <c r="I878" s="679">
        <f t="shared" si="118"/>
        <v>100</v>
      </c>
    </row>
    <row r="879" spans="1:9" ht="15" x14ac:dyDescent="0.25">
      <c r="A879" s="420">
        <v>1125</v>
      </c>
      <c r="B879" s="651">
        <v>3141</v>
      </c>
      <c r="C879" s="1128">
        <v>5336</v>
      </c>
      <c r="D879" s="697"/>
      <c r="E879" s="616" t="s">
        <v>1740</v>
      </c>
      <c r="F879" s="690"/>
      <c r="G879" s="690">
        <f>G880</f>
        <v>1127</v>
      </c>
      <c r="H879" s="690">
        <f>H880</f>
        <v>1127</v>
      </c>
      <c r="I879" s="691">
        <f t="shared" si="118"/>
        <v>100</v>
      </c>
    </row>
    <row r="880" spans="1:9" ht="14.25" x14ac:dyDescent="0.2">
      <c r="A880" s="420"/>
      <c r="B880" s="651"/>
      <c r="C880" s="1128"/>
      <c r="D880" s="518" t="s">
        <v>1807</v>
      </c>
      <c r="E880" s="442" t="s">
        <v>716</v>
      </c>
      <c r="F880" s="689"/>
      <c r="G880" s="689">
        <v>1127</v>
      </c>
      <c r="H880" s="689">
        <v>1127</v>
      </c>
      <c r="I880" s="684">
        <f t="shared" si="118"/>
        <v>100</v>
      </c>
    </row>
    <row r="881" spans="1:20" ht="15" x14ac:dyDescent="0.25">
      <c r="A881" s="420">
        <v>1125</v>
      </c>
      <c r="B881" s="651">
        <v>3147</v>
      </c>
      <c r="C881" s="1128">
        <v>5336</v>
      </c>
      <c r="D881" s="518"/>
      <c r="E881" s="616" t="s">
        <v>1740</v>
      </c>
      <c r="F881" s="689"/>
      <c r="G881" s="700">
        <f>G882</f>
        <v>1916</v>
      </c>
      <c r="H881" s="700">
        <f>H882</f>
        <v>1916</v>
      </c>
      <c r="I881" s="693">
        <f t="shared" si="118"/>
        <v>100</v>
      </c>
    </row>
    <row r="882" spans="1:20" ht="15" thickBot="1" x14ac:dyDescent="0.25">
      <c r="A882" s="420"/>
      <c r="B882" s="651"/>
      <c r="C882" s="1128"/>
      <c r="D882" s="518" t="s">
        <v>1807</v>
      </c>
      <c r="E882" s="442" t="s">
        <v>716</v>
      </c>
      <c r="F882" s="689"/>
      <c r="G882" s="689">
        <v>1916</v>
      </c>
      <c r="H882" s="689">
        <v>1916</v>
      </c>
      <c r="I882" s="684">
        <f t="shared" si="118"/>
        <v>100</v>
      </c>
    </row>
    <row r="883" spans="1:20" ht="16.5" thickTop="1" thickBot="1" x14ac:dyDescent="0.3">
      <c r="A883" s="3110" t="s">
        <v>1000</v>
      </c>
      <c r="B883" s="3111"/>
      <c r="C883" s="3111"/>
      <c r="D883" s="3111"/>
      <c r="E883" s="3111"/>
      <c r="F883" s="680">
        <f>F868</f>
        <v>3599</v>
      </c>
      <c r="G883" s="680">
        <f>G868+G871+G879+G881</f>
        <v>18519</v>
      </c>
      <c r="H883" s="680">
        <f>H868+H871+H879+H881</f>
        <v>18519</v>
      </c>
      <c r="I883" s="681">
        <f t="shared" si="118"/>
        <v>100</v>
      </c>
      <c r="R883" s="374">
        <f>F883</f>
        <v>3599</v>
      </c>
      <c r="S883" s="374">
        <f>G883</f>
        <v>18519</v>
      </c>
      <c r="T883" s="374">
        <f>H883</f>
        <v>18519</v>
      </c>
    </row>
    <row r="884" spans="1:20" ht="13.5" thickTop="1" x14ac:dyDescent="0.2"/>
    <row r="886" spans="1:20" ht="13.5" thickBot="1" x14ac:dyDescent="0.25">
      <c r="A886" s="421" t="s">
        <v>1083</v>
      </c>
      <c r="I886" s="1125" t="s">
        <v>148</v>
      </c>
    </row>
    <row r="887" spans="1:20" s="106" customFormat="1" thickTop="1" thickBot="1" x14ac:dyDescent="0.25">
      <c r="A887" s="586" t="s">
        <v>565</v>
      </c>
      <c r="B887" s="658" t="s">
        <v>149</v>
      </c>
      <c r="C887" s="587" t="s">
        <v>150</v>
      </c>
      <c r="D887" s="589" t="s">
        <v>639</v>
      </c>
      <c r="E887" s="589" t="s">
        <v>151</v>
      </c>
      <c r="F887" s="589" t="s">
        <v>569</v>
      </c>
      <c r="G887" s="589" t="s">
        <v>570</v>
      </c>
      <c r="H887" s="589" t="s">
        <v>797</v>
      </c>
      <c r="I887" s="674" t="s">
        <v>798</v>
      </c>
    </row>
    <row r="888" spans="1:20" s="375" customFormat="1" ht="13.5" thickTop="1" thickBot="1" x14ac:dyDescent="0.25">
      <c r="A888" s="525">
        <v>1</v>
      </c>
      <c r="B888" s="526">
        <v>2</v>
      </c>
      <c r="C888" s="526">
        <v>3</v>
      </c>
      <c r="D888" s="526">
        <v>4</v>
      </c>
      <c r="E888" s="526">
        <v>5</v>
      </c>
      <c r="F888" s="512">
        <v>6</v>
      </c>
      <c r="G888" s="512">
        <v>7</v>
      </c>
      <c r="H888" s="513">
        <v>8</v>
      </c>
      <c r="I888" s="591" t="s">
        <v>689</v>
      </c>
    </row>
    <row r="889" spans="1:20" ht="15.75" thickTop="1" x14ac:dyDescent="0.25">
      <c r="A889" s="420">
        <v>1126</v>
      </c>
      <c r="B889" s="617">
        <v>3122</v>
      </c>
      <c r="C889" s="617">
        <v>5336</v>
      </c>
      <c r="D889" s="1974"/>
      <c r="E889" s="616" t="s">
        <v>1740</v>
      </c>
      <c r="F889" s="683"/>
      <c r="G889" s="705">
        <f>G890</f>
        <v>9647</v>
      </c>
      <c r="H889" s="705">
        <f>H890</f>
        <v>9647</v>
      </c>
      <c r="I889" s="707">
        <f t="shared" ref="I889:I905" si="120">(H889/G889)*100</f>
        <v>100</v>
      </c>
    </row>
    <row r="890" spans="1:20" ht="17.25" customHeight="1" x14ac:dyDescent="0.2">
      <c r="A890" s="420"/>
      <c r="B890" s="651"/>
      <c r="C890" s="651"/>
      <c r="D890" s="518" t="s">
        <v>1807</v>
      </c>
      <c r="E890" s="442" t="s">
        <v>716</v>
      </c>
      <c r="F890" s="689"/>
      <c r="G890" s="689">
        <v>9647</v>
      </c>
      <c r="H890" s="689">
        <v>9647</v>
      </c>
      <c r="I890" s="679">
        <f t="shared" si="120"/>
        <v>100</v>
      </c>
    </row>
    <row r="891" spans="1:20" ht="15" x14ac:dyDescent="0.25">
      <c r="A891" s="420">
        <v>1126</v>
      </c>
      <c r="B891" s="651">
        <v>3123</v>
      </c>
      <c r="C891" s="651">
        <v>5336</v>
      </c>
      <c r="D891" s="1972"/>
      <c r="E891" s="616" t="s">
        <v>1740</v>
      </c>
      <c r="F891" s="689"/>
      <c r="G891" s="700">
        <f>G892</f>
        <v>9152</v>
      </c>
      <c r="H891" s="700">
        <f>H892</f>
        <v>9152</v>
      </c>
      <c r="I891" s="693">
        <f t="shared" si="120"/>
        <v>100</v>
      </c>
    </row>
    <row r="892" spans="1:20" ht="15.75" customHeight="1" x14ac:dyDescent="0.2">
      <c r="A892" s="420"/>
      <c r="B892" s="651"/>
      <c r="C892" s="651"/>
      <c r="D892" s="518" t="s">
        <v>1807</v>
      </c>
      <c r="E892" s="442" t="s">
        <v>716</v>
      </c>
      <c r="F892" s="689"/>
      <c r="G892" s="689">
        <v>9152</v>
      </c>
      <c r="H892" s="689">
        <v>9152</v>
      </c>
      <c r="I892" s="684">
        <f t="shared" si="120"/>
        <v>100</v>
      </c>
    </row>
    <row r="893" spans="1:20" ht="15.75" customHeight="1" x14ac:dyDescent="0.25">
      <c r="A893" s="420">
        <v>1126</v>
      </c>
      <c r="B893" s="651">
        <v>3127</v>
      </c>
      <c r="C893" s="651">
        <v>5331</v>
      </c>
      <c r="D893" s="527"/>
      <c r="E893" s="616" t="s">
        <v>858</v>
      </c>
      <c r="F893" s="700">
        <f>F894+F895+F896</f>
        <v>4386</v>
      </c>
      <c r="G893" s="700">
        <f t="shared" ref="G893:H893" si="121">G894+G895+G896</f>
        <v>957</v>
      </c>
      <c r="H893" s="700">
        <f t="shared" si="121"/>
        <v>957</v>
      </c>
      <c r="I893" s="693">
        <f t="shared" si="120"/>
        <v>100</v>
      </c>
    </row>
    <row r="894" spans="1:20" ht="15.75" customHeight="1" x14ac:dyDescent="0.2">
      <c r="A894" s="420"/>
      <c r="B894" s="651"/>
      <c r="C894" s="651"/>
      <c r="D894" s="663" t="s">
        <v>1811</v>
      </c>
      <c r="E894" s="1162" t="s">
        <v>717</v>
      </c>
      <c r="F894" s="692">
        <v>75</v>
      </c>
      <c r="G894" s="692">
        <v>12</v>
      </c>
      <c r="H894" s="692">
        <v>12</v>
      </c>
      <c r="I894" s="368">
        <f t="shared" si="120"/>
        <v>100</v>
      </c>
    </row>
    <row r="895" spans="1:20" ht="15.75" customHeight="1" x14ac:dyDescent="0.2">
      <c r="A895" s="420"/>
      <c r="B895" s="651"/>
      <c r="C895" s="651"/>
      <c r="D895" s="518" t="s">
        <v>1812</v>
      </c>
      <c r="E895" s="442" t="s">
        <v>63</v>
      </c>
      <c r="F895" s="689">
        <v>4311</v>
      </c>
      <c r="G895" s="689">
        <v>918</v>
      </c>
      <c r="H895" s="689">
        <v>918</v>
      </c>
      <c r="I895" s="684">
        <f t="shared" ref="I895:I896" si="122">(H895/G895)*100</f>
        <v>100</v>
      </c>
    </row>
    <row r="896" spans="1:20" ht="15.75" customHeight="1" x14ac:dyDescent="0.2">
      <c r="A896" s="420"/>
      <c r="B896" s="651"/>
      <c r="C896" s="651"/>
      <c r="D896" s="518" t="s">
        <v>1837</v>
      </c>
      <c r="E896" s="721" t="s">
        <v>1644</v>
      </c>
      <c r="F896" s="689"/>
      <c r="G896" s="689">
        <v>27</v>
      </c>
      <c r="H896" s="689">
        <v>27</v>
      </c>
      <c r="I896" s="684">
        <f t="shared" si="122"/>
        <v>100</v>
      </c>
    </row>
    <row r="897" spans="1:20" ht="15" x14ac:dyDescent="0.25">
      <c r="A897" s="420">
        <v>1126</v>
      </c>
      <c r="B897" s="651">
        <v>3127</v>
      </c>
      <c r="C897" s="651">
        <v>5336</v>
      </c>
      <c r="D897" s="1972"/>
      <c r="E897" s="616" t="s">
        <v>1740</v>
      </c>
      <c r="F897" s="690"/>
      <c r="G897" s="690">
        <f>G898+G899+G900+G901+G902</f>
        <v>1769</v>
      </c>
      <c r="H897" s="690">
        <f>H898+H899+H900+H901+H902</f>
        <v>1769</v>
      </c>
      <c r="I897" s="691">
        <f t="shared" si="120"/>
        <v>100</v>
      </c>
    </row>
    <row r="898" spans="1:20" ht="43.5" x14ac:dyDescent="0.25">
      <c r="A898" s="420"/>
      <c r="B898" s="651"/>
      <c r="C898" s="651"/>
      <c r="D898" s="2044" t="s">
        <v>1844</v>
      </c>
      <c r="E898" s="2886" t="s">
        <v>1287</v>
      </c>
      <c r="F898" s="690"/>
      <c r="G898" s="1224">
        <v>92</v>
      </c>
      <c r="H898" s="1224">
        <v>92</v>
      </c>
      <c r="I898" s="1234">
        <f t="shared" si="120"/>
        <v>100</v>
      </c>
      <c r="J898" s="1165"/>
      <c r="K898" s="1165"/>
      <c r="L898" s="1165"/>
      <c r="M898" s="1165"/>
      <c r="N898" s="1165"/>
      <c r="O898" s="1165"/>
      <c r="P898" s="1165"/>
    </row>
    <row r="899" spans="1:20" ht="15" x14ac:dyDescent="0.25">
      <c r="A899" s="420"/>
      <c r="B899" s="651"/>
      <c r="C899" s="651"/>
      <c r="D899" s="887" t="s">
        <v>1827</v>
      </c>
      <c r="E899" s="1676" t="s">
        <v>1407</v>
      </c>
      <c r="F899" s="690"/>
      <c r="G899" s="692">
        <v>11</v>
      </c>
      <c r="H899" s="692">
        <v>11</v>
      </c>
      <c r="I899" s="368">
        <f t="shared" si="120"/>
        <v>100</v>
      </c>
    </row>
    <row r="900" spans="1:20" ht="15" x14ac:dyDescent="0.25">
      <c r="A900" s="420"/>
      <c r="B900" s="651"/>
      <c r="C900" s="651"/>
      <c r="D900" s="518" t="s">
        <v>1818</v>
      </c>
      <c r="E900" s="442" t="s">
        <v>1600</v>
      </c>
      <c r="F900" s="690"/>
      <c r="G900" s="692">
        <v>965</v>
      </c>
      <c r="H900" s="692">
        <v>965</v>
      </c>
      <c r="I900" s="368">
        <f t="shared" si="120"/>
        <v>100</v>
      </c>
    </row>
    <row r="901" spans="1:20" ht="15" x14ac:dyDescent="0.25">
      <c r="A901" s="420"/>
      <c r="B901" s="651"/>
      <c r="C901" s="651"/>
      <c r="D901" s="887" t="s">
        <v>1808</v>
      </c>
      <c r="E901" s="1676" t="s">
        <v>1739</v>
      </c>
      <c r="F901" s="690"/>
      <c r="G901" s="692">
        <v>605</v>
      </c>
      <c r="H901" s="692">
        <v>605</v>
      </c>
      <c r="I901" s="368">
        <f t="shared" si="120"/>
        <v>100</v>
      </c>
    </row>
    <row r="902" spans="1:20" ht="28.5" x14ac:dyDescent="0.25">
      <c r="A902" s="420"/>
      <c r="B902" s="651"/>
      <c r="C902" s="651"/>
      <c r="D902" s="887" t="s">
        <v>1809</v>
      </c>
      <c r="E902" s="2867" t="s">
        <v>1810</v>
      </c>
      <c r="F902" s="690"/>
      <c r="G902" s="1224">
        <v>96</v>
      </c>
      <c r="H902" s="1224">
        <v>96</v>
      </c>
      <c r="I902" s="1234">
        <f t="shared" si="120"/>
        <v>100</v>
      </c>
    </row>
    <row r="903" spans="1:20" ht="15" x14ac:dyDescent="0.25">
      <c r="A903" s="420">
        <v>1126</v>
      </c>
      <c r="B903" s="651">
        <v>3293</v>
      </c>
      <c r="C903" s="651">
        <v>5336</v>
      </c>
      <c r="D903" s="2866"/>
      <c r="E903" s="616" t="s">
        <v>1740</v>
      </c>
      <c r="F903" s="690"/>
      <c r="G903" s="690">
        <f>G904</f>
        <v>2</v>
      </c>
      <c r="H903" s="690">
        <f>H904</f>
        <v>2</v>
      </c>
      <c r="I903" s="691">
        <f t="shared" si="120"/>
        <v>100</v>
      </c>
    </row>
    <row r="904" spans="1:20" ht="15" thickBot="1" x14ac:dyDescent="0.25">
      <c r="A904" s="420"/>
      <c r="B904" s="651"/>
      <c r="C904" s="1128"/>
      <c r="D904" s="1087" t="s">
        <v>1819</v>
      </c>
      <c r="E904" s="443" t="s">
        <v>1406</v>
      </c>
      <c r="F904" s="689"/>
      <c r="G904" s="689">
        <v>2</v>
      </c>
      <c r="H904" s="689">
        <v>2</v>
      </c>
      <c r="I904" s="1234">
        <f t="shared" si="120"/>
        <v>100</v>
      </c>
    </row>
    <row r="905" spans="1:20" ht="16.5" thickTop="1" thickBot="1" x14ac:dyDescent="0.3">
      <c r="A905" s="3110" t="s">
        <v>1000</v>
      </c>
      <c r="B905" s="3111"/>
      <c r="C905" s="3111"/>
      <c r="D905" s="3111"/>
      <c r="E905" s="3111"/>
      <c r="F905" s="680">
        <f>F897+F891+F889+F893</f>
        <v>4386</v>
      </c>
      <c r="G905" s="680">
        <f>G897+G891+G889+G893+G903</f>
        <v>21527</v>
      </c>
      <c r="H905" s="680">
        <f>H897+H891+H889+H893+H903</f>
        <v>21527</v>
      </c>
      <c r="I905" s="681">
        <f t="shared" si="120"/>
        <v>100</v>
      </c>
      <c r="R905" s="374">
        <f>F905</f>
        <v>4386</v>
      </c>
      <c r="S905" s="374">
        <f>G905</f>
        <v>21527</v>
      </c>
      <c r="T905" s="374">
        <f>H905</f>
        <v>21527</v>
      </c>
    </row>
    <row r="906" spans="1:20" ht="15.75" thickTop="1" x14ac:dyDescent="0.25">
      <c r="A906" s="361"/>
      <c r="B906" s="361"/>
      <c r="C906" s="361"/>
      <c r="D906" s="361"/>
      <c r="E906" s="361"/>
      <c r="F906" s="178"/>
      <c r="G906" s="178"/>
      <c r="H906" s="178"/>
      <c r="I906" s="207"/>
      <c r="R906" s="374"/>
      <c r="S906" s="374"/>
      <c r="T906" s="374"/>
    </row>
    <row r="907" spans="1:20" ht="15" x14ac:dyDescent="0.25">
      <c r="A907" s="361"/>
      <c r="B907" s="361"/>
      <c r="C907" s="361"/>
      <c r="D907" s="361"/>
      <c r="E907" s="361"/>
      <c r="F907" s="178"/>
      <c r="G907" s="178"/>
      <c r="H907" s="178"/>
      <c r="I907" s="207"/>
      <c r="R907" s="374"/>
      <c r="S907" s="374"/>
      <c r="T907" s="374"/>
    </row>
    <row r="908" spans="1:20" ht="15" x14ac:dyDescent="0.25">
      <c r="A908" s="361"/>
      <c r="B908" s="361"/>
      <c r="C908" s="361"/>
      <c r="D908" s="361"/>
      <c r="E908" s="361"/>
      <c r="F908" s="178"/>
      <c r="G908" s="178"/>
      <c r="H908" s="178"/>
      <c r="I908" s="207"/>
      <c r="R908" s="374"/>
      <c r="S908" s="374"/>
      <c r="T908" s="374"/>
    </row>
    <row r="909" spans="1:20" ht="13.5" thickBot="1" x14ac:dyDescent="0.25">
      <c r="A909" s="421" t="s">
        <v>236</v>
      </c>
      <c r="I909" s="1125" t="s">
        <v>148</v>
      </c>
    </row>
    <row r="910" spans="1:20" s="106" customFormat="1" thickTop="1" thickBot="1" x14ac:dyDescent="0.25">
      <c r="A910" s="586" t="s">
        <v>565</v>
      </c>
      <c r="B910" s="658" t="s">
        <v>149</v>
      </c>
      <c r="C910" s="587" t="s">
        <v>150</v>
      </c>
      <c r="D910" s="589" t="s">
        <v>639</v>
      </c>
      <c r="E910" s="589" t="s">
        <v>151</v>
      </c>
      <c r="F910" s="589" t="s">
        <v>569</v>
      </c>
      <c r="G910" s="589" t="s">
        <v>570</v>
      </c>
      <c r="H910" s="589" t="s">
        <v>797</v>
      </c>
      <c r="I910" s="674" t="s">
        <v>798</v>
      </c>
    </row>
    <row r="911" spans="1:20" s="375" customFormat="1" ht="13.5" thickTop="1" thickBot="1" x14ac:dyDescent="0.25">
      <c r="A911" s="525">
        <v>1</v>
      </c>
      <c r="B911" s="526">
        <v>2</v>
      </c>
      <c r="C911" s="526">
        <v>3</v>
      </c>
      <c r="D911" s="526">
        <v>4</v>
      </c>
      <c r="E911" s="526">
        <v>5</v>
      </c>
      <c r="F911" s="512">
        <v>6</v>
      </c>
      <c r="G911" s="512">
        <v>7</v>
      </c>
      <c r="H911" s="513">
        <v>8</v>
      </c>
      <c r="I911" s="591" t="s">
        <v>689</v>
      </c>
    </row>
    <row r="912" spans="1:20" ht="15.75" thickTop="1" x14ac:dyDescent="0.25">
      <c r="A912" s="420">
        <v>1127</v>
      </c>
      <c r="B912" s="651">
        <v>3122</v>
      </c>
      <c r="C912" s="651">
        <v>5336</v>
      </c>
      <c r="D912" s="1972"/>
      <c r="E912" s="616" t="s">
        <v>1740</v>
      </c>
      <c r="F912" s="689"/>
      <c r="G912" s="700">
        <f>G913+G914+G915</f>
        <v>11874</v>
      </c>
      <c r="H912" s="700">
        <f>H913+H914+H915</f>
        <v>11874</v>
      </c>
      <c r="I912" s="707">
        <v>100</v>
      </c>
    </row>
    <row r="913" spans="1:9" ht="14.25" x14ac:dyDescent="0.2">
      <c r="A913" s="420"/>
      <c r="B913" s="651"/>
      <c r="C913" s="1128"/>
      <c r="D913" s="518" t="s">
        <v>1807</v>
      </c>
      <c r="E913" s="442" t="s">
        <v>716</v>
      </c>
      <c r="F913" s="689"/>
      <c r="G913" s="689">
        <v>6540</v>
      </c>
      <c r="H913" s="689">
        <v>6540</v>
      </c>
      <c r="I913" s="684">
        <f>(H913/G913)*100</f>
        <v>100</v>
      </c>
    </row>
    <row r="914" spans="1:9" s="375" customFormat="1" ht="14.25" x14ac:dyDescent="0.2">
      <c r="A914" s="420"/>
      <c r="B914" s="617"/>
      <c r="C914" s="617"/>
      <c r="D914" s="1138" t="s">
        <v>1849</v>
      </c>
      <c r="E914" s="1139" t="s">
        <v>1087</v>
      </c>
      <c r="F914" s="689"/>
      <c r="G914" s="689">
        <v>800</v>
      </c>
      <c r="H914" s="689">
        <v>800</v>
      </c>
      <c r="I914" s="684">
        <f>(H914/G914)*100</f>
        <v>100</v>
      </c>
    </row>
    <row r="915" spans="1:9" s="375" customFormat="1" ht="14.25" x14ac:dyDescent="0.2">
      <c r="A915" s="719"/>
      <c r="B915" s="720"/>
      <c r="C915" s="720"/>
      <c r="D915" s="1138" t="s">
        <v>1850</v>
      </c>
      <c r="E915" s="1139" t="s">
        <v>1087</v>
      </c>
      <c r="F915" s="689"/>
      <c r="G915" s="689">
        <v>4534</v>
      </c>
      <c r="H915" s="689">
        <v>4534</v>
      </c>
      <c r="I915" s="684">
        <f>(H915/G915)*100</f>
        <v>100</v>
      </c>
    </row>
    <row r="916" spans="1:9" ht="15" x14ac:dyDescent="0.25">
      <c r="A916" s="420">
        <v>1127</v>
      </c>
      <c r="B916" s="651">
        <v>3123</v>
      </c>
      <c r="C916" s="1128">
        <v>5336</v>
      </c>
      <c r="D916" s="888"/>
      <c r="E916" s="616" t="s">
        <v>1740</v>
      </c>
      <c r="F916" s="689"/>
      <c r="G916" s="700">
        <f>G917</f>
        <v>17376</v>
      </c>
      <c r="H916" s="700">
        <f>H917</f>
        <v>17376</v>
      </c>
      <c r="I916" s="693">
        <f t="shared" ref="I916:I933" si="123">(H916/G916)*100</f>
        <v>100</v>
      </c>
    </row>
    <row r="917" spans="1:9" ht="14.25" x14ac:dyDescent="0.2">
      <c r="A917" s="420"/>
      <c r="B917" s="651"/>
      <c r="C917" s="1128"/>
      <c r="D917" s="518" t="s">
        <v>1807</v>
      </c>
      <c r="E917" s="442" t="s">
        <v>716</v>
      </c>
      <c r="F917" s="689"/>
      <c r="G917" s="689">
        <v>17376</v>
      </c>
      <c r="H917" s="689">
        <v>17376</v>
      </c>
      <c r="I917" s="684">
        <f t="shared" si="123"/>
        <v>100</v>
      </c>
    </row>
    <row r="918" spans="1:9" ht="15" x14ac:dyDescent="0.25">
      <c r="A918" s="420">
        <v>1127</v>
      </c>
      <c r="B918" s="651">
        <v>3124</v>
      </c>
      <c r="C918" s="1128">
        <v>5336</v>
      </c>
      <c r="D918" s="518"/>
      <c r="E918" s="616" t="s">
        <v>1740</v>
      </c>
      <c r="F918" s="689"/>
      <c r="G918" s="700">
        <f>G919</f>
        <v>2277</v>
      </c>
      <c r="H918" s="700">
        <f>H919</f>
        <v>2277</v>
      </c>
      <c r="I918" s="693">
        <f t="shared" si="123"/>
        <v>100</v>
      </c>
    </row>
    <row r="919" spans="1:9" ht="14.25" x14ac:dyDescent="0.2">
      <c r="A919" s="420"/>
      <c r="B919" s="651"/>
      <c r="C919" s="1128"/>
      <c r="D919" s="518" t="s">
        <v>1807</v>
      </c>
      <c r="E919" s="442" t="s">
        <v>716</v>
      </c>
      <c r="F919" s="689"/>
      <c r="G919" s="689">
        <v>2277</v>
      </c>
      <c r="H919" s="689">
        <v>2277</v>
      </c>
      <c r="I919" s="684">
        <f t="shared" si="123"/>
        <v>100</v>
      </c>
    </row>
    <row r="920" spans="1:9" ht="15" x14ac:dyDescent="0.25">
      <c r="A920" s="420">
        <v>1127</v>
      </c>
      <c r="B920" s="651">
        <v>3127</v>
      </c>
      <c r="C920" s="651">
        <v>5331</v>
      </c>
      <c r="D920" s="712"/>
      <c r="E920" s="616" t="s">
        <v>858</v>
      </c>
      <c r="F920" s="700">
        <f>F921+F922+F923+F925</f>
        <v>9293</v>
      </c>
      <c r="G920" s="700">
        <f>G921+G922+G923</f>
        <v>1548</v>
      </c>
      <c r="H920" s="700">
        <f>H921+H922+H923</f>
        <v>1548</v>
      </c>
      <c r="I920" s="693">
        <f t="shared" si="123"/>
        <v>100</v>
      </c>
    </row>
    <row r="921" spans="1:9" ht="14.25" x14ac:dyDescent="0.2">
      <c r="A921" s="420"/>
      <c r="B921" s="651"/>
      <c r="C921" s="651"/>
      <c r="D921" s="663" t="s">
        <v>1811</v>
      </c>
      <c r="E921" s="1162" t="s">
        <v>717</v>
      </c>
      <c r="F921" s="689">
        <v>1560</v>
      </c>
      <c r="G921" s="689">
        <v>260</v>
      </c>
      <c r="H921" s="689">
        <v>260</v>
      </c>
      <c r="I921" s="684">
        <f t="shared" si="123"/>
        <v>100</v>
      </c>
    </row>
    <row r="922" spans="1:9" ht="14.25" x14ac:dyDescent="0.2">
      <c r="A922" s="420"/>
      <c r="B922" s="651"/>
      <c r="C922" s="651"/>
      <c r="D922" s="518" t="s">
        <v>1812</v>
      </c>
      <c r="E922" s="442" t="s">
        <v>63</v>
      </c>
      <c r="F922" s="689">
        <v>7668</v>
      </c>
      <c r="G922" s="689">
        <v>1278</v>
      </c>
      <c r="H922" s="689">
        <v>1278</v>
      </c>
      <c r="I922" s="684">
        <f t="shared" si="123"/>
        <v>100</v>
      </c>
    </row>
    <row r="923" spans="1:9" ht="14.25" x14ac:dyDescent="0.2">
      <c r="A923" s="420"/>
      <c r="B923" s="651"/>
      <c r="C923" s="651"/>
      <c r="D923" s="518" t="s">
        <v>1817</v>
      </c>
      <c r="E923" s="442" t="s">
        <v>1312</v>
      </c>
      <c r="F923" s="689">
        <v>65</v>
      </c>
      <c r="G923" s="689">
        <v>10</v>
      </c>
      <c r="H923" s="689">
        <v>10</v>
      </c>
      <c r="I923" s="684">
        <f t="shared" si="123"/>
        <v>100</v>
      </c>
    </row>
    <row r="924" spans="1:9" ht="15" x14ac:dyDescent="0.25">
      <c r="A924" s="420">
        <v>1127</v>
      </c>
      <c r="B924" s="651">
        <v>3127</v>
      </c>
      <c r="C924" s="1128">
        <v>5336</v>
      </c>
      <c r="D924" s="518"/>
      <c r="E924" s="616" t="s">
        <v>1740</v>
      </c>
      <c r="F924" s="689"/>
      <c r="G924" s="700">
        <f>G925+G926+G927+G928+G929</f>
        <v>2606</v>
      </c>
      <c r="H924" s="700">
        <f>H925+H926+H927+H928+H929</f>
        <v>2606</v>
      </c>
      <c r="I924" s="693">
        <f t="shared" si="123"/>
        <v>100</v>
      </c>
    </row>
    <row r="925" spans="1:9" ht="14.25" x14ac:dyDescent="0.2">
      <c r="A925" s="420"/>
      <c r="B925" s="651"/>
      <c r="C925" s="1128"/>
      <c r="D925" s="518" t="s">
        <v>1818</v>
      </c>
      <c r="E925" s="442" t="s">
        <v>1600</v>
      </c>
      <c r="F925" s="689"/>
      <c r="G925" s="689">
        <v>429</v>
      </c>
      <c r="H925" s="689">
        <v>429</v>
      </c>
      <c r="I925" s="684">
        <f t="shared" si="123"/>
        <v>100</v>
      </c>
    </row>
    <row r="926" spans="1:9" ht="14.25" x14ac:dyDescent="0.2">
      <c r="A926" s="420"/>
      <c r="B926" s="651"/>
      <c r="C926" s="1128"/>
      <c r="D926" s="887" t="s">
        <v>1808</v>
      </c>
      <c r="E926" s="1676" t="s">
        <v>1739</v>
      </c>
      <c r="F926" s="689"/>
      <c r="G926" s="689">
        <v>895</v>
      </c>
      <c r="H926" s="689">
        <v>895</v>
      </c>
      <c r="I926" s="684">
        <f t="shared" si="123"/>
        <v>100</v>
      </c>
    </row>
    <row r="927" spans="1:9" ht="28.5" x14ac:dyDescent="0.2">
      <c r="A927" s="420"/>
      <c r="B927" s="651"/>
      <c r="C927" s="1128"/>
      <c r="D927" s="887" t="s">
        <v>1809</v>
      </c>
      <c r="E927" s="2869" t="s">
        <v>1810</v>
      </c>
      <c r="F927" s="689"/>
      <c r="G927" s="1062">
        <v>160</v>
      </c>
      <c r="H927" s="1062">
        <v>160</v>
      </c>
      <c r="I927" s="1066">
        <f t="shared" si="123"/>
        <v>100</v>
      </c>
    </row>
    <row r="928" spans="1:9" ht="14.25" x14ac:dyDescent="0.2">
      <c r="A928" s="420"/>
      <c r="B928" s="651"/>
      <c r="C928" s="1128"/>
      <c r="D928" s="518" t="s">
        <v>1813</v>
      </c>
      <c r="E928" s="1162" t="s">
        <v>1815</v>
      </c>
      <c r="F928" s="689"/>
      <c r="G928" s="689">
        <v>168</v>
      </c>
      <c r="H928" s="689">
        <v>168</v>
      </c>
      <c r="I928" s="684">
        <f t="shared" si="123"/>
        <v>100</v>
      </c>
    </row>
    <row r="929" spans="1:20" ht="14.25" x14ac:dyDescent="0.2">
      <c r="A929" s="420"/>
      <c r="B929" s="651"/>
      <c r="C929" s="1128"/>
      <c r="D929" s="518" t="s">
        <v>1814</v>
      </c>
      <c r="E929" s="1162" t="s">
        <v>1815</v>
      </c>
      <c r="F929" s="689"/>
      <c r="G929" s="689">
        <v>954</v>
      </c>
      <c r="H929" s="689">
        <v>954</v>
      </c>
      <c r="I929" s="684">
        <f t="shared" si="123"/>
        <v>100</v>
      </c>
    </row>
    <row r="930" spans="1:20" ht="15" x14ac:dyDescent="0.25">
      <c r="A930" s="420">
        <v>1127</v>
      </c>
      <c r="B930" s="651">
        <v>3141</v>
      </c>
      <c r="C930" s="1128">
        <v>5336</v>
      </c>
      <c r="D930" s="527"/>
      <c r="E930" s="616" t="s">
        <v>1740</v>
      </c>
      <c r="F930" s="700"/>
      <c r="G930" s="700">
        <f>G931</f>
        <v>2174</v>
      </c>
      <c r="H930" s="700">
        <f>H931</f>
        <v>2174</v>
      </c>
      <c r="I930" s="691">
        <f t="shared" si="123"/>
        <v>100</v>
      </c>
    </row>
    <row r="931" spans="1:20" ht="14.25" x14ac:dyDescent="0.2">
      <c r="A931" s="420"/>
      <c r="B931" s="651"/>
      <c r="C931" s="1128"/>
      <c r="D931" s="518" t="s">
        <v>1807</v>
      </c>
      <c r="E931" s="442" t="s">
        <v>716</v>
      </c>
      <c r="F931" s="689"/>
      <c r="G931" s="689">
        <v>2174</v>
      </c>
      <c r="H931" s="689">
        <v>2174</v>
      </c>
      <c r="I931" s="684">
        <f t="shared" si="123"/>
        <v>100</v>
      </c>
    </row>
    <row r="932" spans="1:20" ht="15" x14ac:dyDescent="0.25">
      <c r="A932" s="1192">
        <v>1127</v>
      </c>
      <c r="B932" s="651">
        <v>3147</v>
      </c>
      <c r="C932" s="651">
        <v>5336</v>
      </c>
      <c r="D932" s="527"/>
      <c r="E932" s="616" t="s">
        <v>1740</v>
      </c>
      <c r="F932" s="689"/>
      <c r="G932" s="700">
        <f>G933</f>
        <v>3517</v>
      </c>
      <c r="H932" s="700">
        <f>H933</f>
        <v>3517</v>
      </c>
      <c r="I932" s="1193">
        <f t="shared" si="123"/>
        <v>100</v>
      </c>
    </row>
    <row r="933" spans="1:20" ht="14.25" customHeight="1" thickBot="1" x14ac:dyDescent="0.25">
      <c r="A933" s="1192"/>
      <c r="B933" s="651"/>
      <c r="C933" s="1128"/>
      <c r="D933" s="527" t="s">
        <v>1807</v>
      </c>
      <c r="E933" s="721" t="s">
        <v>716</v>
      </c>
      <c r="F933" s="689"/>
      <c r="G933" s="689">
        <v>3517</v>
      </c>
      <c r="H933" s="689">
        <v>3517</v>
      </c>
      <c r="I933" s="1191">
        <f t="shared" si="123"/>
        <v>100</v>
      </c>
    </row>
    <row r="934" spans="1:20" ht="16.5" thickTop="1" thickBot="1" x14ac:dyDescent="0.3">
      <c r="A934" s="3122" t="s">
        <v>1000</v>
      </c>
      <c r="B934" s="3111"/>
      <c r="C934" s="3111"/>
      <c r="D934" s="3111"/>
      <c r="E934" s="3111"/>
      <c r="F934" s="680">
        <f>F920</f>
        <v>9293</v>
      </c>
      <c r="G934" s="680">
        <f>G932+G930+G924+G920+G918+G916+G912</f>
        <v>41372</v>
      </c>
      <c r="H934" s="680">
        <f>H932+H930+H924+H920+H918+H916+H912</f>
        <v>41372</v>
      </c>
      <c r="I934" s="742">
        <f>(H934/G934)*100</f>
        <v>100</v>
      </c>
      <c r="R934" s="374">
        <f>F934</f>
        <v>9293</v>
      </c>
      <c r="S934" s="374">
        <f>G934</f>
        <v>41372</v>
      </c>
      <c r="T934" s="374">
        <f>H934</f>
        <v>41372</v>
      </c>
    </row>
    <row r="935" spans="1:20" ht="15.75" thickTop="1" x14ac:dyDescent="0.25">
      <c r="A935" s="361"/>
      <c r="B935" s="361"/>
      <c r="C935" s="361"/>
      <c r="D935" s="361"/>
      <c r="E935" s="361"/>
      <c r="F935" s="180"/>
      <c r="G935" s="180"/>
      <c r="H935" s="180"/>
      <c r="I935" s="211"/>
      <c r="R935" s="374"/>
      <c r="S935" s="374"/>
      <c r="T935" s="374"/>
    </row>
    <row r="936" spans="1:20" ht="13.5" thickBot="1" x14ac:dyDescent="0.25">
      <c r="A936" s="421" t="s">
        <v>1086</v>
      </c>
      <c r="I936" s="1125" t="s">
        <v>148</v>
      </c>
    </row>
    <row r="937" spans="1:20" s="106" customFormat="1" thickTop="1" thickBot="1" x14ac:dyDescent="0.25">
      <c r="A937" s="586" t="s">
        <v>565</v>
      </c>
      <c r="B937" s="658" t="s">
        <v>149</v>
      </c>
      <c r="C937" s="587" t="s">
        <v>150</v>
      </c>
      <c r="D937" s="589" t="s">
        <v>639</v>
      </c>
      <c r="E937" s="589" t="s">
        <v>151</v>
      </c>
      <c r="F937" s="589" t="s">
        <v>569</v>
      </c>
      <c r="G937" s="589" t="s">
        <v>570</v>
      </c>
      <c r="H937" s="589" t="s">
        <v>797</v>
      </c>
      <c r="I937" s="674" t="s">
        <v>798</v>
      </c>
    </row>
    <row r="938" spans="1:20" s="375" customFormat="1" ht="13.5" thickTop="1" thickBot="1" x14ac:dyDescent="0.25">
      <c r="A938" s="525">
        <v>1</v>
      </c>
      <c r="B938" s="526">
        <v>2</v>
      </c>
      <c r="C938" s="526">
        <v>3</v>
      </c>
      <c r="D938" s="526">
        <v>4</v>
      </c>
      <c r="E938" s="526">
        <v>5</v>
      </c>
      <c r="F938" s="512">
        <v>6</v>
      </c>
      <c r="G938" s="512">
        <v>7</v>
      </c>
      <c r="H938" s="513">
        <v>8</v>
      </c>
      <c r="I938" s="591" t="s">
        <v>689</v>
      </c>
    </row>
    <row r="939" spans="1:20" ht="15.75" thickTop="1" x14ac:dyDescent="0.25">
      <c r="A939" s="420">
        <v>1128</v>
      </c>
      <c r="B939" s="617">
        <v>3122</v>
      </c>
      <c r="C939" s="617">
        <v>5336</v>
      </c>
      <c r="D939" s="1972"/>
      <c r="E939" s="616" t="s">
        <v>1740</v>
      </c>
      <c r="F939" s="683"/>
      <c r="G939" s="705">
        <f>G940</f>
        <v>15310</v>
      </c>
      <c r="H939" s="705">
        <f>H940</f>
        <v>15310</v>
      </c>
      <c r="I939" s="707">
        <f t="shared" ref="I939:I958" si="124">(H939/G939)*100</f>
        <v>100</v>
      </c>
    </row>
    <row r="940" spans="1:20" ht="14.25" x14ac:dyDescent="0.2">
      <c r="A940" s="420"/>
      <c r="B940" s="617"/>
      <c r="C940" s="617"/>
      <c r="D940" s="518" t="s">
        <v>1807</v>
      </c>
      <c r="E940" s="442" t="s">
        <v>716</v>
      </c>
      <c r="F940" s="683"/>
      <c r="G940" s="683">
        <v>15310</v>
      </c>
      <c r="H940" s="683">
        <v>15310</v>
      </c>
      <c r="I940" s="679">
        <f t="shared" si="124"/>
        <v>100</v>
      </c>
    </row>
    <row r="941" spans="1:20" ht="15" x14ac:dyDescent="0.25">
      <c r="A941" s="420">
        <v>1128</v>
      </c>
      <c r="B941" s="651">
        <v>3123</v>
      </c>
      <c r="C941" s="651">
        <v>5336</v>
      </c>
      <c r="D941" s="1972"/>
      <c r="E941" s="616" t="s">
        <v>1740</v>
      </c>
      <c r="F941" s="689"/>
      <c r="G941" s="700">
        <f>G942</f>
        <v>13395</v>
      </c>
      <c r="H941" s="700">
        <f>H942</f>
        <v>13395</v>
      </c>
      <c r="I941" s="693">
        <f t="shared" si="124"/>
        <v>100</v>
      </c>
    </row>
    <row r="942" spans="1:20" ht="14.25" x14ac:dyDescent="0.2">
      <c r="A942" s="420"/>
      <c r="B942" s="651"/>
      <c r="C942" s="651"/>
      <c r="D942" s="518" t="s">
        <v>1807</v>
      </c>
      <c r="E942" s="442" t="s">
        <v>716</v>
      </c>
      <c r="F942" s="689"/>
      <c r="G942" s="689">
        <v>13395</v>
      </c>
      <c r="H942" s="689">
        <v>13395</v>
      </c>
      <c r="I942" s="684">
        <f t="shared" si="124"/>
        <v>100</v>
      </c>
    </row>
    <row r="943" spans="1:20" ht="15" x14ac:dyDescent="0.25">
      <c r="A943" s="420">
        <v>1128</v>
      </c>
      <c r="B943" s="651">
        <v>3127</v>
      </c>
      <c r="C943" s="651">
        <v>5331</v>
      </c>
      <c r="D943" s="712"/>
      <c r="E943" s="616" t="s">
        <v>858</v>
      </c>
      <c r="F943" s="700">
        <f>F944+F945+F946</f>
        <v>5244</v>
      </c>
      <c r="G943" s="700">
        <f t="shared" ref="G943:H943" si="125">G944+G945+G946</f>
        <v>1292</v>
      </c>
      <c r="H943" s="700">
        <f t="shared" si="125"/>
        <v>1292</v>
      </c>
      <c r="I943" s="693">
        <f t="shared" si="124"/>
        <v>100</v>
      </c>
    </row>
    <row r="944" spans="1:20" ht="14.25" x14ac:dyDescent="0.2">
      <c r="A944" s="420"/>
      <c r="B944" s="651"/>
      <c r="C944" s="651"/>
      <c r="D944" s="663" t="s">
        <v>1811</v>
      </c>
      <c r="E944" s="1162" t="s">
        <v>717</v>
      </c>
      <c r="F944" s="689">
        <v>1194</v>
      </c>
      <c r="G944" s="689">
        <v>196</v>
      </c>
      <c r="H944" s="689">
        <v>196</v>
      </c>
      <c r="I944" s="684">
        <f t="shared" si="124"/>
        <v>100</v>
      </c>
    </row>
    <row r="945" spans="1:20" ht="14.25" x14ac:dyDescent="0.2">
      <c r="A945" s="420"/>
      <c r="B945" s="651"/>
      <c r="C945" s="651"/>
      <c r="D945" s="518" t="s">
        <v>1812</v>
      </c>
      <c r="E945" s="442" t="s">
        <v>63</v>
      </c>
      <c r="F945" s="689">
        <v>4050</v>
      </c>
      <c r="G945" s="689">
        <v>1076</v>
      </c>
      <c r="H945" s="689">
        <v>1076</v>
      </c>
      <c r="I945" s="684">
        <f t="shared" si="124"/>
        <v>100</v>
      </c>
    </row>
    <row r="946" spans="1:20" ht="14.25" x14ac:dyDescent="0.2">
      <c r="A946" s="420"/>
      <c r="B946" s="651"/>
      <c r="C946" s="651"/>
      <c r="D946" s="518" t="s">
        <v>1837</v>
      </c>
      <c r="E946" s="721" t="s">
        <v>1644</v>
      </c>
      <c r="F946" s="689"/>
      <c r="G946" s="689">
        <v>20</v>
      </c>
      <c r="H946" s="689">
        <v>20</v>
      </c>
      <c r="I946" s="684">
        <f t="shared" si="124"/>
        <v>100</v>
      </c>
    </row>
    <row r="947" spans="1:20" ht="15" x14ac:dyDescent="0.25">
      <c r="A947" s="420">
        <v>1128</v>
      </c>
      <c r="B947" s="651">
        <v>3127</v>
      </c>
      <c r="C947" s="651">
        <v>5336</v>
      </c>
      <c r="D947" s="2868"/>
      <c r="E947" s="616" t="s">
        <v>1740</v>
      </c>
      <c r="F947" s="689"/>
      <c r="G947" s="700">
        <f>G948+G949+G950+G951+G953+G952</f>
        <v>2354</v>
      </c>
      <c r="H947" s="700">
        <f>H948+H949+H950+H951+H953+H952</f>
        <v>2354</v>
      </c>
      <c r="I947" s="693">
        <f t="shared" si="124"/>
        <v>100</v>
      </c>
    </row>
    <row r="948" spans="1:20" ht="14.25" x14ac:dyDescent="0.2">
      <c r="A948" s="420"/>
      <c r="B948" s="651"/>
      <c r="C948" s="651"/>
      <c r="D948" s="887" t="s">
        <v>1827</v>
      </c>
      <c r="E948" s="1676" t="s">
        <v>1407</v>
      </c>
      <c r="F948" s="689"/>
      <c r="G948" s="689">
        <v>27</v>
      </c>
      <c r="H948" s="689">
        <v>27</v>
      </c>
      <c r="I948" s="684">
        <f t="shared" si="124"/>
        <v>100</v>
      </c>
    </row>
    <row r="949" spans="1:20" ht="14.25" x14ac:dyDescent="0.2">
      <c r="A949" s="420"/>
      <c r="B949" s="651"/>
      <c r="C949" s="651"/>
      <c r="D949" s="518" t="s">
        <v>1818</v>
      </c>
      <c r="E949" s="442" t="s">
        <v>1600</v>
      </c>
      <c r="F949" s="689"/>
      <c r="G949" s="689">
        <v>925</v>
      </c>
      <c r="H949" s="689">
        <v>925</v>
      </c>
      <c r="I949" s="684">
        <f t="shared" si="124"/>
        <v>100</v>
      </c>
    </row>
    <row r="950" spans="1:20" ht="14.25" x14ac:dyDescent="0.2">
      <c r="A950" s="420"/>
      <c r="B950" s="651"/>
      <c r="C950" s="651"/>
      <c r="D950" s="887" t="s">
        <v>1808</v>
      </c>
      <c r="E950" s="1676" t="s">
        <v>1739</v>
      </c>
      <c r="F950" s="689"/>
      <c r="G950" s="689">
        <v>779</v>
      </c>
      <c r="H950" s="689">
        <v>779</v>
      </c>
      <c r="I950" s="684">
        <f t="shared" si="124"/>
        <v>100</v>
      </c>
    </row>
    <row r="951" spans="1:20" ht="28.5" x14ac:dyDescent="0.2">
      <c r="A951" s="420"/>
      <c r="B951" s="651"/>
      <c r="C951" s="651"/>
      <c r="D951" s="887" t="s">
        <v>1809</v>
      </c>
      <c r="E951" s="2869" t="s">
        <v>1810</v>
      </c>
      <c r="F951" s="689"/>
      <c r="G951" s="1062">
        <v>161</v>
      </c>
      <c r="H951" s="1062">
        <v>161</v>
      </c>
      <c r="I951" s="1066">
        <f t="shared" si="124"/>
        <v>100</v>
      </c>
    </row>
    <row r="952" spans="1:20" ht="14.25" x14ac:dyDescent="0.2">
      <c r="A952" s="420"/>
      <c r="B952" s="651"/>
      <c r="C952" s="651"/>
      <c r="D952" s="518" t="s">
        <v>1813</v>
      </c>
      <c r="E952" s="1162" t="s">
        <v>1815</v>
      </c>
      <c r="F952" s="689"/>
      <c r="G952" s="689">
        <v>69</v>
      </c>
      <c r="H952" s="689">
        <v>69</v>
      </c>
      <c r="I952" s="684">
        <f t="shared" si="124"/>
        <v>100</v>
      </c>
    </row>
    <row r="953" spans="1:20" ht="14.25" x14ac:dyDescent="0.2">
      <c r="A953" s="420"/>
      <c r="B953" s="651"/>
      <c r="C953" s="651"/>
      <c r="D953" s="518" t="s">
        <v>1814</v>
      </c>
      <c r="E953" s="1162" t="s">
        <v>1815</v>
      </c>
      <c r="F953" s="689"/>
      <c r="G953" s="689">
        <v>393</v>
      </c>
      <c r="H953" s="689">
        <v>393</v>
      </c>
      <c r="I953" s="684">
        <f t="shared" si="124"/>
        <v>100</v>
      </c>
    </row>
    <row r="954" spans="1:20" ht="15" x14ac:dyDescent="0.25">
      <c r="A954" s="420">
        <v>1128</v>
      </c>
      <c r="B954" s="651">
        <v>3147</v>
      </c>
      <c r="C954" s="651">
        <v>5336</v>
      </c>
      <c r="D954" s="518"/>
      <c r="E954" s="616" t="s">
        <v>1740</v>
      </c>
      <c r="F954" s="689"/>
      <c r="G954" s="700">
        <f>G955</f>
        <v>3750</v>
      </c>
      <c r="H954" s="700">
        <f>H955</f>
        <v>3750</v>
      </c>
      <c r="I954" s="693">
        <f t="shared" si="124"/>
        <v>100</v>
      </c>
    </row>
    <row r="955" spans="1:20" ht="14.25" x14ac:dyDescent="0.2">
      <c r="A955" s="420"/>
      <c r="B955" s="651"/>
      <c r="C955" s="1128"/>
      <c r="D955" s="518" t="s">
        <v>1807</v>
      </c>
      <c r="E955" s="442" t="s">
        <v>716</v>
      </c>
      <c r="F955" s="689"/>
      <c r="G955" s="689">
        <v>3750</v>
      </c>
      <c r="H955" s="689">
        <v>3750</v>
      </c>
      <c r="I955" s="684">
        <f t="shared" si="124"/>
        <v>100</v>
      </c>
    </row>
    <row r="956" spans="1:20" ht="15" x14ac:dyDescent="0.25">
      <c r="A956" s="420">
        <v>1128</v>
      </c>
      <c r="B956" s="651">
        <v>3293</v>
      </c>
      <c r="C956" s="651">
        <v>5336</v>
      </c>
      <c r="D956" s="518"/>
      <c r="E956" s="616" t="s">
        <v>1740</v>
      </c>
      <c r="F956" s="689"/>
      <c r="G956" s="700">
        <f>G957</f>
        <v>9</v>
      </c>
      <c r="H956" s="700">
        <f>H957</f>
        <v>9</v>
      </c>
      <c r="I956" s="693">
        <f t="shared" si="124"/>
        <v>100</v>
      </c>
    </row>
    <row r="957" spans="1:20" ht="15" thickBot="1" x14ac:dyDescent="0.25">
      <c r="A957" s="420"/>
      <c r="B957" s="651"/>
      <c r="C957" s="1128"/>
      <c r="D957" s="1087" t="s">
        <v>1819</v>
      </c>
      <c r="E957" s="1059" t="s">
        <v>1406</v>
      </c>
      <c r="F957" s="689"/>
      <c r="G957" s="689">
        <v>9</v>
      </c>
      <c r="H957" s="689">
        <v>9</v>
      </c>
      <c r="I957" s="684">
        <f t="shared" si="124"/>
        <v>100</v>
      </c>
    </row>
    <row r="958" spans="1:20" ht="16.5" thickTop="1" thickBot="1" x14ac:dyDescent="0.3">
      <c r="A958" s="3110" t="s">
        <v>1000</v>
      </c>
      <c r="B958" s="3111"/>
      <c r="C958" s="3111"/>
      <c r="D958" s="3111"/>
      <c r="E958" s="3111"/>
      <c r="F958" s="680">
        <f>F943</f>
        <v>5244</v>
      </c>
      <c r="G958" s="680">
        <f>G956+G954+G947+G943+G941+G939</f>
        <v>36110</v>
      </c>
      <c r="H958" s="680">
        <f>H956+H954+H947+H943+H941+H939</f>
        <v>36110</v>
      </c>
      <c r="I958" s="681">
        <f t="shared" si="124"/>
        <v>100</v>
      </c>
      <c r="R958" s="374">
        <f>F958</f>
        <v>5244</v>
      </c>
      <c r="S958" s="374">
        <f>G958</f>
        <v>36110</v>
      </c>
      <c r="T958" s="374">
        <f>H958</f>
        <v>36110</v>
      </c>
    </row>
    <row r="959" spans="1:20" ht="13.5" thickTop="1" x14ac:dyDescent="0.2"/>
    <row r="961" spans="1:10" ht="13.5" thickBot="1" x14ac:dyDescent="0.25">
      <c r="A961" s="1764" t="s">
        <v>370</v>
      </c>
      <c r="B961" s="2939"/>
      <c r="C961" s="1728"/>
      <c r="D961" s="1832"/>
      <c r="E961" s="1728"/>
      <c r="F961" s="1733"/>
      <c r="G961" s="1733"/>
      <c r="H961" s="1733"/>
      <c r="I961" s="2940" t="s">
        <v>148</v>
      </c>
    </row>
    <row r="962" spans="1:10" s="106" customFormat="1" thickTop="1" thickBot="1" x14ac:dyDescent="0.25">
      <c r="A962" s="2941" t="s">
        <v>565</v>
      </c>
      <c r="B962" s="2942" t="s">
        <v>149</v>
      </c>
      <c r="C962" s="2943" t="s">
        <v>150</v>
      </c>
      <c r="D962" s="2944" t="s">
        <v>639</v>
      </c>
      <c r="E962" s="2944" t="s">
        <v>151</v>
      </c>
      <c r="F962" s="2944" t="s">
        <v>569</v>
      </c>
      <c r="G962" s="2944" t="s">
        <v>570</v>
      </c>
      <c r="H962" s="2944" t="s">
        <v>797</v>
      </c>
      <c r="I962" s="2945" t="s">
        <v>798</v>
      </c>
    </row>
    <row r="963" spans="1:10" s="375" customFormat="1" ht="13.5" thickTop="1" thickBot="1" x14ac:dyDescent="0.25">
      <c r="A963" s="1783">
        <v>1</v>
      </c>
      <c r="B963" s="2947">
        <v>2</v>
      </c>
      <c r="C963" s="2947">
        <v>3</v>
      </c>
      <c r="D963" s="2947">
        <v>4</v>
      </c>
      <c r="E963" s="2947">
        <v>5</v>
      </c>
      <c r="F963" s="2948">
        <v>6</v>
      </c>
      <c r="G963" s="2948">
        <v>7</v>
      </c>
      <c r="H963" s="2949">
        <v>8</v>
      </c>
      <c r="I963" s="2950" t="s">
        <v>689</v>
      </c>
    </row>
    <row r="964" spans="1:10" ht="15.75" thickTop="1" x14ac:dyDescent="0.25">
      <c r="A964" s="2988">
        <v>1129</v>
      </c>
      <c r="B964" s="2989">
        <v>3122</v>
      </c>
      <c r="C964" s="2989">
        <v>5331</v>
      </c>
      <c r="D964" s="2990"/>
      <c r="E964" s="2991" t="s">
        <v>858</v>
      </c>
      <c r="F964" s="2992">
        <f>F965+F966+F967</f>
        <v>2451</v>
      </c>
      <c r="G964" s="2992">
        <f t="shared" ref="G964:H964" si="126">G965+G966+G967</f>
        <v>462</v>
      </c>
      <c r="H964" s="2992">
        <f t="shared" si="126"/>
        <v>462</v>
      </c>
      <c r="I964" s="2993">
        <f t="shared" ref="I964:I977" si="127">(H964/G964)*100</f>
        <v>100</v>
      </c>
    </row>
    <row r="965" spans="1:10" ht="14.25" x14ac:dyDescent="0.2">
      <c r="A965" s="1747"/>
      <c r="B965" s="2957"/>
      <c r="C965" s="2957"/>
      <c r="D965" s="2965" t="s">
        <v>1811</v>
      </c>
      <c r="E965" s="2966" t="s">
        <v>717</v>
      </c>
      <c r="F965" s="2960">
        <v>171</v>
      </c>
      <c r="G965" s="2960">
        <v>28</v>
      </c>
      <c r="H965" s="2960">
        <v>28</v>
      </c>
      <c r="I965" s="2961">
        <f t="shared" si="127"/>
        <v>100</v>
      </c>
    </row>
    <row r="966" spans="1:10" ht="14.25" x14ac:dyDescent="0.2">
      <c r="A966" s="1747"/>
      <c r="B966" s="2957"/>
      <c r="C966" s="2957"/>
      <c r="D966" s="2953" t="s">
        <v>1812</v>
      </c>
      <c r="E966" s="2958" t="s">
        <v>63</v>
      </c>
      <c r="F966" s="2960">
        <v>2280</v>
      </c>
      <c r="G966" s="2960">
        <v>380</v>
      </c>
      <c r="H966" s="2960">
        <v>380</v>
      </c>
      <c r="I966" s="2961">
        <f t="shared" si="127"/>
        <v>100</v>
      </c>
      <c r="J966" s="373" t="s">
        <v>346</v>
      </c>
    </row>
    <row r="967" spans="1:10" ht="14.25" x14ac:dyDescent="0.2">
      <c r="A967" s="1747"/>
      <c r="B967" s="2957"/>
      <c r="C967" s="2957"/>
      <c r="D967" s="2953" t="s">
        <v>1837</v>
      </c>
      <c r="E967" s="2994" t="s">
        <v>1644</v>
      </c>
      <c r="F967" s="2960"/>
      <c r="G967" s="2972">
        <v>54</v>
      </c>
      <c r="H967" s="2972">
        <v>54</v>
      </c>
      <c r="I967" s="2961">
        <f t="shared" si="127"/>
        <v>100</v>
      </c>
    </row>
    <row r="968" spans="1:10" ht="15" x14ac:dyDescent="0.25">
      <c r="A968" s="1747">
        <v>1129</v>
      </c>
      <c r="B968" s="2957">
        <v>3122</v>
      </c>
      <c r="C968" s="2957">
        <v>5336</v>
      </c>
      <c r="D968" s="2995"/>
      <c r="E968" s="2954" t="s">
        <v>1740</v>
      </c>
      <c r="F968" s="2960"/>
      <c r="G968" s="2968">
        <f>G969+G971+G973+G972+G974+G975+G970</f>
        <v>10804</v>
      </c>
      <c r="H968" s="2968">
        <f>H969+H971+H973+H972+H974+H975+H970</f>
        <v>10804</v>
      </c>
      <c r="I968" s="2956">
        <f t="shared" si="127"/>
        <v>100</v>
      </c>
    </row>
    <row r="969" spans="1:10" ht="14.25" x14ac:dyDescent="0.2">
      <c r="A969" s="1747"/>
      <c r="B969" s="2957"/>
      <c r="C969" s="2957"/>
      <c r="D969" s="2975" t="s">
        <v>1827</v>
      </c>
      <c r="E969" s="2996" t="s">
        <v>1407</v>
      </c>
      <c r="F969" s="2997"/>
      <c r="G969" s="2998">
        <v>18</v>
      </c>
      <c r="H969" s="2998">
        <v>18</v>
      </c>
      <c r="I969" s="2999">
        <f t="shared" si="127"/>
        <v>100</v>
      </c>
    </row>
    <row r="970" spans="1:10" ht="14.25" x14ac:dyDescent="0.2">
      <c r="A970" s="1747"/>
      <c r="B970" s="2957"/>
      <c r="C970" s="2957"/>
      <c r="D970" s="2953" t="s">
        <v>1818</v>
      </c>
      <c r="E970" s="2958" t="s">
        <v>1600</v>
      </c>
      <c r="F970" s="2998"/>
      <c r="G970" s="3000">
        <v>165</v>
      </c>
      <c r="H970" s="3000">
        <v>165</v>
      </c>
      <c r="I970" s="2999">
        <f t="shared" si="127"/>
        <v>100</v>
      </c>
    </row>
    <row r="971" spans="1:10" ht="15" x14ac:dyDescent="0.2">
      <c r="A971" s="1747"/>
      <c r="B971" s="2957"/>
      <c r="C971" s="2957"/>
      <c r="D971" s="2975" t="s">
        <v>1808</v>
      </c>
      <c r="E971" s="2976" t="s">
        <v>1739</v>
      </c>
      <c r="F971" s="3001"/>
      <c r="G971" s="3002">
        <v>362</v>
      </c>
      <c r="H971" s="3002">
        <v>362</v>
      </c>
      <c r="I971" s="1888">
        <f t="shared" ref="I971:I972" si="128">(H971/G971)*100</f>
        <v>100</v>
      </c>
    </row>
    <row r="972" spans="1:10" ht="28.5" x14ac:dyDescent="0.2">
      <c r="A972" s="1747"/>
      <c r="B972" s="2957"/>
      <c r="C972" s="2957"/>
      <c r="D972" s="2975" t="s">
        <v>1809</v>
      </c>
      <c r="E972" s="2978" t="s">
        <v>1810</v>
      </c>
      <c r="F972" s="3001"/>
      <c r="G972" s="3003">
        <v>47</v>
      </c>
      <c r="H972" s="3003">
        <v>47</v>
      </c>
      <c r="I972" s="2980">
        <f t="shared" si="128"/>
        <v>100</v>
      </c>
    </row>
    <row r="973" spans="1:10" ht="14.25" x14ac:dyDescent="0.2">
      <c r="A973" s="1747"/>
      <c r="B973" s="2957"/>
      <c r="C973" s="2957"/>
      <c r="D973" s="2953" t="s">
        <v>1807</v>
      </c>
      <c r="E973" s="2958" t="s">
        <v>716</v>
      </c>
      <c r="F973" s="2960"/>
      <c r="G973" s="2972">
        <v>9254</v>
      </c>
      <c r="H973" s="2960">
        <v>9254</v>
      </c>
      <c r="I973" s="2961">
        <f t="shared" si="127"/>
        <v>100</v>
      </c>
    </row>
    <row r="974" spans="1:10" ht="14.25" x14ac:dyDescent="0.2">
      <c r="A974" s="1747"/>
      <c r="B974" s="2952"/>
      <c r="C974" s="2952"/>
      <c r="D974" s="2953" t="s">
        <v>1813</v>
      </c>
      <c r="E974" s="2966" t="s">
        <v>1815</v>
      </c>
      <c r="F974" s="2972"/>
      <c r="G974" s="2972">
        <v>144</v>
      </c>
      <c r="H974" s="2972">
        <v>144</v>
      </c>
      <c r="I974" s="2961">
        <f t="shared" si="127"/>
        <v>100</v>
      </c>
    </row>
    <row r="975" spans="1:10" ht="14.25" x14ac:dyDescent="0.2">
      <c r="A975" s="1747"/>
      <c r="B975" s="2952"/>
      <c r="C975" s="2952"/>
      <c r="D975" s="2953" t="s">
        <v>1814</v>
      </c>
      <c r="E975" s="2966" t="s">
        <v>1815</v>
      </c>
      <c r="F975" s="2972"/>
      <c r="G975" s="2972">
        <v>814</v>
      </c>
      <c r="H975" s="2972">
        <v>814</v>
      </c>
      <c r="I975" s="2961">
        <f t="shared" si="127"/>
        <v>100</v>
      </c>
    </row>
    <row r="976" spans="1:10" ht="15" x14ac:dyDescent="0.25">
      <c r="A976" s="1747">
        <v>1129</v>
      </c>
      <c r="B976" s="2952">
        <v>3141</v>
      </c>
      <c r="C976" s="2952">
        <v>5336</v>
      </c>
      <c r="D976" s="2981"/>
      <c r="E976" s="2954" t="s">
        <v>1740</v>
      </c>
      <c r="F976" s="2971"/>
      <c r="G976" s="2971">
        <f>G977</f>
        <v>81</v>
      </c>
      <c r="H976" s="2971">
        <f>H977</f>
        <v>81</v>
      </c>
      <c r="I976" s="2982">
        <f t="shared" si="127"/>
        <v>100</v>
      </c>
    </row>
    <row r="977" spans="1:20" ht="15" thickBot="1" x14ac:dyDescent="0.25">
      <c r="A977" s="1747"/>
      <c r="B977" s="2952"/>
      <c r="C977" s="2970"/>
      <c r="D977" s="2953" t="s">
        <v>1807</v>
      </c>
      <c r="E977" s="2958" t="s">
        <v>716</v>
      </c>
      <c r="F977" s="2972"/>
      <c r="G977" s="2972">
        <v>81</v>
      </c>
      <c r="H977" s="2972">
        <v>81</v>
      </c>
      <c r="I977" s="2973">
        <f t="shared" si="127"/>
        <v>100</v>
      </c>
    </row>
    <row r="978" spans="1:20" ht="16.5" thickTop="1" thickBot="1" x14ac:dyDescent="0.3">
      <c r="A978" s="3123" t="s">
        <v>1000</v>
      </c>
      <c r="B978" s="3124"/>
      <c r="C978" s="3124"/>
      <c r="D978" s="3124"/>
      <c r="E978" s="3124"/>
      <c r="F978" s="3004">
        <f>F964</f>
        <v>2451</v>
      </c>
      <c r="G978" s="3004">
        <f>G964+G968+G976</f>
        <v>11347</v>
      </c>
      <c r="H978" s="3004">
        <f>H964+H968+H976</f>
        <v>11347</v>
      </c>
      <c r="I978" s="3005">
        <f>(H978/G978)*100</f>
        <v>100</v>
      </c>
      <c r="R978" s="374">
        <f>F978</f>
        <v>2451</v>
      </c>
      <c r="S978" s="374">
        <f>G978</f>
        <v>11347</v>
      </c>
      <c r="T978" s="374">
        <f>H978</f>
        <v>11347</v>
      </c>
    </row>
    <row r="979" spans="1:20" ht="13.5" thickTop="1" x14ac:dyDescent="0.2"/>
    <row r="983" spans="1:20" ht="13.5" thickBot="1" x14ac:dyDescent="0.25">
      <c r="A983" s="421" t="s">
        <v>432</v>
      </c>
      <c r="I983" s="1125" t="s">
        <v>148</v>
      </c>
    </row>
    <row r="984" spans="1:20" s="106" customFormat="1" thickTop="1" thickBot="1" x14ac:dyDescent="0.25">
      <c r="A984" s="586" t="s">
        <v>565</v>
      </c>
      <c r="B984" s="658" t="s">
        <v>149</v>
      </c>
      <c r="C984" s="587" t="s">
        <v>150</v>
      </c>
      <c r="D984" s="589" t="s">
        <v>639</v>
      </c>
      <c r="E984" s="589" t="s">
        <v>151</v>
      </c>
      <c r="F984" s="589" t="s">
        <v>569</v>
      </c>
      <c r="G984" s="589" t="s">
        <v>570</v>
      </c>
      <c r="H984" s="589" t="s">
        <v>797</v>
      </c>
      <c r="I984" s="674" t="s">
        <v>798</v>
      </c>
    </row>
    <row r="985" spans="1:20" s="375" customFormat="1" ht="13.5" thickTop="1" thickBot="1" x14ac:dyDescent="0.25">
      <c r="A985" s="525">
        <v>1</v>
      </c>
      <c r="B985" s="526">
        <v>2</v>
      </c>
      <c r="C985" s="526">
        <v>3</v>
      </c>
      <c r="D985" s="526">
        <v>4</v>
      </c>
      <c r="E985" s="526">
        <v>5</v>
      </c>
      <c r="F985" s="512">
        <v>6</v>
      </c>
      <c r="G985" s="512">
        <v>7</v>
      </c>
      <c r="H985" s="513">
        <v>8</v>
      </c>
      <c r="I985" s="591" t="s">
        <v>689</v>
      </c>
    </row>
    <row r="986" spans="1:20" ht="15.75" thickTop="1" x14ac:dyDescent="0.25">
      <c r="A986" s="1126">
        <v>1130</v>
      </c>
      <c r="B986" s="659">
        <v>3122</v>
      </c>
      <c r="C986" s="659">
        <v>5331</v>
      </c>
      <c r="D986" s="694"/>
      <c r="E986" s="713" t="s">
        <v>858</v>
      </c>
      <c r="F986" s="714">
        <f>F987+F988</f>
        <v>2906</v>
      </c>
      <c r="G986" s="714">
        <f>G987+G988+G989</f>
        <v>507</v>
      </c>
      <c r="H986" s="714">
        <f>H987+H988+H989</f>
        <v>507</v>
      </c>
      <c r="I986" s="682">
        <f t="shared" ref="I986:I997" si="129">(H986/G986)*100</f>
        <v>100</v>
      </c>
    </row>
    <row r="987" spans="1:20" ht="14.25" x14ac:dyDescent="0.2">
      <c r="A987" s="420"/>
      <c r="B987" s="617"/>
      <c r="C987" s="617"/>
      <c r="D987" s="636" t="s">
        <v>1811</v>
      </c>
      <c r="E987" s="1162" t="s">
        <v>717</v>
      </c>
      <c r="F987" s="683">
        <v>896</v>
      </c>
      <c r="G987" s="683">
        <v>148</v>
      </c>
      <c r="H987" s="683">
        <v>148</v>
      </c>
      <c r="I987" s="679">
        <f t="shared" si="129"/>
        <v>100</v>
      </c>
    </row>
    <row r="988" spans="1:20" ht="14.25" x14ac:dyDescent="0.2">
      <c r="A988" s="420"/>
      <c r="B988" s="617"/>
      <c r="C988" s="617"/>
      <c r="D988" s="518" t="s">
        <v>1812</v>
      </c>
      <c r="E988" s="442" t="s">
        <v>63</v>
      </c>
      <c r="F988" s="683">
        <v>2010</v>
      </c>
      <c r="G988" s="683">
        <v>336</v>
      </c>
      <c r="H988" s="683">
        <v>336</v>
      </c>
      <c r="I988" s="679">
        <f t="shared" si="129"/>
        <v>100</v>
      </c>
    </row>
    <row r="989" spans="1:20" ht="14.25" x14ac:dyDescent="0.2">
      <c r="A989" s="420"/>
      <c r="B989" s="617"/>
      <c r="C989" s="617"/>
      <c r="D989" s="518" t="s">
        <v>1837</v>
      </c>
      <c r="E989" s="721" t="s">
        <v>1644</v>
      </c>
      <c r="F989" s="683"/>
      <c r="G989" s="683">
        <v>23</v>
      </c>
      <c r="H989" s="683">
        <v>23</v>
      </c>
      <c r="I989" s="679">
        <f t="shared" si="129"/>
        <v>100</v>
      </c>
    </row>
    <row r="990" spans="1:20" ht="15" x14ac:dyDescent="0.25">
      <c r="A990" s="420">
        <v>1130</v>
      </c>
      <c r="B990" s="617">
        <v>3122</v>
      </c>
      <c r="C990" s="617">
        <v>5336</v>
      </c>
      <c r="D990" s="1972"/>
      <c r="E990" s="616" t="s">
        <v>1740</v>
      </c>
      <c r="F990" s="683"/>
      <c r="G990" s="676">
        <f>G991+G992+G993+G994+G995</f>
        <v>16484</v>
      </c>
      <c r="H990" s="676">
        <f>H991+H992+H993+H994+H995</f>
        <v>16484</v>
      </c>
      <c r="I990" s="677">
        <f t="shared" si="129"/>
        <v>100</v>
      </c>
      <c r="J990" s="421"/>
      <c r="K990" s="421"/>
      <c r="L990" s="421"/>
      <c r="M990" s="421"/>
      <c r="N990" s="421"/>
      <c r="O990" s="421"/>
      <c r="P990" s="421"/>
    </row>
    <row r="991" spans="1:20" ht="14.25" x14ac:dyDescent="0.2">
      <c r="A991" s="420"/>
      <c r="B991" s="617"/>
      <c r="C991" s="617"/>
      <c r="D991" s="887" t="s">
        <v>1827</v>
      </c>
      <c r="E991" s="1365" t="s">
        <v>1407</v>
      </c>
      <c r="F991" s="683"/>
      <c r="G991" s="692">
        <v>36</v>
      </c>
      <c r="H991" s="692">
        <v>36</v>
      </c>
      <c r="I991" s="679">
        <f t="shared" si="129"/>
        <v>100</v>
      </c>
      <c r="J991" s="421"/>
      <c r="K991" s="421"/>
      <c r="L991" s="421"/>
      <c r="M991" s="421"/>
      <c r="N991" s="421"/>
      <c r="O991" s="421"/>
      <c r="P991" s="421"/>
    </row>
    <row r="992" spans="1:20" ht="14.25" x14ac:dyDescent="0.2">
      <c r="A992" s="420"/>
      <c r="B992" s="617"/>
      <c r="C992" s="617"/>
      <c r="D992" s="518" t="s">
        <v>1818</v>
      </c>
      <c r="E992" s="442" t="s">
        <v>1600</v>
      </c>
      <c r="F992" s="683"/>
      <c r="G992" s="692">
        <v>122</v>
      </c>
      <c r="H992" s="692">
        <v>122</v>
      </c>
      <c r="I992" s="679">
        <f t="shared" si="129"/>
        <v>100</v>
      </c>
      <c r="J992" s="421"/>
      <c r="K992" s="421"/>
      <c r="L992" s="421"/>
      <c r="M992" s="421"/>
      <c r="N992" s="421"/>
      <c r="O992" s="421"/>
      <c r="P992" s="421"/>
    </row>
    <row r="993" spans="1:20" ht="15" x14ac:dyDescent="0.2">
      <c r="A993" s="420"/>
      <c r="B993" s="617"/>
      <c r="C993" s="617"/>
      <c r="D993" s="887" t="s">
        <v>1808</v>
      </c>
      <c r="E993" s="1676" t="s">
        <v>1739</v>
      </c>
      <c r="F993" s="1964"/>
      <c r="G993" s="1965">
        <v>554</v>
      </c>
      <c r="H993" s="1965">
        <v>554</v>
      </c>
      <c r="I993" s="368">
        <f t="shared" ref="I993:I994" si="130">(H993/G993)*100</f>
        <v>100</v>
      </c>
      <c r="J993" s="421"/>
      <c r="K993" s="421"/>
      <c r="L993" s="421"/>
      <c r="M993" s="421"/>
      <c r="N993" s="421"/>
      <c r="O993" s="421"/>
      <c r="P993" s="421"/>
    </row>
    <row r="994" spans="1:20" ht="28.5" x14ac:dyDescent="0.2">
      <c r="A994" s="420"/>
      <c r="B994" s="617"/>
      <c r="C994" s="617"/>
      <c r="D994" s="887" t="s">
        <v>1809</v>
      </c>
      <c r="E994" s="2869" t="s">
        <v>1810</v>
      </c>
      <c r="F994" s="1964"/>
      <c r="G994" s="2031">
        <v>79</v>
      </c>
      <c r="H994" s="2031">
        <v>79</v>
      </c>
      <c r="I994" s="1234">
        <f t="shared" si="130"/>
        <v>100</v>
      </c>
      <c r="J994" s="421"/>
      <c r="K994" s="421"/>
      <c r="L994" s="421"/>
      <c r="M994" s="421"/>
      <c r="N994" s="421"/>
      <c r="O994" s="421"/>
      <c r="P994" s="421"/>
    </row>
    <row r="995" spans="1:20" ht="14.25" x14ac:dyDescent="0.2">
      <c r="A995" s="420"/>
      <c r="B995" s="617"/>
      <c r="C995" s="1127"/>
      <c r="D995" s="518" t="s">
        <v>1807</v>
      </c>
      <c r="E995" s="442" t="s">
        <v>716</v>
      </c>
      <c r="F995" s="683"/>
      <c r="G995" s="683">
        <v>15693</v>
      </c>
      <c r="H995" s="683">
        <v>15693</v>
      </c>
      <c r="I995" s="679">
        <f t="shared" si="129"/>
        <v>100</v>
      </c>
    </row>
    <row r="996" spans="1:20" ht="15" x14ac:dyDescent="0.25">
      <c r="A996" s="420">
        <v>1130</v>
      </c>
      <c r="B996" s="651">
        <v>3792</v>
      </c>
      <c r="C996" s="651">
        <v>5331</v>
      </c>
      <c r="D996" s="712"/>
      <c r="E996" s="616" t="s">
        <v>858</v>
      </c>
      <c r="F996" s="690"/>
      <c r="G996" s="690">
        <f>G997</f>
        <v>7</v>
      </c>
      <c r="H996" s="690">
        <f>H997</f>
        <v>7</v>
      </c>
      <c r="I996" s="691">
        <f t="shared" si="129"/>
        <v>100</v>
      </c>
    </row>
    <row r="997" spans="1:20" ht="29.25" thickBot="1" x14ac:dyDescent="0.25">
      <c r="A997" s="420"/>
      <c r="B997" s="651"/>
      <c r="C997" s="651"/>
      <c r="D997" s="649" t="s">
        <v>1824</v>
      </c>
      <c r="E997" s="2870" t="s">
        <v>1640</v>
      </c>
      <c r="F997" s="689"/>
      <c r="G997" s="1062">
        <v>7</v>
      </c>
      <c r="H997" s="1062">
        <v>7</v>
      </c>
      <c r="I997" s="1066">
        <f t="shared" si="129"/>
        <v>100</v>
      </c>
    </row>
    <row r="998" spans="1:20" ht="16.5" thickTop="1" thickBot="1" x14ac:dyDescent="0.3">
      <c r="A998" s="3110" t="s">
        <v>1000</v>
      </c>
      <c r="B998" s="3111"/>
      <c r="C998" s="3111"/>
      <c r="D998" s="3111"/>
      <c r="E998" s="3111"/>
      <c r="F998" s="680">
        <f>SUM(F996,F986)</f>
        <v>2906</v>
      </c>
      <c r="G998" s="680">
        <f>G986+G990+G996</f>
        <v>16998</v>
      </c>
      <c r="H998" s="680">
        <f>H986+H990+H996</f>
        <v>16998</v>
      </c>
      <c r="I998" s="681">
        <f>(H998/G998)*100</f>
        <v>100</v>
      </c>
      <c r="R998" s="374">
        <f>F998</f>
        <v>2906</v>
      </c>
      <c r="S998" s="374">
        <f>G998</f>
        <v>16998</v>
      </c>
      <c r="T998" s="374">
        <f>H998</f>
        <v>16998</v>
      </c>
    </row>
    <row r="999" spans="1:20" ht="13.5" thickTop="1" x14ac:dyDescent="0.2"/>
    <row r="1000" spans="1:20" ht="13.5" thickBot="1" x14ac:dyDescent="0.25">
      <c r="A1000" s="421" t="s">
        <v>1084</v>
      </c>
      <c r="I1000" s="1125" t="s">
        <v>148</v>
      </c>
    </row>
    <row r="1001" spans="1:20" s="106" customFormat="1" thickTop="1" thickBot="1" x14ac:dyDescent="0.25">
      <c r="A1001" s="586" t="s">
        <v>565</v>
      </c>
      <c r="B1001" s="658" t="s">
        <v>149</v>
      </c>
      <c r="C1001" s="587" t="s">
        <v>150</v>
      </c>
      <c r="D1001" s="589" t="s">
        <v>639</v>
      </c>
      <c r="E1001" s="589" t="s">
        <v>151</v>
      </c>
      <c r="F1001" s="589" t="s">
        <v>569</v>
      </c>
      <c r="G1001" s="589" t="s">
        <v>570</v>
      </c>
      <c r="H1001" s="589" t="s">
        <v>797</v>
      </c>
      <c r="I1001" s="674" t="s">
        <v>798</v>
      </c>
    </row>
    <row r="1002" spans="1:20" s="375" customFormat="1" ht="13.5" thickTop="1" thickBot="1" x14ac:dyDescent="0.25">
      <c r="A1002" s="525">
        <v>1</v>
      </c>
      <c r="B1002" s="526">
        <v>2</v>
      </c>
      <c r="C1002" s="526">
        <v>3</v>
      </c>
      <c r="D1002" s="526">
        <v>4</v>
      </c>
      <c r="E1002" s="526">
        <v>5</v>
      </c>
      <c r="F1002" s="512">
        <v>6</v>
      </c>
      <c r="G1002" s="512">
        <v>7</v>
      </c>
      <c r="H1002" s="513">
        <v>8</v>
      </c>
      <c r="I1002" s="591" t="s">
        <v>689</v>
      </c>
    </row>
    <row r="1003" spans="1:20" ht="15.75" thickTop="1" x14ac:dyDescent="0.25">
      <c r="A1003" s="1126">
        <v>1131</v>
      </c>
      <c r="B1003" s="659">
        <v>3122</v>
      </c>
      <c r="C1003" s="659">
        <v>5336</v>
      </c>
      <c r="D1003" s="694"/>
      <c r="E1003" s="616" t="s">
        <v>1740</v>
      </c>
      <c r="F1003" s="714"/>
      <c r="G1003" s="714">
        <f>G1004+G1005+G1006</f>
        <v>7719</v>
      </c>
      <c r="H1003" s="714">
        <f>H1004+H1005+H1006</f>
        <v>7719</v>
      </c>
      <c r="I1003" s="682">
        <f t="shared" ref="I1003:I1023" si="131">(H1003/G1003)*100</f>
        <v>100</v>
      </c>
    </row>
    <row r="1004" spans="1:20" ht="14.25" x14ac:dyDescent="0.2">
      <c r="A1004" s="420"/>
      <c r="B1004" s="617"/>
      <c r="C1004" s="1127"/>
      <c r="D1004" s="518" t="s">
        <v>1807</v>
      </c>
      <c r="E1004" s="442" t="s">
        <v>716</v>
      </c>
      <c r="F1004" s="683"/>
      <c r="G1004" s="683">
        <v>7121</v>
      </c>
      <c r="H1004" s="683">
        <v>7121</v>
      </c>
      <c r="I1004" s="679">
        <f t="shared" si="131"/>
        <v>100</v>
      </c>
    </row>
    <row r="1005" spans="1:20" ht="14.25" x14ac:dyDescent="0.2">
      <c r="A1005" s="423"/>
      <c r="B1005" s="617"/>
      <c r="C1005" s="1128"/>
      <c r="D1005" s="518" t="s">
        <v>1813</v>
      </c>
      <c r="E1005" s="1162" t="s">
        <v>1815</v>
      </c>
      <c r="F1005" s="689"/>
      <c r="G1005" s="689">
        <v>90</v>
      </c>
      <c r="H1005" s="689">
        <v>90</v>
      </c>
      <c r="I1005" s="679">
        <f t="shared" si="131"/>
        <v>100</v>
      </c>
    </row>
    <row r="1006" spans="1:20" ht="14.25" x14ac:dyDescent="0.2">
      <c r="A1006" s="423"/>
      <c r="B1006" s="617"/>
      <c r="C1006" s="1128"/>
      <c r="D1006" s="518" t="s">
        <v>1814</v>
      </c>
      <c r="E1006" s="1162" t="s">
        <v>1815</v>
      </c>
      <c r="F1006" s="689"/>
      <c r="G1006" s="689">
        <v>508</v>
      </c>
      <c r="H1006" s="689">
        <v>508</v>
      </c>
      <c r="I1006" s="679">
        <f t="shared" si="131"/>
        <v>100</v>
      </c>
    </row>
    <row r="1007" spans="1:20" ht="15" x14ac:dyDescent="0.25">
      <c r="A1007" s="423">
        <v>1131</v>
      </c>
      <c r="B1007" s="617">
        <v>3123</v>
      </c>
      <c r="C1007" s="651">
        <v>5336</v>
      </c>
      <c r="D1007" s="1972"/>
      <c r="E1007" s="616" t="s">
        <v>1740</v>
      </c>
      <c r="F1007" s="689"/>
      <c r="G1007" s="700">
        <f>G1008</f>
        <v>16820</v>
      </c>
      <c r="H1007" s="700">
        <f>H1008</f>
        <v>16820</v>
      </c>
      <c r="I1007" s="693">
        <f t="shared" si="131"/>
        <v>100</v>
      </c>
    </row>
    <row r="1008" spans="1:20" ht="14.25" x14ac:dyDescent="0.2">
      <c r="A1008" s="420"/>
      <c r="B1008" s="651"/>
      <c r="C1008" s="1128"/>
      <c r="D1008" s="527" t="s">
        <v>1807</v>
      </c>
      <c r="E1008" s="721" t="s">
        <v>716</v>
      </c>
      <c r="F1008" s="689"/>
      <c r="G1008" s="689">
        <v>16820</v>
      </c>
      <c r="H1008" s="689">
        <v>16820</v>
      </c>
      <c r="I1008" s="684">
        <f t="shared" si="131"/>
        <v>100</v>
      </c>
    </row>
    <row r="1009" spans="1:23" ht="15" x14ac:dyDescent="0.25">
      <c r="A1009" s="420">
        <v>1131</v>
      </c>
      <c r="B1009" s="651">
        <v>3127</v>
      </c>
      <c r="C1009" s="651">
        <v>5331</v>
      </c>
      <c r="D1009" s="712"/>
      <c r="E1009" s="616" t="s">
        <v>858</v>
      </c>
      <c r="F1009" s="700">
        <f>F1010+F1011</f>
        <v>5462</v>
      </c>
      <c r="G1009" s="700">
        <f t="shared" ref="G1009:H1009" si="132">G1010+G1011</f>
        <v>910</v>
      </c>
      <c r="H1009" s="700">
        <f t="shared" si="132"/>
        <v>910</v>
      </c>
      <c r="I1009" s="693">
        <f t="shared" si="131"/>
        <v>100</v>
      </c>
    </row>
    <row r="1010" spans="1:23" ht="14.25" x14ac:dyDescent="0.2">
      <c r="A1010" s="420"/>
      <c r="B1010" s="651"/>
      <c r="C1010" s="1128"/>
      <c r="D1010" s="636" t="s">
        <v>1811</v>
      </c>
      <c r="E1010" s="1162" t="s">
        <v>717</v>
      </c>
      <c r="F1010" s="689">
        <v>912</v>
      </c>
      <c r="G1010" s="689">
        <v>152</v>
      </c>
      <c r="H1010" s="689">
        <v>152</v>
      </c>
      <c r="I1010" s="684">
        <f t="shared" si="131"/>
        <v>100</v>
      </c>
    </row>
    <row r="1011" spans="1:23" ht="14.25" x14ac:dyDescent="0.2">
      <c r="A1011" s="420"/>
      <c r="B1011" s="651"/>
      <c r="C1011" s="1128"/>
      <c r="D1011" s="518" t="s">
        <v>1812</v>
      </c>
      <c r="E1011" s="442" t="s">
        <v>63</v>
      </c>
      <c r="F1011" s="689">
        <v>4550</v>
      </c>
      <c r="G1011" s="689">
        <v>758</v>
      </c>
      <c r="H1011" s="689">
        <v>758</v>
      </c>
      <c r="I1011" s="684">
        <f t="shared" si="131"/>
        <v>100</v>
      </c>
    </row>
    <row r="1012" spans="1:23" ht="15" x14ac:dyDescent="0.25">
      <c r="A1012" s="420">
        <v>1131</v>
      </c>
      <c r="B1012" s="651">
        <v>3127</v>
      </c>
      <c r="C1012" s="651">
        <v>5336</v>
      </c>
      <c r="D1012" s="2871"/>
      <c r="E1012" s="616" t="s">
        <v>1740</v>
      </c>
      <c r="F1012" s="689"/>
      <c r="G1012" s="700">
        <f>G1013+G1014+G1015+G1016</f>
        <v>1862</v>
      </c>
      <c r="H1012" s="700">
        <f>H1013+H1014+H1015+H1016</f>
        <v>1862</v>
      </c>
      <c r="I1012" s="693">
        <f t="shared" si="131"/>
        <v>100</v>
      </c>
    </row>
    <row r="1013" spans="1:23" ht="14.25" x14ac:dyDescent="0.2">
      <c r="A1013" s="420"/>
      <c r="B1013" s="651"/>
      <c r="C1013" s="1128"/>
      <c r="D1013" s="887" t="s">
        <v>1808</v>
      </c>
      <c r="E1013" s="1676" t="s">
        <v>1739</v>
      </c>
      <c r="F1013" s="689"/>
      <c r="G1013" s="689">
        <v>740</v>
      </c>
      <c r="H1013" s="689">
        <v>740</v>
      </c>
      <c r="I1013" s="684">
        <f t="shared" si="131"/>
        <v>100</v>
      </c>
    </row>
    <row r="1014" spans="1:23" ht="28.5" x14ac:dyDescent="0.2">
      <c r="A1014" s="420"/>
      <c r="B1014" s="651"/>
      <c r="C1014" s="1128"/>
      <c r="D1014" s="887" t="s">
        <v>1809</v>
      </c>
      <c r="E1014" s="2872" t="s">
        <v>1810</v>
      </c>
      <c r="F1014" s="689"/>
      <c r="G1014" s="1062">
        <v>123</v>
      </c>
      <c r="H1014" s="1062">
        <v>123</v>
      </c>
      <c r="I1014" s="1066">
        <f t="shared" si="131"/>
        <v>100</v>
      </c>
    </row>
    <row r="1015" spans="1:23" ht="14.25" x14ac:dyDescent="0.2">
      <c r="A1015" s="420"/>
      <c r="B1015" s="651"/>
      <c r="C1015" s="1128"/>
      <c r="D1015" s="518" t="s">
        <v>1813</v>
      </c>
      <c r="E1015" s="1162" t="s">
        <v>1815</v>
      </c>
      <c r="F1015" s="689"/>
      <c r="G1015" s="1062">
        <v>150</v>
      </c>
      <c r="H1015" s="1062">
        <v>150</v>
      </c>
      <c r="I1015" s="684">
        <f t="shared" si="131"/>
        <v>100</v>
      </c>
    </row>
    <row r="1016" spans="1:23" ht="14.25" x14ac:dyDescent="0.2">
      <c r="A1016" s="420"/>
      <c r="B1016" s="651"/>
      <c r="C1016" s="1128"/>
      <c r="D1016" s="518" t="s">
        <v>1814</v>
      </c>
      <c r="E1016" s="1162" t="s">
        <v>1815</v>
      </c>
      <c r="F1016" s="689"/>
      <c r="G1016" s="689">
        <v>849</v>
      </c>
      <c r="H1016" s="689">
        <v>849</v>
      </c>
      <c r="I1016" s="684">
        <f t="shared" si="131"/>
        <v>100</v>
      </c>
    </row>
    <row r="1017" spans="1:23" ht="15" x14ac:dyDescent="0.25">
      <c r="A1017" s="420">
        <v>1131</v>
      </c>
      <c r="B1017" s="651">
        <v>3141</v>
      </c>
      <c r="C1017" s="651">
        <v>5336</v>
      </c>
      <c r="D1017" s="2871"/>
      <c r="E1017" s="616" t="s">
        <v>1740</v>
      </c>
      <c r="F1017" s="689"/>
      <c r="G1017" s="700">
        <f>G1018</f>
        <v>666</v>
      </c>
      <c r="H1017" s="700">
        <f>H1018</f>
        <v>666</v>
      </c>
      <c r="I1017" s="693">
        <f t="shared" si="131"/>
        <v>100</v>
      </c>
    </row>
    <row r="1018" spans="1:23" ht="14.25" x14ac:dyDescent="0.2">
      <c r="A1018" s="420"/>
      <c r="B1018" s="651"/>
      <c r="C1018" s="1128"/>
      <c r="D1018" s="527" t="s">
        <v>1807</v>
      </c>
      <c r="E1018" s="721" t="s">
        <v>716</v>
      </c>
      <c r="F1018" s="689"/>
      <c r="G1018" s="689">
        <v>666</v>
      </c>
      <c r="H1018" s="689">
        <v>666</v>
      </c>
      <c r="I1018" s="684">
        <f t="shared" si="131"/>
        <v>100</v>
      </c>
    </row>
    <row r="1019" spans="1:23" ht="15" x14ac:dyDescent="0.25">
      <c r="A1019" s="420">
        <v>1131</v>
      </c>
      <c r="B1019" s="651">
        <v>3293</v>
      </c>
      <c r="C1019" s="651">
        <v>5336</v>
      </c>
      <c r="D1019" s="2871"/>
      <c r="E1019" s="616" t="s">
        <v>1740</v>
      </c>
      <c r="F1019" s="689"/>
      <c r="G1019" s="700">
        <f>G1020</f>
        <v>2</v>
      </c>
      <c r="H1019" s="700">
        <f>H1020</f>
        <v>2</v>
      </c>
      <c r="I1019" s="693">
        <f t="shared" si="131"/>
        <v>100</v>
      </c>
    </row>
    <row r="1020" spans="1:23" ht="14.25" x14ac:dyDescent="0.2">
      <c r="A1020" s="420"/>
      <c r="B1020" s="651"/>
      <c r="C1020" s="1128"/>
      <c r="D1020" s="1087" t="s">
        <v>1819</v>
      </c>
      <c r="E1020" s="1059" t="s">
        <v>1406</v>
      </c>
      <c r="F1020" s="689"/>
      <c r="G1020" s="689">
        <v>2</v>
      </c>
      <c r="H1020" s="689">
        <v>2</v>
      </c>
      <c r="I1020" s="684">
        <f t="shared" si="131"/>
        <v>100</v>
      </c>
    </row>
    <row r="1021" spans="1:23" ht="15" x14ac:dyDescent="0.25">
      <c r="A1021" s="423">
        <v>1131</v>
      </c>
      <c r="B1021" s="617">
        <v>3792</v>
      </c>
      <c r="C1021" s="651">
        <v>5331</v>
      </c>
      <c r="D1021" s="712"/>
      <c r="E1021" s="616" t="s">
        <v>858</v>
      </c>
      <c r="F1021" s="690"/>
      <c r="G1021" s="690">
        <f>G1022</f>
        <v>11</v>
      </c>
      <c r="H1021" s="690">
        <f>H1022</f>
        <v>11</v>
      </c>
      <c r="I1021" s="691">
        <f t="shared" si="131"/>
        <v>100</v>
      </c>
    </row>
    <row r="1022" spans="1:23" ht="29.25" thickBot="1" x14ac:dyDescent="0.25">
      <c r="A1022" s="423"/>
      <c r="B1022" s="617"/>
      <c r="C1022" s="1128"/>
      <c r="D1022" s="649" t="s">
        <v>1824</v>
      </c>
      <c r="E1022" s="2873" t="s">
        <v>1640</v>
      </c>
      <c r="F1022" s="689"/>
      <c r="G1022" s="1062">
        <v>11</v>
      </c>
      <c r="H1022" s="1062">
        <v>11</v>
      </c>
      <c r="I1022" s="1066">
        <f t="shared" si="131"/>
        <v>100</v>
      </c>
    </row>
    <row r="1023" spans="1:23" ht="16.5" thickTop="1" thickBot="1" x14ac:dyDescent="0.3">
      <c r="A1023" s="3110" t="s">
        <v>1000</v>
      </c>
      <c r="B1023" s="3111"/>
      <c r="C1023" s="3111"/>
      <c r="D1023" s="3111"/>
      <c r="E1023" s="3111"/>
      <c r="F1023" s="680">
        <f>F1009</f>
        <v>5462</v>
      </c>
      <c r="G1023" s="680">
        <f>G1021+G1019+G1017+G1012+G1009+G1007+G1003</f>
        <v>27990</v>
      </c>
      <c r="H1023" s="680">
        <f>H1021+H1019+H1017+H1012+H1009+H1007+H1003</f>
        <v>27990</v>
      </c>
      <c r="I1023" s="681">
        <f t="shared" si="131"/>
        <v>100</v>
      </c>
      <c r="R1023" s="374">
        <f>F1023</f>
        <v>5462</v>
      </c>
      <c r="S1023" s="374">
        <f>G1023</f>
        <v>27990</v>
      </c>
      <c r="T1023" s="374">
        <f>H1023</f>
        <v>27990</v>
      </c>
    </row>
    <row r="1024" spans="1:23" ht="15.75" thickTop="1" x14ac:dyDescent="0.25">
      <c r="A1024" s="361"/>
      <c r="B1024" s="361"/>
      <c r="C1024" s="361"/>
      <c r="D1024" s="361"/>
      <c r="E1024" s="361"/>
      <c r="F1024" s="178"/>
      <c r="G1024" s="178"/>
      <c r="H1024" s="178"/>
      <c r="I1024" s="207"/>
      <c r="J1024" s="374"/>
      <c r="K1024" s="374"/>
      <c r="L1024" s="374"/>
      <c r="U1024" s="374"/>
      <c r="V1024" s="374"/>
      <c r="W1024" s="374"/>
    </row>
    <row r="1025" spans="1:9" ht="15.75" customHeight="1" thickBot="1" x14ac:dyDescent="0.25">
      <c r="A1025" s="421" t="s">
        <v>46</v>
      </c>
      <c r="I1025" s="1125" t="s">
        <v>148</v>
      </c>
    </row>
    <row r="1026" spans="1:9" s="106" customFormat="1" ht="15.75" customHeight="1" thickTop="1" thickBot="1" x14ac:dyDescent="0.25">
      <c r="A1026" s="586" t="s">
        <v>565</v>
      </c>
      <c r="B1026" s="658" t="s">
        <v>149</v>
      </c>
      <c r="C1026" s="587" t="s">
        <v>150</v>
      </c>
      <c r="D1026" s="589" t="s">
        <v>639</v>
      </c>
      <c r="E1026" s="589" t="s">
        <v>151</v>
      </c>
      <c r="F1026" s="589" t="s">
        <v>569</v>
      </c>
      <c r="G1026" s="589" t="s">
        <v>570</v>
      </c>
      <c r="H1026" s="589" t="s">
        <v>797</v>
      </c>
      <c r="I1026" s="674" t="s">
        <v>798</v>
      </c>
    </row>
    <row r="1027" spans="1:9" s="375" customFormat="1" ht="14.25" customHeight="1" thickTop="1" thickBot="1" x14ac:dyDescent="0.25">
      <c r="A1027" s="525">
        <v>1</v>
      </c>
      <c r="B1027" s="526">
        <v>2</v>
      </c>
      <c r="C1027" s="526">
        <v>3</v>
      </c>
      <c r="D1027" s="526">
        <v>4</v>
      </c>
      <c r="E1027" s="526">
        <v>5</v>
      </c>
      <c r="F1027" s="512">
        <v>6</v>
      </c>
      <c r="G1027" s="512">
        <v>7</v>
      </c>
      <c r="H1027" s="513">
        <v>8</v>
      </c>
      <c r="I1027" s="591" t="s">
        <v>689</v>
      </c>
    </row>
    <row r="1028" spans="1:9" ht="15.75" thickTop="1" x14ac:dyDescent="0.25">
      <c r="A1028" s="420">
        <v>1132</v>
      </c>
      <c r="B1028" s="651">
        <v>3122</v>
      </c>
      <c r="C1028" s="651">
        <v>5336</v>
      </c>
      <c r="D1028" s="1974"/>
      <c r="E1028" s="616" t="s">
        <v>1740</v>
      </c>
      <c r="F1028" s="689"/>
      <c r="G1028" s="700">
        <f>G1029+G1031+G1033</f>
        <v>16467</v>
      </c>
      <c r="H1028" s="700">
        <f>H1029+H1031+H1033</f>
        <v>16467</v>
      </c>
      <c r="I1028" s="707">
        <f t="shared" ref="I1028:I1043" si="133">(H1028/G1028)*100</f>
        <v>100</v>
      </c>
    </row>
    <row r="1029" spans="1:9" ht="14.25" customHeight="1" x14ac:dyDescent="0.2">
      <c r="A1029" s="420"/>
      <c r="B1029" s="651"/>
      <c r="C1029" s="651"/>
      <c r="D1029" s="518" t="s">
        <v>1842</v>
      </c>
      <c r="E1029" s="3115" t="s">
        <v>1747</v>
      </c>
      <c r="F1029" s="310"/>
      <c r="G1029" s="312">
        <v>137</v>
      </c>
      <c r="H1029" s="312">
        <v>137</v>
      </c>
      <c r="I1029" s="893">
        <f t="shared" si="133"/>
        <v>100</v>
      </c>
    </row>
    <row r="1030" spans="1:9" ht="15" x14ac:dyDescent="0.25">
      <c r="A1030" s="420"/>
      <c r="B1030" s="651"/>
      <c r="C1030" s="651"/>
      <c r="D1030" s="518"/>
      <c r="E1030" s="3116"/>
      <c r="F1030" s="310"/>
      <c r="G1030" s="311"/>
      <c r="H1030" s="311"/>
      <c r="I1030" s="892"/>
    </row>
    <row r="1031" spans="1:9" ht="14.25" customHeight="1" x14ac:dyDescent="0.2">
      <c r="A1031" s="420"/>
      <c r="B1031" s="651"/>
      <c r="C1031" s="651"/>
      <c r="D1031" s="518" t="s">
        <v>1843</v>
      </c>
      <c r="E1031" s="3115" t="s">
        <v>1748</v>
      </c>
      <c r="F1031" s="310"/>
      <c r="G1031" s="312">
        <v>7</v>
      </c>
      <c r="H1031" s="312">
        <v>7</v>
      </c>
      <c r="I1031" s="893">
        <f t="shared" ref="I1031" si="134">(H1031/G1031)*100</f>
        <v>100</v>
      </c>
    </row>
    <row r="1032" spans="1:9" ht="15" x14ac:dyDescent="0.25">
      <c r="A1032" s="420"/>
      <c r="B1032" s="651"/>
      <c r="C1032" s="651"/>
      <c r="D1032" s="518"/>
      <c r="E1032" s="3116"/>
      <c r="F1032" s="310"/>
      <c r="G1032" s="311"/>
      <c r="H1032" s="311"/>
      <c r="I1032" s="892"/>
    </row>
    <row r="1033" spans="1:9" ht="14.25" x14ac:dyDescent="0.2">
      <c r="A1033" s="420"/>
      <c r="B1033" s="651"/>
      <c r="C1033" s="651"/>
      <c r="D1033" s="518" t="s">
        <v>1807</v>
      </c>
      <c r="E1033" s="442" t="s">
        <v>716</v>
      </c>
      <c r="F1033" s="689"/>
      <c r="G1033" s="689">
        <v>16323</v>
      </c>
      <c r="H1033" s="689">
        <v>16323</v>
      </c>
      <c r="I1033" s="679">
        <f t="shared" si="133"/>
        <v>100</v>
      </c>
    </row>
    <row r="1034" spans="1:9" ht="15" x14ac:dyDescent="0.25">
      <c r="A1034" s="420">
        <v>1132</v>
      </c>
      <c r="B1034" s="651">
        <v>3127</v>
      </c>
      <c r="C1034" s="651">
        <v>5331</v>
      </c>
      <c r="D1034" s="712"/>
      <c r="E1034" s="616" t="s">
        <v>858</v>
      </c>
      <c r="F1034" s="700">
        <f>F1035+F1036</f>
        <v>4232</v>
      </c>
      <c r="G1034" s="700">
        <f>G1035+G1036</f>
        <v>700</v>
      </c>
      <c r="H1034" s="700">
        <f>H1035+H1036</f>
        <v>700</v>
      </c>
      <c r="I1034" s="707">
        <f t="shared" si="133"/>
        <v>100</v>
      </c>
    </row>
    <row r="1035" spans="1:9" ht="14.25" x14ac:dyDescent="0.2">
      <c r="A1035" s="420"/>
      <c r="B1035" s="651"/>
      <c r="C1035" s="651"/>
      <c r="D1035" s="663" t="s">
        <v>1811</v>
      </c>
      <c r="E1035" s="1162" t="s">
        <v>717</v>
      </c>
      <c r="F1035" s="689">
        <v>687</v>
      </c>
      <c r="G1035" s="689">
        <v>110</v>
      </c>
      <c r="H1035" s="689">
        <v>110</v>
      </c>
      <c r="I1035" s="679">
        <f t="shared" si="133"/>
        <v>100</v>
      </c>
    </row>
    <row r="1036" spans="1:9" ht="14.25" x14ac:dyDescent="0.2">
      <c r="A1036" s="420"/>
      <c r="B1036" s="651"/>
      <c r="C1036" s="651"/>
      <c r="D1036" s="518" t="s">
        <v>1812</v>
      </c>
      <c r="E1036" s="442" t="s">
        <v>63</v>
      </c>
      <c r="F1036" s="689">
        <v>3545</v>
      </c>
      <c r="G1036" s="689">
        <v>590</v>
      </c>
      <c r="H1036" s="689">
        <v>590</v>
      </c>
      <c r="I1036" s="679">
        <f t="shared" si="133"/>
        <v>100</v>
      </c>
    </row>
    <row r="1037" spans="1:9" ht="15" x14ac:dyDescent="0.25">
      <c r="A1037" s="420">
        <v>1132</v>
      </c>
      <c r="B1037" s="651">
        <v>3127</v>
      </c>
      <c r="C1037" s="651">
        <v>5336</v>
      </c>
      <c r="D1037" s="712"/>
      <c r="E1037" s="616" t="s">
        <v>1740</v>
      </c>
      <c r="F1037" s="690"/>
      <c r="G1037" s="690">
        <f t="shared" ref="G1037:H1037" si="135">G1040+G1041+G1039+G1038</f>
        <v>1733</v>
      </c>
      <c r="H1037" s="690">
        <f t="shared" si="135"/>
        <v>1733</v>
      </c>
      <c r="I1037" s="691">
        <f t="shared" si="133"/>
        <v>100</v>
      </c>
    </row>
    <row r="1038" spans="1:9" ht="15" x14ac:dyDescent="0.25">
      <c r="A1038" s="420"/>
      <c r="B1038" s="651"/>
      <c r="C1038" s="651"/>
      <c r="D1038" s="887" t="s">
        <v>1808</v>
      </c>
      <c r="E1038" s="1676" t="s">
        <v>1739</v>
      </c>
      <c r="F1038" s="690"/>
      <c r="G1038" s="692">
        <v>663</v>
      </c>
      <c r="H1038" s="692">
        <v>663</v>
      </c>
      <c r="I1038" s="368">
        <f t="shared" si="133"/>
        <v>100</v>
      </c>
    </row>
    <row r="1039" spans="1:9" ht="28.5" x14ac:dyDescent="0.25">
      <c r="A1039" s="420"/>
      <c r="B1039" s="651"/>
      <c r="C1039" s="651"/>
      <c r="D1039" s="887" t="s">
        <v>1809</v>
      </c>
      <c r="E1039" s="2872" t="s">
        <v>1810</v>
      </c>
      <c r="F1039" s="690"/>
      <c r="G1039" s="1224">
        <v>115</v>
      </c>
      <c r="H1039" s="1224">
        <v>115</v>
      </c>
      <c r="I1039" s="1234">
        <f t="shared" si="133"/>
        <v>100</v>
      </c>
    </row>
    <row r="1040" spans="1:9" ht="14.25" x14ac:dyDescent="0.2">
      <c r="A1040" s="420"/>
      <c r="B1040" s="651"/>
      <c r="C1040" s="651"/>
      <c r="D1040" s="518" t="s">
        <v>1813</v>
      </c>
      <c r="E1040" s="1162" t="s">
        <v>1815</v>
      </c>
      <c r="F1040" s="689"/>
      <c r="G1040" s="692">
        <v>143</v>
      </c>
      <c r="H1040" s="692">
        <v>143</v>
      </c>
      <c r="I1040" s="368">
        <f t="shared" si="133"/>
        <v>100</v>
      </c>
    </row>
    <row r="1041" spans="1:20" ht="14.25" x14ac:dyDescent="0.2">
      <c r="A1041" s="420"/>
      <c r="B1041" s="651"/>
      <c r="C1041" s="651"/>
      <c r="D1041" s="518" t="s">
        <v>1814</v>
      </c>
      <c r="E1041" s="1162" t="s">
        <v>1815</v>
      </c>
      <c r="F1041" s="689"/>
      <c r="G1041" s="692">
        <v>812</v>
      </c>
      <c r="H1041" s="692">
        <v>812</v>
      </c>
      <c r="I1041" s="368">
        <f t="shared" si="133"/>
        <v>100</v>
      </c>
    </row>
    <row r="1042" spans="1:20" ht="15" x14ac:dyDescent="0.25">
      <c r="A1042" s="420">
        <v>1132</v>
      </c>
      <c r="B1042" s="651">
        <v>3141</v>
      </c>
      <c r="C1042" s="651">
        <v>5336</v>
      </c>
      <c r="D1042" s="518"/>
      <c r="E1042" s="616" t="s">
        <v>1740</v>
      </c>
      <c r="F1042" s="689"/>
      <c r="G1042" s="700">
        <f>G1043</f>
        <v>1721</v>
      </c>
      <c r="H1042" s="700">
        <f>H1043</f>
        <v>1721</v>
      </c>
      <c r="I1042" s="693">
        <f t="shared" si="133"/>
        <v>100</v>
      </c>
    </row>
    <row r="1043" spans="1:20" ht="14.25" x14ac:dyDescent="0.2">
      <c r="A1043" s="420"/>
      <c r="B1043" s="651"/>
      <c r="C1043" s="1128"/>
      <c r="D1043" s="518" t="s">
        <v>1807</v>
      </c>
      <c r="E1043" s="442" t="s">
        <v>716</v>
      </c>
      <c r="F1043" s="689"/>
      <c r="G1043" s="689">
        <v>1721</v>
      </c>
      <c r="H1043" s="689">
        <v>1721</v>
      </c>
      <c r="I1043" s="684">
        <f t="shared" si="133"/>
        <v>100</v>
      </c>
    </row>
    <row r="1044" spans="1:20" ht="15" x14ac:dyDescent="0.25">
      <c r="A1044" s="420">
        <v>1132</v>
      </c>
      <c r="B1044" s="651">
        <v>3147</v>
      </c>
      <c r="C1044" s="1128">
        <v>5336</v>
      </c>
      <c r="D1044" s="518"/>
      <c r="E1044" s="616" t="s">
        <v>1740</v>
      </c>
      <c r="F1044" s="689"/>
      <c r="G1044" s="700">
        <f>G1045</f>
        <v>5541</v>
      </c>
      <c r="H1044" s="700">
        <f>H1045</f>
        <v>5541</v>
      </c>
      <c r="I1044" s="693">
        <v>100</v>
      </c>
    </row>
    <row r="1045" spans="1:20" ht="18" customHeight="1" x14ac:dyDescent="0.2">
      <c r="A1045" s="420"/>
      <c r="B1045" s="651"/>
      <c r="C1045" s="1128"/>
      <c r="D1045" s="518" t="s">
        <v>1807</v>
      </c>
      <c r="E1045" s="442" t="s">
        <v>716</v>
      </c>
      <c r="F1045" s="689"/>
      <c r="G1045" s="689">
        <v>5541</v>
      </c>
      <c r="H1045" s="689">
        <v>5541</v>
      </c>
      <c r="I1045" s="684">
        <v>100</v>
      </c>
    </row>
    <row r="1046" spans="1:20" ht="15" customHeight="1" x14ac:dyDescent="0.25">
      <c r="A1046" s="420">
        <v>1132</v>
      </c>
      <c r="B1046" s="651">
        <v>3299</v>
      </c>
      <c r="C1046" s="1128">
        <v>5331</v>
      </c>
      <c r="D1046" s="527"/>
      <c r="E1046" s="616" t="s">
        <v>858</v>
      </c>
      <c r="F1046" s="689"/>
      <c r="G1046" s="700">
        <f>G1047</f>
        <v>110</v>
      </c>
      <c r="H1046" s="700">
        <f>H1047</f>
        <v>110</v>
      </c>
      <c r="I1046" s="693">
        <v>100</v>
      </c>
    </row>
    <row r="1047" spans="1:20" ht="42.75" x14ac:dyDescent="0.2">
      <c r="A1047" s="420"/>
      <c r="B1047" s="651"/>
      <c r="C1047" s="1128"/>
      <c r="D1047" s="1087" t="s">
        <v>1831</v>
      </c>
      <c r="E1047" s="2873" t="s">
        <v>1832</v>
      </c>
      <c r="F1047" s="689"/>
      <c r="G1047" s="1062">
        <v>110</v>
      </c>
      <c r="H1047" s="1062">
        <v>110</v>
      </c>
      <c r="I1047" s="1066">
        <v>100</v>
      </c>
    </row>
    <row r="1048" spans="1:20" ht="15" x14ac:dyDescent="0.25">
      <c r="A1048" s="420">
        <v>1132</v>
      </c>
      <c r="B1048" s="617">
        <v>3792</v>
      </c>
      <c r="C1048" s="1127">
        <v>5331</v>
      </c>
      <c r="D1048" s="527"/>
      <c r="E1048" s="616" t="s">
        <v>858</v>
      </c>
      <c r="F1048" s="676"/>
      <c r="G1048" s="676">
        <f>G1049</f>
        <v>10</v>
      </c>
      <c r="H1048" s="676">
        <f>H1049</f>
        <v>10</v>
      </c>
      <c r="I1048" s="677">
        <v>100</v>
      </c>
    </row>
    <row r="1049" spans="1:20" ht="15.75" thickBot="1" x14ac:dyDescent="0.3">
      <c r="A1049" s="420"/>
      <c r="B1049" s="617"/>
      <c r="C1049" s="1127"/>
      <c r="D1049" s="527" t="s">
        <v>1824</v>
      </c>
      <c r="E1049" s="446" t="s">
        <v>1010</v>
      </c>
      <c r="F1049" s="676"/>
      <c r="G1049" s="352">
        <v>10</v>
      </c>
      <c r="H1049" s="352">
        <v>10</v>
      </c>
      <c r="I1049" s="684">
        <v>100</v>
      </c>
    </row>
    <row r="1050" spans="1:20" ht="18" customHeight="1" thickTop="1" thickBot="1" x14ac:dyDescent="0.3">
      <c r="A1050" s="3110" t="s">
        <v>1000</v>
      </c>
      <c r="B1050" s="3111"/>
      <c r="C1050" s="3111"/>
      <c r="D1050" s="3111"/>
      <c r="E1050" s="3111"/>
      <c r="F1050" s="680">
        <f>F1034</f>
        <v>4232</v>
      </c>
      <c r="G1050" s="680">
        <f>G1048+G1046+G1044+G1042+G1037+G1034+G1028</f>
        <v>26282</v>
      </c>
      <c r="H1050" s="680">
        <f>H1048+H1046+H1044+H1042+H1037+H1034+H1028</f>
        <v>26282</v>
      </c>
      <c r="I1050" s="681">
        <f>(H1050/G1050)*100</f>
        <v>100</v>
      </c>
      <c r="R1050" s="374">
        <f>F1050</f>
        <v>4232</v>
      </c>
      <c r="S1050" s="374">
        <f>G1050</f>
        <v>26282</v>
      </c>
      <c r="T1050" s="374">
        <f>H1050</f>
        <v>26282</v>
      </c>
    </row>
    <row r="1051" spans="1:20" ht="15.75" thickTop="1" x14ac:dyDescent="0.25">
      <c r="A1051" s="361"/>
      <c r="B1051" s="361"/>
      <c r="C1051" s="361"/>
      <c r="D1051" s="361"/>
      <c r="E1051" s="361"/>
      <c r="F1051" s="178"/>
      <c r="G1051" s="178"/>
      <c r="H1051" s="178"/>
      <c r="I1051" s="207"/>
      <c r="R1051" s="374"/>
      <c r="S1051" s="374"/>
      <c r="T1051" s="374"/>
    </row>
    <row r="1052" spans="1:20" ht="13.5" thickBot="1" x14ac:dyDescent="0.25">
      <c r="A1052" s="421" t="s">
        <v>201</v>
      </c>
      <c r="I1052" s="1125" t="s">
        <v>148</v>
      </c>
    </row>
    <row r="1053" spans="1:20" s="106" customFormat="1" thickTop="1" thickBot="1" x14ac:dyDescent="0.25">
      <c r="A1053" s="586" t="s">
        <v>565</v>
      </c>
      <c r="B1053" s="658" t="s">
        <v>149</v>
      </c>
      <c r="C1053" s="587" t="s">
        <v>150</v>
      </c>
      <c r="D1053" s="589" t="s">
        <v>639</v>
      </c>
      <c r="E1053" s="589" t="s">
        <v>151</v>
      </c>
      <c r="F1053" s="589" t="s">
        <v>569</v>
      </c>
      <c r="G1053" s="589" t="s">
        <v>570</v>
      </c>
      <c r="H1053" s="589" t="s">
        <v>797</v>
      </c>
      <c r="I1053" s="674" t="s">
        <v>798</v>
      </c>
    </row>
    <row r="1054" spans="1:20" s="375" customFormat="1" ht="13.5" thickTop="1" thickBot="1" x14ac:dyDescent="0.25">
      <c r="A1054" s="525">
        <v>1</v>
      </c>
      <c r="B1054" s="526">
        <v>2</v>
      </c>
      <c r="C1054" s="526">
        <v>3</v>
      </c>
      <c r="D1054" s="526">
        <v>4</v>
      </c>
      <c r="E1054" s="526">
        <v>5</v>
      </c>
      <c r="F1054" s="512">
        <v>6</v>
      </c>
      <c r="G1054" s="512">
        <v>7</v>
      </c>
      <c r="H1054" s="513">
        <v>8</v>
      </c>
      <c r="I1054" s="591" t="s">
        <v>689</v>
      </c>
    </row>
    <row r="1055" spans="1:20" ht="14.25" customHeight="1" thickTop="1" x14ac:dyDescent="0.25">
      <c r="A1055" s="420">
        <v>1133</v>
      </c>
      <c r="B1055" s="617">
        <v>3121</v>
      </c>
      <c r="C1055" s="617">
        <v>5336</v>
      </c>
      <c r="D1055" s="518"/>
      <c r="E1055" s="616" t="s">
        <v>1740</v>
      </c>
      <c r="F1055" s="683"/>
      <c r="G1055" s="705">
        <f>G1056</f>
        <v>12930</v>
      </c>
      <c r="H1055" s="705">
        <f>H1056</f>
        <v>12930</v>
      </c>
      <c r="I1055" s="707">
        <f t="shared" ref="I1055:I1075" si="136">(H1055/G1055)*100</f>
        <v>100</v>
      </c>
    </row>
    <row r="1056" spans="1:20" ht="14.25" x14ac:dyDescent="0.2">
      <c r="A1056" s="420"/>
      <c r="B1056" s="617"/>
      <c r="C1056" s="617"/>
      <c r="D1056" s="518" t="s">
        <v>1807</v>
      </c>
      <c r="E1056" s="442" t="s">
        <v>716</v>
      </c>
      <c r="F1056" s="683"/>
      <c r="G1056" s="683">
        <v>12930</v>
      </c>
      <c r="H1056" s="683">
        <v>12930</v>
      </c>
      <c r="I1056" s="679">
        <f t="shared" si="136"/>
        <v>100</v>
      </c>
    </row>
    <row r="1057" spans="1:9" ht="15" x14ac:dyDescent="0.25">
      <c r="A1057" s="420">
        <v>1133</v>
      </c>
      <c r="B1057" s="651">
        <v>3122</v>
      </c>
      <c r="C1057" s="651">
        <v>5336</v>
      </c>
      <c r="D1057" s="1974"/>
      <c r="E1057" s="616" t="s">
        <v>1740</v>
      </c>
      <c r="F1057" s="689"/>
      <c r="G1057" s="700">
        <f>G1058+G1061+G1062+G1063</f>
        <v>22915</v>
      </c>
      <c r="H1057" s="700">
        <f>H1058+H1061+H1062+H1063</f>
        <v>22915</v>
      </c>
      <c r="I1057" s="693">
        <f t="shared" si="136"/>
        <v>100</v>
      </c>
    </row>
    <row r="1058" spans="1:9" ht="14.25" x14ac:dyDescent="0.2">
      <c r="A1058" s="420"/>
      <c r="B1058" s="651"/>
      <c r="C1058" s="651"/>
      <c r="D1058" s="3106" t="s">
        <v>1844</v>
      </c>
      <c r="E1058" s="3113" t="s">
        <v>1287</v>
      </c>
      <c r="F1058" s="689"/>
      <c r="G1058" s="689">
        <v>88</v>
      </c>
      <c r="H1058" s="689">
        <v>88</v>
      </c>
      <c r="I1058" s="684">
        <f t="shared" ref="I1058" si="137">(H1058/G1058)*100</f>
        <v>100</v>
      </c>
    </row>
    <row r="1059" spans="1:9" ht="14.25" x14ac:dyDescent="0.2">
      <c r="A1059" s="420"/>
      <c r="B1059" s="651"/>
      <c r="C1059" s="651"/>
      <c r="D1059" s="3107"/>
      <c r="E1059" s="3114"/>
      <c r="F1059" s="689"/>
      <c r="G1059" s="689"/>
      <c r="H1059" s="689"/>
      <c r="I1059" s="684"/>
    </row>
    <row r="1060" spans="1:9" ht="14.25" x14ac:dyDescent="0.2">
      <c r="A1060" s="420"/>
      <c r="B1060" s="651"/>
      <c r="C1060" s="651"/>
      <c r="D1060" s="3107"/>
      <c r="E1060" s="3114"/>
      <c r="F1060" s="689"/>
      <c r="G1060" s="689"/>
      <c r="H1060" s="689"/>
      <c r="I1060" s="684"/>
    </row>
    <row r="1061" spans="1:9" ht="14.25" x14ac:dyDescent="0.2">
      <c r="A1061" s="420"/>
      <c r="B1061" s="651"/>
      <c r="C1061" s="1128"/>
      <c r="D1061" s="518" t="s">
        <v>1807</v>
      </c>
      <c r="E1061" s="442" t="s">
        <v>716</v>
      </c>
      <c r="F1061" s="689"/>
      <c r="G1061" s="689">
        <v>21557</v>
      </c>
      <c r="H1061" s="689">
        <v>21557</v>
      </c>
      <c r="I1061" s="684">
        <f t="shared" si="136"/>
        <v>100</v>
      </c>
    </row>
    <row r="1062" spans="1:9" ht="14.25" x14ac:dyDescent="0.2">
      <c r="A1062" s="420"/>
      <c r="B1062" s="651"/>
      <c r="C1062" s="1128"/>
      <c r="D1062" s="1967" t="s">
        <v>1849</v>
      </c>
      <c r="E1062" s="1968" t="s">
        <v>1087</v>
      </c>
      <c r="F1062" s="1969"/>
      <c r="G1062" s="1969">
        <v>190</v>
      </c>
      <c r="H1062" s="1969">
        <v>190</v>
      </c>
      <c r="I1062" s="1970">
        <f>(H1062/G1062)*100</f>
        <v>100</v>
      </c>
    </row>
    <row r="1063" spans="1:9" ht="14.25" x14ac:dyDescent="0.2">
      <c r="A1063" s="420"/>
      <c r="B1063" s="651"/>
      <c r="C1063" s="1128"/>
      <c r="D1063" s="1967" t="s">
        <v>1850</v>
      </c>
      <c r="E1063" s="1968" t="s">
        <v>1087</v>
      </c>
      <c r="F1063" s="1969"/>
      <c r="G1063" s="1969">
        <v>1080</v>
      </c>
      <c r="H1063" s="1969">
        <v>1080</v>
      </c>
      <c r="I1063" s="1970">
        <f>(H1063/G1063)*100</f>
        <v>100</v>
      </c>
    </row>
    <row r="1064" spans="1:9" ht="15" x14ac:dyDescent="0.25">
      <c r="A1064" s="420">
        <v>1133</v>
      </c>
      <c r="B1064" s="651">
        <v>3127</v>
      </c>
      <c r="C1064" s="1128">
        <v>5331</v>
      </c>
      <c r="D1064" s="518"/>
      <c r="E1064" s="616" t="s">
        <v>858</v>
      </c>
      <c r="F1064" s="690">
        <f>F1065+F1066</f>
        <v>4525</v>
      </c>
      <c r="G1064" s="690">
        <f t="shared" ref="G1064:H1064" si="138">G1065+G1066</f>
        <v>754</v>
      </c>
      <c r="H1064" s="690">
        <f t="shared" si="138"/>
        <v>754</v>
      </c>
      <c r="I1064" s="691">
        <f t="shared" ref="I1064:I1072" si="139">(H1064/G1064)*100</f>
        <v>100</v>
      </c>
    </row>
    <row r="1065" spans="1:9" ht="14.25" x14ac:dyDescent="0.2">
      <c r="A1065" s="420"/>
      <c r="B1065" s="651"/>
      <c r="C1065" s="1128"/>
      <c r="D1065" s="636" t="s">
        <v>1811</v>
      </c>
      <c r="E1065" s="1162" t="s">
        <v>717</v>
      </c>
      <c r="F1065" s="1969">
        <v>525</v>
      </c>
      <c r="G1065" s="1969">
        <v>88</v>
      </c>
      <c r="H1065" s="1969">
        <v>88</v>
      </c>
      <c r="I1065" s="1970">
        <f t="shared" si="139"/>
        <v>100</v>
      </c>
    </row>
    <row r="1066" spans="1:9" ht="14.25" x14ac:dyDescent="0.2">
      <c r="A1066" s="420"/>
      <c r="B1066" s="651"/>
      <c r="C1066" s="1128"/>
      <c r="D1066" s="518" t="s">
        <v>1812</v>
      </c>
      <c r="E1066" s="442" t="s">
        <v>63</v>
      </c>
      <c r="F1066" s="1969">
        <v>4000</v>
      </c>
      <c r="G1066" s="1969">
        <v>666</v>
      </c>
      <c r="H1066" s="1969">
        <v>666</v>
      </c>
      <c r="I1066" s="1970">
        <f t="shared" si="139"/>
        <v>100</v>
      </c>
    </row>
    <row r="1067" spans="1:9" ht="15" x14ac:dyDescent="0.25">
      <c r="A1067" s="420">
        <v>1133</v>
      </c>
      <c r="B1067" s="651">
        <v>3127</v>
      </c>
      <c r="C1067" s="1128">
        <v>5336</v>
      </c>
      <c r="D1067" s="518"/>
      <c r="E1067" s="616" t="s">
        <v>1740</v>
      </c>
      <c r="F1067" s="1969"/>
      <c r="G1067" s="690">
        <f>G1068+G1069+G1070+G1071+G1072</f>
        <v>2637</v>
      </c>
      <c r="H1067" s="690">
        <f>H1068+H1069+H1070+H1071+H1072</f>
        <v>2637</v>
      </c>
      <c r="I1067" s="691">
        <f t="shared" si="139"/>
        <v>100</v>
      </c>
    </row>
    <row r="1068" spans="1:9" ht="14.25" x14ac:dyDescent="0.2">
      <c r="A1068" s="420"/>
      <c r="B1068" s="651"/>
      <c r="C1068" s="1128"/>
      <c r="D1068" s="887" t="s">
        <v>1827</v>
      </c>
      <c r="E1068" s="1365" t="s">
        <v>1407</v>
      </c>
      <c r="F1068" s="1969"/>
      <c r="G1068" s="1969">
        <v>5</v>
      </c>
      <c r="H1068" s="1969">
        <v>5</v>
      </c>
      <c r="I1068" s="1970">
        <f t="shared" si="139"/>
        <v>100</v>
      </c>
    </row>
    <row r="1069" spans="1:9" ht="14.25" x14ac:dyDescent="0.2">
      <c r="A1069" s="420"/>
      <c r="B1069" s="651"/>
      <c r="C1069" s="1128"/>
      <c r="D1069" s="887" t="s">
        <v>1808</v>
      </c>
      <c r="E1069" s="1676" t="s">
        <v>1739</v>
      </c>
      <c r="F1069" s="1969"/>
      <c r="G1069" s="1969">
        <v>900</v>
      </c>
      <c r="H1069" s="1969">
        <v>900</v>
      </c>
      <c r="I1069" s="1970">
        <f t="shared" si="139"/>
        <v>100</v>
      </c>
    </row>
    <row r="1070" spans="1:9" ht="28.5" x14ac:dyDescent="0.2">
      <c r="A1070" s="420"/>
      <c r="B1070" s="651"/>
      <c r="C1070" s="1128"/>
      <c r="D1070" s="887" t="s">
        <v>1809</v>
      </c>
      <c r="E1070" s="2872" t="s">
        <v>1810</v>
      </c>
      <c r="F1070" s="1969"/>
      <c r="G1070" s="1062">
        <v>173</v>
      </c>
      <c r="H1070" s="1062">
        <v>173</v>
      </c>
      <c r="I1070" s="1066">
        <f t="shared" si="139"/>
        <v>100</v>
      </c>
    </row>
    <row r="1071" spans="1:9" ht="14.25" x14ac:dyDescent="0.2">
      <c r="A1071" s="420"/>
      <c r="B1071" s="651"/>
      <c r="C1071" s="1128"/>
      <c r="D1071" s="518" t="s">
        <v>1813</v>
      </c>
      <c r="E1071" s="1162" t="s">
        <v>1815</v>
      </c>
      <c r="F1071" s="1969"/>
      <c r="G1071" s="1062">
        <v>234</v>
      </c>
      <c r="H1071" s="1062">
        <v>234</v>
      </c>
      <c r="I1071" s="1066">
        <f t="shared" si="139"/>
        <v>100</v>
      </c>
    </row>
    <row r="1072" spans="1:9" ht="14.25" x14ac:dyDescent="0.2">
      <c r="A1072" s="420"/>
      <c r="B1072" s="651"/>
      <c r="C1072" s="1128"/>
      <c r="D1072" s="518" t="s">
        <v>1814</v>
      </c>
      <c r="E1072" s="1162" t="s">
        <v>1815</v>
      </c>
      <c r="F1072" s="1969"/>
      <c r="G1072" s="1062">
        <v>1325</v>
      </c>
      <c r="H1072" s="1062">
        <v>1325</v>
      </c>
      <c r="I1072" s="1066">
        <f t="shared" si="139"/>
        <v>100</v>
      </c>
    </row>
    <row r="1073" spans="1:23" ht="15" x14ac:dyDescent="0.25">
      <c r="A1073" s="420">
        <v>1133</v>
      </c>
      <c r="B1073" s="651">
        <v>3141</v>
      </c>
      <c r="C1073" s="1128">
        <v>5336</v>
      </c>
      <c r="D1073" s="518"/>
      <c r="E1073" s="616" t="s">
        <v>1740</v>
      </c>
      <c r="F1073" s="700"/>
      <c r="G1073" s="700">
        <f>G1074</f>
        <v>375</v>
      </c>
      <c r="H1073" s="700">
        <f>H1074</f>
        <v>375</v>
      </c>
      <c r="I1073" s="693">
        <f t="shared" si="136"/>
        <v>100</v>
      </c>
    </row>
    <row r="1074" spans="1:23" ht="15" thickBot="1" x14ac:dyDescent="0.25">
      <c r="A1074" s="420"/>
      <c r="B1074" s="651"/>
      <c r="C1074" s="1128"/>
      <c r="D1074" s="518" t="s">
        <v>1807</v>
      </c>
      <c r="E1074" s="442" t="s">
        <v>716</v>
      </c>
      <c r="F1074" s="689"/>
      <c r="G1074" s="689">
        <v>375</v>
      </c>
      <c r="H1074" s="689">
        <v>375</v>
      </c>
      <c r="I1074" s="684">
        <f t="shared" si="136"/>
        <v>100</v>
      </c>
    </row>
    <row r="1075" spans="1:23" ht="16.5" thickTop="1" thickBot="1" x14ac:dyDescent="0.3">
      <c r="A1075" s="3110" t="s">
        <v>1000</v>
      </c>
      <c r="B1075" s="3111"/>
      <c r="C1075" s="3111"/>
      <c r="D1075" s="3111"/>
      <c r="E1075" s="3111"/>
      <c r="F1075" s="680">
        <f>F1064</f>
        <v>4525</v>
      </c>
      <c r="G1075" s="680">
        <f>G1073+G1067+G1064+G1057+G1055</f>
        <v>39611</v>
      </c>
      <c r="H1075" s="680">
        <f>H1073+H1067+H1064+H1057+H1055</f>
        <v>39611</v>
      </c>
      <c r="I1075" s="681">
        <f t="shared" si="136"/>
        <v>100</v>
      </c>
      <c r="R1075" s="374">
        <f>F1075</f>
        <v>4525</v>
      </c>
      <c r="S1075" s="374">
        <f>G1075</f>
        <v>39611</v>
      </c>
      <c r="T1075" s="374">
        <f>H1075</f>
        <v>39611</v>
      </c>
    </row>
    <row r="1076" spans="1:23" ht="15.75" thickTop="1" x14ac:dyDescent="0.25">
      <c r="A1076" s="361"/>
      <c r="B1076" s="361"/>
      <c r="C1076" s="361"/>
      <c r="D1076" s="361"/>
      <c r="E1076" s="361"/>
      <c r="F1076" s="178"/>
      <c r="G1076" s="178"/>
      <c r="H1076" s="178"/>
      <c r="I1076" s="207"/>
      <c r="R1076" s="374"/>
      <c r="S1076" s="374"/>
      <c r="T1076" s="374"/>
    </row>
    <row r="1077" spans="1:23" ht="15" x14ac:dyDescent="0.25">
      <c r="A1077" s="361"/>
      <c r="B1077" s="361"/>
      <c r="C1077" s="361"/>
      <c r="D1077" s="361"/>
      <c r="E1077" s="361"/>
      <c r="F1077" s="180"/>
      <c r="G1077" s="180"/>
      <c r="H1077" s="180"/>
      <c r="I1077" s="211"/>
      <c r="J1077" s="374"/>
      <c r="K1077" s="374"/>
      <c r="L1077" s="374"/>
      <c r="R1077" s="374"/>
      <c r="S1077" s="374"/>
      <c r="T1077" s="374"/>
      <c r="U1077" s="374"/>
      <c r="V1077" s="374"/>
      <c r="W1077" s="374"/>
    </row>
    <row r="1078" spans="1:23" ht="13.5" thickBot="1" x14ac:dyDescent="0.25">
      <c r="A1078" s="421" t="s">
        <v>795</v>
      </c>
      <c r="I1078" s="1125" t="s">
        <v>148</v>
      </c>
    </row>
    <row r="1079" spans="1:23" s="106" customFormat="1" thickTop="1" thickBot="1" x14ac:dyDescent="0.25">
      <c r="A1079" s="586" t="s">
        <v>565</v>
      </c>
      <c r="B1079" s="658" t="s">
        <v>149</v>
      </c>
      <c r="C1079" s="587" t="s">
        <v>150</v>
      </c>
      <c r="D1079" s="589" t="s">
        <v>639</v>
      </c>
      <c r="E1079" s="589" t="s">
        <v>151</v>
      </c>
      <c r="F1079" s="589" t="s">
        <v>569</v>
      </c>
      <c r="G1079" s="589" t="s">
        <v>570</v>
      </c>
      <c r="H1079" s="589" t="s">
        <v>797</v>
      </c>
      <c r="I1079" s="674" t="s">
        <v>798</v>
      </c>
    </row>
    <row r="1080" spans="1:23" s="375" customFormat="1" ht="13.5" thickTop="1" thickBot="1" x14ac:dyDescent="0.25">
      <c r="A1080" s="525">
        <v>1</v>
      </c>
      <c r="B1080" s="526">
        <v>2</v>
      </c>
      <c r="C1080" s="526">
        <v>3</v>
      </c>
      <c r="D1080" s="526">
        <v>4</v>
      </c>
      <c r="E1080" s="526">
        <v>5</v>
      </c>
      <c r="F1080" s="512">
        <v>6</v>
      </c>
      <c r="G1080" s="512">
        <v>7</v>
      </c>
      <c r="H1080" s="513">
        <v>8</v>
      </c>
      <c r="I1080" s="591" t="s">
        <v>689</v>
      </c>
    </row>
    <row r="1081" spans="1:23" ht="15.75" thickTop="1" x14ac:dyDescent="0.25">
      <c r="A1081" s="420">
        <v>1134</v>
      </c>
      <c r="B1081" s="617">
        <v>3122</v>
      </c>
      <c r="C1081" s="617">
        <v>5336</v>
      </c>
      <c r="D1081" s="518"/>
      <c r="E1081" s="616" t="s">
        <v>1740</v>
      </c>
      <c r="F1081" s="683"/>
      <c r="G1081" s="705">
        <f>G1082</f>
        <v>7943</v>
      </c>
      <c r="H1081" s="705">
        <f>H1082</f>
        <v>7943</v>
      </c>
      <c r="I1081" s="707">
        <f t="shared" ref="I1081:I1096" si="140">(H1081/G1081)*100</f>
        <v>100</v>
      </c>
    </row>
    <row r="1082" spans="1:23" ht="14.25" x14ac:dyDescent="0.2">
      <c r="A1082" s="420"/>
      <c r="B1082" s="617"/>
      <c r="C1082" s="617"/>
      <c r="D1082" s="518" t="s">
        <v>1807</v>
      </c>
      <c r="E1082" s="442" t="s">
        <v>716</v>
      </c>
      <c r="F1082" s="683"/>
      <c r="G1082" s="683">
        <v>7943</v>
      </c>
      <c r="H1082" s="683">
        <v>7943</v>
      </c>
      <c r="I1082" s="679">
        <f t="shared" si="140"/>
        <v>100</v>
      </c>
    </row>
    <row r="1083" spans="1:23" ht="15" x14ac:dyDescent="0.25">
      <c r="A1083" s="420">
        <v>1134</v>
      </c>
      <c r="B1083" s="651">
        <v>3123</v>
      </c>
      <c r="C1083" s="651">
        <v>5336</v>
      </c>
      <c r="D1083" s="518"/>
      <c r="E1083" s="616" t="s">
        <v>1740</v>
      </c>
      <c r="F1083" s="689"/>
      <c r="G1083" s="700">
        <f>G1084</f>
        <v>5942</v>
      </c>
      <c r="H1083" s="700">
        <f>H1084</f>
        <v>5942</v>
      </c>
      <c r="I1083" s="693">
        <f t="shared" si="140"/>
        <v>100</v>
      </c>
    </row>
    <row r="1084" spans="1:23" ht="14.25" x14ac:dyDescent="0.2">
      <c r="A1084" s="420"/>
      <c r="B1084" s="651"/>
      <c r="C1084" s="651"/>
      <c r="D1084" s="518" t="s">
        <v>1807</v>
      </c>
      <c r="E1084" s="442" t="s">
        <v>716</v>
      </c>
      <c r="F1084" s="689"/>
      <c r="G1084" s="689">
        <v>5942</v>
      </c>
      <c r="H1084" s="689">
        <v>5942</v>
      </c>
      <c r="I1084" s="684">
        <f t="shared" si="140"/>
        <v>100</v>
      </c>
    </row>
    <row r="1085" spans="1:23" ht="15" x14ac:dyDescent="0.25">
      <c r="A1085" s="420">
        <v>1134</v>
      </c>
      <c r="B1085" s="651">
        <v>3127</v>
      </c>
      <c r="C1085" s="651">
        <v>5331</v>
      </c>
      <c r="D1085" s="712"/>
      <c r="E1085" s="616" t="s">
        <v>858</v>
      </c>
      <c r="F1085" s="690">
        <f>F1086+F1087</f>
        <v>7914</v>
      </c>
      <c r="G1085" s="690">
        <f t="shared" ref="G1085:H1085" si="141">G1086+G1087</f>
        <v>1318</v>
      </c>
      <c r="H1085" s="690">
        <f t="shared" si="141"/>
        <v>1318</v>
      </c>
      <c r="I1085" s="691">
        <f t="shared" si="140"/>
        <v>100</v>
      </c>
    </row>
    <row r="1086" spans="1:23" ht="14.25" x14ac:dyDescent="0.2">
      <c r="A1086" s="420"/>
      <c r="B1086" s="651"/>
      <c r="C1086" s="651"/>
      <c r="D1086" s="636" t="s">
        <v>1811</v>
      </c>
      <c r="E1086" s="1162" t="s">
        <v>717</v>
      </c>
      <c r="F1086" s="689">
        <v>1014</v>
      </c>
      <c r="G1086" s="689">
        <v>168</v>
      </c>
      <c r="H1086" s="689">
        <v>168</v>
      </c>
      <c r="I1086" s="684">
        <f t="shared" si="140"/>
        <v>100</v>
      </c>
    </row>
    <row r="1087" spans="1:23" ht="14.25" x14ac:dyDescent="0.2">
      <c r="A1087" s="420"/>
      <c r="B1087" s="651"/>
      <c r="C1087" s="651"/>
      <c r="D1087" s="518" t="s">
        <v>1812</v>
      </c>
      <c r="E1087" s="442" t="s">
        <v>63</v>
      </c>
      <c r="F1087" s="689">
        <v>6900</v>
      </c>
      <c r="G1087" s="689">
        <v>1150</v>
      </c>
      <c r="H1087" s="689">
        <v>1150</v>
      </c>
      <c r="I1087" s="684">
        <f t="shared" si="140"/>
        <v>100</v>
      </c>
    </row>
    <row r="1088" spans="1:23" ht="15" x14ac:dyDescent="0.25">
      <c r="A1088" s="420">
        <v>1134</v>
      </c>
      <c r="B1088" s="651">
        <v>3127</v>
      </c>
      <c r="C1088" s="651">
        <v>5336</v>
      </c>
      <c r="D1088" s="518"/>
      <c r="E1088" s="616" t="s">
        <v>1740</v>
      </c>
      <c r="F1088" s="689"/>
      <c r="G1088" s="690">
        <f>G1089+G1090+G1091</f>
        <v>628</v>
      </c>
      <c r="H1088" s="690">
        <f>H1089+H1090+H1091</f>
        <v>628</v>
      </c>
      <c r="I1088" s="691">
        <f t="shared" si="140"/>
        <v>100</v>
      </c>
    </row>
    <row r="1089" spans="1:20" ht="14.25" x14ac:dyDescent="0.2">
      <c r="A1089" s="420"/>
      <c r="B1089" s="651"/>
      <c r="C1089" s="651"/>
      <c r="D1089" s="887" t="s">
        <v>1827</v>
      </c>
      <c r="E1089" s="1365" t="s">
        <v>1407</v>
      </c>
      <c r="F1089" s="689"/>
      <c r="G1089" s="689">
        <v>9</v>
      </c>
      <c r="H1089" s="689">
        <v>9</v>
      </c>
      <c r="I1089" s="684">
        <f t="shared" si="140"/>
        <v>100</v>
      </c>
    </row>
    <row r="1090" spans="1:20" ht="14.25" x14ac:dyDescent="0.2">
      <c r="A1090" s="420"/>
      <c r="B1090" s="651"/>
      <c r="C1090" s="651"/>
      <c r="D1090" s="887" t="s">
        <v>1808</v>
      </c>
      <c r="E1090" s="1676" t="s">
        <v>1739</v>
      </c>
      <c r="F1090" s="689"/>
      <c r="G1090" s="689">
        <v>543</v>
      </c>
      <c r="H1090" s="689">
        <v>543</v>
      </c>
      <c r="I1090" s="684">
        <f t="shared" si="140"/>
        <v>100</v>
      </c>
    </row>
    <row r="1091" spans="1:20" ht="28.5" x14ac:dyDescent="0.2">
      <c r="A1091" s="420"/>
      <c r="B1091" s="651"/>
      <c r="C1091" s="651"/>
      <c r="D1091" s="887" t="s">
        <v>1809</v>
      </c>
      <c r="E1091" s="2874" t="s">
        <v>1810</v>
      </c>
      <c r="F1091" s="689"/>
      <c r="G1091" s="1062">
        <v>76</v>
      </c>
      <c r="H1091" s="1062">
        <v>76</v>
      </c>
      <c r="I1091" s="1066">
        <f t="shared" si="140"/>
        <v>100</v>
      </c>
    </row>
    <row r="1092" spans="1:20" ht="15" x14ac:dyDescent="0.25">
      <c r="A1092" s="420">
        <v>1134</v>
      </c>
      <c r="B1092" s="651">
        <v>3141</v>
      </c>
      <c r="C1092" s="651">
        <v>5336</v>
      </c>
      <c r="D1092" s="518"/>
      <c r="E1092" s="616" t="s">
        <v>1740</v>
      </c>
      <c r="F1092" s="689"/>
      <c r="G1092" s="700">
        <f>G1093</f>
        <v>512</v>
      </c>
      <c r="H1092" s="700">
        <f>H1093</f>
        <v>512</v>
      </c>
      <c r="I1092" s="693">
        <f t="shared" si="140"/>
        <v>100</v>
      </c>
    </row>
    <row r="1093" spans="1:20" ht="14.25" x14ac:dyDescent="0.2">
      <c r="A1093" s="420"/>
      <c r="B1093" s="651"/>
      <c r="C1093" s="1128"/>
      <c r="D1093" s="518" t="s">
        <v>1807</v>
      </c>
      <c r="E1093" s="442" t="s">
        <v>716</v>
      </c>
      <c r="F1093" s="689"/>
      <c r="G1093" s="689">
        <v>512</v>
      </c>
      <c r="H1093" s="689">
        <v>512</v>
      </c>
      <c r="I1093" s="684">
        <f t="shared" si="140"/>
        <v>100</v>
      </c>
    </row>
    <row r="1094" spans="1:20" ht="15" x14ac:dyDescent="0.25">
      <c r="A1094" s="420">
        <v>1134</v>
      </c>
      <c r="B1094" s="651">
        <v>3147</v>
      </c>
      <c r="C1094" s="1128">
        <v>5336</v>
      </c>
      <c r="D1094" s="518"/>
      <c r="E1094" s="616" t="s">
        <v>1740</v>
      </c>
      <c r="F1094" s="689"/>
      <c r="G1094" s="700">
        <f>G1095</f>
        <v>1354</v>
      </c>
      <c r="H1094" s="700">
        <f>H1095</f>
        <v>1354</v>
      </c>
      <c r="I1094" s="693">
        <f t="shared" si="140"/>
        <v>100</v>
      </c>
    </row>
    <row r="1095" spans="1:20" ht="14.25" x14ac:dyDescent="0.2">
      <c r="A1095" s="420"/>
      <c r="B1095" s="617"/>
      <c r="C1095" s="1127"/>
      <c r="D1095" s="518" t="s">
        <v>1807</v>
      </c>
      <c r="E1095" s="442" t="s">
        <v>716</v>
      </c>
      <c r="F1095" s="683"/>
      <c r="G1095" s="683">
        <v>1354</v>
      </c>
      <c r="H1095" s="683">
        <v>1354</v>
      </c>
      <c r="I1095" s="679">
        <f t="shared" si="140"/>
        <v>100</v>
      </c>
    </row>
    <row r="1096" spans="1:20" ht="15" x14ac:dyDescent="0.25">
      <c r="A1096" s="420">
        <v>1134</v>
      </c>
      <c r="B1096" s="617">
        <v>3293</v>
      </c>
      <c r="C1096" s="1128">
        <v>5336</v>
      </c>
      <c r="D1096" s="518"/>
      <c r="E1096" s="616" t="s">
        <v>1740</v>
      </c>
      <c r="F1096" s="683"/>
      <c r="G1096" s="700">
        <f>G1097</f>
        <v>2</v>
      </c>
      <c r="H1096" s="700">
        <f>H1097</f>
        <v>2</v>
      </c>
      <c r="I1096" s="693">
        <f t="shared" si="140"/>
        <v>100</v>
      </c>
    </row>
    <row r="1097" spans="1:20" ht="14.25" x14ac:dyDescent="0.2">
      <c r="A1097" s="420"/>
      <c r="B1097" s="617"/>
      <c r="C1097" s="1127"/>
      <c r="D1097" s="1087" t="s">
        <v>1819</v>
      </c>
      <c r="E1097" s="1059" t="s">
        <v>1406</v>
      </c>
      <c r="F1097" s="683"/>
      <c r="G1097" s="683">
        <v>2</v>
      </c>
      <c r="H1097" s="683">
        <v>2</v>
      </c>
      <c r="I1097" s="679">
        <f>(H1097/G1097)*100</f>
        <v>100</v>
      </c>
    </row>
    <row r="1098" spans="1:20" ht="15" x14ac:dyDescent="0.25">
      <c r="A1098" s="420">
        <v>1134</v>
      </c>
      <c r="B1098" s="617">
        <v>3299</v>
      </c>
      <c r="C1098" s="651">
        <v>5331</v>
      </c>
      <c r="D1098" s="712"/>
      <c r="E1098" s="616" t="s">
        <v>858</v>
      </c>
      <c r="F1098" s="683"/>
      <c r="G1098" s="700">
        <f>G1099</f>
        <v>15</v>
      </c>
      <c r="H1098" s="700">
        <f>H1099</f>
        <v>15</v>
      </c>
      <c r="I1098" s="693">
        <f t="shared" ref="I1098:I1099" si="142">(H1098/G1098)*100</f>
        <v>100</v>
      </c>
    </row>
    <row r="1099" spans="1:20" ht="43.5" thickBot="1" x14ac:dyDescent="0.25">
      <c r="A1099" s="1129"/>
      <c r="B1099" s="618"/>
      <c r="C1099" s="1134"/>
      <c r="D1099" s="1087" t="s">
        <v>1831</v>
      </c>
      <c r="E1099" s="2875" t="s">
        <v>1832</v>
      </c>
      <c r="F1099" s="723"/>
      <c r="G1099" s="2877">
        <v>15</v>
      </c>
      <c r="H1099" s="2877">
        <v>15</v>
      </c>
      <c r="I1099" s="1063">
        <f t="shared" si="142"/>
        <v>100</v>
      </c>
    </row>
    <row r="1100" spans="1:20" ht="16.5" thickTop="1" thickBot="1" x14ac:dyDescent="0.3">
      <c r="A1100" s="3110" t="s">
        <v>1000</v>
      </c>
      <c r="B1100" s="3111"/>
      <c r="C1100" s="3111"/>
      <c r="D1100" s="3111"/>
      <c r="E1100" s="3111"/>
      <c r="F1100" s="680">
        <f>F1085</f>
        <v>7914</v>
      </c>
      <c r="G1100" s="680">
        <f>G1098+G1096+G1094+G1092+G1088+G1085+G1083+G1081</f>
        <v>17714</v>
      </c>
      <c r="H1100" s="680">
        <f>H1098+H1096+H1094+H1092+H1088+H1085+H1083+H1081</f>
        <v>17714</v>
      </c>
      <c r="I1100" s="681">
        <f>(H1100/G1100)*100</f>
        <v>100</v>
      </c>
      <c r="R1100" s="374">
        <f>F1100</f>
        <v>7914</v>
      </c>
      <c r="S1100" s="374">
        <f>G1100</f>
        <v>17714</v>
      </c>
      <c r="T1100" s="374">
        <f>H1100</f>
        <v>17714</v>
      </c>
    </row>
    <row r="1101" spans="1:20" ht="13.5" thickTop="1" x14ac:dyDescent="0.2"/>
    <row r="1126" spans="1:9" ht="13.5" thickBot="1" x14ac:dyDescent="0.25">
      <c r="A1126" s="421" t="s">
        <v>1126</v>
      </c>
      <c r="I1126" s="1125" t="s">
        <v>148</v>
      </c>
    </row>
    <row r="1127" spans="1:9" s="106" customFormat="1" thickTop="1" thickBot="1" x14ac:dyDescent="0.25">
      <c r="A1127" s="586" t="s">
        <v>565</v>
      </c>
      <c r="B1127" s="658" t="s">
        <v>149</v>
      </c>
      <c r="C1127" s="587" t="s">
        <v>150</v>
      </c>
      <c r="D1127" s="589" t="s">
        <v>639</v>
      </c>
      <c r="E1127" s="589" t="s">
        <v>151</v>
      </c>
      <c r="F1127" s="589" t="s">
        <v>569</v>
      </c>
      <c r="G1127" s="589" t="s">
        <v>570</v>
      </c>
      <c r="H1127" s="589" t="s">
        <v>797</v>
      </c>
      <c r="I1127" s="674" t="s">
        <v>798</v>
      </c>
    </row>
    <row r="1128" spans="1:9" s="375" customFormat="1" ht="13.5" thickTop="1" thickBot="1" x14ac:dyDescent="0.25">
      <c r="A1128" s="525">
        <v>1</v>
      </c>
      <c r="B1128" s="526">
        <v>2</v>
      </c>
      <c r="C1128" s="526">
        <v>3</v>
      </c>
      <c r="D1128" s="526">
        <v>4</v>
      </c>
      <c r="E1128" s="526">
        <v>5</v>
      </c>
      <c r="F1128" s="512">
        <v>6</v>
      </c>
      <c r="G1128" s="512">
        <v>7</v>
      </c>
      <c r="H1128" s="513">
        <v>8</v>
      </c>
      <c r="I1128" s="591" t="s">
        <v>689</v>
      </c>
    </row>
    <row r="1129" spans="1:9" ht="15.75" thickTop="1" x14ac:dyDescent="0.25">
      <c r="A1129" s="1126">
        <v>1135</v>
      </c>
      <c r="B1129" s="659">
        <v>3122</v>
      </c>
      <c r="C1129" s="659">
        <v>5331</v>
      </c>
      <c r="D1129" s="694"/>
      <c r="E1129" s="713" t="s">
        <v>858</v>
      </c>
      <c r="F1129" s="714">
        <f>F1130+F1131+F1132</f>
        <v>8097</v>
      </c>
      <c r="G1129" s="714">
        <f>G1130+G1131+G1132+G1133</f>
        <v>1446</v>
      </c>
      <c r="H1129" s="714">
        <f>H1130+H1131+H1132+H1133</f>
        <v>1446</v>
      </c>
      <c r="I1129" s="682">
        <f t="shared" ref="I1129:I1151" si="143">(H1129/G1129)*100</f>
        <v>100</v>
      </c>
    </row>
    <row r="1130" spans="1:9" ht="14.25" x14ac:dyDescent="0.2">
      <c r="A1130" s="420"/>
      <c r="B1130" s="617"/>
      <c r="C1130" s="617"/>
      <c r="D1130" s="636" t="s">
        <v>1811</v>
      </c>
      <c r="E1130" s="1162" t="s">
        <v>717</v>
      </c>
      <c r="F1130" s="683">
        <v>2497</v>
      </c>
      <c r="G1130" s="683">
        <v>416</v>
      </c>
      <c r="H1130" s="683">
        <v>416</v>
      </c>
      <c r="I1130" s="679">
        <f t="shared" si="143"/>
        <v>100</v>
      </c>
    </row>
    <row r="1131" spans="1:9" ht="14.25" x14ac:dyDescent="0.2">
      <c r="A1131" s="420"/>
      <c r="B1131" s="617"/>
      <c r="C1131" s="617"/>
      <c r="D1131" s="878" t="s">
        <v>1761</v>
      </c>
      <c r="E1131" s="956" t="s">
        <v>806</v>
      </c>
      <c r="F1131" s="1074"/>
      <c r="G1131" s="438">
        <v>4</v>
      </c>
      <c r="H1131" s="438">
        <v>4</v>
      </c>
      <c r="I1131" s="893">
        <f t="shared" si="143"/>
        <v>100</v>
      </c>
    </row>
    <row r="1132" spans="1:9" ht="14.25" x14ac:dyDescent="0.2">
      <c r="A1132" s="420"/>
      <c r="B1132" s="617"/>
      <c r="C1132" s="617"/>
      <c r="D1132" s="518" t="s">
        <v>1812</v>
      </c>
      <c r="E1132" s="442" t="s">
        <v>63</v>
      </c>
      <c r="F1132" s="683">
        <v>5600</v>
      </c>
      <c r="G1132" s="683">
        <v>934</v>
      </c>
      <c r="H1132" s="683">
        <v>934</v>
      </c>
      <c r="I1132" s="679">
        <f t="shared" si="143"/>
        <v>100</v>
      </c>
    </row>
    <row r="1133" spans="1:9" ht="14.25" x14ac:dyDescent="0.2">
      <c r="A1133" s="420"/>
      <c r="B1133" s="617"/>
      <c r="C1133" s="617"/>
      <c r="D1133" s="518" t="s">
        <v>1837</v>
      </c>
      <c r="E1133" s="721" t="s">
        <v>1644</v>
      </c>
      <c r="F1133" s="683"/>
      <c r="G1133" s="683">
        <v>92</v>
      </c>
      <c r="H1133" s="683">
        <v>92</v>
      </c>
      <c r="I1133" s="679">
        <f t="shared" si="143"/>
        <v>100</v>
      </c>
    </row>
    <row r="1134" spans="1:9" ht="15" x14ac:dyDescent="0.25">
      <c r="A1134" s="420">
        <v>1135</v>
      </c>
      <c r="B1134" s="617">
        <v>3122</v>
      </c>
      <c r="C1134" s="617">
        <v>5336</v>
      </c>
      <c r="D1134" s="1974"/>
      <c r="E1134" s="616" t="s">
        <v>1740</v>
      </c>
      <c r="F1134" s="683"/>
      <c r="G1134" s="705">
        <f>G1135+G1138+G1139+G1140+G1141+G1142+G1143+G1144</f>
        <v>33972</v>
      </c>
      <c r="H1134" s="705">
        <f>H1135+H1138+H1139+H1140+H1141+H1142+H1143+H1144</f>
        <v>33972</v>
      </c>
      <c r="I1134" s="707">
        <f t="shared" si="143"/>
        <v>100</v>
      </c>
    </row>
    <row r="1135" spans="1:9" ht="14.25" x14ac:dyDescent="0.2">
      <c r="A1135" s="420"/>
      <c r="B1135" s="617"/>
      <c r="C1135" s="617"/>
      <c r="D1135" s="3106" t="s">
        <v>1844</v>
      </c>
      <c r="E1135" s="3112" t="s">
        <v>1287</v>
      </c>
      <c r="F1135" s="683"/>
      <c r="G1135" s="683">
        <v>134</v>
      </c>
      <c r="H1135" s="683">
        <v>134</v>
      </c>
      <c r="I1135" s="679">
        <f t="shared" ref="I1135" si="144">(H1135/G1135)*100</f>
        <v>100</v>
      </c>
    </row>
    <row r="1136" spans="1:9" ht="14.25" x14ac:dyDescent="0.2">
      <c r="A1136" s="420"/>
      <c r="B1136" s="617"/>
      <c r="C1136" s="617"/>
      <c r="D1136" s="3107"/>
      <c r="E1136" s="3107"/>
      <c r="F1136" s="683"/>
      <c r="G1136" s="683"/>
      <c r="H1136" s="683"/>
      <c r="I1136" s="679"/>
    </row>
    <row r="1137" spans="1:23" ht="14.25" x14ac:dyDescent="0.2">
      <c r="A1137" s="420"/>
      <c r="B1137" s="617"/>
      <c r="C1137" s="617"/>
      <c r="D1137" s="3107"/>
      <c r="E1137" s="3107"/>
      <c r="F1137" s="683"/>
      <c r="G1137" s="683"/>
      <c r="H1137" s="683"/>
      <c r="I1137" s="679"/>
    </row>
    <row r="1138" spans="1:23" ht="14.25" x14ac:dyDescent="0.2">
      <c r="A1138" s="420"/>
      <c r="B1138" s="617"/>
      <c r="C1138" s="617"/>
      <c r="D1138" s="887" t="s">
        <v>1827</v>
      </c>
      <c r="E1138" s="1679" t="s">
        <v>1407</v>
      </c>
      <c r="F1138" s="683"/>
      <c r="G1138" s="352">
        <v>76</v>
      </c>
      <c r="H1138" s="352">
        <v>76</v>
      </c>
      <c r="I1138" s="679">
        <f t="shared" ref="I1138:I1139" si="145">(H1138/G1138)*100</f>
        <v>100</v>
      </c>
    </row>
    <row r="1139" spans="1:23" ht="14.25" x14ac:dyDescent="0.2">
      <c r="A1139" s="420"/>
      <c r="B1139" s="617"/>
      <c r="C1139" s="617"/>
      <c r="D1139" s="887" t="s">
        <v>1818</v>
      </c>
      <c r="E1139" s="1963" t="s">
        <v>1600</v>
      </c>
      <c r="F1139" s="310"/>
      <c r="G1139" s="312">
        <v>181</v>
      </c>
      <c r="H1139" s="312">
        <v>181</v>
      </c>
      <c r="I1139" s="893">
        <f t="shared" si="145"/>
        <v>100</v>
      </c>
    </row>
    <row r="1140" spans="1:23" ht="15" x14ac:dyDescent="0.2">
      <c r="A1140" s="420"/>
      <c r="B1140" s="617"/>
      <c r="C1140" s="617"/>
      <c r="D1140" s="887" t="s">
        <v>1808</v>
      </c>
      <c r="E1140" s="1676" t="s">
        <v>1739</v>
      </c>
      <c r="F1140" s="1964"/>
      <c r="G1140" s="1965">
        <v>1145</v>
      </c>
      <c r="H1140" s="1965">
        <v>1145</v>
      </c>
      <c r="I1140" s="368">
        <f t="shared" ref="I1140:I1141" si="146">(H1140/G1140)*100</f>
        <v>100</v>
      </c>
    </row>
    <row r="1141" spans="1:23" ht="28.5" x14ac:dyDescent="0.2">
      <c r="A1141" s="420"/>
      <c r="B1141" s="617"/>
      <c r="C1141" s="617"/>
      <c r="D1141" s="887" t="s">
        <v>1809</v>
      </c>
      <c r="E1141" s="2874" t="s">
        <v>1810</v>
      </c>
      <c r="F1141" s="1964"/>
      <c r="G1141" s="2031">
        <v>210</v>
      </c>
      <c r="H1141" s="2031">
        <v>210</v>
      </c>
      <c r="I1141" s="1234">
        <f t="shared" si="146"/>
        <v>100</v>
      </c>
    </row>
    <row r="1142" spans="1:23" ht="14.25" x14ac:dyDescent="0.2">
      <c r="A1142" s="420"/>
      <c r="B1142" s="617"/>
      <c r="C1142" s="617"/>
      <c r="D1142" s="518" t="s">
        <v>1807</v>
      </c>
      <c r="E1142" s="442" t="s">
        <v>716</v>
      </c>
      <c r="F1142" s="683"/>
      <c r="G1142" s="683">
        <v>31701</v>
      </c>
      <c r="H1142" s="683">
        <v>31701</v>
      </c>
      <c r="I1142" s="679">
        <f t="shared" si="143"/>
        <v>100</v>
      </c>
    </row>
    <row r="1143" spans="1:23" ht="14.25" x14ac:dyDescent="0.2">
      <c r="A1143" s="420"/>
      <c r="B1143" s="651"/>
      <c r="C1143" s="651"/>
      <c r="D1143" s="518" t="s">
        <v>1813</v>
      </c>
      <c r="E1143" s="1162" t="s">
        <v>1815</v>
      </c>
      <c r="F1143" s="689"/>
      <c r="G1143" s="689">
        <v>79</v>
      </c>
      <c r="H1143" s="689">
        <v>79</v>
      </c>
      <c r="I1143" s="679">
        <f t="shared" si="143"/>
        <v>100</v>
      </c>
    </row>
    <row r="1144" spans="1:23" ht="14.25" x14ac:dyDescent="0.2">
      <c r="A1144" s="420"/>
      <c r="B1144" s="651"/>
      <c r="C1144" s="651"/>
      <c r="D1144" s="518" t="s">
        <v>1814</v>
      </c>
      <c r="E1144" s="1162" t="s">
        <v>1815</v>
      </c>
      <c r="F1144" s="689"/>
      <c r="G1144" s="689">
        <v>446</v>
      </c>
      <c r="H1144" s="689">
        <v>446</v>
      </c>
      <c r="I1144" s="679">
        <f t="shared" si="143"/>
        <v>100</v>
      </c>
    </row>
    <row r="1145" spans="1:23" ht="15" x14ac:dyDescent="0.25">
      <c r="A1145" s="420">
        <v>1135</v>
      </c>
      <c r="B1145" s="651">
        <v>3141</v>
      </c>
      <c r="C1145" s="1128">
        <v>5336</v>
      </c>
      <c r="D1145" s="518"/>
      <c r="E1145" s="616" t="s">
        <v>1740</v>
      </c>
      <c r="F1145" s="689"/>
      <c r="G1145" s="700">
        <f>G1146</f>
        <v>1323</v>
      </c>
      <c r="H1145" s="700">
        <f>H1146</f>
        <v>1323</v>
      </c>
      <c r="I1145" s="691">
        <f t="shared" si="143"/>
        <v>100</v>
      </c>
    </row>
    <row r="1146" spans="1:23" ht="14.25" x14ac:dyDescent="0.2">
      <c r="A1146" s="420"/>
      <c r="B1146" s="651"/>
      <c r="C1146" s="1128"/>
      <c r="D1146" s="518" t="s">
        <v>1807</v>
      </c>
      <c r="E1146" s="442" t="s">
        <v>716</v>
      </c>
      <c r="F1146" s="689"/>
      <c r="G1146" s="689">
        <v>1323</v>
      </c>
      <c r="H1146" s="689">
        <v>1323</v>
      </c>
      <c r="I1146" s="684">
        <f t="shared" si="143"/>
        <v>100</v>
      </c>
    </row>
    <row r="1147" spans="1:23" ht="15" customHeight="1" x14ac:dyDescent="0.25">
      <c r="A1147" s="420">
        <v>1135</v>
      </c>
      <c r="B1147" s="651">
        <v>3147</v>
      </c>
      <c r="C1147" s="1128">
        <v>5336</v>
      </c>
      <c r="D1147" s="518"/>
      <c r="E1147" s="616" t="s">
        <v>1740</v>
      </c>
      <c r="F1147" s="692"/>
      <c r="G1147" s="700">
        <f>G1148</f>
        <v>3195</v>
      </c>
      <c r="H1147" s="700">
        <f>H1148</f>
        <v>3195</v>
      </c>
      <c r="I1147" s="693">
        <f t="shared" si="143"/>
        <v>100</v>
      </c>
    </row>
    <row r="1148" spans="1:23" ht="13.5" customHeight="1" x14ac:dyDescent="0.2">
      <c r="A1148" s="420"/>
      <c r="B1148" s="651"/>
      <c r="C1148" s="1128"/>
      <c r="D1148" s="518" t="s">
        <v>1807</v>
      </c>
      <c r="E1148" s="442" t="s">
        <v>716</v>
      </c>
      <c r="F1148" s="689"/>
      <c r="G1148" s="689">
        <v>3195</v>
      </c>
      <c r="H1148" s="689">
        <v>3195</v>
      </c>
      <c r="I1148" s="684">
        <f t="shared" si="143"/>
        <v>100</v>
      </c>
    </row>
    <row r="1149" spans="1:23" ht="15" x14ac:dyDescent="0.25">
      <c r="A1149" s="420">
        <v>1135</v>
      </c>
      <c r="B1149" s="651">
        <v>3150</v>
      </c>
      <c r="C1149" s="651">
        <v>5336</v>
      </c>
      <c r="D1149" s="518"/>
      <c r="E1149" s="616" t="s">
        <v>1740</v>
      </c>
      <c r="F1149" s="689"/>
      <c r="G1149" s="700">
        <f>G1150</f>
        <v>5633</v>
      </c>
      <c r="H1149" s="700">
        <f>H1150</f>
        <v>5633</v>
      </c>
      <c r="I1149" s="693">
        <f t="shared" si="143"/>
        <v>100</v>
      </c>
    </row>
    <row r="1150" spans="1:23" ht="15" thickBot="1" x14ac:dyDescent="0.25">
      <c r="A1150" s="420"/>
      <c r="B1150" s="651"/>
      <c r="C1150" s="1128"/>
      <c r="D1150" s="518" t="s">
        <v>1807</v>
      </c>
      <c r="E1150" s="442" t="s">
        <v>716</v>
      </c>
      <c r="F1150" s="689"/>
      <c r="G1150" s="689">
        <v>5633</v>
      </c>
      <c r="H1150" s="689">
        <v>5633</v>
      </c>
      <c r="I1150" s="684">
        <f t="shared" si="143"/>
        <v>100</v>
      </c>
    </row>
    <row r="1151" spans="1:23" ht="16.5" thickTop="1" thickBot="1" x14ac:dyDescent="0.3">
      <c r="A1151" s="3110" t="s">
        <v>1000</v>
      </c>
      <c r="B1151" s="3111"/>
      <c r="C1151" s="3111"/>
      <c r="D1151" s="3111"/>
      <c r="E1151" s="3111"/>
      <c r="F1151" s="680">
        <f>F1129</f>
        <v>8097</v>
      </c>
      <c r="G1151" s="680">
        <f>G1149+G1147+G1145+G1134+G1129</f>
        <v>45569</v>
      </c>
      <c r="H1151" s="680">
        <f>H1149+H1147+H1145+H1134+H1129</f>
        <v>45569</v>
      </c>
      <c r="I1151" s="681">
        <f t="shared" si="143"/>
        <v>100</v>
      </c>
      <c r="R1151" s="374">
        <f>F1151</f>
        <v>8097</v>
      </c>
      <c r="S1151" s="374">
        <f>G1151</f>
        <v>45569</v>
      </c>
      <c r="T1151" s="374">
        <f>H1151</f>
        <v>45569</v>
      </c>
    </row>
    <row r="1152" spans="1:23" ht="15.75" thickTop="1" x14ac:dyDescent="0.25">
      <c r="A1152" s="361"/>
      <c r="B1152" s="361"/>
      <c r="C1152" s="361"/>
      <c r="D1152" s="361"/>
      <c r="E1152" s="361"/>
      <c r="F1152" s="180"/>
      <c r="G1152" s="180"/>
      <c r="H1152" s="180"/>
      <c r="I1152" s="211"/>
      <c r="J1152" s="374"/>
      <c r="K1152" s="374"/>
      <c r="L1152" s="374"/>
      <c r="R1152" s="374"/>
      <c r="S1152" s="374"/>
      <c r="T1152" s="374"/>
      <c r="U1152" s="374"/>
      <c r="V1152" s="374"/>
      <c r="W1152" s="374"/>
    </row>
    <row r="1153" spans="1:9" ht="13.5" thickBot="1" x14ac:dyDescent="0.25">
      <c r="A1153" s="421" t="s">
        <v>479</v>
      </c>
      <c r="I1153" s="1125" t="s">
        <v>148</v>
      </c>
    </row>
    <row r="1154" spans="1:9" s="106" customFormat="1" thickTop="1" thickBot="1" x14ac:dyDescent="0.25">
      <c r="A1154" s="586" t="s">
        <v>565</v>
      </c>
      <c r="B1154" s="658" t="s">
        <v>149</v>
      </c>
      <c r="C1154" s="587" t="s">
        <v>150</v>
      </c>
      <c r="D1154" s="589" t="s">
        <v>639</v>
      </c>
      <c r="E1154" s="589" t="s">
        <v>151</v>
      </c>
      <c r="F1154" s="589" t="s">
        <v>569</v>
      </c>
      <c r="G1154" s="589" t="s">
        <v>570</v>
      </c>
      <c r="H1154" s="589" t="s">
        <v>797</v>
      </c>
      <c r="I1154" s="674" t="s">
        <v>798</v>
      </c>
    </row>
    <row r="1155" spans="1:9" s="375" customFormat="1" ht="13.5" thickTop="1" thickBot="1" x14ac:dyDescent="0.25">
      <c r="A1155" s="525">
        <v>1</v>
      </c>
      <c r="B1155" s="526">
        <v>2</v>
      </c>
      <c r="C1155" s="526">
        <v>3</v>
      </c>
      <c r="D1155" s="526">
        <v>4</v>
      </c>
      <c r="E1155" s="526">
        <v>5</v>
      </c>
      <c r="F1155" s="512">
        <v>6</v>
      </c>
      <c r="G1155" s="512">
        <v>7</v>
      </c>
      <c r="H1155" s="513">
        <v>8</v>
      </c>
      <c r="I1155" s="591" t="s">
        <v>689</v>
      </c>
    </row>
    <row r="1156" spans="1:9" ht="15.75" thickTop="1" x14ac:dyDescent="0.25">
      <c r="A1156" s="420">
        <v>1136</v>
      </c>
      <c r="B1156" s="651">
        <v>3122</v>
      </c>
      <c r="C1156" s="1128">
        <v>5336</v>
      </c>
      <c r="D1156" s="1972"/>
      <c r="E1156" s="616" t="s">
        <v>1740</v>
      </c>
      <c r="F1156" s="689"/>
      <c r="G1156" s="700">
        <f>G1157</f>
        <v>3328</v>
      </c>
      <c r="H1156" s="700">
        <f>H1157</f>
        <v>3328</v>
      </c>
      <c r="I1156" s="707">
        <f t="shared" ref="I1156:I1177" si="147">(H1156/G1156)*100</f>
        <v>100</v>
      </c>
    </row>
    <row r="1157" spans="1:9" ht="14.25" x14ac:dyDescent="0.2">
      <c r="A1157" s="420"/>
      <c r="B1157" s="651"/>
      <c r="C1157" s="1128"/>
      <c r="D1157" s="518" t="s">
        <v>1807</v>
      </c>
      <c r="E1157" s="442" t="s">
        <v>716</v>
      </c>
      <c r="F1157" s="689"/>
      <c r="G1157" s="689">
        <v>3328</v>
      </c>
      <c r="H1157" s="689">
        <v>3328</v>
      </c>
      <c r="I1157" s="684">
        <f t="shared" si="147"/>
        <v>100</v>
      </c>
    </row>
    <row r="1158" spans="1:9" ht="15" x14ac:dyDescent="0.25">
      <c r="A1158" s="420">
        <v>1136</v>
      </c>
      <c r="B1158" s="651">
        <v>3123</v>
      </c>
      <c r="C1158" s="651">
        <v>5336</v>
      </c>
      <c r="D1158" s="518"/>
      <c r="E1158" s="616" t="s">
        <v>1740</v>
      </c>
      <c r="F1158" s="689"/>
      <c r="G1158" s="700">
        <f>G1159+G1160</f>
        <v>14510</v>
      </c>
      <c r="H1158" s="700">
        <f>H1159+H1160</f>
        <v>14510</v>
      </c>
      <c r="I1158" s="693">
        <f t="shared" si="147"/>
        <v>100</v>
      </c>
    </row>
    <row r="1159" spans="1:9" ht="28.5" x14ac:dyDescent="0.2">
      <c r="A1159" s="420"/>
      <c r="B1159" s="651"/>
      <c r="C1159" s="651"/>
      <c r="D1159" s="887" t="s">
        <v>1809</v>
      </c>
      <c r="E1159" s="2874" t="s">
        <v>1810</v>
      </c>
      <c r="F1159" s="689"/>
      <c r="G1159" s="1062">
        <v>109</v>
      </c>
      <c r="H1159" s="1062">
        <v>109</v>
      </c>
      <c r="I1159" s="1066">
        <f t="shared" ref="I1159" si="148">(H1159/G1159)*100</f>
        <v>100</v>
      </c>
    </row>
    <row r="1160" spans="1:9" ht="14.25" x14ac:dyDescent="0.2">
      <c r="A1160" s="420"/>
      <c r="B1160" s="651"/>
      <c r="C1160" s="651"/>
      <c r="D1160" s="518" t="s">
        <v>1807</v>
      </c>
      <c r="E1160" s="442" t="s">
        <v>716</v>
      </c>
      <c r="F1160" s="689"/>
      <c r="G1160" s="689">
        <v>14401</v>
      </c>
      <c r="H1160" s="689">
        <v>14401</v>
      </c>
      <c r="I1160" s="684">
        <f t="shared" si="147"/>
        <v>100</v>
      </c>
    </row>
    <row r="1161" spans="1:9" ht="15" x14ac:dyDescent="0.25">
      <c r="A1161" s="420">
        <v>1136</v>
      </c>
      <c r="B1161" s="651">
        <v>3127</v>
      </c>
      <c r="C1161" s="651">
        <v>5331</v>
      </c>
      <c r="D1161" s="712"/>
      <c r="E1161" s="616" t="s">
        <v>858</v>
      </c>
      <c r="F1161" s="700">
        <f>F1162+F1163</f>
        <v>6765</v>
      </c>
      <c r="G1161" s="700">
        <f t="shared" ref="G1161:H1161" si="149">G1162+G1163</f>
        <v>1128</v>
      </c>
      <c r="H1161" s="700">
        <f t="shared" si="149"/>
        <v>1128</v>
      </c>
      <c r="I1161" s="691">
        <f t="shared" si="147"/>
        <v>100</v>
      </c>
    </row>
    <row r="1162" spans="1:9" ht="14.25" x14ac:dyDescent="0.2">
      <c r="A1162" s="420"/>
      <c r="B1162" s="651"/>
      <c r="C1162" s="651"/>
      <c r="D1162" s="636" t="s">
        <v>1811</v>
      </c>
      <c r="E1162" s="1162" t="s">
        <v>717</v>
      </c>
      <c r="F1162" s="689">
        <v>1083</v>
      </c>
      <c r="G1162" s="689">
        <v>180</v>
      </c>
      <c r="H1162" s="689">
        <v>180</v>
      </c>
      <c r="I1162" s="684">
        <f t="shared" si="147"/>
        <v>100</v>
      </c>
    </row>
    <row r="1163" spans="1:9" ht="14.25" x14ac:dyDescent="0.2">
      <c r="A1163" s="420"/>
      <c r="B1163" s="651"/>
      <c r="C1163" s="651"/>
      <c r="D1163" s="518" t="s">
        <v>1812</v>
      </c>
      <c r="E1163" s="442" t="s">
        <v>63</v>
      </c>
      <c r="F1163" s="689">
        <v>5682</v>
      </c>
      <c r="G1163" s="689">
        <v>948</v>
      </c>
      <c r="H1163" s="689">
        <v>948</v>
      </c>
      <c r="I1163" s="684">
        <f t="shared" si="147"/>
        <v>100</v>
      </c>
    </row>
    <row r="1164" spans="1:9" ht="15" x14ac:dyDescent="0.25">
      <c r="A1164" s="420">
        <v>1136</v>
      </c>
      <c r="B1164" s="651">
        <v>3127</v>
      </c>
      <c r="C1164" s="651">
        <v>5336</v>
      </c>
      <c r="D1164" s="518"/>
      <c r="E1164" s="616" t="s">
        <v>1740</v>
      </c>
      <c r="F1164" s="689"/>
      <c r="G1164" s="700">
        <f>G1165+G1166+G1167+G1168</f>
        <v>1108</v>
      </c>
      <c r="H1164" s="700">
        <f>H1165+H1166+H1167+H1168</f>
        <v>1108</v>
      </c>
      <c r="I1164" s="691">
        <f t="shared" si="147"/>
        <v>100</v>
      </c>
    </row>
    <row r="1165" spans="1:9" ht="14.25" x14ac:dyDescent="0.2">
      <c r="A1165" s="420"/>
      <c r="B1165" s="651"/>
      <c r="C1165" s="651"/>
      <c r="D1165" s="887" t="s">
        <v>1818</v>
      </c>
      <c r="E1165" s="1963" t="s">
        <v>1600</v>
      </c>
      <c r="F1165" s="689"/>
      <c r="G1165" s="689">
        <v>171</v>
      </c>
      <c r="H1165" s="689">
        <v>171</v>
      </c>
      <c r="I1165" s="684">
        <f t="shared" si="147"/>
        <v>100</v>
      </c>
    </row>
    <row r="1166" spans="1:9" ht="14.25" x14ac:dyDescent="0.2">
      <c r="A1166" s="420"/>
      <c r="B1166" s="651"/>
      <c r="C1166" s="651"/>
      <c r="D1166" s="887" t="s">
        <v>1808</v>
      </c>
      <c r="E1166" s="1676" t="s">
        <v>1739</v>
      </c>
      <c r="F1166" s="689"/>
      <c r="G1166" s="689">
        <v>629</v>
      </c>
      <c r="H1166" s="689">
        <v>629</v>
      </c>
      <c r="I1166" s="684">
        <f t="shared" si="147"/>
        <v>100</v>
      </c>
    </row>
    <row r="1167" spans="1:9" ht="14.25" x14ac:dyDescent="0.2">
      <c r="A1167" s="420"/>
      <c r="B1167" s="651"/>
      <c r="C1167" s="651"/>
      <c r="D1167" s="518" t="s">
        <v>1813</v>
      </c>
      <c r="E1167" s="1162" t="s">
        <v>1815</v>
      </c>
      <c r="F1167" s="689"/>
      <c r="G1167" s="689">
        <v>46</v>
      </c>
      <c r="H1167" s="689">
        <v>46</v>
      </c>
      <c r="I1167" s="684">
        <f t="shared" si="147"/>
        <v>100</v>
      </c>
    </row>
    <row r="1168" spans="1:9" ht="14.25" x14ac:dyDescent="0.2">
      <c r="A1168" s="420"/>
      <c r="B1168" s="651"/>
      <c r="C1168" s="651"/>
      <c r="D1168" s="518" t="s">
        <v>1814</v>
      </c>
      <c r="E1168" s="1162" t="s">
        <v>1815</v>
      </c>
      <c r="F1168" s="689"/>
      <c r="G1168" s="689">
        <v>262</v>
      </c>
      <c r="H1168" s="689">
        <v>262</v>
      </c>
      <c r="I1168" s="684">
        <f t="shared" si="147"/>
        <v>100</v>
      </c>
    </row>
    <row r="1169" spans="1:20" ht="15" x14ac:dyDescent="0.25">
      <c r="A1169" s="420">
        <v>1136</v>
      </c>
      <c r="B1169" s="651">
        <v>3141</v>
      </c>
      <c r="C1169" s="651">
        <v>5336</v>
      </c>
      <c r="D1169" s="518"/>
      <c r="E1169" s="616" t="s">
        <v>1740</v>
      </c>
      <c r="F1169" s="689"/>
      <c r="G1169" s="700">
        <f>G1170</f>
        <v>89</v>
      </c>
      <c r="H1169" s="700">
        <f>H1170</f>
        <v>89</v>
      </c>
      <c r="I1169" s="693">
        <f t="shared" si="147"/>
        <v>100</v>
      </c>
    </row>
    <row r="1170" spans="1:20" ht="17.25" customHeight="1" x14ac:dyDescent="0.2">
      <c r="A1170" s="420"/>
      <c r="B1170" s="651"/>
      <c r="C1170" s="651"/>
      <c r="D1170" s="518" t="s">
        <v>1807</v>
      </c>
      <c r="E1170" s="442" t="s">
        <v>716</v>
      </c>
      <c r="F1170" s="689"/>
      <c r="G1170" s="689">
        <v>89</v>
      </c>
      <c r="H1170" s="689">
        <v>89</v>
      </c>
      <c r="I1170" s="684">
        <f t="shared" si="147"/>
        <v>100</v>
      </c>
    </row>
    <row r="1171" spans="1:20" ht="15" x14ac:dyDescent="0.25">
      <c r="A1171" s="420">
        <v>1136</v>
      </c>
      <c r="B1171" s="651">
        <v>3147</v>
      </c>
      <c r="C1171" s="1128">
        <v>5336</v>
      </c>
      <c r="D1171" s="518"/>
      <c r="E1171" s="616" t="s">
        <v>1740</v>
      </c>
      <c r="F1171" s="689"/>
      <c r="G1171" s="700">
        <f>G1172</f>
        <v>1967</v>
      </c>
      <c r="H1171" s="700">
        <f>H1172</f>
        <v>1967</v>
      </c>
      <c r="I1171" s="693">
        <f t="shared" si="147"/>
        <v>100</v>
      </c>
    </row>
    <row r="1172" spans="1:20" ht="14.25" x14ac:dyDescent="0.2">
      <c r="A1172" s="420"/>
      <c r="B1172" s="651"/>
      <c r="C1172" s="1128"/>
      <c r="D1172" s="518" t="s">
        <v>1807</v>
      </c>
      <c r="E1172" s="442" t="s">
        <v>716</v>
      </c>
      <c r="F1172" s="689"/>
      <c r="G1172" s="689">
        <v>1967</v>
      </c>
      <c r="H1172" s="689">
        <v>1967</v>
      </c>
      <c r="I1172" s="684">
        <f t="shared" si="147"/>
        <v>100</v>
      </c>
    </row>
    <row r="1173" spans="1:20" ht="15" x14ac:dyDescent="0.25">
      <c r="A1173" s="420">
        <v>1136</v>
      </c>
      <c r="B1173" s="651">
        <v>3150</v>
      </c>
      <c r="C1173" s="651">
        <v>5336</v>
      </c>
      <c r="D1173" s="518"/>
      <c r="E1173" s="616" t="s">
        <v>1740</v>
      </c>
      <c r="F1173" s="690"/>
      <c r="G1173" s="690">
        <f>G1174</f>
        <v>1832</v>
      </c>
      <c r="H1173" s="690">
        <f>H1174</f>
        <v>1832</v>
      </c>
      <c r="I1173" s="691">
        <f t="shared" si="147"/>
        <v>100</v>
      </c>
    </row>
    <row r="1174" spans="1:20" ht="14.25" x14ac:dyDescent="0.2">
      <c r="A1174" s="420"/>
      <c r="B1174" s="651"/>
      <c r="C1174" s="1128"/>
      <c r="D1174" s="518" t="s">
        <v>1807</v>
      </c>
      <c r="E1174" s="442" t="s">
        <v>716</v>
      </c>
      <c r="F1174" s="689"/>
      <c r="G1174" s="689">
        <v>1832</v>
      </c>
      <c r="H1174" s="689">
        <v>1832</v>
      </c>
      <c r="I1174" s="684">
        <f t="shared" si="147"/>
        <v>100</v>
      </c>
    </row>
    <row r="1175" spans="1:20" ht="15" x14ac:dyDescent="0.25">
      <c r="A1175" s="420">
        <v>1136</v>
      </c>
      <c r="B1175" s="651">
        <v>3299</v>
      </c>
      <c r="C1175" s="651">
        <v>5331</v>
      </c>
      <c r="D1175" s="518"/>
      <c r="E1175" s="616" t="s">
        <v>858</v>
      </c>
      <c r="F1175" s="689"/>
      <c r="G1175" s="700">
        <f>G1176</f>
        <v>5</v>
      </c>
      <c r="H1175" s="700">
        <f>H1176</f>
        <v>5</v>
      </c>
      <c r="I1175" s="693">
        <f t="shared" si="147"/>
        <v>100</v>
      </c>
    </row>
    <row r="1176" spans="1:20" ht="15" thickBot="1" x14ac:dyDescent="0.25">
      <c r="A1176" s="420"/>
      <c r="B1176" s="651"/>
      <c r="C1176" s="1128"/>
      <c r="D1176" s="1068" t="s">
        <v>1830</v>
      </c>
      <c r="E1176" s="446" t="s">
        <v>1011</v>
      </c>
      <c r="F1176" s="689"/>
      <c r="G1176" s="689">
        <v>5</v>
      </c>
      <c r="H1176" s="689">
        <v>5</v>
      </c>
      <c r="I1176" s="684">
        <f t="shared" si="147"/>
        <v>100</v>
      </c>
    </row>
    <row r="1177" spans="1:20" ht="16.5" thickTop="1" thickBot="1" x14ac:dyDescent="0.3">
      <c r="A1177" s="3110" t="s">
        <v>1000</v>
      </c>
      <c r="B1177" s="3111"/>
      <c r="C1177" s="3111"/>
      <c r="D1177" s="3111"/>
      <c r="E1177" s="3111"/>
      <c r="F1177" s="680">
        <f>F1161</f>
        <v>6765</v>
      </c>
      <c r="G1177" s="680">
        <f>G1175+G1173+G1171+G1169+G1164+G1161+G1158+G1156</f>
        <v>23967</v>
      </c>
      <c r="H1177" s="680">
        <f>H1175+H1173+H1171+H1169+H1164+H1161+H1158+H1156</f>
        <v>23967</v>
      </c>
      <c r="I1177" s="681">
        <f t="shared" si="147"/>
        <v>100</v>
      </c>
      <c r="R1177" s="374">
        <f>F1177</f>
        <v>6765</v>
      </c>
      <c r="S1177" s="374">
        <f>G1177</f>
        <v>23967</v>
      </c>
      <c r="T1177" s="374">
        <f>H1177</f>
        <v>23967</v>
      </c>
    </row>
    <row r="1178" spans="1:20" ht="15.75" thickTop="1" x14ac:dyDescent="0.25">
      <c r="A1178" s="361"/>
      <c r="B1178" s="361"/>
      <c r="C1178" s="361"/>
      <c r="D1178" s="361"/>
      <c r="E1178" s="361"/>
      <c r="F1178" s="178"/>
      <c r="G1178" s="178"/>
      <c r="H1178" s="178"/>
      <c r="I1178" s="207"/>
      <c r="R1178" s="374"/>
      <c r="S1178" s="374"/>
      <c r="T1178" s="374"/>
    </row>
    <row r="1179" spans="1:20" ht="15" x14ac:dyDescent="0.25">
      <c r="A1179" s="361"/>
      <c r="B1179" s="361"/>
      <c r="C1179" s="361"/>
      <c r="D1179" s="361"/>
      <c r="E1179" s="361"/>
      <c r="F1179" s="178"/>
      <c r="G1179" s="178"/>
      <c r="H1179" s="178"/>
      <c r="I1179" s="207"/>
      <c r="R1179" s="374"/>
      <c r="S1179" s="374"/>
      <c r="T1179" s="374"/>
    </row>
    <row r="1180" spans="1:20" ht="13.5" thickBot="1" x14ac:dyDescent="0.25">
      <c r="A1180" s="421" t="s">
        <v>470</v>
      </c>
      <c r="I1180" s="1125" t="s">
        <v>148</v>
      </c>
    </row>
    <row r="1181" spans="1:20" s="106" customFormat="1" thickTop="1" thickBot="1" x14ac:dyDescent="0.25">
      <c r="A1181" s="586" t="s">
        <v>565</v>
      </c>
      <c r="B1181" s="658" t="s">
        <v>149</v>
      </c>
      <c r="C1181" s="587" t="s">
        <v>150</v>
      </c>
      <c r="D1181" s="589" t="s">
        <v>639</v>
      </c>
      <c r="E1181" s="589" t="s">
        <v>151</v>
      </c>
      <c r="F1181" s="589" t="s">
        <v>569</v>
      </c>
      <c r="G1181" s="589" t="s">
        <v>570</v>
      </c>
      <c r="H1181" s="589" t="s">
        <v>797</v>
      </c>
      <c r="I1181" s="674" t="s">
        <v>798</v>
      </c>
    </row>
    <row r="1182" spans="1:20" s="375" customFormat="1" ht="13.5" thickTop="1" thickBot="1" x14ac:dyDescent="0.25">
      <c r="A1182" s="525">
        <v>1</v>
      </c>
      <c r="B1182" s="526">
        <v>2</v>
      </c>
      <c r="C1182" s="526">
        <v>3</v>
      </c>
      <c r="D1182" s="526">
        <v>4</v>
      </c>
      <c r="E1182" s="526">
        <v>5</v>
      </c>
      <c r="F1182" s="512">
        <v>6</v>
      </c>
      <c r="G1182" s="512">
        <v>7</v>
      </c>
      <c r="H1182" s="513">
        <v>8</v>
      </c>
      <c r="I1182" s="591" t="s">
        <v>689</v>
      </c>
    </row>
    <row r="1183" spans="1:20" ht="15.75" thickTop="1" x14ac:dyDescent="0.25">
      <c r="A1183" s="1126">
        <v>1137</v>
      </c>
      <c r="B1183" s="659">
        <v>3122</v>
      </c>
      <c r="C1183" s="659">
        <v>5331</v>
      </c>
      <c r="D1183" s="694"/>
      <c r="E1183" s="713" t="s">
        <v>858</v>
      </c>
      <c r="F1183" s="714">
        <f>F1184+F1185</f>
        <v>1951</v>
      </c>
      <c r="G1183" s="714">
        <f>G1184+G1185+G1186</f>
        <v>357</v>
      </c>
      <c r="H1183" s="714">
        <f>H1184+H1185+H1186</f>
        <v>357</v>
      </c>
      <c r="I1183" s="682">
        <f t="shared" ref="I1183:I1195" si="150">(H1183/G1183)*100</f>
        <v>100</v>
      </c>
    </row>
    <row r="1184" spans="1:20" ht="14.25" x14ac:dyDescent="0.2">
      <c r="A1184" s="420"/>
      <c r="B1184" s="617"/>
      <c r="C1184" s="617"/>
      <c r="D1184" s="636" t="s">
        <v>1811</v>
      </c>
      <c r="E1184" s="1162" t="s">
        <v>717</v>
      </c>
      <c r="F1184" s="683">
        <v>363</v>
      </c>
      <c r="G1184" s="683">
        <v>60</v>
      </c>
      <c r="H1184" s="683">
        <v>60</v>
      </c>
      <c r="I1184" s="679">
        <f t="shared" si="150"/>
        <v>100</v>
      </c>
    </row>
    <row r="1185" spans="1:20" ht="14.25" x14ac:dyDescent="0.2">
      <c r="A1185" s="420"/>
      <c r="B1185" s="617"/>
      <c r="C1185" s="617"/>
      <c r="D1185" s="518" t="s">
        <v>1812</v>
      </c>
      <c r="E1185" s="442" t="s">
        <v>63</v>
      </c>
      <c r="F1185" s="683">
        <v>1588</v>
      </c>
      <c r="G1185" s="683">
        <v>264</v>
      </c>
      <c r="H1185" s="683">
        <v>264</v>
      </c>
      <c r="I1185" s="679">
        <f t="shared" si="150"/>
        <v>100</v>
      </c>
    </row>
    <row r="1186" spans="1:20" ht="14.25" x14ac:dyDescent="0.2">
      <c r="A1186" s="420"/>
      <c r="B1186" s="651"/>
      <c r="C1186" s="651"/>
      <c r="D1186" s="518" t="s">
        <v>1837</v>
      </c>
      <c r="E1186" s="721" t="s">
        <v>1644</v>
      </c>
      <c r="F1186" s="689"/>
      <c r="G1186" s="689">
        <v>33</v>
      </c>
      <c r="H1186" s="689">
        <v>33</v>
      </c>
      <c r="I1186" s="679">
        <f t="shared" si="150"/>
        <v>100</v>
      </c>
    </row>
    <row r="1187" spans="1:20" ht="15" x14ac:dyDescent="0.25">
      <c r="A1187" s="420">
        <v>1137</v>
      </c>
      <c r="B1187" s="651">
        <v>3122</v>
      </c>
      <c r="C1187" s="651">
        <v>5336</v>
      </c>
      <c r="D1187" s="1972"/>
      <c r="E1187" s="616" t="s">
        <v>1740</v>
      </c>
      <c r="F1187" s="689"/>
      <c r="G1187" s="700">
        <f>G1188+G1189+G1190+G1191+G1192</f>
        <v>9202</v>
      </c>
      <c r="H1187" s="700">
        <f>H1188+H1189+H1190+H1191+H1192</f>
        <v>9202</v>
      </c>
      <c r="I1187" s="693">
        <f t="shared" si="150"/>
        <v>100</v>
      </c>
    </row>
    <row r="1188" spans="1:20" ht="15" x14ac:dyDescent="0.2">
      <c r="A1188" s="420"/>
      <c r="B1188" s="651"/>
      <c r="C1188" s="651"/>
      <c r="D1188" s="887" t="s">
        <v>1808</v>
      </c>
      <c r="E1188" s="1676" t="s">
        <v>1739</v>
      </c>
      <c r="F1188" s="1964"/>
      <c r="G1188" s="1965">
        <v>288</v>
      </c>
      <c r="H1188" s="1965">
        <v>288</v>
      </c>
      <c r="I1188" s="368">
        <f t="shared" ref="I1188:I1189" si="151">(H1188/G1188)*100</f>
        <v>100</v>
      </c>
    </row>
    <row r="1189" spans="1:20" ht="28.5" x14ac:dyDescent="0.2">
      <c r="A1189" s="420"/>
      <c r="B1189" s="651"/>
      <c r="C1189" s="651"/>
      <c r="D1189" s="887" t="s">
        <v>1809</v>
      </c>
      <c r="E1189" s="2874" t="s">
        <v>1810</v>
      </c>
      <c r="F1189" s="1964"/>
      <c r="G1189" s="2031">
        <v>43</v>
      </c>
      <c r="H1189" s="2031">
        <v>43</v>
      </c>
      <c r="I1189" s="1234">
        <f t="shared" si="151"/>
        <v>100</v>
      </c>
    </row>
    <row r="1190" spans="1:20" ht="14.25" x14ac:dyDescent="0.2">
      <c r="A1190" s="420"/>
      <c r="B1190" s="651"/>
      <c r="C1190" s="1128"/>
      <c r="D1190" s="518" t="s">
        <v>1807</v>
      </c>
      <c r="E1190" s="442" t="s">
        <v>716</v>
      </c>
      <c r="F1190" s="689"/>
      <c r="G1190" s="689">
        <v>8411</v>
      </c>
      <c r="H1190" s="689">
        <v>8411</v>
      </c>
      <c r="I1190" s="684">
        <f t="shared" si="150"/>
        <v>100</v>
      </c>
    </row>
    <row r="1191" spans="1:20" ht="14.25" x14ac:dyDescent="0.2">
      <c r="A1191" s="420"/>
      <c r="B1191" s="651"/>
      <c r="C1191" s="1128"/>
      <c r="D1191" s="518" t="s">
        <v>1813</v>
      </c>
      <c r="E1191" s="1162" t="s">
        <v>1815</v>
      </c>
      <c r="F1191" s="689"/>
      <c r="G1191" s="689">
        <v>69</v>
      </c>
      <c r="H1191" s="689">
        <v>69</v>
      </c>
      <c r="I1191" s="684">
        <f t="shared" si="150"/>
        <v>100</v>
      </c>
    </row>
    <row r="1192" spans="1:20" ht="14.25" x14ac:dyDescent="0.2">
      <c r="A1192" s="420"/>
      <c r="B1192" s="651"/>
      <c r="C1192" s="1128"/>
      <c r="D1192" s="518" t="s">
        <v>1814</v>
      </c>
      <c r="E1192" s="1162" t="s">
        <v>1815</v>
      </c>
      <c r="F1192" s="689"/>
      <c r="G1192" s="689">
        <v>391</v>
      </c>
      <c r="H1192" s="689">
        <v>391</v>
      </c>
      <c r="I1192" s="684">
        <f t="shared" si="150"/>
        <v>100</v>
      </c>
    </row>
    <row r="1193" spans="1:20" ht="15" x14ac:dyDescent="0.25">
      <c r="A1193" s="420">
        <v>1137</v>
      </c>
      <c r="B1193" s="651">
        <v>3293</v>
      </c>
      <c r="C1193" s="1128">
        <v>5336</v>
      </c>
      <c r="D1193" s="518"/>
      <c r="E1193" s="616" t="s">
        <v>1740</v>
      </c>
      <c r="F1193" s="689"/>
      <c r="G1193" s="700">
        <f>G1194</f>
        <v>8</v>
      </c>
      <c r="H1193" s="700">
        <f>H1194</f>
        <v>8</v>
      </c>
      <c r="I1193" s="693">
        <f t="shared" si="150"/>
        <v>100</v>
      </c>
    </row>
    <row r="1194" spans="1:20" ht="15" thickBot="1" x14ac:dyDescent="0.25">
      <c r="A1194" s="420"/>
      <c r="B1194" s="651"/>
      <c r="C1194" s="1128"/>
      <c r="D1194" s="1087" t="s">
        <v>1819</v>
      </c>
      <c r="E1194" s="1059" t="s">
        <v>1406</v>
      </c>
      <c r="F1194" s="689"/>
      <c r="G1194" s="689">
        <v>8</v>
      </c>
      <c r="H1194" s="689">
        <v>8</v>
      </c>
      <c r="I1194" s="684">
        <f t="shared" ref="I1194" si="152">(H1194/G1194)*100</f>
        <v>100</v>
      </c>
    </row>
    <row r="1195" spans="1:20" ht="16.5" thickTop="1" thickBot="1" x14ac:dyDescent="0.3">
      <c r="A1195" s="3110" t="s">
        <v>1000</v>
      </c>
      <c r="B1195" s="3111"/>
      <c r="C1195" s="3111"/>
      <c r="D1195" s="3111"/>
      <c r="E1195" s="3111"/>
      <c r="F1195" s="680">
        <f>F1183+F1187</f>
        <v>1951</v>
      </c>
      <c r="G1195" s="680">
        <f>G1183+G1187+G1193</f>
        <v>9567</v>
      </c>
      <c r="H1195" s="680">
        <f>H1183+H1187+H1193</f>
        <v>9567</v>
      </c>
      <c r="I1195" s="681">
        <f t="shared" si="150"/>
        <v>100</v>
      </c>
      <c r="R1195" s="374">
        <f>F1195</f>
        <v>1951</v>
      </c>
      <c r="S1195" s="374">
        <f>G1195</f>
        <v>9567</v>
      </c>
      <c r="T1195" s="374">
        <f>H1195</f>
        <v>9567</v>
      </c>
    </row>
    <row r="1196" spans="1:20" ht="13.5" thickTop="1" x14ac:dyDescent="0.2"/>
    <row r="1199" spans="1:20" ht="13.5" thickBot="1" x14ac:dyDescent="0.25">
      <c r="A1199" s="421" t="s">
        <v>471</v>
      </c>
      <c r="I1199" s="1125" t="s">
        <v>148</v>
      </c>
    </row>
    <row r="1200" spans="1:20" s="106" customFormat="1" thickTop="1" thickBot="1" x14ac:dyDescent="0.25">
      <c r="A1200" s="586" t="s">
        <v>565</v>
      </c>
      <c r="B1200" s="658" t="s">
        <v>149</v>
      </c>
      <c r="C1200" s="587" t="s">
        <v>150</v>
      </c>
      <c r="D1200" s="589" t="s">
        <v>639</v>
      </c>
      <c r="E1200" s="589" t="s">
        <v>151</v>
      </c>
      <c r="F1200" s="589" t="s">
        <v>569</v>
      </c>
      <c r="G1200" s="589" t="s">
        <v>570</v>
      </c>
      <c r="H1200" s="589" t="s">
        <v>797</v>
      </c>
      <c r="I1200" s="674" t="s">
        <v>798</v>
      </c>
    </row>
    <row r="1201" spans="1:9" s="375" customFormat="1" ht="13.5" thickTop="1" thickBot="1" x14ac:dyDescent="0.25">
      <c r="A1201" s="525">
        <v>1</v>
      </c>
      <c r="B1201" s="526">
        <v>2</v>
      </c>
      <c r="C1201" s="526">
        <v>3</v>
      </c>
      <c r="D1201" s="526">
        <v>4</v>
      </c>
      <c r="E1201" s="526">
        <v>5</v>
      </c>
      <c r="F1201" s="512">
        <v>6</v>
      </c>
      <c r="G1201" s="512">
        <v>7</v>
      </c>
      <c r="H1201" s="513">
        <v>8</v>
      </c>
      <c r="I1201" s="591" t="s">
        <v>689</v>
      </c>
    </row>
    <row r="1202" spans="1:9" ht="20.25" customHeight="1" thickTop="1" x14ac:dyDescent="0.25">
      <c r="A1202" s="1126">
        <v>1138</v>
      </c>
      <c r="B1202" s="659">
        <v>3122</v>
      </c>
      <c r="C1202" s="659">
        <v>5331</v>
      </c>
      <c r="D1202" s="694"/>
      <c r="E1202" s="713" t="s">
        <v>858</v>
      </c>
      <c r="F1202" s="714">
        <f>F1203+F1205+F1204</f>
        <v>3297</v>
      </c>
      <c r="G1202" s="714">
        <f>G1203+G1204+G1205</f>
        <v>554</v>
      </c>
      <c r="H1202" s="714">
        <f>H1203+H1204+H1205</f>
        <v>554</v>
      </c>
      <c r="I1202" s="682">
        <f t="shared" ref="I1202:I1218" si="153">(H1202/G1202)*100</f>
        <v>100</v>
      </c>
    </row>
    <row r="1203" spans="1:9" ht="14.25" x14ac:dyDescent="0.2">
      <c r="A1203" s="420"/>
      <c r="B1203" s="617"/>
      <c r="C1203" s="617"/>
      <c r="D1203" s="636" t="s">
        <v>1811</v>
      </c>
      <c r="E1203" s="1162" t="s">
        <v>717</v>
      </c>
      <c r="F1203" s="683">
        <v>517</v>
      </c>
      <c r="G1203" s="683">
        <v>86</v>
      </c>
      <c r="H1203" s="683">
        <v>86</v>
      </c>
      <c r="I1203" s="679">
        <f t="shared" si="153"/>
        <v>100</v>
      </c>
    </row>
    <row r="1204" spans="1:9" ht="14.25" x14ac:dyDescent="0.2">
      <c r="A1204" s="420"/>
      <c r="B1204" s="617"/>
      <c r="C1204" s="617"/>
      <c r="D1204" s="878" t="s">
        <v>1761</v>
      </c>
      <c r="E1204" s="956" t="s">
        <v>806</v>
      </c>
      <c r="F1204" s="683"/>
      <c r="G1204" s="683">
        <v>4</v>
      </c>
      <c r="H1204" s="683">
        <v>4</v>
      </c>
      <c r="I1204" s="679">
        <f t="shared" si="153"/>
        <v>100</v>
      </c>
    </row>
    <row r="1205" spans="1:9" ht="14.25" x14ac:dyDescent="0.2">
      <c r="A1205" s="420"/>
      <c r="B1205" s="617"/>
      <c r="C1205" s="617"/>
      <c r="D1205" s="518" t="s">
        <v>1812</v>
      </c>
      <c r="E1205" s="442" t="s">
        <v>63</v>
      </c>
      <c r="F1205" s="683">
        <v>2780</v>
      </c>
      <c r="G1205" s="683">
        <v>464</v>
      </c>
      <c r="H1205" s="683">
        <v>464</v>
      </c>
      <c r="I1205" s="679">
        <f t="shared" si="153"/>
        <v>100</v>
      </c>
    </row>
    <row r="1206" spans="1:9" ht="15" x14ac:dyDescent="0.25">
      <c r="A1206" s="420">
        <v>1138</v>
      </c>
      <c r="B1206" s="617">
        <v>3122</v>
      </c>
      <c r="C1206" s="617">
        <v>5336</v>
      </c>
      <c r="D1206" s="1972"/>
      <c r="E1206" s="616" t="s">
        <v>1740</v>
      </c>
      <c r="F1206" s="683"/>
      <c r="G1206" s="705">
        <f>G1207+G1208+G1209+G1210+G1211+G1212</f>
        <v>15358</v>
      </c>
      <c r="H1206" s="705">
        <f>H1207+H1208+H1209+H1210+H1211+H1212</f>
        <v>15358</v>
      </c>
      <c r="I1206" s="707">
        <f>(H1206/G1206)*100</f>
        <v>100</v>
      </c>
    </row>
    <row r="1207" spans="1:9" ht="14.25" x14ac:dyDescent="0.2">
      <c r="A1207" s="420"/>
      <c r="B1207" s="617"/>
      <c r="C1207" s="617"/>
      <c r="D1207" s="887" t="s">
        <v>1818</v>
      </c>
      <c r="E1207" s="1963" t="s">
        <v>1600</v>
      </c>
      <c r="F1207" s="683"/>
      <c r="G1207" s="692">
        <v>36</v>
      </c>
      <c r="H1207" s="692">
        <v>36</v>
      </c>
      <c r="I1207" s="708">
        <f t="shared" ref="I1207" si="154">(H1207/G1207)*100</f>
        <v>100</v>
      </c>
    </row>
    <row r="1208" spans="1:9" ht="15" x14ac:dyDescent="0.2">
      <c r="A1208" s="420"/>
      <c r="B1208" s="617"/>
      <c r="C1208" s="617"/>
      <c r="D1208" s="887" t="s">
        <v>1808</v>
      </c>
      <c r="E1208" s="1676" t="s">
        <v>1739</v>
      </c>
      <c r="F1208" s="1964"/>
      <c r="G1208" s="1965">
        <v>624</v>
      </c>
      <c r="H1208" s="1965">
        <v>624</v>
      </c>
      <c r="I1208" s="368">
        <f t="shared" ref="I1208:I1209" si="155">(H1208/G1208)*100</f>
        <v>100</v>
      </c>
    </row>
    <row r="1209" spans="1:9" ht="28.5" x14ac:dyDescent="0.2">
      <c r="A1209" s="420"/>
      <c r="B1209" s="617"/>
      <c r="C1209" s="617"/>
      <c r="D1209" s="887" t="s">
        <v>1809</v>
      </c>
      <c r="E1209" s="2874" t="s">
        <v>1810</v>
      </c>
      <c r="F1209" s="1964"/>
      <c r="G1209" s="2031">
        <v>84</v>
      </c>
      <c r="H1209" s="2031">
        <v>84</v>
      </c>
      <c r="I1209" s="1234">
        <f t="shared" si="155"/>
        <v>100</v>
      </c>
    </row>
    <row r="1210" spans="1:9" ht="14.25" x14ac:dyDescent="0.2">
      <c r="A1210" s="420"/>
      <c r="B1210" s="617"/>
      <c r="C1210" s="1127"/>
      <c r="D1210" s="518" t="s">
        <v>1807</v>
      </c>
      <c r="E1210" s="442" t="s">
        <v>716</v>
      </c>
      <c r="F1210" s="683"/>
      <c r="G1210" s="683">
        <v>13560</v>
      </c>
      <c r="H1210" s="683">
        <v>13560</v>
      </c>
      <c r="I1210" s="679">
        <f t="shared" si="153"/>
        <v>100</v>
      </c>
    </row>
    <row r="1211" spans="1:9" ht="14.25" x14ac:dyDescent="0.2">
      <c r="A1211" s="420"/>
      <c r="B1211" s="651"/>
      <c r="C1211" s="1128"/>
      <c r="D1211" s="518" t="s">
        <v>1813</v>
      </c>
      <c r="E1211" s="1162" t="s">
        <v>1815</v>
      </c>
      <c r="F1211" s="689"/>
      <c r="G1211" s="689">
        <v>158</v>
      </c>
      <c r="H1211" s="689">
        <v>158</v>
      </c>
      <c r="I1211" s="679">
        <f t="shared" si="153"/>
        <v>100</v>
      </c>
    </row>
    <row r="1212" spans="1:9" ht="14.25" x14ac:dyDescent="0.2">
      <c r="A1212" s="420"/>
      <c r="B1212" s="651"/>
      <c r="C1212" s="1128"/>
      <c r="D1212" s="518" t="s">
        <v>1814</v>
      </c>
      <c r="E1212" s="1162" t="s">
        <v>1815</v>
      </c>
      <c r="F1212" s="689"/>
      <c r="G1212" s="689">
        <v>896</v>
      </c>
      <c r="H1212" s="689">
        <v>896</v>
      </c>
      <c r="I1212" s="679">
        <f t="shared" si="153"/>
        <v>100</v>
      </c>
    </row>
    <row r="1213" spans="1:9" ht="13.5" customHeight="1" x14ac:dyDescent="0.25">
      <c r="A1213" s="420">
        <v>1138</v>
      </c>
      <c r="B1213" s="651">
        <v>3141</v>
      </c>
      <c r="C1213" s="1128">
        <v>5336</v>
      </c>
      <c r="D1213" s="527"/>
      <c r="E1213" s="616" t="s">
        <v>1740</v>
      </c>
      <c r="F1213" s="700"/>
      <c r="G1213" s="700">
        <f>G1214</f>
        <v>1197</v>
      </c>
      <c r="H1213" s="700">
        <f>H1214</f>
        <v>1197</v>
      </c>
      <c r="I1213" s="707">
        <f t="shared" si="153"/>
        <v>100</v>
      </c>
    </row>
    <row r="1214" spans="1:9" ht="13.5" customHeight="1" x14ac:dyDescent="0.2">
      <c r="A1214" s="420"/>
      <c r="B1214" s="651"/>
      <c r="C1214" s="1128"/>
      <c r="D1214" s="518" t="s">
        <v>1807</v>
      </c>
      <c r="E1214" s="442" t="s">
        <v>716</v>
      </c>
      <c r="F1214" s="689"/>
      <c r="G1214" s="689">
        <v>1197</v>
      </c>
      <c r="H1214" s="689">
        <v>1197</v>
      </c>
      <c r="I1214" s="679">
        <f t="shared" si="153"/>
        <v>100</v>
      </c>
    </row>
    <row r="1215" spans="1:9" ht="15" x14ac:dyDescent="0.25">
      <c r="A1215" s="420">
        <v>1138</v>
      </c>
      <c r="B1215" s="617">
        <v>3147</v>
      </c>
      <c r="C1215" s="617">
        <v>5336</v>
      </c>
      <c r="D1215" s="518"/>
      <c r="E1215" s="616" t="s">
        <v>1740</v>
      </c>
      <c r="F1215" s="683"/>
      <c r="G1215" s="705">
        <f>G1216</f>
        <v>2032</v>
      </c>
      <c r="H1215" s="705">
        <f>H1216</f>
        <v>2032</v>
      </c>
      <c r="I1215" s="707">
        <f t="shared" si="153"/>
        <v>100</v>
      </c>
    </row>
    <row r="1216" spans="1:9" ht="14.25" x14ac:dyDescent="0.2">
      <c r="A1216" s="420"/>
      <c r="B1216" s="617"/>
      <c r="C1216" s="1127"/>
      <c r="D1216" s="518" t="s">
        <v>1807</v>
      </c>
      <c r="E1216" s="442" t="s">
        <v>716</v>
      </c>
      <c r="F1216" s="683"/>
      <c r="G1216" s="683">
        <v>2032</v>
      </c>
      <c r="H1216" s="683">
        <v>2032</v>
      </c>
      <c r="I1216" s="679">
        <f t="shared" si="153"/>
        <v>100</v>
      </c>
    </row>
    <row r="1217" spans="1:20" ht="15" x14ac:dyDescent="0.25">
      <c r="A1217" s="420">
        <v>1138</v>
      </c>
      <c r="B1217" s="617">
        <v>3792</v>
      </c>
      <c r="C1217" s="1127">
        <v>5331</v>
      </c>
      <c r="D1217" s="518"/>
      <c r="E1217" s="664" t="s">
        <v>858</v>
      </c>
      <c r="F1217" s="683"/>
      <c r="G1217" s="705">
        <f>G1218</f>
        <v>20</v>
      </c>
      <c r="H1217" s="705">
        <f>H1218</f>
        <v>20</v>
      </c>
      <c r="I1217" s="707">
        <f t="shared" si="153"/>
        <v>100</v>
      </c>
    </row>
    <row r="1218" spans="1:20" ht="15" thickBot="1" x14ac:dyDescent="0.25">
      <c r="A1218" s="420"/>
      <c r="B1218" s="617"/>
      <c r="C1218" s="1127"/>
      <c r="D1218" s="878" t="s">
        <v>1824</v>
      </c>
      <c r="E1218" s="116" t="s">
        <v>338</v>
      </c>
      <c r="F1218" s="683"/>
      <c r="G1218" s="683">
        <v>20</v>
      </c>
      <c r="H1218" s="683">
        <v>20</v>
      </c>
      <c r="I1218" s="679">
        <f t="shared" si="153"/>
        <v>100</v>
      </c>
    </row>
    <row r="1219" spans="1:20" ht="16.5" thickTop="1" thickBot="1" x14ac:dyDescent="0.3">
      <c r="A1219" s="3110" t="s">
        <v>1000</v>
      </c>
      <c r="B1219" s="3111"/>
      <c r="C1219" s="3111"/>
      <c r="D1219" s="3111"/>
      <c r="E1219" s="3111"/>
      <c r="F1219" s="680">
        <f>F1202</f>
        <v>3297</v>
      </c>
      <c r="G1219" s="680">
        <f>G1217+G1215+G1213+G1206+G1202</f>
        <v>19161</v>
      </c>
      <c r="H1219" s="680">
        <f>H1217+H1215+H1213+H1206+H1202</f>
        <v>19161</v>
      </c>
      <c r="I1219" s="681">
        <f>(H1219/G1219)*100</f>
        <v>100</v>
      </c>
      <c r="R1219" s="374">
        <f>F1219</f>
        <v>3297</v>
      </c>
      <c r="S1219" s="374">
        <f>G1219</f>
        <v>19161</v>
      </c>
      <c r="T1219" s="374">
        <f>H1219</f>
        <v>19161</v>
      </c>
    </row>
    <row r="1220" spans="1:20" ht="13.5" customHeight="1" thickTop="1" x14ac:dyDescent="0.2"/>
    <row r="1221" spans="1:20" ht="18" customHeight="1" thickBot="1" x14ac:dyDescent="0.25">
      <c r="A1221" s="421" t="s">
        <v>1749</v>
      </c>
      <c r="I1221" s="1125" t="s">
        <v>148</v>
      </c>
    </row>
    <row r="1222" spans="1:20" s="106" customFormat="1" ht="18" customHeight="1" thickTop="1" thickBot="1" x14ac:dyDescent="0.25">
      <c r="A1222" s="586" t="s">
        <v>565</v>
      </c>
      <c r="B1222" s="658" t="s">
        <v>149</v>
      </c>
      <c r="C1222" s="587" t="s">
        <v>150</v>
      </c>
      <c r="D1222" s="589" t="s">
        <v>639</v>
      </c>
      <c r="E1222" s="589" t="s">
        <v>151</v>
      </c>
      <c r="F1222" s="589" t="s">
        <v>569</v>
      </c>
      <c r="G1222" s="589" t="s">
        <v>570</v>
      </c>
      <c r="H1222" s="589" t="s">
        <v>797</v>
      </c>
      <c r="I1222" s="674" t="s">
        <v>798</v>
      </c>
    </row>
    <row r="1223" spans="1:20" s="375" customFormat="1" ht="9.75" customHeight="1" thickTop="1" thickBot="1" x14ac:dyDescent="0.25">
      <c r="A1223" s="525">
        <v>1</v>
      </c>
      <c r="B1223" s="526">
        <v>2</v>
      </c>
      <c r="C1223" s="526">
        <v>3</v>
      </c>
      <c r="D1223" s="526">
        <v>4</v>
      </c>
      <c r="E1223" s="526">
        <v>5</v>
      </c>
      <c r="F1223" s="512">
        <v>6</v>
      </c>
      <c r="G1223" s="512">
        <v>7</v>
      </c>
      <c r="H1223" s="513">
        <v>8</v>
      </c>
      <c r="I1223" s="591" t="s">
        <v>689</v>
      </c>
    </row>
    <row r="1224" spans="1:20" s="375" customFormat="1" ht="15.75" thickTop="1" x14ac:dyDescent="0.25">
      <c r="A1224" s="420">
        <v>1140</v>
      </c>
      <c r="B1224" s="617">
        <v>3122</v>
      </c>
      <c r="C1224" s="617">
        <v>5331</v>
      </c>
      <c r="D1224" s="975"/>
      <c r="E1224" s="616" t="s">
        <v>858</v>
      </c>
      <c r="F1224" s="976"/>
      <c r="G1224" s="676">
        <f>G1225</f>
        <v>46</v>
      </c>
      <c r="H1224" s="676">
        <f>H1225</f>
        <v>46</v>
      </c>
      <c r="I1224" s="677">
        <f t="shared" ref="I1224:I1240" si="156">(H1224/G1224)*100</f>
        <v>100</v>
      </c>
    </row>
    <row r="1225" spans="1:20" s="375" customFormat="1" ht="14.25" x14ac:dyDescent="0.2">
      <c r="A1225" s="719"/>
      <c r="B1225" s="1073"/>
      <c r="C1225" s="1073"/>
      <c r="D1225" s="518" t="s">
        <v>1837</v>
      </c>
      <c r="E1225" s="721" t="s">
        <v>1644</v>
      </c>
      <c r="F1225" s="2024"/>
      <c r="G1225" s="312">
        <v>46</v>
      </c>
      <c r="H1225" s="312">
        <v>46</v>
      </c>
      <c r="I1225" s="893">
        <f t="shared" si="156"/>
        <v>100</v>
      </c>
    </row>
    <row r="1226" spans="1:20" ht="17.25" customHeight="1" x14ac:dyDescent="0.25">
      <c r="A1226" s="420">
        <v>1140</v>
      </c>
      <c r="B1226" s="617">
        <v>3122</v>
      </c>
      <c r="C1226" s="617">
        <v>5336</v>
      </c>
      <c r="D1226" s="675"/>
      <c r="E1226" s="616" t="s">
        <v>1740</v>
      </c>
      <c r="F1226" s="676"/>
      <c r="G1226" s="676">
        <f>G1227</f>
        <v>10859</v>
      </c>
      <c r="H1226" s="676">
        <f>H1227</f>
        <v>10859</v>
      </c>
      <c r="I1226" s="677">
        <f t="shared" si="156"/>
        <v>100</v>
      </c>
    </row>
    <row r="1227" spans="1:20" ht="15" customHeight="1" x14ac:dyDescent="0.2">
      <c r="A1227" s="420"/>
      <c r="B1227" s="617"/>
      <c r="C1227" s="1127"/>
      <c r="D1227" s="518" t="s">
        <v>1807</v>
      </c>
      <c r="E1227" s="442" t="s">
        <v>716</v>
      </c>
      <c r="F1227" s="683"/>
      <c r="G1227" s="683">
        <v>10859</v>
      </c>
      <c r="H1227" s="683">
        <v>10859</v>
      </c>
      <c r="I1227" s="679">
        <f t="shared" si="156"/>
        <v>100</v>
      </c>
    </row>
    <row r="1228" spans="1:20" ht="15" x14ac:dyDescent="0.25">
      <c r="A1228" s="420">
        <v>1140</v>
      </c>
      <c r="B1228" s="651">
        <v>3123</v>
      </c>
      <c r="C1228" s="651">
        <v>5336</v>
      </c>
      <c r="D1228" s="888"/>
      <c r="E1228" s="616" t="s">
        <v>1740</v>
      </c>
      <c r="F1228" s="689"/>
      <c r="G1228" s="690">
        <f>G1229</f>
        <v>34141</v>
      </c>
      <c r="H1228" s="690">
        <f>H1229</f>
        <v>34141</v>
      </c>
      <c r="I1228" s="691">
        <f t="shared" si="156"/>
        <v>100</v>
      </c>
      <c r="J1228" s="421"/>
      <c r="K1228" s="421"/>
      <c r="L1228" s="421"/>
      <c r="M1228" s="421"/>
      <c r="N1228" s="421"/>
      <c r="O1228" s="421"/>
      <c r="P1228" s="421"/>
    </row>
    <row r="1229" spans="1:20" ht="14.25" x14ac:dyDescent="0.2">
      <c r="A1229" s="420"/>
      <c r="B1229" s="651"/>
      <c r="C1229" s="1128"/>
      <c r="D1229" s="518" t="s">
        <v>1807</v>
      </c>
      <c r="E1229" s="442" t="s">
        <v>716</v>
      </c>
      <c r="F1229" s="689"/>
      <c r="G1229" s="689">
        <v>34141</v>
      </c>
      <c r="H1229" s="689">
        <v>34141</v>
      </c>
      <c r="I1229" s="684">
        <f t="shared" si="156"/>
        <v>100</v>
      </c>
    </row>
    <row r="1230" spans="1:20" ht="15" x14ac:dyDescent="0.25">
      <c r="A1230" s="420">
        <v>1140</v>
      </c>
      <c r="B1230" s="651">
        <v>3127</v>
      </c>
      <c r="C1230" s="617">
        <v>5331</v>
      </c>
      <c r="D1230" s="1073"/>
      <c r="E1230" s="616" t="s">
        <v>858</v>
      </c>
      <c r="F1230" s="690">
        <f>F1231+F1232</f>
        <v>12909</v>
      </c>
      <c r="G1230" s="690">
        <f t="shared" ref="G1230:H1230" si="157">G1231+G1232</f>
        <v>2152</v>
      </c>
      <c r="H1230" s="690">
        <f t="shared" si="157"/>
        <v>2152</v>
      </c>
      <c r="I1230" s="691">
        <f t="shared" si="156"/>
        <v>100</v>
      </c>
    </row>
    <row r="1231" spans="1:20" ht="14.25" x14ac:dyDescent="0.2">
      <c r="A1231" s="420"/>
      <c r="B1231" s="651"/>
      <c r="C1231" s="1128"/>
      <c r="D1231" s="636" t="s">
        <v>1811</v>
      </c>
      <c r="E1231" s="1162" t="s">
        <v>717</v>
      </c>
      <c r="F1231" s="689">
        <v>2148</v>
      </c>
      <c r="G1231" s="689">
        <v>358</v>
      </c>
      <c r="H1231" s="689">
        <v>358</v>
      </c>
      <c r="I1231" s="684">
        <f t="shared" si="156"/>
        <v>100</v>
      </c>
    </row>
    <row r="1232" spans="1:20" ht="14.25" x14ac:dyDescent="0.2">
      <c r="A1232" s="420"/>
      <c r="B1232" s="651"/>
      <c r="C1232" s="1128"/>
      <c r="D1232" s="518" t="s">
        <v>1812</v>
      </c>
      <c r="E1232" s="442" t="s">
        <v>63</v>
      </c>
      <c r="F1232" s="689">
        <v>10761</v>
      </c>
      <c r="G1232" s="689">
        <v>1794</v>
      </c>
      <c r="H1232" s="689">
        <v>1794</v>
      </c>
      <c r="I1232" s="684">
        <f t="shared" si="156"/>
        <v>100</v>
      </c>
    </row>
    <row r="1233" spans="1:20" ht="15" x14ac:dyDescent="0.25">
      <c r="A1233" s="420">
        <v>1140</v>
      </c>
      <c r="B1233" s="651">
        <v>3127</v>
      </c>
      <c r="C1233" s="1128">
        <v>5336</v>
      </c>
      <c r="D1233" s="527"/>
      <c r="E1233" s="616" t="s">
        <v>1740</v>
      </c>
      <c r="F1233" s="689"/>
      <c r="G1233" s="690">
        <f>G1234+G1235+G1236+G1237+G1238</f>
        <v>4006</v>
      </c>
      <c r="H1233" s="690">
        <f>H1234+H1235+H1236+H1237+H1238</f>
        <v>4006</v>
      </c>
      <c r="I1233" s="691">
        <f t="shared" si="156"/>
        <v>100</v>
      </c>
    </row>
    <row r="1234" spans="1:20" ht="14.25" x14ac:dyDescent="0.2">
      <c r="A1234" s="420"/>
      <c r="B1234" s="651"/>
      <c r="C1234" s="1128"/>
      <c r="D1234" s="887" t="s">
        <v>1818</v>
      </c>
      <c r="E1234" s="1963" t="s">
        <v>1600</v>
      </c>
      <c r="F1234" s="689"/>
      <c r="G1234" s="689">
        <v>1324</v>
      </c>
      <c r="H1234" s="689">
        <v>1324</v>
      </c>
      <c r="I1234" s="684">
        <f t="shared" si="156"/>
        <v>100</v>
      </c>
    </row>
    <row r="1235" spans="1:20" ht="14.25" x14ac:dyDescent="0.2">
      <c r="A1235" s="420"/>
      <c r="B1235" s="651"/>
      <c r="C1235" s="1128"/>
      <c r="D1235" s="887" t="s">
        <v>1808</v>
      </c>
      <c r="E1235" s="1676" t="s">
        <v>1739</v>
      </c>
      <c r="F1235" s="689"/>
      <c r="G1235" s="689">
        <v>1469</v>
      </c>
      <c r="H1235" s="689">
        <v>1469</v>
      </c>
      <c r="I1235" s="684">
        <f t="shared" si="156"/>
        <v>100</v>
      </c>
    </row>
    <row r="1236" spans="1:20" ht="28.5" x14ac:dyDescent="0.2">
      <c r="A1236" s="420"/>
      <c r="B1236" s="651"/>
      <c r="C1236" s="1128"/>
      <c r="D1236" s="887" t="s">
        <v>1809</v>
      </c>
      <c r="E1236" s="2874" t="s">
        <v>1810</v>
      </c>
      <c r="F1236" s="689"/>
      <c r="G1236" s="1062">
        <v>221</v>
      </c>
      <c r="H1236" s="1062">
        <v>221</v>
      </c>
      <c r="I1236" s="1066">
        <f t="shared" si="156"/>
        <v>100</v>
      </c>
    </row>
    <row r="1237" spans="1:20" ht="14.25" x14ac:dyDescent="0.2">
      <c r="A1237" s="420"/>
      <c r="B1237" s="651"/>
      <c r="C1237" s="1128"/>
      <c r="D1237" s="518" t="s">
        <v>1813</v>
      </c>
      <c r="E1237" s="1162" t="s">
        <v>1815</v>
      </c>
      <c r="F1237" s="689"/>
      <c r="G1237" s="689">
        <v>149</v>
      </c>
      <c r="H1237" s="689">
        <v>149</v>
      </c>
      <c r="I1237" s="684">
        <f t="shared" si="156"/>
        <v>100</v>
      </c>
    </row>
    <row r="1238" spans="1:20" ht="14.25" x14ac:dyDescent="0.2">
      <c r="A1238" s="420"/>
      <c r="B1238" s="651"/>
      <c r="C1238" s="1128"/>
      <c r="D1238" s="518" t="s">
        <v>1814</v>
      </c>
      <c r="E1238" s="1162" t="s">
        <v>1815</v>
      </c>
      <c r="F1238" s="689"/>
      <c r="G1238" s="689">
        <v>843</v>
      </c>
      <c r="H1238" s="689">
        <v>843</v>
      </c>
      <c r="I1238" s="684">
        <f t="shared" si="156"/>
        <v>100</v>
      </c>
    </row>
    <row r="1239" spans="1:20" ht="15" x14ac:dyDescent="0.25">
      <c r="A1239" s="420">
        <v>1140</v>
      </c>
      <c r="B1239" s="651">
        <v>3299</v>
      </c>
      <c r="C1239" s="651">
        <v>5331</v>
      </c>
      <c r="D1239" s="712"/>
      <c r="E1239" s="616" t="s">
        <v>858</v>
      </c>
      <c r="F1239" s="690"/>
      <c r="G1239" s="690">
        <v>15</v>
      </c>
      <c r="H1239" s="690">
        <v>15</v>
      </c>
      <c r="I1239" s="691">
        <f t="shared" si="156"/>
        <v>100</v>
      </c>
    </row>
    <row r="1240" spans="1:20" ht="43.5" thickBot="1" x14ac:dyDescent="0.25">
      <c r="A1240" s="420"/>
      <c r="B1240" s="651"/>
      <c r="C1240" s="651"/>
      <c r="D1240" s="1087" t="s">
        <v>1831</v>
      </c>
      <c r="E1240" s="2875" t="s">
        <v>1832</v>
      </c>
      <c r="F1240" s="689"/>
      <c r="G1240" s="1062">
        <v>15</v>
      </c>
      <c r="H1240" s="1062">
        <v>15</v>
      </c>
      <c r="I1240" s="1066">
        <f t="shared" si="156"/>
        <v>100</v>
      </c>
    </row>
    <row r="1241" spans="1:20" ht="18" customHeight="1" thickTop="1" thickBot="1" x14ac:dyDescent="0.3">
      <c r="A1241" s="3110" t="s">
        <v>1000</v>
      </c>
      <c r="B1241" s="3111"/>
      <c r="C1241" s="3111"/>
      <c r="D1241" s="3111"/>
      <c r="E1241" s="3111"/>
      <c r="F1241" s="680">
        <f>F1230</f>
        <v>12909</v>
      </c>
      <c r="G1241" s="680">
        <f>G1239+G1233+G1230+G1228+G1226+G1224</f>
        <v>51219</v>
      </c>
      <c r="H1241" s="680">
        <f>H1239+H1233+H1230+H1228+H1226+H1224</f>
        <v>51219</v>
      </c>
      <c r="I1241" s="681">
        <f>(H1241/G1241)*100</f>
        <v>100</v>
      </c>
      <c r="R1241" s="374">
        <f>F1241</f>
        <v>12909</v>
      </c>
      <c r="S1241" s="374">
        <f>G1241</f>
        <v>51219</v>
      </c>
      <c r="T1241" s="374">
        <f>H1241</f>
        <v>51219</v>
      </c>
    </row>
    <row r="1242" spans="1:20" ht="12.75" customHeight="1" thickTop="1" x14ac:dyDescent="0.25">
      <c r="A1242" s="361"/>
      <c r="B1242" s="361"/>
      <c r="C1242" s="361"/>
      <c r="D1242" s="361"/>
      <c r="E1242" s="361"/>
      <c r="F1242" s="178"/>
      <c r="G1242" s="178"/>
      <c r="H1242" s="178"/>
      <c r="I1242" s="207"/>
    </row>
    <row r="1243" spans="1:20" ht="12.75" customHeight="1" x14ac:dyDescent="0.25">
      <c r="A1243" s="361"/>
      <c r="B1243" s="361"/>
      <c r="C1243" s="361"/>
      <c r="D1243" s="361"/>
      <c r="E1243" s="361"/>
      <c r="F1243" s="178"/>
      <c r="G1243" s="178"/>
      <c r="H1243" s="178"/>
      <c r="I1243" s="207"/>
    </row>
    <row r="1244" spans="1:20" ht="17.25" customHeight="1" thickBot="1" x14ac:dyDescent="0.25">
      <c r="A1244" s="421" t="s">
        <v>45</v>
      </c>
      <c r="I1244" s="1125" t="s">
        <v>148</v>
      </c>
    </row>
    <row r="1245" spans="1:20" s="106" customFormat="1" thickTop="1" thickBot="1" x14ac:dyDescent="0.25">
      <c r="A1245" s="586" t="s">
        <v>565</v>
      </c>
      <c r="B1245" s="658" t="s">
        <v>149</v>
      </c>
      <c r="C1245" s="587" t="s">
        <v>150</v>
      </c>
      <c r="D1245" s="589" t="s">
        <v>639</v>
      </c>
      <c r="E1245" s="589" t="s">
        <v>151</v>
      </c>
      <c r="F1245" s="589" t="s">
        <v>569</v>
      </c>
      <c r="G1245" s="589" t="s">
        <v>570</v>
      </c>
      <c r="H1245" s="589" t="s">
        <v>797</v>
      </c>
      <c r="I1245" s="674" t="s">
        <v>798</v>
      </c>
    </row>
    <row r="1246" spans="1:20" s="375" customFormat="1" ht="13.5" thickTop="1" thickBot="1" x14ac:dyDescent="0.25">
      <c r="A1246" s="525">
        <v>1</v>
      </c>
      <c r="B1246" s="526">
        <v>2</v>
      </c>
      <c r="C1246" s="526">
        <v>3</v>
      </c>
      <c r="D1246" s="526">
        <v>4</v>
      </c>
      <c r="E1246" s="526">
        <v>5</v>
      </c>
      <c r="F1246" s="512">
        <v>6</v>
      </c>
      <c r="G1246" s="512">
        <v>7</v>
      </c>
      <c r="H1246" s="513">
        <v>8</v>
      </c>
      <c r="I1246" s="591" t="s">
        <v>689</v>
      </c>
    </row>
    <row r="1247" spans="1:20" ht="15.75" thickTop="1" x14ac:dyDescent="0.25">
      <c r="A1247" s="1136">
        <v>1142</v>
      </c>
      <c r="B1247" s="701">
        <v>3122</v>
      </c>
      <c r="C1247" s="701">
        <v>5331</v>
      </c>
      <c r="D1247" s="706"/>
      <c r="E1247" s="734" t="s">
        <v>858</v>
      </c>
      <c r="F1247" s="699"/>
      <c r="G1247" s="699">
        <f>G1248</f>
        <v>9</v>
      </c>
      <c r="H1247" s="699">
        <f>H1248</f>
        <v>9</v>
      </c>
      <c r="I1247" s="703">
        <f t="shared" ref="I1247:I1267" si="158">(H1247/G1247)*100</f>
        <v>100</v>
      </c>
    </row>
    <row r="1248" spans="1:20" ht="14.25" x14ac:dyDescent="0.2">
      <c r="A1248" s="420"/>
      <c r="B1248" s="617"/>
      <c r="C1248" s="617"/>
      <c r="D1248" s="518" t="s">
        <v>1837</v>
      </c>
      <c r="E1248" s="721" t="s">
        <v>1644</v>
      </c>
      <c r="F1248" s="352"/>
      <c r="G1248" s="683">
        <v>9</v>
      </c>
      <c r="H1248" s="683">
        <v>9</v>
      </c>
      <c r="I1248" s="679">
        <f t="shared" si="158"/>
        <v>100</v>
      </c>
    </row>
    <row r="1249" spans="1:9" ht="15" x14ac:dyDescent="0.25">
      <c r="A1249" s="420">
        <v>1142</v>
      </c>
      <c r="B1249" s="617">
        <v>3122</v>
      </c>
      <c r="C1249" s="617">
        <v>5336</v>
      </c>
      <c r="D1249" s="887"/>
      <c r="E1249" s="616" t="s">
        <v>1740</v>
      </c>
      <c r="F1249" s="352"/>
      <c r="G1249" s="705">
        <f>G1250</f>
        <v>5447</v>
      </c>
      <c r="H1249" s="705">
        <f>H1250</f>
        <v>5447</v>
      </c>
      <c r="I1249" s="707">
        <f t="shared" si="158"/>
        <v>100</v>
      </c>
    </row>
    <row r="1250" spans="1:9" ht="14.25" x14ac:dyDescent="0.2">
      <c r="A1250" s="420"/>
      <c r="B1250" s="617"/>
      <c r="C1250" s="617"/>
      <c r="D1250" s="518" t="s">
        <v>1807</v>
      </c>
      <c r="E1250" s="442" t="s">
        <v>716</v>
      </c>
      <c r="F1250" s="683"/>
      <c r="G1250" s="683">
        <v>5447</v>
      </c>
      <c r="H1250" s="683">
        <v>5447</v>
      </c>
      <c r="I1250" s="679">
        <f t="shared" si="158"/>
        <v>100</v>
      </c>
    </row>
    <row r="1251" spans="1:9" ht="15" x14ac:dyDescent="0.25">
      <c r="A1251" s="420">
        <v>1142</v>
      </c>
      <c r="B1251" s="617">
        <v>3123</v>
      </c>
      <c r="C1251" s="617">
        <v>5336</v>
      </c>
      <c r="D1251" s="888"/>
      <c r="E1251" s="616" t="s">
        <v>1740</v>
      </c>
      <c r="F1251" s="683"/>
      <c r="G1251" s="705">
        <f>G1252</f>
        <v>6378</v>
      </c>
      <c r="H1251" s="705">
        <f>H1252</f>
        <v>6378</v>
      </c>
      <c r="I1251" s="707">
        <f t="shared" si="158"/>
        <v>100</v>
      </c>
    </row>
    <row r="1252" spans="1:9" ht="14.25" x14ac:dyDescent="0.2">
      <c r="A1252" s="420"/>
      <c r="B1252" s="617"/>
      <c r="C1252" s="1127"/>
      <c r="D1252" s="518" t="s">
        <v>1807</v>
      </c>
      <c r="E1252" s="442" t="s">
        <v>716</v>
      </c>
      <c r="F1252" s="683"/>
      <c r="G1252" s="683">
        <v>6378</v>
      </c>
      <c r="H1252" s="683">
        <v>6378</v>
      </c>
      <c r="I1252" s="679">
        <f t="shared" si="158"/>
        <v>100</v>
      </c>
    </row>
    <row r="1253" spans="1:9" ht="15" x14ac:dyDescent="0.25">
      <c r="A1253" s="420">
        <v>1142</v>
      </c>
      <c r="B1253" s="617">
        <v>3127</v>
      </c>
      <c r="C1253" s="617">
        <v>5331</v>
      </c>
      <c r="D1253" s="518"/>
      <c r="E1253" s="664" t="s">
        <v>858</v>
      </c>
      <c r="F1253" s="705">
        <f>F1254+F1255</f>
        <v>5710</v>
      </c>
      <c r="G1253" s="705">
        <f t="shared" ref="G1253:H1253" si="159">G1254+G1255</f>
        <v>952</v>
      </c>
      <c r="H1253" s="705">
        <f t="shared" si="159"/>
        <v>952</v>
      </c>
      <c r="I1253" s="707">
        <f t="shared" si="158"/>
        <v>100</v>
      </c>
    </row>
    <row r="1254" spans="1:9" ht="14.25" x14ac:dyDescent="0.2">
      <c r="A1254" s="420"/>
      <c r="B1254" s="617"/>
      <c r="C1254" s="617"/>
      <c r="D1254" s="636" t="s">
        <v>1811</v>
      </c>
      <c r="E1254" s="1162" t="s">
        <v>717</v>
      </c>
      <c r="F1254" s="352">
        <v>2231</v>
      </c>
      <c r="G1254" s="352">
        <v>372</v>
      </c>
      <c r="H1254" s="352">
        <v>372</v>
      </c>
      <c r="I1254" s="679">
        <f t="shared" si="158"/>
        <v>100</v>
      </c>
    </row>
    <row r="1255" spans="1:9" ht="14.25" x14ac:dyDescent="0.2">
      <c r="A1255" s="420"/>
      <c r="B1255" s="617"/>
      <c r="C1255" s="1127"/>
      <c r="D1255" s="518" t="s">
        <v>1812</v>
      </c>
      <c r="E1255" s="442" t="s">
        <v>63</v>
      </c>
      <c r="F1255" s="352">
        <v>3479</v>
      </c>
      <c r="G1255" s="352">
        <v>580</v>
      </c>
      <c r="H1255" s="352">
        <v>580</v>
      </c>
      <c r="I1255" s="679">
        <f t="shared" si="158"/>
        <v>100</v>
      </c>
    </row>
    <row r="1256" spans="1:9" ht="14.25" customHeight="1" x14ac:dyDescent="0.25">
      <c r="A1256" s="420">
        <v>1142</v>
      </c>
      <c r="B1256" s="617">
        <v>3127</v>
      </c>
      <c r="C1256" s="1128">
        <v>5336</v>
      </c>
      <c r="D1256" s="518"/>
      <c r="E1256" s="616" t="s">
        <v>1740</v>
      </c>
      <c r="F1256" s="676"/>
      <c r="G1256" s="676">
        <f>G1257+G1258+G1259+G1260+G1261</f>
        <v>1927</v>
      </c>
      <c r="H1256" s="676">
        <f>H1257+H1258+H1259+H1260+H1261</f>
        <v>1927</v>
      </c>
      <c r="I1256" s="677">
        <f t="shared" si="158"/>
        <v>100</v>
      </c>
    </row>
    <row r="1257" spans="1:9" ht="14.25" customHeight="1" x14ac:dyDescent="0.25">
      <c r="A1257" s="420"/>
      <c r="B1257" s="617"/>
      <c r="C1257" s="1128"/>
      <c r="D1257" s="887" t="s">
        <v>1818</v>
      </c>
      <c r="E1257" s="1963" t="s">
        <v>1600</v>
      </c>
      <c r="F1257" s="676"/>
      <c r="G1257" s="352">
        <v>793</v>
      </c>
      <c r="H1257" s="352">
        <v>793</v>
      </c>
      <c r="I1257" s="708">
        <f t="shared" si="158"/>
        <v>100</v>
      </c>
    </row>
    <row r="1258" spans="1:9" ht="14.25" customHeight="1" x14ac:dyDescent="0.25">
      <c r="A1258" s="420"/>
      <c r="B1258" s="617"/>
      <c r="C1258" s="1128"/>
      <c r="D1258" s="887" t="s">
        <v>1808</v>
      </c>
      <c r="E1258" s="1676" t="s">
        <v>1739</v>
      </c>
      <c r="F1258" s="676"/>
      <c r="G1258" s="352">
        <v>588</v>
      </c>
      <c r="H1258" s="352">
        <v>588</v>
      </c>
      <c r="I1258" s="708">
        <f t="shared" si="158"/>
        <v>100</v>
      </c>
    </row>
    <row r="1259" spans="1:9" ht="28.5" x14ac:dyDescent="0.25">
      <c r="A1259" s="420"/>
      <c r="B1259" s="617"/>
      <c r="C1259" s="1128"/>
      <c r="D1259" s="887" t="s">
        <v>1809</v>
      </c>
      <c r="E1259" s="2874" t="s">
        <v>1810</v>
      </c>
      <c r="F1259" s="676"/>
      <c r="G1259" s="352">
        <v>85</v>
      </c>
      <c r="H1259" s="352">
        <v>85</v>
      </c>
      <c r="I1259" s="708">
        <f t="shared" si="158"/>
        <v>100</v>
      </c>
    </row>
    <row r="1260" spans="1:9" ht="14.25" customHeight="1" x14ac:dyDescent="0.25">
      <c r="A1260" s="420"/>
      <c r="B1260" s="617"/>
      <c r="C1260" s="1128"/>
      <c r="D1260" s="518" t="s">
        <v>1813</v>
      </c>
      <c r="E1260" s="1162" t="s">
        <v>1815</v>
      </c>
      <c r="F1260" s="676"/>
      <c r="G1260" s="352">
        <v>69</v>
      </c>
      <c r="H1260" s="352">
        <v>69</v>
      </c>
      <c r="I1260" s="708">
        <f t="shared" si="158"/>
        <v>100</v>
      </c>
    </row>
    <row r="1261" spans="1:9" ht="14.25" customHeight="1" x14ac:dyDescent="0.25">
      <c r="A1261" s="420"/>
      <c r="B1261" s="617"/>
      <c r="C1261" s="1128"/>
      <c r="D1261" s="518" t="s">
        <v>1814</v>
      </c>
      <c r="E1261" s="1162" t="s">
        <v>1815</v>
      </c>
      <c r="F1261" s="676"/>
      <c r="G1261" s="352">
        <v>392</v>
      </c>
      <c r="H1261" s="352">
        <v>392</v>
      </c>
      <c r="I1261" s="708">
        <f t="shared" si="158"/>
        <v>100</v>
      </c>
    </row>
    <row r="1262" spans="1:9" ht="15" x14ac:dyDescent="0.25">
      <c r="A1262" s="420">
        <v>1142</v>
      </c>
      <c r="B1262" s="651">
        <v>3141</v>
      </c>
      <c r="C1262" s="1128">
        <v>5336</v>
      </c>
      <c r="D1262" s="518"/>
      <c r="E1262" s="616" t="s">
        <v>1740</v>
      </c>
      <c r="F1262" s="689"/>
      <c r="G1262" s="700">
        <f>G1263</f>
        <v>2433</v>
      </c>
      <c r="H1262" s="700">
        <f>H1263</f>
        <v>2433</v>
      </c>
      <c r="I1262" s="693">
        <f t="shared" si="158"/>
        <v>100</v>
      </c>
    </row>
    <row r="1263" spans="1:9" ht="14.25" x14ac:dyDescent="0.2">
      <c r="A1263" s="420"/>
      <c r="B1263" s="651"/>
      <c r="C1263" s="1128"/>
      <c r="D1263" s="518" t="s">
        <v>1807</v>
      </c>
      <c r="E1263" s="442" t="s">
        <v>716</v>
      </c>
      <c r="F1263" s="689"/>
      <c r="G1263" s="689">
        <v>2433</v>
      </c>
      <c r="H1263" s="689">
        <v>2433</v>
      </c>
      <c r="I1263" s="684">
        <f t="shared" si="158"/>
        <v>100</v>
      </c>
    </row>
    <row r="1264" spans="1:9" ht="15" x14ac:dyDescent="0.25">
      <c r="A1264" s="420">
        <v>1142</v>
      </c>
      <c r="B1264" s="651">
        <v>3147</v>
      </c>
      <c r="C1264" s="651">
        <v>5336</v>
      </c>
      <c r="D1264" s="518"/>
      <c r="E1264" s="616" t="s">
        <v>1740</v>
      </c>
      <c r="F1264" s="689"/>
      <c r="G1264" s="700">
        <f>G1265</f>
        <v>2743</v>
      </c>
      <c r="H1264" s="700">
        <f>H1265</f>
        <v>2743</v>
      </c>
      <c r="I1264" s="693">
        <f t="shared" si="158"/>
        <v>100</v>
      </c>
    </row>
    <row r="1265" spans="1:20" ht="14.25" x14ac:dyDescent="0.2">
      <c r="A1265" s="420"/>
      <c r="B1265" s="651"/>
      <c r="C1265" s="1128"/>
      <c r="D1265" s="518" t="s">
        <v>1807</v>
      </c>
      <c r="E1265" s="442" t="s">
        <v>716</v>
      </c>
      <c r="F1265" s="689"/>
      <c r="G1265" s="689">
        <v>2743</v>
      </c>
      <c r="H1265" s="689">
        <v>2743</v>
      </c>
      <c r="I1265" s="684">
        <f t="shared" si="158"/>
        <v>100</v>
      </c>
    </row>
    <row r="1266" spans="1:20" ht="15" x14ac:dyDescent="0.25">
      <c r="A1266" s="420">
        <v>1142</v>
      </c>
      <c r="B1266" s="651">
        <v>3293</v>
      </c>
      <c r="C1266" s="1128">
        <v>5336</v>
      </c>
      <c r="D1266" s="518"/>
      <c r="E1266" s="616" t="s">
        <v>1740</v>
      </c>
      <c r="F1266" s="700"/>
      <c r="G1266" s="700">
        <f>G1267</f>
        <v>11</v>
      </c>
      <c r="H1266" s="700">
        <f>H1267</f>
        <v>11</v>
      </c>
      <c r="I1266" s="693">
        <f t="shared" si="158"/>
        <v>100</v>
      </c>
    </row>
    <row r="1267" spans="1:20" ht="15" thickBot="1" x14ac:dyDescent="0.25">
      <c r="A1267" s="420"/>
      <c r="B1267" s="651"/>
      <c r="C1267" s="1128"/>
      <c r="D1267" s="887" t="s">
        <v>1819</v>
      </c>
      <c r="E1267" s="1059" t="s">
        <v>1085</v>
      </c>
      <c r="F1267" s="689"/>
      <c r="G1267" s="689">
        <v>11</v>
      </c>
      <c r="H1267" s="689">
        <v>11</v>
      </c>
      <c r="I1267" s="684">
        <f t="shared" si="158"/>
        <v>100</v>
      </c>
    </row>
    <row r="1268" spans="1:20" ht="16.5" thickTop="1" thickBot="1" x14ac:dyDescent="0.3">
      <c r="A1268" s="3110" t="s">
        <v>1000</v>
      </c>
      <c r="B1268" s="3111"/>
      <c r="C1268" s="3111"/>
      <c r="D1268" s="3111"/>
      <c r="E1268" s="3111"/>
      <c r="F1268" s="680">
        <f>F1253</f>
        <v>5710</v>
      </c>
      <c r="G1268" s="680">
        <f>G1266+G1264+G1262+G1256+G1253+G1251+G1249+G1247</f>
        <v>19900</v>
      </c>
      <c r="H1268" s="680">
        <f>H1266+H1264+H1262+H1256+H1253+H1251+H1249+H1247</f>
        <v>19900</v>
      </c>
      <c r="I1268" s="681">
        <f>(H1268/G1268)*100</f>
        <v>100</v>
      </c>
      <c r="R1268" s="374">
        <f>F1268</f>
        <v>5710</v>
      </c>
      <c r="S1268" s="374">
        <f>G1268</f>
        <v>19900</v>
      </c>
      <c r="T1268" s="374">
        <f>H1268</f>
        <v>19900</v>
      </c>
    </row>
    <row r="1269" spans="1:20" ht="14.25" thickTop="1" thickBot="1" x14ac:dyDescent="0.25">
      <c r="A1269" s="421" t="s">
        <v>47</v>
      </c>
      <c r="I1269" s="1125" t="s">
        <v>148</v>
      </c>
    </row>
    <row r="1270" spans="1:20" s="106" customFormat="1" thickTop="1" thickBot="1" x14ac:dyDescent="0.25">
      <c r="A1270" s="586" t="s">
        <v>565</v>
      </c>
      <c r="B1270" s="658" t="s">
        <v>149</v>
      </c>
      <c r="C1270" s="587" t="s">
        <v>150</v>
      </c>
      <c r="D1270" s="589" t="s">
        <v>639</v>
      </c>
      <c r="E1270" s="589" t="s">
        <v>151</v>
      </c>
      <c r="F1270" s="589" t="s">
        <v>569</v>
      </c>
      <c r="G1270" s="589" t="s">
        <v>570</v>
      </c>
      <c r="H1270" s="589" t="s">
        <v>797</v>
      </c>
      <c r="I1270" s="674" t="s">
        <v>798</v>
      </c>
    </row>
    <row r="1271" spans="1:20" s="375" customFormat="1" ht="13.5" thickTop="1" thickBot="1" x14ac:dyDescent="0.25">
      <c r="A1271" s="525">
        <v>1</v>
      </c>
      <c r="B1271" s="526">
        <v>2</v>
      </c>
      <c r="C1271" s="526">
        <v>3</v>
      </c>
      <c r="D1271" s="526">
        <v>4</v>
      </c>
      <c r="E1271" s="526">
        <v>5</v>
      </c>
      <c r="F1271" s="512">
        <v>6</v>
      </c>
      <c r="G1271" s="512">
        <v>7</v>
      </c>
      <c r="H1271" s="513">
        <v>8</v>
      </c>
      <c r="I1271" s="591" t="s">
        <v>689</v>
      </c>
    </row>
    <row r="1272" spans="1:20" ht="15.75" thickTop="1" x14ac:dyDescent="0.25">
      <c r="A1272" s="1136">
        <v>1150</v>
      </c>
      <c r="B1272" s="701">
        <v>3122</v>
      </c>
      <c r="C1272" s="701">
        <v>5331</v>
      </c>
      <c r="D1272" s="706"/>
      <c r="E1272" s="734" t="s">
        <v>858</v>
      </c>
      <c r="F1272" s="699">
        <f>F1273+F1274</f>
        <v>3123</v>
      </c>
      <c r="G1272" s="699">
        <f>G1273+G1274</f>
        <v>520</v>
      </c>
      <c r="H1272" s="699">
        <f>H1273+H1274</f>
        <v>520</v>
      </c>
      <c r="I1272" s="703">
        <f t="shared" ref="I1272:I1275" si="160">(H1272/G1272)*100</f>
        <v>100</v>
      </c>
    </row>
    <row r="1273" spans="1:20" ht="14.25" x14ac:dyDescent="0.2">
      <c r="A1273" s="420"/>
      <c r="B1273" s="617"/>
      <c r="C1273" s="617"/>
      <c r="D1273" s="636" t="s">
        <v>1811</v>
      </c>
      <c r="E1273" s="1162" t="s">
        <v>717</v>
      </c>
      <c r="F1273" s="352">
        <v>360</v>
      </c>
      <c r="G1273" s="683">
        <v>60</v>
      </c>
      <c r="H1273" s="683">
        <v>60</v>
      </c>
      <c r="I1273" s="679">
        <f t="shared" si="160"/>
        <v>100</v>
      </c>
    </row>
    <row r="1274" spans="1:20" ht="14.25" x14ac:dyDescent="0.2">
      <c r="A1274" s="420"/>
      <c r="B1274" s="617"/>
      <c r="C1274" s="617"/>
      <c r="D1274" s="518" t="s">
        <v>1812</v>
      </c>
      <c r="E1274" s="442" t="s">
        <v>63</v>
      </c>
      <c r="F1274" s="683">
        <v>2763</v>
      </c>
      <c r="G1274" s="683">
        <v>460</v>
      </c>
      <c r="H1274" s="683">
        <v>460</v>
      </c>
      <c r="I1274" s="679">
        <f t="shared" si="160"/>
        <v>100</v>
      </c>
    </row>
    <row r="1275" spans="1:20" ht="15" x14ac:dyDescent="0.25">
      <c r="A1275" s="420">
        <v>1150</v>
      </c>
      <c r="B1275" s="617">
        <v>3122</v>
      </c>
      <c r="C1275" s="617">
        <v>5336</v>
      </c>
      <c r="D1275" s="887"/>
      <c r="E1275" s="616" t="s">
        <v>1740</v>
      </c>
      <c r="F1275" s="683"/>
      <c r="G1275" s="705">
        <f>G1276+G1277+G1278+G1279</f>
        <v>17833</v>
      </c>
      <c r="H1275" s="705">
        <f>H1276+H1277+H1278+H1279</f>
        <v>17833</v>
      </c>
      <c r="I1275" s="707">
        <f t="shared" si="160"/>
        <v>100</v>
      </c>
    </row>
    <row r="1276" spans="1:20" ht="14.25" x14ac:dyDescent="0.2">
      <c r="A1276" s="420"/>
      <c r="B1276" s="617"/>
      <c r="C1276" s="617"/>
      <c r="D1276" s="887" t="s">
        <v>1827</v>
      </c>
      <c r="E1276" s="1676" t="s">
        <v>1407</v>
      </c>
      <c r="F1276" s="683"/>
      <c r="G1276" s="683">
        <v>4</v>
      </c>
      <c r="H1276" s="683">
        <v>4</v>
      </c>
      <c r="I1276" s="679">
        <f t="shared" ref="I1276" si="161">(H1276/G1276)*100</f>
        <v>100</v>
      </c>
    </row>
    <row r="1277" spans="1:20" ht="15" x14ac:dyDescent="0.2">
      <c r="A1277" s="420"/>
      <c r="B1277" s="617"/>
      <c r="C1277" s="617"/>
      <c r="D1277" s="887" t="s">
        <v>1808</v>
      </c>
      <c r="E1277" s="1676" t="s">
        <v>1739</v>
      </c>
      <c r="F1277" s="1964"/>
      <c r="G1277" s="1965">
        <v>582</v>
      </c>
      <c r="H1277" s="1965">
        <v>582</v>
      </c>
      <c r="I1277" s="368">
        <f t="shared" ref="I1277:I1278" si="162">(H1277/G1277)*100</f>
        <v>100</v>
      </c>
    </row>
    <row r="1278" spans="1:20" ht="28.5" x14ac:dyDescent="0.2">
      <c r="A1278" s="420"/>
      <c r="B1278" s="617"/>
      <c r="C1278" s="617"/>
      <c r="D1278" s="887" t="s">
        <v>1809</v>
      </c>
      <c r="E1278" s="2874" t="s">
        <v>1810</v>
      </c>
      <c r="F1278" s="1964"/>
      <c r="G1278" s="2031">
        <v>87</v>
      </c>
      <c r="H1278" s="2031">
        <v>87</v>
      </c>
      <c r="I1278" s="1234">
        <f t="shared" si="162"/>
        <v>100</v>
      </c>
    </row>
    <row r="1279" spans="1:20" ht="14.25" x14ac:dyDescent="0.2">
      <c r="A1279" s="420"/>
      <c r="B1279" s="617"/>
      <c r="C1279" s="617"/>
      <c r="D1279" s="518" t="s">
        <v>1807</v>
      </c>
      <c r="E1279" s="442" t="s">
        <v>716</v>
      </c>
      <c r="F1279" s="683"/>
      <c r="G1279" s="683">
        <v>17160</v>
      </c>
      <c r="H1279" s="683">
        <v>17160</v>
      </c>
      <c r="I1279" s="679">
        <v>100</v>
      </c>
    </row>
    <row r="1280" spans="1:20" ht="15" x14ac:dyDescent="0.25">
      <c r="A1280" s="420">
        <v>1150</v>
      </c>
      <c r="B1280" s="651">
        <v>3141</v>
      </c>
      <c r="C1280" s="651">
        <v>5336</v>
      </c>
      <c r="D1280" s="518"/>
      <c r="E1280" s="616" t="s">
        <v>1740</v>
      </c>
      <c r="F1280" s="689"/>
      <c r="G1280" s="700">
        <f>G1281</f>
        <v>167</v>
      </c>
      <c r="H1280" s="700">
        <f>H1281</f>
        <v>167</v>
      </c>
      <c r="I1280" s="691">
        <f t="shared" ref="I1280:I1282" si="163">(H1280/G1280)*100</f>
        <v>100</v>
      </c>
    </row>
    <row r="1281" spans="1:20" s="106" customFormat="1" ht="15.75" thickBot="1" x14ac:dyDescent="0.25">
      <c r="A1281" s="727"/>
      <c r="B1281" s="744"/>
      <c r="C1281" s="745"/>
      <c r="D1281" s="518" t="s">
        <v>1807</v>
      </c>
      <c r="E1281" s="442" t="s">
        <v>716</v>
      </c>
      <c r="F1281" s="746"/>
      <c r="G1281" s="747">
        <v>167</v>
      </c>
      <c r="H1281" s="747">
        <v>167</v>
      </c>
      <c r="I1281" s="684">
        <f t="shared" si="163"/>
        <v>100</v>
      </c>
    </row>
    <row r="1282" spans="1:20" ht="18" customHeight="1" thickTop="1" thickBot="1" x14ac:dyDescent="0.3">
      <c r="A1282" s="3110" t="s">
        <v>1000</v>
      </c>
      <c r="B1282" s="3111"/>
      <c r="C1282" s="3111"/>
      <c r="D1282" s="3111"/>
      <c r="E1282" s="3111"/>
      <c r="F1282" s="680">
        <f>F1272</f>
        <v>3123</v>
      </c>
      <c r="G1282" s="680">
        <f>G1280+G1275+G1272</f>
        <v>18520</v>
      </c>
      <c r="H1282" s="680">
        <f>H1280+H1275+H1272</f>
        <v>18520</v>
      </c>
      <c r="I1282" s="681">
        <f t="shared" si="163"/>
        <v>100</v>
      </c>
      <c r="R1282" s="374">
        <f>F1282</f>
        <v>3123</v>
      </c>
      <c r="S1282" s="374">
        <f>G1282</f>
        <v>18520</v>
      </c>
      <c r="T1282" s="374">
        <f>H1282</f>
        <v>18520</v>
      </c>
    </row>
    <row r="1283" spans="1:20" ht="15.75" thickTop="1" x14ac:dyDescent="0.25">
      <c r="A1283" s="361"/>
      <c r="B1283" s="361"/>
      <c r="C1283" s="361"/>
      <c r="D1283" s="361"/>
      <c r="E1283" s="361"/>
      <c r="F1283" s="178"/>
      <c r="G1283" s="178"/>
      <c r="H1283" s="178"/>
      <c r="I1283" s="207"/>
      <c r="R1283" s="374"/>
      <c r="S1283" s="374"/>
      <c r="T1283" s="374"/>
    </row>
    <row r="1284" spans="1:20" ht="13.5" thickBot="1" x14ac:dyDescent="0.25">
      <c r="A1284" s="421" t="s">
        <v>271</v>
      </c>
      <c r="I1284" s="1125" t="s">
        <v>148</v>
      </c>
    </row>
    <row r="1285" spans="1:20" s="106" customFormat="1" ht="20.25" customHeight="1" thickTop="1" thickBot="1" x14ac:dyDescent="0.25">
      <c r="A1285" s="586" t="s">
        <v>565</v>
      </c>
      <c r="B1285" s="658" t="s">
        <v>149</v>
      </c>
      <c r="C1285" s="587" t="s">
        <v>150</v>
      </c>
      <c r="D1285" s="589" t="s">
        <v>639</v>
      </c>
      <c r="E1285" s="589" t="s">
        <v>151</v>
      </c>
      <c r="F1285" s="589" t="s">
        <v>569</v>
      </c>
      <c r="G1285" s="589" t="s">
        <v>570</v>
      </c>
      <c r="H1285" s="589" t="s">
        <v>797</v>
      </c>
      <c r="I1285" s="674" t="s">
        <v>798</v>
      </c>
    </row>
    <row r="1286" spans="1:20" s="375" customFormat="1" ht="12" customHeight="1" thickTop="1" thickBot="1" x14ac:dyDescent="0.25">
      <c r="A1286" s="525">
        <v>1</v>
      </c>
      <c r="B1286" s="526">
        <v>2</v>
      </c>
      <c r="C1286" s="526">
        <v>3</v>
      </c>
      <c r="D1286" s="526">
        <v>4</v>
      </c>
      <c r="E1286" s="526">
        <v>5</v>
      </c>
      <c r="F1286" s="512">
        <v>6</v>
      </c>
      <c r="G1286" s="512">
        <v>7</v>
      </c>
      <c r="H1286" s="513">
        <v>8</v>
      </c>
      <c r="I1286" s="591" t="s">
        <v>689</v>
      </c>
    </row>
    <row r="1287" spans="1:20" ht="15.75" thickTop="1" x14ac:dyDescent="0.25">
      <c r="A1287" s="1136">
        <v>1151</v>
      </c>
      <c r="B1287" s="701">
        <v>3122</v>
      </c>
      <c r="C1287" s="701">
        <v>5331</v>
      </c>
      <c r="D1287" s="706"/>
      <c r="E1287" s="734" t="s">
        <v>858</v>
      </c>
      <c r="F1287" s="699">
        <f>F1288+F1289</f>
        <v>1022</v>
      </c>
      <c r="G1287" s="699">
        <f>G1288+G1289</f>
        <v>170</v>
      </c>
      <c r="H1287" s="699">
        <f>H1288+H1289</f>
        <v>170</v>
      </c>
      <c r="I1287" s="703">
        <f t="shared" ref="I1287:I1298" si="164">(H1287/G1287)*100</f>
        <v>100</v>
      </c>
    </row>
    <row r="1288" spans="1:20" ht="14.25" x14ac:dyDescent="0.2">
      <c r="A1288" s="420"/>
      <c r="B1288" s="617"/>
      <c r="C1288" s="617"/>
      <c r="D1288" s="636" t="s">
        <v>1811</v>
      </c>
      <c r="E1288" s="1162" t="s">
        <v>717</v>
      </c>
      <c r="F1288" s="683">
        <v>83</v>
      </c>
      <c r="G1288" s="683">
        <v>14</v>
      </c>
      <c r="H1288" s="683">
        <v>14</v>
      </c>
      <c r="I1288" s="679">
        <f t="shared" si="164"/>
        <v>100</v>
      </c>
    </row>
    <row r="1289" spans="1:20" ht="14.25" x14ac:dyDescent="0.2">
      <c r="A1289" s="420"/>
      <c r="B1289" s="617"/>
      <c r="C1289" s="617"/>
      <c r="D1289" s="518" t="s">
        <v>1812</v>
      </c>
      <c r="E1289" s="442" t="s">
        <v>63</v>
      </c>
      <c r="F1289" s="683">
        <v>939</v>
      </c>
      <c r="G1289" s="683">
        <v>156</v>
      </c>
      <c r="H1289" s="683">
        <v>156</v>
      </c>
      <c r="I1289" s="679">
        <f t="shared" si="164"/>
        <v>100</v>
      </c>
    </row>
    <row r="1290" spans="1:20" ht="15" x14ac:dyDescent="0.25">
      <c r="A1290" s="420">
        <v>1151</v>
      </c>
      <c r="B1290" s="617">
        <v>3122</v>
      </c>
      <c r="C1290" s="617">
        <v>5336</v>
      </c>
      <c r="D1290" s="887"/>
      <c r="E1290" s="616" t="s">
        <v>1740</v>
      </c>
      <c r="F1290" s="683"/>
      <c r="G1290" s="705">
        <f>G1291+G1292+G1293+G1294+G1295</f>
        <v>9623</v>
      </c>
      <c r="H1290" s="705">
        <f>H1291+H1292+H1293+H1294+H1295</f>
        <v>9623</v>
      </c>
      <c r="I1290" s="707">
        <f t="shared" si="164"/>
        <v>100</v>
      </c>
    </row>
    <row r="1291" spans="1:20" ht="14.25" customHeight="1" x14ac:dyDescent="0.2">
      <c r="A1291" s="420"/>
      <c r="B1291" s="617"/>
      <c r="C1291" s="617"/>
      <c r="D1291" s="887" t="s">
        <v>1808</v>
      </c>
      <c r="E1291" s="1676" t="s">
        <v>1739</v>
      </c>
      <c r="F1291" s="1964"/>
      <c r="G1291" s="1965">
        <v>240</v>
      </c>
      <c r="H1291" s="1965">
        <v>240</v>
      </c>
      <c r="I1291" s="368">
        <f t="shared" ref="I1291:I1292" si="165">(H1291/G1291)*100</f>
        <v>100</v>
      </c>
    </row>
    <row r="1292" spans="1:20" ht="28.5" x14ac:dyDescent="0.2">
      <c r="A1292" s="420"/>
      <c r="B1292" s="617"/>
      <c r="C1292" s="617"/>
      <c r="D1292" s="887" t="s">
        <v>1809</v>
      </c>
      <c r="E1292" s="2874" t="s">
        <v>1810</v>
      </c>
      <c r="F1292" s="1964"/>
      <c r="G1292" s="2031">
        <v>44</v>
      </c>
      <c r="H1292" s="2031">
        <v>44</v>
      </c>
      <c r="I1292" s="1234">
        <f t="shared" si="165"/>
        <v>100</v>
      </c>
    </row>
    <row r="1293" spans="1:20" ht="14.25" x14ac:dyDescent="0.2">
      <c r="A1293" s="420"/>
      <c r="B1293" s="617"/>
      <c r="C1293" s="1127"/>
      <c r="D1293" s="518" t="s">
        <v>1807</v>
      </c>
      <c r="E1293" s="442" t="s">
        <v>716</v>
      </c>
      <c r="F1293" s="683"/>
      <c r="G1293" s="683">
        <v>8794</v>
      </c>
      <c r="H1293" s="683">
        <v>8794</v>
      </c>
      <c r="I1293" s="679">
        <f t="shared" si="164"/>
        <v>100</v>
      </c>
    </row>
    <row r="1294" spans="1:20" ht="14.25" x14ac:dyDescent="0.2">
      <c r="A1294" s="420"/>
      <c r="B1294" s="617"/>
      <c r="C1294" s="1127"/>
      <c r="D1294" s="518" t="s">
        <v>1813</v>
      </c>
      <c r="E1294" s="1162" t="s">
        <v>1815</v>
      </c>
      <c r="F1294" s="683"/>
      <c r="G1294" s="683">
        <v>82</v>
      </c>
      <c r="H1294" s="683">
        <v>82</v>
      </c>
      <c r="I1294" s="679">
        <f t="shared" si="164"/>
        <v>100</v>
      </c>
    </row>
    <row r="1295" spans="1:20" ht="14.25" x14ac:dyDescent="0.2">
      <c r="A1295" s="420"/>
      <c r="B1295" s="617"/>
      <c r="C1295" s="1127"/>
      <c r="D1295" s="518" t="s">
        <v>1814</v>
      </c>
      <c r="E1295" s="1162" t="s">
        <v>1815</v>
      </c>
      <c r="F1295" s="683"/>
      <c r="G1295" s="683">
        <v>463</v>
      </c>
      <c r="H1295" s="683">
        <v>463</v>
      </c>
      <c r="I1295" s="679">
        <f t="shared" si="164"/>
        <v>100</v>
      </c>
    </row>
    <row r="1296" spans="1:20" ht="15" x14ac:dyDescent="0.25">
      <c r="A1296" s="420">
        <v>1151</v>
      </c>
      <c r="B1296" s="617">
        <v>3299</v>
      </c>
      <c r="C1296" s="1127">
        <v>5331</v>
      </c>
      <c r="D1296" s="1138"/>
      <c r="E1296" s="616" t="s">
        <v>858</v>
      </c>
      <c r="F1296" s="683"/>
      <c r="G1296" s="705">
        <v>15</v>
      </c>
      <c r="H1296" s="705">
        <v>15</v>
      </c>
      <c r="I1296" s="707">
        <f t="shared" si="164"/>
        <v>100</v>
      </c>
    </row>
    <row r="1297" spans="1:20" ht="43.5" thickBot="1" x14ac:dyDescent="0.25">
      <c r="A1297" s="420"/>
      <c r="B1297" s="617"/>
      <c r="C1297" s="617"/>
      <c r="D1297" s="1087" t="s">
        <v>1831</v>
      </c>
      <c r="E1297" s="2875" t="s">
        <v>1832</v>
      </c>
      <c r="F1297" s="683"/>
      <c r="G1297" s="1067">
        <v>15</v>
      </c>
      <c r="H1297" s="1067">
        <v>15</v>
      </c>
      <c r="I1297" s="1063">
        <f t="shared" ref="I1297" si="166">(H1297/G1297)*100</f>
        <v>100</v>
      </c>
    </row>
    <row r="1298" spans="1:20" ht="18" customHeight="1" thickTop="1" thickBot="1" x14ac:dyDescent="0.3">
      <c r="A1298" s="3110" t="s">
        <v>1000</v>
      </c>
      <c r="B1298" s="3111"/>
      <c r="C1298" s="3111"/>
      <c r="D1298" s="3111"/>
      <c r="E1298" s="3111"/>
      <c r="F1298" s="680">
        <f>SUM(F1287)</f>
        <v>1022</v>
      </c>
      <c r="G1298" s="680">
        <f>G1287+G1290+G1296</f>
        <v>9808</v>
      </c>
      <c r="H1298" s="680">
        <f>H1287+H1290+H1296</f>
        <v>9808</v>
      </c>
      <c r="I1298" s="681">
        <f t="shared" si="164"/>
        <v>100</v>
      </c>
      <c r="R1298" s="374">
        <f>F1298</f>
        <v>1022</v>
      </c>
      <c r="S1298" s="374">
        <f>G1298</f>
        <v>9808</v>
      </c>
      <c r="T1298" s="374">
        <f>H1298</f>
        <v>9808</v>
      </c>
    </row>
    <row r="1299" spans="1:20" ht="18" customHeight="1" thickTop="1" x14ac:dyDescent="0.25">
      <c r="A1299" s="361"/>
      <c r="B1299" s="361"/>
      <c r="C1299" s="361"/>
      <c r="D1299" s="361"/>
      <c r="E1299" s="361"/>
      <c r="F1299" s="178"/>
      <c r="G1299" s="178"/>
      <c r="H1299" s="178"/>
      <c r="I1299" s="207"/>
      <c r="R1299" s="374"/>
      <c r="S1299" s="374"/>
      <c r="T1299" s="374"/>
    </row>
    <row r="1300" spans="1:20" ht="13.5" thickBot="1" x14ac:dyDescent="0.25">
      <c r="A1300" s="421" t="s">
        <v>480</v>
      </c>
      <c r="I1300" s="1125" t="s">
        <v>148</v>
      </c>
    </row>
    <row r="1301" spans="1:20" s="106" customFormat="1" thickTop="1" thickBot="1" x14ac:dyDescent="0.25">
      <c r="A1301" s="586" t="s">
        <v>565</v>
      </c>
      <c r="B1301" s="658" t="s">
        <v>149</v>
      </c>
      <c r="C1301" s="587" t="s">
        <v>150</v>
      </c>
      <c r="D1301" s="589" t="s">
        <v>639</v>
      </c>
      <c r="E1301" s="589" t="s">
        <v>151</v>
      </c>
      <c r="F1301" s="589" t="s">
        <v>569</v>
      </c>
      <c r="G1301" s="589" t="s">
        <v>570</v>
      </c>
      <c r="H1301" s="589" t="s">
        <v>797</v>
      </c>
      <c r="I1301" s="674" t="s">
        <v>798</v>
      </c>
    </row>
    <row r="1302" spans="1:20" s="375" customFormat="1" ht="12" customHeight="1" thickTop="1" thickBot="1" x14ac:dyDescent="0.25">
      <c r="A1302" s="525">
        <v>1</v>
      </c>
      <c r="B1302" s="526">
        <v>2</v>
      </c>
      <c r="C1302" s="526">
        <v>3</v>
      </c>
      <c r="D1302" s="526">
        <v>4</v>
      </c>
      <c r="E1302" s="526">
        <v>5</v>
      </c>
      <c r="F1302" s="512">
        <v>6</v>
      </c>
      <c r="G1302" s="512">
        <v>7</v>
      </c>
      <c r="H1302" s="513">
        <v>8</v>
      </c>
      <c r="I1302" s="591" t="s">
        <v>689</v>
      </c>
    </row>
    <row r="1303" spans="1:20" ht="15.75" thickTop="1" x14ac:dyDescent="0.25">
      <c r="A1303" s="1136">
        <v>1152</v>
      </c>
      <c r="B1303" s="701">
        <v>3122</v>
      </c>
      <c r="C1303" s="701">
        <v>5331</v>
      </c>
      <c r="D1303" s="706"/>
      <c r="E1303" s="734" t="s">
        <v>858</v>
      </c>
      <c r="F1303" s="699">
        <f>F1304+F1305</f>
        <v>2226</v>
      </c>
      <c r="G1303" s="699">
        <f>G1304+G1305</f>
        <v>370</v>
      </c>
      <c r="H1303" s="699">
        <f>H1304+H1305</f>
        <v>370</v>
      </c>
      <c r="I1303" s="703">
        <f t="shared" ref="I1303:I1316" si="167">(H1303/G1303)*100</f>
        <v>100</v>
      </c>
    </row>
    <row r="1304" spans="1:20" ht="13.5" customHeight="1" x14ac:dyDescent="0.2">
      <c r="A1304" s="420"/>
      <c r="B1304" s="617"/>
      <c r="C1304" s="617"/>
      <c r="D1304" s="636" t="s">
        <v>1811</v>
      </c>
      <c r="E1304" s="1162" t="s">
        <v>717</v>
      </c>
      <c r="F1304" s="683">
        <v>437</v>
      </c>
      <c r="G1304" s="683">
        <v>72</v>
      </c>
      <c r="H1304" s="683">
        <v>72</v>
      </c>
      <c r="I1304" s="679">
        <f t="shared" si="167"/>
        <v>100</v>
      </c>
    </row>
    <row r="1305" spans="1:20" ht="14.25" x14ac:dyDescent="0.2">
      <c r="A1305" s="420"/>
      <c r="B1305" s="617"/>
      <c r="C1305" s="617"/>
      <c r="D1305" s="518" t="s">
        <v>1812</v>
      </c>
      <c r="E1305" s="442" t="s">
        <v>63</v>
      </c>
      <c r="F1305" s="683">
        <v>1789</v>
      </c>
      <c r="G1305" s="683">
        <v>298</v>
      </c>
      <c r="H1305" s="683">
        <v>298</v>
      </c>
      <c r="I1305" s="679">
        <f t="shared" si="167"/>
        <v>100</v>
      </c>
    </row>
    <row r="1306" spans="1:20" ht="15" x14ac:dyDescent="0.25">
      <c r="A1306" s="420">
        <v>1152</v>
      </c>
      <c r="B1306" s="617">
        <v>3122</v>
      </c>
      <c r="C1306" s="617">
        <v>5336</v>
      </c>
      <c r="D1306" s="887"/>
      <c r="E1306" s="616" t="s">
        <v>1740</v>
      </c>
      <c r="F1306" s="683"/>
      <c r="G1306" s="705">
        <f>G1307+G1308+G1309+G1310+G1311+G1312+G1313</f>
        <v>13811</v>
      </c>
      <c r="H1306" s="705">
        <f>H1307+H1308+H1309+H1310+H1311+H1312+H1313</f>
        <v>13811</v>
      </c>
      <c r="I1306" s="707">
        <f t="shared" si="167"/>
        <v>100</v>
      </c>
    </row>
    <row r="1307" spans="1:20" ht="14.25" x14ac:dyDescent="0.2">
      <c r="A1307" s="420"/>
      <c r="B1307" s="617"/>
      <c r="C1307" s="617"/>
      <c r="D1307" s="887" t="s">
        <v>1827</v>
      </c>
      <c r="E1307" s="1676" t="s">
        <v>1407</v>
      </c>
      <c r="F1307" s="683"/>
      <c r="G1307" s="683">
        <v>3</v>
      </c>
      <c r="H1307" s="683">
        <v>3</v>
      </c>
      <c r="I1307" s="679">
        <f t="shared" si="167"/>
        <v>100</v>
      </c>
    </row>
    <row r="1308" spans="1:20" ht="15" x14ac:dyDescent="0.2">
      <c r="A1308" s="420"/>
      <c r="B1308" s="617"/>
      <c r="C1308" s="617"/>
      <c r="D1308" s="887" t="s">
        <v>1808</v>
      </c>
      <c r="E1308" s="1676" t="s">
        <v>1739</v>
      </c>
      <c r="F1308" s="1964"/>
      <c r="G1308" s="1965">
        <v>391</v>
      </c>
      <c r="H1308" s="1965">
        <v>391</v>
      </c>
      <c r="I1308" s="368">
        <f t="shared" ref="I1308:I1310" si="168">(H1308/G1308)*100</f>
        <v>100</v>
      </c>
    </row>
    <row r="1309" spans="1:20" ht="28.5" x14ac:dyDescent="0.2">
      <c r="A1309" s="420"/>
      <c r="B1309" s="617"/>
      <c r="C1309" s="617"/>
      <c r="D1309" s="887" t="s">
        <v>1809</v>
      </c>
      <c r="E1309" s="2874" t="s">
        <v>1810</v>
      </c>
      <c r="F1309" s="1964"/>
      <c r="G1309" s="2031">
        <v>62</v>
      </c>
      <c r="H1309" s="2031">
        <v>62</v>
      </c>
      <c r="I1309" s="1234">
        <f t="shared" si="168"/>
        <v>100</v>
      </c>
    </row>
    <row r="1310" spans="1:20" ht="28.5" x14ac:dyDescent="0.2">
      <c r="A1310" s="420"/>
      <c r="B1310" s="617"/>
      <c r="C1310" s="617"/>
      <c r="D1310" s="887" t="s">
        <v>1826</v>
      </c>
      <c r="E1310" s="1174" t="s">
        <v>1742</v>
      </c>
      <c r="F1310" s="1964"/>
      <c r="G1310" s="2031">
        <v>80</v>
      </c>
      <c r="H1310" s="2031">
        <v>80</v>
      </c>
      <c r="I1310" s="1234">
        <f t="shared" si="168"/>
        <v>100</v>
      </c>
    </row>
    <row r="1311" spans="1:20" ht="14.25" x14ac:dyDescent="0.2">
      <c r="A1311" s="420"/>
      <c r="B1311" s="617"/>
      <c r="C1311" s="617"/>
      <c r="D1311" s="518" t="s">
        <v>1807</v>
      </c>
      <c r="E1311" s="442" t="s">
        <v>716</v>
      </c>
      <c r="F1311" s="683"/>
      <c r="G1311" s="683">
        <v>12282</v>
      </c>
      <c r="H1311" s="683">
        <v>12282</v>
      </c>
      <c r="I1311" s="679">
        <f t="shared" si="167"/>
        <v>100</v>
      </c>
    </row>
    <row r="1312" spans="1:20" ht="14.25" x14ac:dyDescent="0.2">
      <c r="A1312" s="420"/>
      <c r="B1312" s="617"/>
      <c r="C1312" s="617"/>
      <c r="D1312" s="518" t="s">
        <v>1813</v>
      </c>
      <c r="E1312" s="1162" t="s">
        <v>1815</v>
      </c>
      <c r="F1312" s="683"/>
      <c r="G1312" s="683">
        <v>149</v>
      </c>
      <c r="H1312" s="683">
        <v>149</v>
      </c>
      <c r="I1312" s="679">
        <f t="shared" si="167"/>
        <v>100</v>
      </c>
    </row>
    <row r="1313" spans="1:20" ht="14.25" x14ac:dyDescent="0.2">
      <c r="A1313" s="420"/>
      <c r="B1313" s="617"/>
      <c r="C1313" s="617"/>
      <c r="D1313" s="518" t="s">
        <v>1814</v>
      </c>
      <c r="E1313" s="1162" t="s">
        <v>1815</v>
      </c>
      <c r="F1313" s="683"/>
      <c r="G1313" s="683">
        <v>844</v>
      </c>
      <c r="H1313" s="683">
        <v>844</v>
      </c>
      <c r="I1313" s="679">
        <f t="shared" si="167"/>
        <v>100</v>
      </c>
    </row>
    <row r="1314" spans="1:20" ht="15" x14ac:dyDescent="0.25">
      <c r="A1314" s="420">
        <v>1152</v>
      </c>
      <c r="B1314" s="617">
        <v>3299</v>
      </c>
      <c r="C1314" s="617">
        <v>5331</v>
      </c>
      <c r="D1314" s="518"/>
      <c r="E1314" s="664" t="s">
        <v>858</v>
      </c>
      <c r="F1314" s="683"/>
      <c r="G1314" s="705">
        <f>G1315</f>
        <v>8</v>
      </c>
      <c r="H1314" s="705">
        <f>H1315</f>
        <v>8</v>
      </c>
      <c r="I1314" s="707">
        <f t="shared" si="167"/>
        <v>100</v>
      </c>
    </row>
    <row r="1315" spans="1:20" ht="15" thickBot="1" x14ac:dyDescent="0.25">
      <c r="A1315" s="420"/>
      <c r="B1315" s="617"/>
      <c r="C1315" s="617"/>
      <c r="D1315" s="1068" t="s">
        <v>1830</v>
      </c>
      <c r="E1315" s="446" t="s">
        <v>1011</v>
      </c>
      <c r="F1315" s="683"/>
      <c r="G1315" s="683">
        <v>8</v>
      </c>
      <c r="H1315" s="683">
        <v>8</v>
      </c>
      <c r="I1315" s="679">
        <f t="shared" si="167"/>
        <v>100</v>
      </c>
    </row>
    <row r="1316" spans="1:20" ht="15.75" customHeight="1" thickTop="1" thickBot="1" x14ac:dyDescent="0.3">
      <c r="A1316" s="3110" t="s">
        <v>1000</v>
      </c>
      <c r="B1316" s="3111"/>
      <c r="C1316" s="3111"/>
      <c r="D1316" s="3111"/>
      <c r="E1316" s="3111"/>
      <c r="F1316" s="680">
        <f>F1303</f>
        <v>2226</v>
      </c>
      <c r="G1316" s="680">
        <f>G1303+G1306+G1314</f>
        <v>14189</v>
      </c>
      <c r="H1316" s="680">
        <f>H1303+H1306+H1314</f>
        <v>14189</v>
      </c>
      <c r="I1316" s="681">
        <f t="shared" si="167"/>
        <v>100</v>
      </c>
      <c r="R1316" s="374">
        <f>F1316</f>
        <v>2226</v>
      </c>
      <c r="S1316" s="374">
        <f>G1316</f>
        <v>14189</v>
      </c>
      <c r="T1316" s="374">
        <f>H1316</f>
        <v>14189</v>
      </c>
    </row>
    <row r="1317" spans="1:20" ht="13.5" thickTop="1" x14ac:dyDescent="0.2"/>
    <row r="1318" spans="1:20" ht="13.5" thickBot="1" x14ac:dyDescent="0.25">
      <c r="A1318" s="421" t="s">
        <v>162</v>
      </c>
      <c r="I1318" s="1125" t="s">
        <v>148</v>
      </c>
    </row>
    <row r="1319" spans="1:20" s="106" customFormat="1" thickTop="1" thickBot="1" x14ac:dyDescent="0.25">
      <c r="A1319" s="586" t="s">
        <v>565</v>
      </c>
      <c r="B1319" s="658" t="s">
        <v>149</v>
      </c>
      <c r="C1319" s="587" t="s">
        <v>150</v>
      </c>
      <c r="D1319" s="589" t="s">
        <v>639</v>
      </c>
      <c r="E1319" s="589" t="s">
        <v>151</v>
      </c>
      <c r="F1319" s="589" t="s">
        <v>569</v>
      </c>
      <c r="G1319" s="589" t="s">
        <v>570</v>
      </c>
      <c r="H1319" s="589" t="s">
        <v>797</v>
      </c>
      <c r="I1319" s="674" t="s">
        <v>798</v>
      </c>
    </row>
    <row r="1320" spans="1:20" s="375" customFormat="1" ht="15" customHeight="1" thickTop="1" thickBot="1" x14ac:dyDescent="0.25">
      <c r="A1320" s="525">
        <v>1</v>
      </c>
      <c r="B1320" s="526">
        <v>2</v>
      </c>
      <c r="C1320" s="526">
        <v>3</v>
      </c>
      <c r="D1320" s="526">
        <v>4</v>
      </c>
      <c r="E1320" s="526">
        <v>5</v>
      </c>
      <c r="F1320" s="512">
        <v>6</v>
      </c>
      <c r="G1320" s="512">
        <v>7</v>
      </c>
      <c r="H1320" s="513">
        <v>8</v>
      </c>
      <c r="I1320" s="591" t="s">
        <v>689</v>
      </c>
    </row>
    <row r="1321" spans="1:20" ht="15.75" thickTop="1" x14ac:dyDescent="0.25">
      <c r="A1321" s="1136">
        <v>1153</v>
      </c>
      <c r="B1321" s="701">
        <v>3122</v>
      </c>
      <c r="C1321" s="701">
        <v>5331</v>
      </c>
      <c r="D1321" s="706"/>
      <c r="E1321" s="734" t="s">
        <v>858</v>
      </c>
      <c r="F1321" s="699">
        <f>F1322+F1324</f>
        <v>3537</v>
      </c>
      <c r="G1321" s="699">
        <f>G1322+G1324+G1323</f>
        <v>600</v>
      </c>
      <c r="H1321" s="699">
        <f>H1322+H1324+H1323</f>
        <v>600</v>
      </c>
      <c r="I1321" s="703">
        <f t="shared" ref="I1321:I1335" si="169">(H1321/G1321)*100</f>
        <v>100</v>
      </c>
    </row>
    <row r="1322" spans="1:20" ht="14.25" x14ac:dyDescent="0.2">
      <c r="A1322" s="420"/>
      <c r="B1322" s="617"/>
      <c r="C1322" s="617"/>
      <c r="D1322" s="636" t="s">
        <v>1811</v>
      </c>
      <c r="E1322" s="1162" t="s">
        <v>717</v>
      </c>
      <c r="F1322" s="683">
        <v>670</v>
      </c>
      <c r="G1322" s="683">
        <v>112</v>
      </c>
      <c r="H1322" s="683">
        <v>112</v>
      </c>
      <c r="I1322" s="679">
        <f t="shared" si="169"/>
        <v>100</v>
      </c>
    </row>
    <row r="1323" spans="1:20" ht="14.25" x14ac:dyDescent="0.2">
      <c r="A1323" s="420"/>
      <c r="B1323" s="617"/>
      <c r="C1323" s="617"/>
      <c r="D1323" s="878" t="s">
        <v>1761</v>
      </c>
      <c r="E1323" s="956" t="s">
        <v>806</v>
      </c>
      <c r="F1323" s="683"/>
      <c r="G1323" s="683">
        <v>10</v>
      </c>
      <c r="H1323" s="683">
        <v>10</v>
      </c>
      <c r="I1323" s="679">
        <f t="shared" si="169"/>
        <v>100</v>
      </c>
    </row>
    <row r="1324" spans="1:20" ht="14.25" x14ac:dyDescent="0.2">
      <c r="A1324" s="420"/>
      <c r="B1324" s="617"/>
      <c r="C1324" s="617"/>
      <c r="D1324" s="518" t="s">
        <v>1812</v>
      </c>
      <c r="E1324" s="442" t="s">
        <v>63</v>
      </c>
      <c r="F1324" s="683">
        <v>2867</v>
      </c>
      <c r="G1324" s="683">
        <v>478</v>
      </c>
      <c r="H1324" s="683">
        <v>478</v>
      </c>
      <c r="I1324" s="679">
        <f t="shared" si="169"/>
        <v>100</v>
      </c>
    </row>
    <row r="1325" spans="1:20" ht="15" x14ac:dyDescent="0.25">
      <c r="A1325" s="420">
        <v>1153</v>
      </c>
      <c r="B1325" s="617">
        <v>3122</v>
      </c>
      <c r="C1325" s="617">
        <v>5336</v>
      </c>
      <c r="D1325" s="1972"/>
      <c r="E1325" s="616" t="s">
        <v>1740</v>
      </c>
      <c r="F1325" s="683"/>
      <c r="G1325" s="705">
        <f>G1326+G1327+G1328+G1329+G1330+G1331</f>
        <v>8414</v>
      </c>
      <c r="H1325" s="705">
        <f>H1326+H1327+H1328+H1329+H1330+H1331</f>
        <v>8414</v>
      </c>
      <c r="I1325" s="707">
        <f t="shared" si="169"/>
        <v>100</v>
      </c>
    </row>
    <row r="1326" spans="1:20" ht="14.25" x14ac:dyDescent="0.2">
      <c r="A1326" s="420"/>
      <c r="B1326" s="617"/>
      <c r="C1326" s="617"/>
      <c r="D1326" s="887" t="s">
        <v>1818</v>
      </c>
      <c r="E1326" s="1963" t="s">
        <v>1600</v>
      </c>
      <c r="F1326" s="689"/>
      <c r="G1326" s="692">
        <v>86</v>
      </c>
      <c r="H1326" s="692">
        <v>86</v>
      </c>
      <c r="I1326" s="708">
        <f t="shared" si="169"/>
        <v>100</v>
      </c>
    </row>
    <row r="1327" spans="1:20" ht="15" x14ac:dyDescent="0.2">
      <c r="A1327" s="420"/>
      <c r="B1327" s="617"/>
      <c r="C1327" s="617"/>
      <c r="D1327" s="887" t="s">
        <v>1808</v>
      </c>
      <c r="E1327" s="1676" t="s">
        <v>1739</v>
      </c>
      <c r="F1327" s="1964"/>
      <c r="G1327" s="1965">
        <v>369</v>
      </c>
      <c r="H1327" s="1965">
        <v>369</v>
      </c>
      <c r="I1327" s="368">
        <f t="shared" ref="I1327:I1328" si="170">(H1327/G1327)*100</f>
        <v>100</v>
      </c>
    </row>
    <row r="1328" spans="1:20" ht="28.5" x14ac:dyDescent="0.2">
      <c r="A1328" s="420"/>
      <c r="B1328" s="617"/>
      <c r="C1328" s="617"/>
      <c r="D1328" s="887" t="s">
        <v>1809</v>
      </c>
      <c r="E1328" s="2874" t="s">
        <v>1810</v>
      </c>
      <c r="F1328" s="1964"/>
      <c r="G1328" s="2031">
        <v>50</v>
      </c>
      <c r="H1328" s="2031">
        <v>50</v>
      </c>
      <c r="I1328" s="1234">
        <f t="shared" si="170"/>
        <v>100</v>
      </c>
    </row>
    <row r="1329" spans="1:20" ht="14.25" x14ac:dyDescent="0.2">
      <c r="A1329" s="420"/>
      <c r="B1329" s="617"/>
      <c r="C1329" s="617"/>
      <c r="D1329" s="518" t="s">
        <v>1807</v>
      </c>
      <c r="E1329" s="442" t="s">
        <v>716</v>
      </c>
      <c r="F1329" s="683"/>
      <c r="G1329" s="683">
        <v>7657</v>
      </c>
      <c r="H1329" s="683">
        <v>7657</v>
      </c>
      <c r="I1329" s="679">
        <f t="shared" si="169"/>
        <v>100</v>
      </c>
    </row>
    <row r="1330" spans="1:20" ht="14.25" x14ac:dyDescent="0.2">
      <c r="A1330" s="420"/>
      <c r="B1330" s="651"/>
      <c r="C1330" s="651"/>
      <c r="D1330" s="518" t="s">
        <v>1813</v>
      </c>
      <c r="E1330" s="1162" t="s">
        <v>1815</v>
      </c>
      <c r="F1330" s="689"/>
      <c r="G1330" s="689">
        <v>38</v>
      </c>
      <c r="H1330" s="689">
        <v>38</v>
      </c>
      <c r="I1330" s="679">
        <f t="shared" si="169"/>
        <v>100</v>
      </c>
    </row>
    <row r="1331" spans="1:20" ht="14.25" x14ac:dyDescent="0.2">
      <c r="A1331" s="420"/>
      <c r="B1331" s="651"/>
      <c r="C1331" s="651"/>
      <c r="D1331" s="518" t="s">
        <v>1814</v>
      </c>
      <c r="E1331" s="1162" t="s">
        <v>1815</v>
      </c>
      <c r="F1331" s="689"/>
      <c r="G1331" s="689">
        <v>214</v>
      </c>
      <c r="H1331" s="689">
        <v>214</v>
      </c>
      <c r="I1331" s="679">
        <f t="shared" si="169"/>
        <v>100</v>
      </c>
    </row>
    <row r="1332" spans="1:20" ht="15" x14ac:dyDescent="0.25">
      <c r="A1332" s="420">
        <v>1153</v>
      </c>
      <c r="B1332" s="651">
        <v>3141</v>
      </c>
      <c r="C1332" s="651">
        <v>5336</v>
      </c>
      <c r="D1332" s="518"/>
      <c r="E1332" s="616" t="s">
        <v>1740</v>
      </c>
      <c r="F1332" s="689"/>
      <c r="G1332" s="700">
        <f>G1333</f>
        <v>1030</v>
      </c>
      <c r="H1332" s="700">
        <f>H1333</f>
        <v>1030</v>
      </c>
      <c r="I1332" s="693">
        <f t="shared" si="169"/>
        <v>100</v>
      </c>
    </row>
    <row r="1333" spans="1:20" ht="14.25" x14ac:dyDescent="0.2">
      <c r="A1333" s="420"/>
      <c r="B1333" s="651"/>
      <c r="C1333" s="651"/>
      <c r="D1333" s="518" t="s">
        <v>1807</v>
      </c>
      <c r="E1333" s="442" t="s">
        <v>716</v>
      </c>
      <c r="F1333" s="689"/>
      <c r="G1333" s="689">
        <v>1030</v>
      </c>
      <c r="H1333" s="689">
        <v>1030</v>
      </c>
      <c r="I1333" s="684">
        <f t="shared" si="169"/>
        <v>100</v>
      </c>
    </row>
    <row r="1334" spans="1:20" ht="15" x14ac:dyDescent="0.25">
      <c r="A1334" s="420">
        <v>1153</v>
      </c>
      <c r="B1334" s="651">
        <v>3147</v>
      </c>
      <c r="C1334" s="651">
        <v>5336</v>
      </c>
      <c r="D1334" s="518"/>
      <c r="E1334" s="616" t="s">
        <v>1740</v>
      </c>
      <c r="F1334" s="689"/>
      <c r="G1334" s="700">
        <f>G1335</f>
        <v>1463</v>
      </c>
      <c r="H1334" s="700">
        <f>H1335</f>
        <v>1463</v>
      </c>
      <c r="I1334" s="693">
        <f t="shared" si="169"/>
        <v>100</v>
      </c>
    </row>
    <row r="1335" spans="1:20" ht="18" customHeight="1" thickBot="1" x14ac:dyDescent="0.25">
      <c r="A1335" s="420"/>
      <c r="B1335" s="651"/>
      <c r="C1335" s="651"/>
      <c r="D1335" s="518" t="s">
        <v>1807</v>
      </c>
      <c r="E1335" s="442" t="s">
        <v>716</v>
      </c>
      <c r="F1335" s="689"/>
      <c r="G1335" s="689">
        <v>1463</v>
      </c>
      <c r="H1335" s="689">
        <v>1463</v>
      </c>
      <c r="I1335" s="684">
        <f t="shared" si="169"/>
        <v>100</v>
      </c>
    </row>
    <row r="1336" spans="1:20" ht="18" customHeight="1" thickTop="1" thickBot="1" x14ac:dyDescent="0.3">
      <c r="A1336" s="3110" t="s">
        <v>1000</v>
      </c>
      <c r="B1336" s="3111"/>
      <c r="C1336" s="3111"/>
      <c r="D1336" s="3111"/>
      <c r="E1336" s="3111"/>
      <c r="F1336" s="680">
        <f>F1321</f>
        <v>3537</v>
      </c>
      <c r="G1336" s="680">
        <f>G1334+G1332+G1325+G1321</f>
        <v>11507</v>
      </c>
      <c r="H1336" s="680">
        <f>H1334+H1332+H1325+H1321</f>
        <v>11507</v>
      </c>
      <c r="I1336" s="681">
        <f>(H1336/G1336)*100</f>
        <v>100</v>
      </c>
      <c r="R1336" s="374">
        <f>F1336</f>
        <v>3537</v>
      </c>
      <c r="S1336" s="374">
        <f>G1336</f>
        <v>11507</v>
      </c>
      <c r="T1336" s="374">
        <f>H1336</f>
        <v>11507</v>
      </c>
    </row>
    <row r="1337" spans="1:20" ht="15.75" thickTop="1" x14ac:dyDescent="0.25">
      <c r="A1337" s="361"/>
      <c r="B1337" s="361"/>
      <c r="C1337" s="361"/>
      <c r="D1337" s="361"/>
      <c r="E1337" s="361"/>
      <c r="F1337" s="180"/>
      <c r="G1337" s="180"/>
      <c r="H1337" s="180"/>
      <c r="I1337" s="211"/>
      <c r="K1337" s="374"/>
      <c r="L1337" s="374"/>
    </row>
    <row r="1338" spans="1:20" ht="13.5" thickBot="1" x14ac:dyDescent="0.25">
      <c r="A1338" s="421" t="s">
        <v>1009</v>
      </c>
      <c r="I1338" s="1125" t="s">
        <v>148</v>
      </c>
    </row>
    <row r="1339" spans="1:20" s="106" customFormat="1" thickTop="1" thickBot="1" x14ac:dyDescent="0.25">
      <c r="A1339" s="586" t="s">
        <v>565</v>
      </c>
      <c r="B1339" s="658" t="s">
        <v>149</v>
      </c>
      <c r="C1339" s="587" t="s">
        <v>150</v>
      </c>
      <c r="D1339" s="589" t="s">
        <v>639</v>
      </c>
      <c r="E1339" s="589" t="s">
        <v>151</v>
      </c>
      <c r="F1339" s="589" t="s">
        <v>569</v>
      </c>
      <c r="G1339" s="589" t="s">
        <v>570</v>
      </c>
      <c r="H1339" s="589" t="s">
        <v>797</v>
      </c>
      <c r="I1339" s="674" t="s">
        <v>798</v>
      </c>
    </row>
    <row r="1340" spans="1:20" s="375" customFormat="1" ht="13.5" thickTop="1" thickBot="1" x14ac:dyDescent="0.25">
      <c r="A1340" s="525">
        <v>1</v>
      </c>
      <c r="B1340" s="526">
        <v>2</v>
      </c>
      <c r="C1340" s="526">
        <v>3</v>
      </c>
      <c r="D1340" s="526">
        <v>4</v>
      </c>
      <c r="E1340" s="526">
        <v>5</v>
      </c>
      <c r="F1340" s="512">
        <v>6</v>
      </c>
      <c r="G1340" s="512">
        <v>7</v>
      </c>
      <c r="H1340" s="513">
        <v>8</v>
      </c>
      <c r="I1340" s="591" t="s">
        <v>689</v>
      </c>
    </row>
    <row r="1341" spans="1:20" ht="15.75" thickTop="1" x14ac:dyDescent="0.25">
      <c r="A1341" s="1136">
        <v>1154</v>
      </c>
      <c r="B1341" s="701">
        <v>3122</v>
      </c>
      <c r="C1341" s="701">
        <v>5331</v>
      </c>
      <c r="D1341" s="706"/>
      <c r="E1341" s="734" t="s">
        <v>858</v>
      </c>
      <c r="F1341" s="699">
        <f>F1342+F1343</f>
        <v>2325</v>
      </c>
      <c r="G1341" s="699">
        <f>G1342+G1343</f>
        <v>388</v>
      </c>
      <c r="H1341" s="699">
        <f>H1342+H1343</f>
        <v>388</v>
      </c>
      <c r="I1341" s="703">
        <f t="shared" ref="I1341:I1349" si="171">(H1341/G1341)*100</f>
        <v>100</v>
      </c>
    </row>
    <row r="1342" spans="1:20" ht="14.25" x14ac:dyDescent="0.2">
      <c r="A1342" s="420"/>
      <c r="B1342" s="617"/>
      <c r="C1342" s="617"/>
      <c r="D1342" s="636" t="s">
        <v>1811</v>
      </c>
      <c r="E1342" s="1162" t="s">
        <v>717</v>
      </c>
      <c r="F1342" s="683">
        <v>314</v>
      </c>
      <c r="G1342" s="683">
        <v>52</v>
      </c>
      <c r="H1342" s="683">
        <v>52</v>
      </c>
      <c r="I1342" s="679">
        <f t="shared" si="171"/>
        <v>100</v>
      </c>
    </row>
    <row r="1343" spans="1:20" ht="14.25" x14ac:dyDescent="0.2">
      <c r="A1343" s="420"/>
      <c r="B1343" s="617"/>
      <c r="C1343" s="617"/>
      <c r="D1343" s="518" t="s">
        <v>1812</v>
      </c>
      <c r="E1343" s="442" t="s">
        <v>63</v>
      </c>
      <c r="F1343" s="683">
        <v>2011</v>
      </c>
      <c r="G1343" s="683">
        <v>336</v>
      </c>
      <c r="H1343" s="683">
        <v>336</v>
      </c>
      <c r="I1343" s="679">
        <f t="shared" si="171"/>
        <v>100</v>
      </c>
    </row>
    <row r="1344" spans="1:20" ht="15" x14ac:dyDescent="0.25">
      <c r="A1344" s="420">
        <v>1154</v>
      </c>
      <c r="B1344" s="617">
        <v>3122</v>
      </c>
      <c r="C1344" s="617">
        <v>5336</v>
      </c>
      <c r="D1344" s="1972"/>
      <c r="E1344" s="616" t="s">
        <v>1740</v>
      </c>
      <c r="F1344" s="683"/>
      <c r="G1344" s="705">
        <f>G1345+G1346+G1347+G1348</f>
        <v>10931</v>
      </c>
      <c r="H1344" s="705">
        <f>H1345+H1346+H1347+H1348</f>
        <v>10931</v>
      </c>
      <c r="I1344" s="707">
        <f t="shared" si="171"/>
        <v>100</v>
      </c>
    </row>
    <row r="1345" spans="1:20" ht="14.25" x14ac:dyDescent="0.2">
      <c r="A1345" s="420"/>
      <c r="B1345" s="617"/>
      <c r="C1345" s="617"/>
      <c r="D1345" s="887" t="s">
        <v>1827</v>
      </c>
      <c r="E1345" s="1676" t="s">
        <v>1407</v>
      </c>
      <c r="F1345" s="683"/>
      <c r="G1345" s="683">
        <v>6</v>
      </c>
      <c r="H1345" s="683">
        <v>6</v>
      </c>
      <c r="I1345" s="679">
        <f t="shared" ref="I1345" si="172">(H1345/G1345)*100</f>
        <v>100</v>
      </c>
    </row>
    <row r="1346" spans="1:20" ht="15" x14ac:dyDescent="0.2">
      <c r="A1346" s="420"/>
      <c r="B1346" s="617"/>
      <c r="C1346" s="617"/>
      <c r="D1346" s="887" t="s">
        <v>1808</v>
      </c>
      <c r="E1346" s="1676" t="s">
        <v>1739</v>
      </c>
      <c r="F1346" s="1964"/>
      <c r="G1346" s="1965">
        <v>375</v>
      </c>
      <c r="H1346" s="1965">
        <v>375</v>
      </c>
      <c r="I1346" s="368">
        <f t="shared" ref="I1346:I1347" si="173">(H1346/G1346)*100</f>
        <v>100</v>
      </c>
    </row>
    <row r="1347" spans="1:20" ht="28.5" x14ac:dyDescent="0.2">
      <c r="A1347" s="420"/>
      <c r="B1347" s="617"/>
      <c r="C1347" s="617"/>
      <c r="D1347" s="887" t="s">
        <v>1809</v>
      </c>
      <c r="E1347" s="2876" t="s">
        <v>1810</v>
      </c>
      <c r="F1347" s="1964"/>
      <c r="G1347" s="2031">
        <v>53</v>
      </c>
      <c r="H1347" s="2031">
        <v>53</v>
      </c>
      <c r="I1347" s="1234">
        <f t="shared" si="173"/>
        <v>100</v>
      </c>
    </row>
    <row r="1348" spans="1:20" ht="15" thickBot="1" x14ac:dyDescent="0.25">
      <c r="A1348" s="420"/>
      <c r="B1348" s="617"/>
      <c r="C1348" s="1127"/>
      <c r="D1348" s="518" t="s">
        <v>1807</v>
      </c>
      <c r="E1348" s="442" t="s">
        <v>716</v>
      </c>
      <c r="F1348" s="683"/>
      <c r="G1348" s="683">
        <v>10497</v>
      </c>
      <c r="H1348" s="683">
        <v>10497</v>
      </c>
      <c r="I1348" s="679">
        <f t="shared" si="171"/>
        <v>100</v>
      </c>
    </row>
    <row r="1349" spans="1:20" ht="16.5" thickTop="1" thickBot="1" x14ac:dyDescent="0.3">
      <c r="A1349" s="3110" t="s">
        <v>1000</v>
      </c>
      <c r="B1349" s="3111"/>
      <c r="C1349" s="3111"/>
      <c r="D1349" s="3111"/>
      <c r="E1349" s="3111"/>
      <c r="F1349" s="680">
        <f>F1341</f>
        <v>2325</v>
      </c>
      <c r="G1349" s="680">
        <f>G1341+G1344</f>
        <v>11319</v>
      </c>
      <c r="H1349" s="680">
        <f>H1341+H1344</f>
        <v>11319</v>
      </c>
      <c r="I1349" s="681">
        <f t="shared" si="171"/>
        <v>100</v>
      </c>
      <c r="R1349" s="374">
        <f>F1349</f>
        <v>2325</v>
      </c>
      <c r="S1349" s="374">
        <f>G1349</f>
        <v>11319</v>
      </c>
      <c r="T1349" s="374">
        <f>H1349</f>
        <v>11319</v>
      </c>
    </row>
    <row r="1350" spans="1:20" ht="13.5" thickTop="1" x14ac:dyDescent="0.2"/>
    <row r="1352" spans="1:20" ht="13.5" thickBot="1" x14ac:dyDescent="0.25">
      <c r="A1352" s="1764" t="s">
        <v>1750</v>
      </c>
      <c r="B1352" s="2939"/>
      <c r="C1352" s="1728"/>
      <c r="D1352" s="1832"/>
      <c r="E1352" s="1728"/>
      <c r="F1352" s="1733"/>
      <c r="G1352" s="1733"/>
      <c r="H1352" s="1733"/>
      <c r="I1352" s="2940" t="s">
        <v>148</v>
      </c>
      <c r="J1352" s="1728"/>
      <c r="K1352" s="1728"/>
      <c r="L1352" s="1728"/>
      <c r="M1352" s="1728"/>
      <c r="N1352" s="1728"/>
      <c r="O1352" s="1728"/>
      <c r="P1352" s="1728"/>
    </row>
    <row r="1353" spans="1:20" s="106" customFormat="1" ht="20.25" customHeight="1" thickTop="1" thickBot="1" x14ac:dyDescent="0.25">
      <c r="A1353" s="2941" t="s">
        <v>565</v>
      </c>
      <c r="B1353" s="2942" t="s">
        <v>149</v>
      </c>
      <c r="C1353" s="2943" t="s">
        <v>150</v>
      </c>
      <c r="D1353" s="2944" t="s">
        <v>639</v>
      </c>
      <c r="E1353" s="2944" t="s">
        <v>151</v>
      </c>
      <c r="F1353" s="2944" t="s">
        <v>569</v>
      </c>
      <c r="G1353" s="2944" t="s">
        <v>570</v>
      </c>
      <c r="H1353" s="2944" t="s">
        <v>797</v>
      </c>
      <c r="I1353" s="2945" t="s">
        <v>798</v>
      </c>
      <c r="J1353" s="2946"/>
      <c r="K1353" s="2946"/>
      <c r="L1353" s="2946"/>
      <c r="M1353" s="2946"/>
      <c r="N1353" s="2946"/>
      <c r="O1353" s="2946"/>
      <c r="P1353" s="2946"/>
    </row>
    <row r="1354" spans="1:20" s="375" customFormat="1" ht="13.5" thickTop="1" thickBot="1" x14ac:dyDescent="0.25">
      <c r="A1354" s="1783">
        <v>1</v>
      </c>
      <c r="B1354" s="2947">
        <v>2</v>
      </c>
      <c r="C1354" s="2947">
        <v>3</v>
      </c>
      <c r="D1354" s="2947">
        <v>4</v>
      </c>
      <c r="E1354" s="2947">
        <v>5</v>
      </c>
      <c r="F1354" s="2948">
        <v>6</v>
      </c>
      <c r="G1354" s="2948">
        <v>7</v>
      </c>
      <c r="H1354" s="2949">
        <v>8</v>
      </c>
      <c r="I1354" s="2950" t="s">
        <v>689</v>
      </c>
      <c r="J1354" s="2951"/>
      <c r="K1354" s="2951"/>
      <c r="L1354" s="2951"/>
      <c r="M1354" s="2951"/>
      <c r="N1354" s="2951"/>
      <c r="O1354" s="2951"/>
      <c r="P1354" s="2951"/>
    </row>
    <row r="1355" spans="1:20" ht="15.75" thickTop="1" x14ac:dyDescent="0.25">
      <c r="A1355" s="3006">
        <v>1160</v>
      </c>
      <c r="B1355" s="3007">
        <v>3122</v>
      </c>
      <c r="C1355" s="3007">
        <v>5331</v>
      </c>
      <c r="D1355" s="3008"/>
      <c r="E1355" s="3009" t="s">
        <v>858</v>
      </c>
      <c r="F1355" s="3010">
        <f>F1356+F1357+F1358</f>
        <v>5559</v>
      </c>
      <c r="G1355" s="3010">
        <f t="shared" ref="G1355:H1355" si="174">G1356+G1357+G1358</f>
        <v>926</v>
      </c>
      <c r="H1355" s="3010">
        <f t="shared" si="174"/>
        <v>926</v>
      </c>
      <c r="I1355" s="3011">
        <f t="shared" ref="I1355:I1373" si="175">(H1355/G1355)*100</f>
        <v>100</v>
      </c>
      <c r="J1355" s="1728"/>
      <c r="K1355" s="1728"/>
      <c r="L1355" s="1728"/>
      <c r="M1355" s="1728"/>
      <c r="N1355" s="1728"/>
      <c r="O1355" s="1728"/>
      <c r="P1355" s="1728"/>
    </row>
    <row r="1356" spans="1:20" ht="14.25" x14ac:dyDescent="0.2">
      <c r="A1356" s="1747"/>
      <c r="B1356" s="2957"/>
      <c r="C1356" s="2957"/>
      <c r="D1356" s="2965" t="s">
        <v>1811</v>
      </c>
      <c r="E1356" s="2966" t="s">
        <v>717</v>
      </c>
      <c r="F1356" s="2960">
        <v>1024</v>
      </c>
      <c r="G1356" s="2960">
        <v>170</v>
      </c>
      <c r="H1356" s="2960">
        <v>170</v>
      </c>
      <c r="I1356" s="2961">
        <f t="shared" si="175"/>
        <v>100</v>
      </c>
      <c r="J1356" s="1728"/>
      <c r="K1356" s="1728"/>
      <c r="L1356" s="1728"/>
      <c r="M1356" s="1728"/>
      <c r="N1356" s="1728"/>
      <c r="O1356" s="1728"/>
      <c r="P1356" s="1728"/>
    </row>
    <row r="1357" spans="1:20" ht="14.25" x14ac:dyDescent="0.2">
      <c r="A1357" s="1747"/>
      <c r="B1357" s="2957"/>
      <c r="C1357" s="2957"/>
      <c r="D1357" s="2953" t="s">
        <v>1812</v>
      </c>
      <c r="E1357" s="2958" t="s">
        <v>63</v>
      </c>
      <c r="F1357" s="2960">
        <v>4511</v>
      </c>
      <c r="G1357" s="2960">
        <v>752</v>
      </c>
      <c r="H1357" s="2960">
        <v>752</v>
      </c>
      <c r="I1357" s="2961">
        <f t="shared" si="175"/>
        <v>100</v>
      </c>
      <c r="J1357" s="1728"/>
      <c r="K1357" s="1728"/>
      <c r="L1357" s="1728"/>
      <c r="M1357" s="1728"/>
      <c r="N1357" s="1728"/>
      <c r="O1357" s="1728"/>
      <c r="P1357" s="1728"/>
    </row>
    <row r="1358" spans="1:20" ht="14.25" x14ac:dyDescent="0.2">
      <c r="A1358" s="1747"/>
      <c r="B1358" s="2957"/>
      <c r="C1358" s="2957"/>
      <c r="D1358" s="2953" t="s">
        <v>1817</v>
      </c>
      <c r="E1358" s="2958" t="s">
        <v>1312</v>
      </c>
      <c r="F1358" s="2960">
        <v>24</v>
      </c>
      <c r="G1358" s="2960">
        <v>4</v>
      </c>
      <c r="H1358" s="2960">
        <v>4</v>
      </c>
      <c r="I1358" s="2961">
        <f t="shared" si="175"/>
        <v>100</v>
      </c>
      <c r="J1358" s="1728"/>
      <c r="K1358" s="1728"/>
      <c r="L1358" s="1728"/>
      <c r="M1358" s="1728"/>
      <c r="N1358" s="1728"/>
      <c r="O1358" s="1728"/>
      <c r="P1358" s="1728"/>
    </row>
    <row r="1359" spans="1:20" ht="15" x14ac:dyDescent="0.25">
      <c r="A1359" s="1747">
        <v>1160</v>
      </c>
      <c r="B1359" s="2957">
        <v>3122</v>
      </c>
      <c r="C1359" s="2957">
        <v>5336</v>
      </c>
      <c r="D1359" s="2975"/>
      <c r="E1359" s="2954" t="s">
        <v>1740</v>
      </c>
      <c r="F1359" s="2960"/>
      <c r="G1359" s="2955">
        <f>G1360+G1361+G1362+G1363+G1364</f>
        <v>27226</v>
      </c>
      <c r="H1359" s="2955">
        <f>H1360+H1361+H1362+H1363+H1364</f>
        <v>27226</v>
      </c>
      <c r="I1359" s="2956">
        <f t="shared" si="175"/>
        <v>100</v>
      </c>
      <c r="J1359" s="1728"/>
      <c r="K1359" s="1728"/>
      <c r="L1359" s="1728"/>
      <c r="M1359" s="1728"/>
      <c r="N1359" s="1728"/>
      <c r="O1359" s="1728"/>
      <c r="P1359" s="1728"/>
    </row>
    <row r="1360" spans="1:20" ht="15" x14ac:dyDescent="0.2">
      <c r="A1360" s="1747"/>
      <c r="B1360" s="2957"/>
      <c r="C1360" s="2957"/>
      <c r="D1360" s="2975" t="s">
        <v>1808</v>
      </c>
      <c r="E1360" s="2976" t="s">
        <v>1739</v>
      </c>
      <c r="F1360" s="3001"/>
      <c r="G1360" s="3002">
        <v>1224</v>
      </c>
      <c r="H1360" s="3002">
        <v>1224</v>
      </c>
      <c r="I1360" s="1888">
        <f t="shared" ref="I1360:I1361" si="176">(H1360/G1360)*100</f>
        <v>100</v>
      </c>
      <c r="J1360" s="1728"/>
      <c r="K1360" s="1728"/>
      <c r="L1360" s="1728"/>
      <c r="M1360" s="1728"/>
      <c r="N1360" s="1728"/>
      <c r="O1360" s="1728"/>
      <c r="P1360" s="1728"/>
    </row>
    <row r="1361" spans="1:20" ht="28.5" x14ac:dyDescent="0.2">
      <c r="A1361" s="1747"/>
      <c r="B1361" s="2957"/>
      <c r="C1361" s="2957"/>
      <c r="D1361" s="2975" t="s">
        <v>1809</v>
      </c>
      <c r="E1361" s="2978" t="s">
        <v>1810</v>
      </c>
      <c r="F1361" s="3001"/>
      <c r="G1361" s="3003">
        <v>210</v>
      </c>
      <c r="H1361" s="3003">
        <v>210</v>
      </c>
      <c r="I1361" s="2980">
        <f t="shared" si="176"/>
        <v>100</v>
      </c>
      <c r="J1361" s="1728"/>
      <c r="K1361" s="1728"/>
      <c r="L1361" s="1728"/>
      <c r="M1361" s="1728"/>
      <c r="N1361" s="1728"/>
      <c r="O1361" s="1728"/>
      <c r="P1361" s="1728"/>
    </row>
    <row r="1362" spans="1:20" ht="14.25" x14ac:dyDescent="0.2">
      <c r="A1362" s="1747"/>
      <c r="B1362" s="2957"/>
      <c r="C1362" s="2957"/>
      <c r="D1362" s="2953" t="s">
        <v>1807</v>
      </c>
      <c r="E1362" s="2958" t="s">
        <v>716</v>
      </c>
      <c r="F1362" s="2960"/>
      <c r="G1362" s="2960">
        <v>24880</v>
      </c>
      <c r="H1362" s="2960">
        <v>24880</v>
      </c>
      <c r="I1362" s="2961">
        <f t="shared" si="175"/>
        <v>100</v>
      </c>
      <c r="J1362" s="1728"/>
      <c r="K1362" s="1728"/>
      <c r="L1362" s="1728"/>
      <c r="M1362" s="1728"/>
      <c r="N1362" s="1728"/>
      <c r="O1362" s="1728"/>
      <c r="P1362" s="1728"/>
    </row>
    <row r="1363" spans="1:20" ht="14.25" x14ac:dyDescent="0.2">
      <c r="A1363" s="1747"/>
      <c r="B1363" s="2952"/>
      <c r="C1363" s="2952"/>
      <c r="D1363" s="2953" t="s">
        <v>1813</v>
      </c>
      <c r="E1363" s="2966" t="s">
        <v>1815</v>
      </c>
      <c r="F1363" s="2972"/>
      <c r="G1363" s="2972">
        <v>137</v>
      </c>
      <c r="H1363" s="2972">
        <v>137</v>
      </c>
      <c r="I1363" s="2961">
        <f t="shared" si="175"/>
        <v>100</v>
      </c>
      <c r="J1363" s="1728"/>
      <c r="K1363" s="1728"/>
      <c r="L1363" s="1728"/>
      <c r="M1363" s="1728"/>
      <c r="N1363" s="1728"/>
      <c r="O1363" s="1728"/>
      <c r="P1363" s="1728"/>
    </row>
    <row r="1364" spans="1:20" ht="14.25" x14ac:dyDescent="0.2">
      <c r="A1364" s="1747"/>
      <c r="B1364" s="2952"/>
      <c r="C1364" s="2952"/>
      <c r="D1364" s="2953" t="s">
        <v>1814</v>
      </c>
      <c r="E1364" s="2966" t="s">
        <v>1815</v>
      </c>
      <c r="F1364" s="2972"/>
      <c r="G1364" s="2972">
        <v>775</v>
      </c>
      <c r="H1364" s="2972">
        <v>775</v>
      </c>
      <c r="I1364" s="2961">
        <f t="shared" si="175"/>
        <v>100</v>
      </c>
      <c r="J1364" s="1728"/>
      <c r="K1364" s="1728"/>
      <c r="L1364" s="1728"/>
      <c r="M1364" s="1728"/>
      <c r="N1364" s="1728"/>
      <c r="O1364" s="1728"/>
      <c r="P1364" s="1728"/>
    </row>
    <row r="1365" spans="1:20" ht="15" x14ac:dyDescent="0.25">
      <c r="A1365" s="1747">
        <v>1160</v>
      </c>
      <c r="B1365" s="2952">
        <v>3141</v>
      </c>
      <c r="C1365" s="2952">
        <v>5336</v>
      </c>
      <c r="D1365" s="2953"/>
      <c r="E1365" s="2954" t="s">
        <v>1740</v>
      </c>
      <c r="F1365" s="2972"/>
      <c r="G1365" s="2968">
        <f>G1366</f>
        <v>898</v>
      </c>
      <c r="H1365" s="2968">
        <f>H1366</f>
        <v>898</v>
      </c>
      <c r="I1365" s="2969">
        <f t="shared" si="175"/>
        <v>100</v>
      </c>
      <c r="J1365" s="1728"/>
      <c r="K1365" s="1728"/>
      <c r="L1365" s="1728"/>
      <c r="M1365" s="1728"/>
      <c r="N1365" s="1728"/>
      <c r="O1365" s="1728"/>
      <c r="P1365" s="1728"/>
    </row>
    <row r="1366" spans="1:20" ht="14.25" x14ac:dyDescent="0.2">
      <c r="A1366" s="1747"/>
      <c r="B1366" s="2952"/>
      <c r="C1366" s="2952"/>
      <c r="D1366" s="2953" t="s">
        <v>1807</v>
      </c>
      <c r="E1366" s="2958" t="s">
        <v>716</v>
      </c>
      <c r="F1366" s="2972"/>
      <c r="G1366" s="2972">
        <v>898</v>
      </c>
      <c r="H1366" s="2972">
        <v>898</v>
      </c>
      <c r="I1366" s="2973">
        <f t="shared" si="175"/>
        <v>100</v>
      </c>
      <c r="J1366" s="1728"/>
      <c r="K1366" s="1728"/>
      <c r="L1366" s="1728"/>
      <c r="M1366" s="1728"/>
      <c r="N1366" s="1728"/>
      <c r="O1366" s="1728"/>
      <c r="P1366" s="1728"/>
    </row>
    <row r="1367" spans="1:20" ht="15" x14ac:dyDescent="0.25">
      <c r="A1367" s="1747">
        <v>1160</v>
      </c>
      <c r="B1367" s="2952">
        <v>3147</v>
      </c>
      <c r="C1367" s="2952">
        <v>5336</v>
      </c>
      <c r="D1367" s="2953"/>
      <c r="E1367" s="2954" t="s">
        <v>1740</v>
      </c>
      <c r="F1367" s="2972"/>
      <c r="G1367" s="2968">
        <f>G1368</f>
        <v>3859</v>
      </c>
      <c r="H1367" s="2968">
        <f>H1368</f>
        <v>3859</v>
      </c>
      <c r="I1367" s="2969">
        <f t="shared" si="175"/>
        <v>100</v>
      </c>
      <c r="J1367" s="1728"/>
      <c r="K1367" s="1728"/>
      <c r="L1367" s="1728"/>
      <c r="M1367" s="1728"/>
      <c r="N1367" s="1728"/>
      <c r="O1367" s="1728"/>
      <c r="P1367" s="1728"/>
    </row>
    <row r="1368" spans="1:20" ht="14.25" x14ac:dyDescent="0.2">
      <c r="A1368" s="1747"/>
      <c r="B1368" s="2952"/>
      <c r="C1368" s="2952"/>
      <c r="D1368" s="2953" t="s">
        <v>1807</v>
      </c>
      <c r="E1368" s="2958" t="s">
        <v>716</v>
      </c>
      <c r="F1368" s="2972"/>
      <c r="G1368" s="2972">
        <v>3859</v>
      </c>
      <c r="H1368" s="2972">
        <v>3859</v>
      </c>
      <c r="I1368" s="2973">
        <f t="shared" si="175"/>
        <v>100</v>
      </c>
      <c r="J1368" s="1728"/>
      <c r="K1368" s="1728"/>
      <c r="L1368" s="1728"/>
      <c r="M1368" s="1728"/>
      <c r="N1368" s="1728"/>
      <c r="O1368" s="1728"/>
      <c r="P1368" s="1728"/>
    </row>
    <row r="1369" spans="1:20" ht="15" x14ac:dyDescent="0.25">
      <c r="A1369" s="1747">
        <v>1160</v>
      </c>
      <c r="B1369" s="2952">
        <v>3150</v>
      </c>
      <c r="C1369" s="2952">
        <v>5336</v>
      </c>
      <c r="D1369" s="2953"/>
      <c r="E1369" s="2954" t="s">
        <v>1740</v>
      </c>
      <c r="F1369" s="2972"/>
      <c r="G1369" s="2968">
        <f>G1370</f>
        <v>13747</v>
      </c>
      <c r="H1369" s="2968">
        <f>H1370</f>
        <v>13747</v>
      </c>
      <c r="I1369" s="2969">
        <f t="shared" si="175"/>
        <v>100</v>
      </c>
      <c r="J1369" s="1728"/>
      <c r="K1369" s="1728"/>
      <c r="L1369" s="1728"/>
      <c r="M1369" s="1728"/>
      <c r="N1369" s="1728"/>
      <c r="O1369" s="1728"/>
      <c r="P1369" s="1728"/>
    </row>
    <row r="1370" spans="1:20" ht="14.25" x14ac:dyDescent="0.2">
      <c r="A1370" s="420"/>
      <c r="B1370" s="651"/>
      <c r="C1370" s="651"/>
      <c r="D1370" s="518" t="s">
        <v>1807</v>
      </c>
      <c r="E1370" s="442" t="s">
        <v>716</v>
      </c>
      <c r="F1370" s="689"/>
      <c r="G1370" s="689">
        <v>13747</v>
      </c>
      <c r="H1370" s="689">
        <v>13747</v>
      </c>
      <c r="I1370" s="684">
        <f t="shared" si="175"/>
        <v>100</v>
      </c>
    </row>
    <row r="1371" spans="1:20" ht="15" x14ac:dyDescent="0.25">
      <c r="A1371" s="420">
        <v>1160</v>
      </c>
      <c r="B1371" s="651">
        <v>3239</v>
      </c>
      <c r="C1371" s="651">
        <v>5336</v>
      </c>
      <c r="D1371" s="518"/>
      <c r="E1371" s="616" t="s">
        <v>1740</v>
      </c>
      <c r="F1371" s="689"/>
      <c r="G1371" s="700">
        <f>G1372</f>
        <v>3</v>
      </c>
      <c r="H1371" s="700">
        <f>H1372</f>
        <v>3</v>
      </c>
      <c r="I1371" s="693">
        <f t="shared" si="175"/>
        <v>100</v>
      </c>
    </row>
    <row r="1372" spans="1:20" ht="15" thickBot="1" x14ac:dyDescent="0.25">
      <c r="A1372" s="420"/>
      <c r="B1372" s="651"/>
      <c r="C1372" s="651"/>
      <c r="D1372" s="887" t="s">
        <v>1819</v>
      </c>
      <c r="E1372" s="1059" t="s">
        <v>1085</v>
      </c>
      <c r="F1372" s="689"/>
      <c r="G1372" s="689">
        <v>3</v>
      </c>
      <c r="H1372" s="689">
        <v>3</v>
      </c>
      <c r="I1372" s="684">
        <f t="shared" ref="I1372" si="177">(H1372/G1372)*100</f>
        <v>100</v>
      </c>
    </row>
    <row r="1373" spans="1:20" ht="16.5" thickTop="1" thickBot="1" x14ac:dyDescent="0.3">
      <c r="A1373" s="3110" t="s">
        <v>1000</v>
      </c>
      <c r="B1373" s="3111"/>
      <c r="C1373" s="3111"/>
      <c r="D1373" s="3111"/>
      <c r="E1373" s="3111"/>
      <c r="F1373" s="680">
        <f>F1355</f>
        <v>5559</v>
      </c>
      <c r="G1373" s="680">
        <f>G1371+G1369+G1367+G1365+G1359+G1355</f>
        <v>46659</v>
      </c>
      <c r="H1373" s="680">
        <f>H1371+H1369+H1367+H1365+H1359+H1355</f>
        <v>46659</v>
      </c>
      <c r="I1373" s="681">
        <f t="shared" si="175"/>
        <v>100</v>
      </c>
      <c r="R1373" s="374">
        <f>F1373</f>
        <v>5559</v>
      </c>
      <c r="S1373" s="374">
        <f>G1373</f>
        <v>46659</v>
      </c>
      <c r="T1373" s="374">
        <f>H1373</f>
        <v>46659</v>
      </c>
    </row>
    <row r="1374" spans="1:20" ht="13.5" thickTop="1" x14ac:dyDescent="0.2"/>
    <row r="1376" spans="1:20" ht="13.5" thickBot="1" x14ac:dyDescent="0.25">
      <c r="A1376" s="421" t="s">
        <v>163</v>
      </c>
      <c r="I1376" s="1125" t="s">
        <v>148</v>
      </c>
    </row>
    <row r="1377" spans="1:20" s="106" customFormat="1" thickTop="1" thickBot="1" x14ac:dyDescent="0.25">
      <c r="A1377" s="586" t="s">
        <v>565</v>
      </c>
      <c r="B1377" s="658" t="s">
        <v>149</v>
      </c>
      <c r="C1377" s="587" t="s">
        <v>150</v>
      </c>
      <c r="D1377" s="589" t="s">
        <v>639</v>
      </c>
      <c r="E1377" s="589" t="s">
        <v>151</v>
      </c>
      <c r="F1377" s="589" t="s">
        <v>569</v>
      </c>
      <c r="G1377" s="589" t="s">
        <v>570</v>
      </c>
      <c r="H1377" s="589" t="s">
        <v>797</v>
      </c>
      <c r="I1377" s="674" t="s">
        <v>798</v>
      </c>
    </row>
    <row r="1378" spans="1:20" s="375" customFormat="1" ht="13.5" thickTop="1" thickBot="1" x14ac:dyDescent="0.25">
      <c r="A1378" s="525">
        <v>1</v>
      </c>
      <c r="B1378" s="526">
        <v>2</v>
      </c>
      <c r="C1378" s="526">
        <v>3</v>
      </c>
      <c r="D1378" s="526">
        <v>4</v>
      </c>
      <c r="E1378" s="526">
        <v>5</v>
      </c>
      <c r="F1378" s="512">
        <v>6</v>
      </c>
      <c r="G1378" s="512">
        <v>7</v>
      </c>
      <c r="H1378" s="513">
        <v>8</v>
      </c>
      <c r="I1378" s="591" t="s">
        <v>689</v>
      </c>
    </row>
    <row r="1379" spans="1:20" ht="15.75" thickTop="1" x14ac:dyDescent="0.25">
      <c r="A1379" s="1136">
        <v>1161</v>
      </c>
      <c r="B1379" s="701">
        <v>3122</v>
      </c>
      <c r="C1379" s="701">
        <v>5331</v>
      </c>
      <c r="D1379" s="706"/>
      <c r="E1379" s="734" t="s">
        <v>858</v>
      </c>
      <c r="F1379" s="699">
        <f>F1380+F1381</f>
        <v>1395</v>
      </c>
      <c r="G1379" s="699">
        <f>G1380+G1381</f>
        <v>232</v>
      </c>
      <c r="H1379" s="699">
        <f>H1380+H1381</f>
        <v>232</v>
      </c>
      <c r="I1379" s="703">
        <f t="shared" ref="I1379:I1389" si="178">(H1379/G1379)*100</f>
        <v>100</v>
      </c>
    </row>
    <row r="1380" spans="1:20" ht="14.25" x14ac:dyDescent="0.2">
      <c r="A1380" s="420"/>
      <c r="B1380" s="617"/>
      <c r="C1380" s="617"/>
      <c r="D1380" s="636" t="s">
        <v>1811</v>
      </c>
      <c r="E1380" s="1162" t="s">
        <v>717</v>
      </c>
      <c r="F1380" s="683">
        <v>39</v>
      </c>
      <c r="G1380" s="683">
        <v>6</v>
      </c>
      <c r="H1380" s="683">
        <v>6</v>
      </c>
      <c r="I1380" s="679">
        <f t="shared" si="178"/>
        <v>100</v>
      </c>
    </row>
    <row r="1381" spans="1:20" ht="14.25" x14ac:dyDescent="0.2">
      <c r="A1381" s="420"/>
      <c r="B1381" s="617"/>
      <c r="C1381" s="617"/>
      <c r="D1381" s="518" t="s">
        <v>1812</v>
      </c>
      <c r="E1381" s="442" t="s">
        <v>63</v>
      </c>
      <c r="F1381" s="683">
        <v>1356</v>
      </c>
      <c r="G1381" s="683">
        <v>226</v>
      </c>
      <c r="H1381" s="683">
        <v>226</v>
      </c>
      <c r="I1381" s="679">
        <f t="shared" si="178"/>
        <v>100</v>
      </c>
    </row>
    <row r="1382" spans="1:20" ht="15" x14ac:dyDescent="0.25">
      <c r="A1382" s="420">
        <v>1161</v>
      </c>
      <c r="B1382" s="617">
        <v>3122</v>
      </c>
      <c r="C1382" s="617">
        <v>5336</v>
      </c>
      <c r="D1382" s="1972"/>
      <c r="E1382" s="616" t="s">
        <v>1740</v>
      </c>
      <c r="F1382" s="683"/>
      <c r="G1382" s="705">
        <f>G1383+G1384+G1385+G1386+G1387+G1388</f>
        <v>12311</v>
      </c>
      <c r="H1382" s="705">
        <f>H1383+H1384+H1385+H1386+H1387+H1388</f>
        <v>12311</v>
      </c>
      <c r="I1382" s="707">
        <f t="shared" si="178"/>
        <v>100</v>
      </c>
    </row>
    <row r="1383" spans="1:20" ht="14.25" x14ac:dyDescent="0.2">
      <c r="A1383" s="420"/>
      <c r="B1383" s="617"/>
      <c r="C1383" s="617"/>
      <c r="D1383" s="887" t="s">
        <v>1827</v>
      </c>
      <c r="E1383" s="1676" t="s">
        <v>1407</v>
      </c>
      <c r="F1383" s="683"/>
      <c r="G1383" s="683">
        <v>9</v>
      </c>
      <c r="H1383" s="683">
        <v>9</v>
      </c>
      <c r="I1383" s="679">
        <f t="shared" ref="I1383" si="179">(H1383/G1383)*100</f>
        <v>100</v>
      </c>
    </row>
    <row r="1384" spans="1:20" ht="15" x14ac:dyDescent="0.2">
      <c r="A1384" s="420"/>
      <c r="B1384" s="617"/>
      <c r="C1384" s="617"/>
      <c r="D1384" s="887" t="s">
        <v>1808</v>
      </c>
      <c r="E1384" s="1676" t="s">
        <v>1739</v>
      </c>
      <c r="F1384" s="1964"/>
      <c r="G1384" s="1965">
        <v>372</v>
      </c>
      <c r="H1384" s="1965">
        <v>372</v>
      </c>
      <c r="I1384" s="368">
        <f t="shared" ref="I1384:I1385" si="180">(H1384/G1384)*100</f>
        <v>100</v>
      </c>
    </row>
    <row r="1385" spans="1:20" ht="28.5" x14ac:dyDescent="0.2">
      <c r="A1385" s="420"/>
      <c r="B1385" s="617"/>
      <c r="C1385" s="617"/>
      <c r="D1385" s="887" t="s">
        <v>1809</v>
      </c>
      <c r="E1385" s="2876" t="s">
        <v>1810</v>
      </c>
      <c r="F1385" s="1964"/>
      <c r="G1385" s="2031">
        <v>60</v>
      </c>
      <c r="H1385" s="2031">
        <v>60</v>
      </c>
      <c r="I1385" s="1234">
        <f t="shared" si="180"/>
        <v>100</v>
      </c>
    </row>
    <row r="1386" spans="1:20" ht="14.25" x14ac:dyDescent="0.2">
      <c r="A1386" s="420"/>
      <c r="B1386" s="617"/>
      <c r="C1386" s="1127"/>
      <c r="D1386" s="518" t="s">
        <v>1807</v>
      </c>
      <c r="E1386" s="442" t="s">
        <v>716</v>
      </c>
      <c r="F1386" s="683"/>
      <c r="G1386" s="683">
        <v>11623</v>
      </c>
      <c r="H1386" s="683">
        <v>11623</v>
      </c>
      <c r="I1386" s="679">
        <f t="shared" si="178"/>
        <v>100</v>
      </c>
    </row>
    <row r="1387" spans="1:20" ht="14.25" x14ac:dyDescent="0.2">
      <c r="A1387" s="420"/>
      <c r="B1387" s="617"/>
      <c r="C1387" s="1127"/>
      <c r="D1387" s="518" t="s">
        <v>1813</v>
      </c>
      <c r="E1387" s="1162" t="s">
        <v>1815</v>
      </c>
      <c r="F1387" s="683"/>
      <c r="G1387" s="683">
        <v>37</v>
      </c>
      <c r="H1387" s="683">
        <v>37</v>
      </c>
      <c r="I1387" s="679">
        <f t="shared" si="178"/>
        <v>100</v>
      </c>
    </row>
    <row r="1388" spans="1:20" ht="15" thickBot="1" x14ac:dyDescent="0.25">
      <c r="A1388" s="420"/>
      <c r="B1388" s="617"/>
      <c r="C1388" s="1127"/>
      <c r="D1388" s="518" t="s">
        <v>1814</v>
      </c>
      <c r="E1388" s="1162" t="s">
        <v>1815</v>
      </c>
      <c r="F1388" s="683"/>
      <c r="G1388" s="683">
        <v>210</v>
      </c>
      <c r="H1388" s="683">
        <v>210</v>
      </c>
      <c r="I1388" s="679">
        <f t="shared" si="178"/>
        <v>100</v>
      </c>
    </row>
    <row r="1389" spans="1:20" ht="16.5" thickTop="1" thickBot="1" x14ac:dyDescent="0.3">
      <c r="A1389" s="3110" t="s">
        <v>1000</v>
      </c>
      <c r="B1389" s="3111"/>
      <c r="C1389" s="3111"/>
      <c r="D1389" s="3111"/>
      <c r="E1389" s="3111"/>
      <c r="F1389" s="680">
        <f>SUM(F1379)</f>
        <v>1395</v>
      </c>
      <c r="G1389" s="680">
        <f>G1379+G1382</f>
        <v>12543</v>
      </c>
      <c r="H1389" s="680">
        <f>H1379+H1382</f>
        <v>12543</v>
      </c>
      <c r="I1389" s="681">
        <f t="shared" si="178"/>
        <v>100</v>
      </c>
      <c r="R1389" s="374">
        <f>F1389</f>
        <v>1395</v>
      </c>
      <c r="S1389" s="374">
        <f>G1389</f>
        <v>12543</v>
      </c>
      <c r="T1389" s="374">
        <f>H1389</f>
        <v>12543</v>
      </c>
    </row>
    <row r="1390" spans="1:20" ht="13.5" thickTop="1" x14ac:dyDescent="0.2"/>
    <row r="1392" spans="1:20" ht="13.5" thickBot="1" x14ac:dyDescent="0.25">
      <c r="A1392" s="421" t="s">
        <v>164</v>
      </c>
      <c r="I1392" s="1125" t="s">
        <v>148</v>
      </c>
    </row>
    <row r="1393" spans="1:20" s="106" customFormat="1" thickTop="1" thickBot="1" x14ac:dyDescent="0.25">
      <c r="A1393" s="586" t="s">
        <v>565</v>
      </c>
      <c r="B1393" s="658" t="s">
        <v>149</v>
      </c>
      <c r="C1393" s="587" t="s">
        <v>150</v>
      </c>
      <c r="D1393" s="589" t="s">
        <v>639</v>
      </c>
      <c r="E1393" s="589" t="s">
        <v>151</v>
      </c>
      <c r="F1393" s="589" t="s">
        <v>569</v>
      </c>
      <c r="G1393" s="589" t="s">
        <v>570</v>
      </c>
      <c r="H1393" s="589" t="s">
        <v>797</v>
      </c>
      <c r="I1393" s="674" t="s">
        <v>798</v>
      </c>
    </row>
    <row r="1394" spans="1:20" s="375" customFormat="1" ht="13.5" thickTop="1" thickBot="1" x14ac:dyDescent="0.25">
      <c r="A1394" s="525">
        <v>1</v>
      </c>
      <c r="B1394" s="526">
        <v>2</v>
      </c>
      <c r="C1394" s="526">
        <v>3</v>
      </c>
      <c r="D1394" s="526">
        <v>4</v>
      </c>
      <c r="E1394" s="526">
        <v>5</v>
      </c>
      <c r="F1394" s="512">
        <v>6</v>
      </c>
      <c r="G1394" s="512">
        <v>7</v>
      </c>
      <c r="H1394" s="513">
        <v>8</v>
      </c>
      <c r="I1394" s="591" t="s">
        <v>689</v>
      </c>
    </row>
    <row r="1395" spans="1:20" ht="15.75" thickTop="1" x14ac:dyDescent="0.25">
      <c r="A1395" s="420">
        <v>1162</v>
      </c>
      <c r="B1395" s="617">
        <v>3122</v>
      </c>
      <c r="C1395" s="617">
        <v>5336</v>
      </c>
      <c r="D1395" s="887"/>
      <c r="E1395" s="616" t="s">
        <v>1740</v>
      </c>
      <c r="F1395" s="683"/>
      <c r="G1395" s="705">
        <f>G1396</f>
        <v>11721</v>
      </c>
      <c r="H1395" s="705">
        <f>H1396</f>
        <v>11721</v>
      </c>
      <c r="I1395" s="707">
        <f t="shared" ref="I1395:I1397" si="181">(H1395/G1395)*100</f>
        <v>100</v>
      </c>
    </row>
    <row r="1396" spans="1:20" ht="14.25" x14ac:dyDescent="0.2">
      <c r="A1396" s="420"/>
      <c r="B1396" s="617"/>
      <c r="C1396" s="1127"/>
      <c r="D1396" s="518" t="s">
        <v>1807</v>
      </c>
      <c r="E1396" s="442" t="s">
        <v>716</v>
      </c>
      <c r="F1396" s="683"/>
      <c r="G1396" s="683">
        <v>11721</v>
      </c>
      <c r="H1396" s="683">
        <v>11721</v>
      </c>
      <c r="I1396" s="679">
        <f t="shared" si="181"/>
        <v>100</v>
      </c>
    </row>
    <row r="1397" spans="1:20" ht="18" customHeight="1" x14ac:dyDescent="0.25">
      <c r="A1397" s="420">
        <v>1162</v>
      </c>
      <c r="B1397" s="617">
        <v>3123</v>
      </c>
      <c r="C1397" s="1127">
        <v>5336</v>
      </c>
      <c r="D1397" s="518"/>
      <c r="E1397" s="616" t="s">
        <v>1740</v>
      </c>
      <c r="F1397" s="683"/>
      <c r="G1397" s="705">
        <f>G1398</f>
        <v>1333</v>
      </c>
      <c r="H1397" s="705">
        <f>H1398</f>
        <v>1333</v>
      </c>
      <c r="I1397" s="707">
        <f t="shared" si="181"/>
        <v>100</v>
      </c>
    </row>
    <row r="1398" spans="1:20" ht="14.25" x14ac:dyDescent="0.2">
      <c r="A1398" s="420"/>
      <c r="B1398" s="617"/>
      <c r="C1398" s="1127"/>
      <c r="D1398" s="518" t="s">
        <v>1807</v>
      </c>
      <c r="E1398" s="442" t="s">
        <v>716</v>
      </c>
      <c r="F1398" s="683"/>
      <c r="G1398" s="683">
        <v>1333</v>
      </c>
      <c r="H1398" s="683">
        <v>1333</v>
      </c>
      <c r="I1398" s="679">
        <f t="shared" ref="I1398:I1406" si="182">(H1398/G1398)*100</f>
        <v>100</v>
      </c>
    </row>
    <row r="1399" spans="1:20" ht="15" x14ac:dyDescent="0.25">
      <c r="A1399" s="420">
        <v>1162</v>
      </c>
      <c r="B1399" s="617">
        <v>3127</v>
      </c>
      <c r="C1399" s="617">
        <v>5331</v>
      </c>
      <c r="D1399" s="675"/>
      <c r="E1399" s="664" t="s">
        <v>858</v>
      </c>
      <c r="F1399" s="705">
        <f>F1400+F1401</f>
        <v>1925</v>
      </c>
      <c r="G1399" s="705">
        <f t="shared" ref="G1399:H1399" si="183">G1400+G1401</f>
        <v>320</v>
      </c>
      <c r="H1399" s="705">
        <f t="shared" si="183"/>
        <v>320</v>
      </c>
      <c r="I1399" s="707">
        <f t="shared" si="182"/>
        <v>100</v>
      </c>
    </row>
    <row r="1400" spans="1:20" ht="14.25" x14ac:dyDescent="0.2">
      <c r="A1400" s="420"/>
      <c r="B1400" s="617"/>
      <c r="C1400" s="617"/>
      <c r="D1400" s="636" t="s">
        <v>1811</v>
      </c>
      <c r="E1400" s="1162" t="s">
        <v>717</v>
      </c>
      <c r="F1400" s="683">
        <v>132</v>
      </c>
      <c r="G1400" s="683">
        <v>22</v>
      </c>
      <c r="H1400" s="683">
        <v>22</v>
      </c>
      <c r="I1400" s="679">
        <f t="shared" si="182"/>
        <v>100</v>
      </c>
    </row>
    <row r="1401" spans="1:20" ht="14.25" x14ac:dyDescent="0.2">
      <c r="A1401" s="420"/>
      <c r="B1401" s="617"/>
      <c r="C1401" s="617"/>
      <c r="D1401" s="518" t="s">
        <v>1812</v>
      </c>
      <c r="E1401" s="442" t="s">
        <v>63</v>
      </c>
      <c r="F1401" s="683">
        <v>1793</v>
      </c>
      <c r="G1401" s="683">
        <v>298</v>
      </c>
      <c r="H1401" s="683">
        <v>298</v>
      </c>
      <c r="I1401" s="679">
        <f t="shared" si="182"/>
        <v>100</v>
      </c>
    </row>
    <row r="1402" spans="1:20" ht="15" x14ac:dyDescent="0.25">
      <c r="A1402" s="420">
        <v>1162</v>
      </c>
      <c r="B1402" s="617">
        <v>3127</v>
      </c>
      <c r="C1402" s="1127">
        <v>5336</v>
      </c>
      <c r="D1402" s="518"/>
      <c r="E1402" s="616" t="s">
        <v>1740</v>
      </c>
      <c r="F1402" s="683"/>
      <c r="G1402" s="705">
        <f>G1403+G1404+G1405+G1406</f>
        <v>1035</v>
      </c>
      <c r="H1402" s="705">
        <f>H1403+H1404+H1405+H1406</f>
        <v>1035</v>
      </c>
      <c r="I1402" s="707">
        <f t="shared" si="182"/>
        <v>100</v>
      </c>
    </row>
    <row r="1403" spans="1:20" ht="14.25" x14ac:dyDescent="0.2">
      <c r="A1403" s="420"/>
      <c r="B1403" s="617"/>
      <c r="C1403" s="617"/>
      <c r="D1403" s="887" t="s">
        <v>1808</v>
      </c>
      <c r="E1403" s="1676" t="s">
        <v>1739</v>
      </c>
      <c r="F1403" s="683"/>
      <c r="G1403" s="683">
        <v>440</v>
      </c>
      <c r="H1403" s="683">
        <v>440</v>
      </c>
      <c r="I1403" s="679">
        <f t="shared" si="182"/>
        <v>100</v>
      </c>
    </row>
    <row r="1404" spans="1:20" ht="28.5" x14ac:dyDescent="0.2">
      <c r="A1404" s="420"/>
      <c r="B1404" s="617"/>
      <c r="C1404" s="617"/>
      <c r="D1404" s="887" t="s">
        <v>1809</v>
      </c>
      <c r="E1404" s="2876" t="s">
        <v>1810</v>
      </c>
      <c r="F1404" s="683"/>
      <c r="G1404" s="1067">
        <v>66</v>
      </c>
      <c r="H1404" s="1067">
        <v>66</v>
      </c>
      <c r="I1404" s="1063">
        <f t="shared" si="182"/>
        <v>100</v>
      </c>
    </row>
    <row r="1405" spans="1:20" ht="14.25" x14ac:dyDescent="0.2">
      <c r="A1405" s="420"/>
      <c r="B1405" s="617"/>
      <c r="C1405" s="1127"/>
      <c r="D1405" s="518" t="s">
        <v>1813</v>
      </c>
      <c r="E1405" s="1162" t="s">
        <v>1815</v>
      </c>
      <c r="F1405" s="683"/>
      <c r="G1405" s="683">
        <v>79</v>
      </c>
      <c r="H1405" s="683">
        <v>79</v>
      </c>
      <c r="I1405" s="679">
        <f t="shared" si="182"/>
        <v>100</v>
      </c>
    </row>
    <row r="1406" spans="1:20" ht="15" thickBot="1" x14ac:dyDescent="0.25">
      <c r="A1406" s="420"/>
      <c r="B1406" s="617"/>
      <c r="C1406" s="1127"/>
      <c r="D1406" s="518" t="s">
        <v>1814</v>
      </c>
      <c r="E1406" s="1162" t="s">
        <v>1815</v>
      </c>
      <c r="F1406" s="683"/>
      <c r="G1406" s="683">
        <v>450</v>
      </c>
      <c r="H1406" s="683">
        <v>450</v>
      </c>
      <c r="I1406" s="679">
        <f t="shared" si="182"/>
        <v>100</v>
      </c>
    </row>
    <row r="1407" spans="1:20" ht="16.5" thickTop="1" thickBot="1" x14ac:dyDescent="0.3">
      <c r="A1407" s="3110" t="s">
        <v>1000</v>
      </c>
      <c r="B1407" s="3111"/>
      <c r="C1407" s="3111"/>
      <c r="D1407" s="3111"/>
      <c r="E1407" s="3111"/>
      <c r="F1407" s="680">
        <f>F1399</f>
        <v>1925</v>
      </c>
      <c r="G1407" s="680">
        <f>G1402+G1399+G1397+G1395</f>
        <v>14409</v>
      </c>
      <c r="H1407" s="680">
        <f>H1402+H1399+H1397+H1395</f>
        <v>14409</v>
      </c>
      <c r="I1407" s="681">
        <f>(H1407/G1407)*100</f>
        <v>100</v>
      </c>
      <c r="R1407" s="374">
        <f>F1407</f>
        <v>1925</v>
      </c>
      <c r="S1407" s="374">
        <f>G1407</f>
        <v>14409</v>
      </c>
      <c r="T1407" s="374">
        <f>H1407</f>
        <v>14409</v>
      </c>
    </row>
    <row r="1408" spans="1:20" ht="13.5" thickTop="1" x14ac:dyDescent="0.2"/>
    <row r="1410" spans="1:9" ht="13.5" thickBot="1" x14ac:dyDescent="0.25">
      <c r="A1410" s="421" t="s">
        <v>165</v>
      </c>
      <c r="I1410" s="1125" t="s">
        <v>148</v>
      </c>
    </row>
    <row r="1411" spans="1:9" s="106" customFormat="1" thickTop="1" thickBot="1" x14ac:dyDescent="0.25">
      <c r="A1411" s="586" t="s">
        <v>565</v>
      </c>
      <c r="B1411" s="658" t="s">
        <v>149</v>
      </c>
      <c r="C1411" s="587" t="s">
        <v>150</v>
      </c>
      <c r="D1411" s="589" t="s">
        <v>639</v>
      </c>
      <c r="E1411" s="589" t="s">
        <v>151</v>
      </c>
      <c r="F1411" s="589" t="s">
        <v>569</v>
      </c>
      <c r="G1411" s="589" t="s">
        <v>570</v>
      </c>
      <c r="H1411" s="589" t="s">
        <v>797</v>
      </c>
      <c r="I1411" s="674" t="s">
        <v>798</v>
      </c>
    </row>
    <row r="1412" spans="1:9" s="375" customFormat="1" ht="13.5" thickTop="1" thickBot="1" x14ac:dyDescent="0.25">
      <c r="A1412" s="525">
        <v>1</v>
      </c>
      <c r="B1412" s="526">
        <v>2</v>
      </c>
      <c r="C1412" s="526">
        <v>3</v>
      </c>
      <c r="D1412" s="526">
        <v>4</v>
      </c>
      <c r="E1412" s="526">
        <v>5</v>
      </c>
      <c r="F1412" s="512">
        <v>6</v>
      </c>
      <c r="G1412" s="512">
        <v>7</v>
      </c>
      <c r="H1412" s="513">
        <v>8</v>
      </c>
      <c r="I1412" s="591" t="s">
        <v>689</v>
      </c>
    </row>
    <row r="1413" spans="1:9" ht="15.75" thickTop="1" x14ac:dyDescent="0.25">
      <c r="A1413" s="1136">
        <v>1163</v>
      </c>
      <c r="B1413" s="701">
        <v>3122</v>
      </c>
      <c r="C1413" s="701">
        <v>5331</v>
      </c>
      <c r="D1413" s="706"/>
      <c r="E1413" s="734" t="s">
        <v>858</v>
      </c>
      <c r="F1413" s="699">
        <f>F1414+F1415</f>
        <v>2288</v>
      </c>
      <c r="G1413" s="699">
        <f>G1414+G1415</f>
        <v>382</v>
      </c>
      <c r="H1413" s="699">
        <f>H1414+H1415</f>
        <v>382</v>
      </c>
      <c r="I1413" s="703">
        <f t="shared" ref="I1413:I1425" si="184">(H1413/G1413)*100</f>
        <v>100</v>
      </c>
    </row>
    <row r="1414" spans="1:9" ht="14.25" x14ac:dyDescent="0.2">
      <c r="A1414" s="420"/>
      <c r="B1414" s="617"/>
      <c r="C1414" s="617"/>
      <c r="D1414" s="636" t="s">
        <v>1811</v>
      </c>
      <c r="E1414" s="1162" t="s">
        <v>717</v>
      </c>
      <c r="F1414" s="683">
        <v>55</v>
      </c>
      <c r="G1414" s="683">
        <v>10</v>
      </c>
      <c r="H1414" s="683">
        <v>10</v>
      </c>
      <c r="I1414" s="679">
        <f t="shared" si="184"/>
        <v>100</v>
      </c>
    </row>
    <row r="1415" spans="1:9" ht="14.25" x14ac:dyDescent="0.2">
      <c r="A1415" s="420"/>
      <c r="B1415" s="617"/>
      <c r="C1415" s="1127"/>
      <c r="D1415" s="518" t="s">
        <v>1812</v>
      </c>
      <c r="E1415" s="442" t="s">
        <v>63</v>
      </c>
      <c r="F1415" s="683">
        <v>2233</v>
      </c>
      <c r="G1415" s="683">
        <v>372</v>
      </c>
      <c r="H1415" s="683">
        <v>372</v>
      </c>
      <c r="I1415" s="679">
        <f t="shared" si="184"/>
        <v>100</v>
      </c>
    </row>
    <row r="1416" spans="1:9" ht="14.25" customHeight="1" x14ac:dyDescent="0.25">
      <c r="A1416" s="420">
        <v>1163</v>
      </c>
      <c r="B1416" s="617">
        <v>3122</v>
      </c>
      <c r="C1416" s="1127">
        <v>5336</v>
      </c>
      <c r="D1416" s="887"/>
      <c r="E1416" s="616" t="s">
        <v>1740</v>
      </c>
      <c r="F1416" s="683"/>
      <c r="G1416" s="705">
        <f>G1417+G1418+G1419+G1420+G1421</f>
        <v>14318</v>
      </c>
      <c r="H1416" s="705">
        <f>H1417+H1418+H1419+H1420+H1421</f>
        <v>14318</v>
      </c>
      <c r="I1416" s="707">
        <f t="shared" si="184"/>
        <v>100</v>
      </c>
    </row>
    <row r="1417" spans="1:9" ht="14.25" customHeight="1" x14ac:dyDescent="0.2">
      <c r="A1417" s="420"/>
      <c r="B1417" s="617"/>
      <c r="C1417" s="1127"/>
      <c r="D1417" s="887" t="s">
        <v>1808</v>
      </c>
      <c r="E1417" s="1676" t="s">
        <v>1739</v>
      </c>
      <c r="F1417" s="1964"/>
      <c r="G1417" s="1965">
        <v>483</v>
      </c>
      <c r="H1417" s="1965">
        <v>483</v>
      </c>
      <c r="I1417" s="368">
        <f t="shared" ref="I1417:I1418" si="185">(H1417/G1417)*100</f>
        <v>100</v>
      </c>
    </row>
    <row r="1418" spans="1:9" ht="28.5" x14ac:dyDescent="0.2">
      <c r="A1418" s="420"/>
      <c r="B1418" s="617"/>
      <c r="C1418" s="1127"/>
      <c r="D1418" s="887" t="s">
        <v>1809</v>
      </c>
      <c r="E1418" s="2876" t="s">
        <v>1810</v>
      </c>
      <c r="F1418" s="1964"/>
      <c r="G1418" s="2031">
        <v>79</v>
      </c>
      <c r="H1418" s="2031">
        <v>79</v>
      </c>
      <c r="I1418" s="1234">
        <f t="shared" si="185"/>
        <v>100</v>
      </c>
    </row>
    <row r="1419" spans="1:9" ht="14.25" x14ac:dyDescent="0.2">
      <c r="A1419" s="420"/>
      <c r="B1419" s="617"/>
      <c r="C1419" s="1127"/>
      <c r="D1419" s="518" t="s">
        <v>1807</v>
      </c>
      <c r="E1419" s="442" t="s">
        <v>716</v>
      </c>
      <c r="F1419" s="683"/>
      <c r="G1419" s="683">
        <v>13413</v>
      </c>
      <c r="H1419" s="683">
        <v>13413</v>
      </c>
      <c r="I1419" s="679">
        <f t="shared" si="184"/>
        <v>100</v>
      </c>
    </row>
    <row r="1420" spans="1:9" ht="14.25" x14ac:dyDescent="0.2">
      <c r="A1420" s="420"/>
      <c r="B1420" s="651"/>
      <c r="C1420" s="1128"/>
      <c r="D1420" s="518" t="s">
        <v>1813</v>
      </c>
      <c r="E1420" s="1162" t="s">
        <v>1815</v>
      </c>
      <c r="F1420" s="689"/>
      <c r="G1420" s="689">
        <v>51</v>
      </c>
      <c r="H1420" s="689">
        <v>51</v>
      </c>
      <c r="I1420" s="679">
        <f t="shared" si="184"/>
        <v>100</v>
      </c>
    </row>
    <row r="1421" spans="1:9" ht="14.25" x14ac:dyDescent="0.2">
      <c r="A1421" s="420"/>
      <c r="B1421" s="651"/>
      <c r="C1421" s="1128"/>
      <c r="D1421" s="518" t="s">
        <v>1814</v>
      </c>
      <c r="E1421" s="1162" t="s">
        <v>1815</v>
      </c>
      <c r="F1421" s="689"/>
      <c r="G1421" s="689">
        <v>292</v>
      </c>
      <c r="H1421" s="689">
        <v>292</v>
      </c>
      <c r="I1421" s="679">
        <f t="shared" si="184"/>
        <v>100</v>
      </c>
    </row>
    <row r="1422" spans="1:9" ht="15" x14ac:dyDescent="0.25">
      <c r="A1422" s="420">
        <v>1163</v>
      </c>
      <c r="B1422" s="651">
        <v>3141</v>
      </c>
      <c r="C1422" s="651">
        <v>5336</v>
      </c>
      <c r="D1422" s="518"/>
      <c r="E1422" s="616" t="s">
        <v>1740</v>
      </c>
      <c r="F1422" s="689"/>
      <c r="G1422" s="700">
        <f>G1423</f>
        <v>725</v>
      </c>
      <c r="H1422" s="700">
        <f>H1423</f>
        <v>725</v>
      </c>
      <c r="I1422" s="693">
        <f t="shared" si="184"/>
        <v>100</v>
      </c>
    </row>
    <row r="1423" spans="1:9" ht="14.25" x14ac:dyDescent="0.2">
      <c r="A1423" s="420"/>
      <c r="B1423" s="651"/>
      <c r="C1423" s="1128"/>
      <c r="D1423" s="518" t="s">
        <v>1807</v>
      </c>
      <c r="E1423" s="442" t="s">
        <v>716</v>
      </c>
      <c r="F1423" s="689"/>
      <c r="G1423" s="689">
        <v>725</v>
      </c>
      <c r="H1423" s="689">
        <v>725</v>
      </c>
      <c r="I1423" s="684">
        <f t="shared" si="184"/>
        <v>100</v>
      </c>
    </row>
    <row r="1424" spans="1:9" ht="15" x14ac:dyDescent="0.25">
      <c r="A1424" s="420">
        <v>1163</v>
      </c>
      <c r="B1424" s="651">
        <v>3147</v>
      </c>
      <c r="C1424" s="651">
        <v>5336</v>
      </c>
      <c r="D1424" s="518"/>
      <c r="E1424" s="616" t="s">
        <v>1740</v>
      </c>
      <c r="F1424" s="689"/>
      <c r="G1424" s="700">
        <f>G1425</f>
        <v>1716</v>
      </c>
      <c r="H1424" s="700">
        <f>H1425</f>
        <v>1716</v>
      </c>
      <c r="I1424" s="693">
        <f t="shared" si="184"/>
        <v>100</v>
      </c>
    </row>
    <row r="1425" spans="1:20" ht="15" thickBot="1" x14ac:dyDescent="0.25">
      <c r="A1425" s="420"/>
      <c r="B1425" s="651"/>
      <c r="C1425" s="1128"/>
      <c r="D1425" s="518" t="s">
        <v>1807</v>
      </c>
      <c r="E1425" s="442" t="s">
        <v>716</v>
      </c>
      <c r="F1425" s="689"/>
      <c r="G1425" s="689">
        <v>1716</v>
      </c>
      <c r="H1425" s="689">
        <v>1716</v>
      </c>
      <c r="I1425" s="684">
        <f t="shared" si="184"/>
        <v>100</v>
      </c>
    </row>
    <row r="1426" spans="1:20" ht="16.5" thickTop="1" thickBot="1" x14ac:dyDescent="0.3">
      <c r="A1426" s="3110" t="s">
        <v>1000</v>
      </c>
      <c r="B1426" s="3111"/>
      <c r="C1426" s="3111"/>
      <c r="D1426" s="3111"/>
      <c r="E1426" s="3111"/>
      <c r="F1426" s="680">
        <f>F1413</f>
        <v>2288</v>
      </c>
      <c r="G1426" s="680">
        <f>G1424+G1422+G1416+G1413</f>
        <v>17141</v>
      </c>
      <c r="H1426" s="680">
        <f>H1424+H1422+H1416+H1413</f>
        <v>17141</v>
      </c>
      <c r="I1426" s="681">
        <f>(H1426/G1426)*100</f>
        <v>100</v>
      </c>
      <c r="R1426" s="374">
        <f>F1426</f>
        <v>2288</v>
      </c>
      <c r="S1426" s="374">
        <f>G1426</f>
        <v>17141</v>
      </c>
      <c r="T1426" s="374">
        <f>H1426</f>
        <v>17141</v>
      </c>
    </row>
    <row r="1427" spans="1:20" ht="13.5" thickTop="1" x14ac:dyDescent="0.2"/>
    <row r="1428" spans="1:20" ht="13.5" thickBot="1" x14ac:dyDescent="0.25">
      <c r="A1428" s="421" t="s">
        <v>1088</v>
      </c>
      <c r="I1428" s="1125" t="s">
        <v>148</v>
      </c>
    </row>
    <row r="1429" spans="1:20" s="106" customFormat="1" thickTop="1" thickBot="1" x14ac:dyDescent="0.25">
      <c r="A1429" s="586" t="s">
        <v>565</v>
      </c>
      <c r="B1429" s="658" t="s">
        <v>149</v>
      </c>
      <c r="C1429" s="587" t="s">
        <v>150</v>
      </c>
      <c r="D1429" s="589" t="s">
        <v>639</v>
      </c>
      <c r="E1429" s="589" t="s">
        <v>151</v>
      </c>
      <c r="F1429" s="589" t="s">
        <v>569</v>
      </c>
      <c r="G1429" s="589" t="s">
        <v>570</v>
      </c>
      <c r="H1429" s="589" t="s">
        <v>797</v>
      </c>
      <c r="I1429" s="674" t="s">
        <v>798</v>
      </c>
    </row>
    <row r="1430" spans="1:20" s="375" customFormat="1" ht="13.5" thickTop="1" thickBot="1" x14ac:dyDescent="0.25">
      <c r="A1430" s="525">
        <v>1</v>
      </c>
      <c r="B1430" s="526">
        <v>2</v>
      </c>
      <c r="C1430" s="526">
        <v>3</v>
      </c>
      <c r="D1430" s="526">
        <v>4</v>
      </c>
      <c r="E1430" s="526">
        <v>5</v>
      </c>
      <c r="F1430" s="512">
        <v>6</v>
      </c>
      <c r="G1430" s="512">
        <v>7</v>
      </c>
      <c r="H1430" s="513">
        <v>8</v>
      </c>
      <c r="I1430" s="591" t="s">
        <v>689</v>
      </c>
    </row>
    <row r="1431" spans="1:20" ht="15.75" thickTop="1" x14ac:dyDescent="0.25">
      <c r="A1431" s="1136">
        <v>1171</v>
      </c>
      <c r="B1431" s="701">
        <v>3122</v>
      </c>
      <c r="C1431" s="701">
        <v>5331</v>
      </c>
      <c r="D1431" s="706"/>
      <c r="E1431" s="734" t="s">
        <v>858</v>
      </c>
      <c r="F1431" s="705"/>
      <c r="G1431" s="705">
        <f>G1432</f>
        <v>3</v>
      </c>
      <c r="H1431" s="705">
        <f>H1432</f>
        <v>3</v>
      </c>
      <c r="I1431" s="707">
        <f>(H1431/G1431)*100</f>
        <v>100</v>
      </c>
    </row>
    <row r="1432" spans="1:20" ht="14.25" x14ac:dyDescent="0.2">
      <c r="A1432" s="420"/>
      <c r="B1432" s="617"/>
      <c r="C1432" s="1127"/>
      <c r="D1432" s="518" t="s">
        <v>1837</v>
      </c>
      <c r="E1432" s="721" t="s">
        <v>1644</v>
      </c>
      <c r="F1432" s="352"/>
      <c r="G1432" s="352">
        <v>3</v>
      </c>
      <c r="H1432" s="352">
        <v>3</v>
      </c>
      <c r="I1432" s="708">
        <v>100</v>
      </c>
    </row>
    <row r="1433" spans="1:20" ht="15" x14ac:dyDescent="0.25">
      <c r="A1433" s="420">
        <v>1171</v>
      </c>
      <c r="B1433" s="617">
        <v>3122</v>
      </c>
      <c r="C1433" s="1127">
        <v>5336</v>
      </c>
      <c r="D1433" s="518"/>
      <c r="E1433" s="616" t="s">
        <v>1740</v>
      </c>
      <c r="F1433" s="352"/>
      <c r="G1433" s="705">
        <f>G1434</f>
        <v>3600</v>
      </c>
      <c r="H1433" s="705">
        <f>H1434</f>
        <v>3600</v>
      </c>
      <c r="I1433" s="693">
        <f>(H1433/G1433)*100</f>
        <v>100</v>
      </c>
      <c r="J1433" s="352" t="e">
        <f>J1434+#REF!+#REF!</f>
        <v>#REF!</v>
      </c>
      <c r="K1433" s="352" t="e">
        <f>K1434+#REF!+#REF!</f>
        <v>#REF!</v>
      </c>
      <c r="L1433" s="352" t="e">
        <f>L1434+#REF!+#REF!</f>
        <v>#REF!</v>
      </c>
      <c r="M1433" s="352" t="e">
        <f>M1434+#REF!+#REF!</f>
        <v>#REF!</v>
      </c>
      <c r="N1433" s="352" t="e">
        <f>N1434+#REF!+#REF!</f>
        <v>#REF!</v>
      </c>
      <c r="O1433" s="678" t="e">
        <f>O1434+#REF!+#REF!</f>
        <v>#REF!</v>
      </c>
      <c r="P1433" s="1680"/>
    </row>
    <row r="1434" spans="1:20" ht="14.25" x14ac:dyDescent="0.2">
      <c r="A1434" s="420"/>
      <c r="B1434" s="617"/>
      <c r="C1434" s="1127"/>
      <c r="D1434" s="518" t="s">
        <v>1807</v>
      </c>
      <c r="E1434" s="442" t="s">
        <v>716</v>
      </c>
      <c r="F1434" s="352"/>
      <c r="G1434" s="352">
        <v>3600</v>
      </c>
      <c r="H1434" s="352">
        <v>3600</v>
      </c>
      <c r="I1434" s="708">
        <v>100</v>
      </c>
    </row>
    <row r="1435" spans="1:20" ht="15" x14ac:dyDescent="0.25">
      <c r="A1435" s="420">
        <v>1171</v>
      </c>
      <c r="B1435" s="651">
        <v>3123</v>
      </c>
      <c r="C1435" s="1128">
        <v>5336</v>
      </c>
      <c r="D1435" s="888"/>
      <c r="E1435" s="616" t="s">
        <v>1740</v>
      </c>
      <c r="F1435" s="692"/>
      <c r="G1435" s="700">
        <f>G1436</f>
        <v>4442</v>
      </c>
      <c r="H1435" s="700">
        <f>H1436</f>
        <v>4442</v>
      </c>
      <c r="I1435" s="693">
        <v>100</v>
      </c>
    </row>
    <row r="1436" spans="1:20" ht="14.25" x14ac:dyDescent="0.2">
      <c r="A1436" s="420"/>
      <c r="B1436" s="651"/>
      <c r="C1436" s="1128"/>
      <c r="D1436" s="518" t="s">
        <v>1807</v>
      </c>
      <c r="E1436" s="442" t="s">
        <v>716</v>
      </c>
      <c r="F1436" s="692"/>
      <c r="G1436" s="692">
        <v>4442</v>
      </c>
      <c r="H1436" s="692">
        <v>4442</v>
      </c>
      <c r="I1436" s="368">
        <v>100</v>
      </c>
    </row>
    <row r="1437" spans="1:20" ht="15" x14ac:dyDescent="0.25">
      <c r="A1437" s="420">
        <v>1171</v>
      </c>
      <c r="B1437" s="651">
        <v>3127</v>
      </c>
      <c r="C1437" s="617">
        <v>5331</v>
      </c>
      <c r="D1437" s="675"/>
      <c r="E1437" s="664" t="s">
        <v>858</v>
      </c>
      <c r="F1437" s="700">
        <f>F1438+F1439</f>
        <v>4750</v>
      </c>
      <c r="G1437" s="700">
        <f t="shared" ref="G1437:H1437" si="186">G1438+G1439</f>
        <v>790</v>
      </c>
      <c r="H1437" s="700">
        <f t="shared" si="186"/>
        <v>790</v>
      </c>
      <c r="I1437" s="693">
        <v>100</v>
      </c>
    </row>
    <row r="1438" spans="1:20" ht="14.25" x14ac:dyDescent="0.2">
      <c r="A1438" s="420"/>
      <c r="B1438" s="651"/>
      <c r="C1438" s="1128"/>
      <c r="D1438" s="636" t="s">
        <v>1811</v>
      </c>
      <c r="E1438" s="1162" t="s">
        <v>717</v>
      </c>
      <c r="F1438" s="692">
        <v>486</v>
      </c>
      <c r="G1438" s="692">
        <v>80</v>
      </c>
      <c r="H1438" s="692">
        <v>80</v>
      </c>
      <c r="I1438" s="368">
        <v>100</v>
      </c>
    </row>
    <row r="1439" spans="1:20" ht="14.25" x14ac:dyDescent="0.2">
      <c r="A1439" s="420"/>
      <c r="B1439" s="651"/>
      <c r="C1439" s="1128"/>
      <c r="D1439" s="518" t="s">
        <v>1812</v>
      </c>
      <c r="E1439" s="442" t="s">
        <v>63</v>
      </c>
      <c r="F1439" s="692">
        <v>4264</v>
      </c>
      <c r="G1439" s="692">
        <v>710</v>
      </c>
      <c r="H1439" s="692">
        <v>710</v>
      </c>
      <c r="I1439" s="368">
        <v>100</v>
      </c>
    </row>
    <row r="1440" spans="1:20" ht="15" x14ac:dyDescent="0.25">
      <c r="A1440" s="420">
        <v>1171</v>
      </c>
      <c r="B1440" s="651">
        <v>3127</v>
      </c>
      <c r="C1440" s="1128">
        <v>5336</v>
      </c>
      <c r="D1440" s="888"/>
      <c r="E1440" s="616" t="s">
        <v>1740</v>
      </c>
      <c r="F1440" s="692"/>
      <c r="G1440" s="700">
        <f>G1441+G1442+G1443</f>
        <v>656</v>
      </c>
      <c r="H1440" s="700">
        <f>H1441+H1442+H1443</f>
        <v>656</v>
      </c>
      <c r="I1440" s="693">
        <v>100</v>
      </c>
    </row>
    <row r="1441" spans="1:20" ht="14.25" x14ac:dyDescent="0.2">
      <c r="A1441" s="420"/>
      <c r="B1441" s="651"/>
      <c r="C1441" s="1128"/>
      <c r="D1441" s="887" t="s">
        <v>1818</v>
      </c>
      <c r="E1441" s="1963" t="s">
        <v>1600</v>
      </c>
      <c r="F1441" s="692"/>
      <c r="G1441" s="692">
        <v>200</v>
      </c>
      <c r="H1441" s="692">
        <v>200</v>
      </c>
      <c r="I1441" s="368">
        <v>100</v>
      </c>
    </row>
    <row r="1442" spans="1:20" ht="14.25" x14ac:dyDescent="0.2">
      <c r="A1442" s="420"/>
      <c r="B1442" s="651"/>
      <c r="C1442" s="1128"/>
      <c r="D1442" s="887" t="s">
        <v>1808</v>
      </c>
      <c r="E1442" s="1676" t="s">
        <v>1739</v>
      </c>
      <c r="F1442" s="692"/>
      <c r="G1442" s="692">
        <v>403</v>
      </c>
      <c r="H1442" s="692">
        <v>403</v>
      </c>
      <c r="I1442" s="368">
        <v>100</v>
      </c>
    </row>
    <row r="1443" spans="1:20" ht="28.5" x14ac:dyDescent="0.2">
      <c r="A1443" s="420"/>
      <c r="B1443" s="651"/>
      <c r="C1443" s="1128"/>
      <c r="D1443" s="887" t="s">
        <v>1809</v>
      </c>
      <c r="E1443" s="2876" t="s">
        <v>1810</v>
      </c>
      <c r="F1443" s="692"/>
      <c r="G1443" s="1224">
        <v>53</v>
      </c>
      <c r="H1443" s="1224">
        <v>53</v>
      </c>
      <c r="I1443" s="1234">
        <v>100</v>
      </c>
    </row>
    <row r="1444" spans="1:20" ht="15" x14ac:dyDescent="0.25">
      <c r="A1444" s="420">
        <v>1171</v>
      </c>
      <c r="B1444" s="651">
        <v>3141</v>
      </c>
      <c r="C1444" s="1128">
        <v>5336</v>
      </c>
      <c r="D1444" s="527"/>
      <c r="E1444" s="616" t="s">
        <v>1740</v>
      </c>
      <c r="F1444" s="700"/>
      <c r="G1444" s="700">
        <f>G1445</f>
        <v>875</v>
      </c>
      <c r="H1444" s="700">
        <f>H1445</f>
        <v>875</v>
      </c>
      <c r="I1444" s="693">
        <v>100</v>
      </c>
    </row>
    <row r="1445" spans="1:20" ht="14.25" x14ac:dyDescent="0.2">
      <c r="A1445" s="420"/>
      <c r="B1445" s="651"/>
      <c r="C1445" s="1128"/>
      <c r="D1445" s="518" t="s">
        <v>1807</v>
      </c>
      <c r="E1445" s="442" t="s">
        <v>716</v>
      </c>
      <c r="F1445" s="692"/>
      <c r="G1445" s="692">
        <v>875</v>
      </c>
      <c r="H1445" s="692">
        <v>875</v>
      </c>
      <c r="I1445" s="368">
        <v>100</v>
      </c>
    </row>
    <row r="1446" spans="1:20" ht="15" x14ac:dyDescent="0.25">
      <c r="A1446" s="420">
        <v>1171</v>
      </c>
      <c r="B1446" s="651">
        <v>3147</v>
      </c>
      <c r="C1446" s="651">
        <v>5336</v>
      </c>
      <c r="D1446" s="518"/>
      <c r="E1446" s="616" t="s">
        <v>1740</v>
      </c>
      <c r="F1446" s="692"/>
      <c r="G1446" s="700">
        <f>G1447</f>
        <v>1592</v>
      </c>
      <c r="H1446" s="700">
        <f>H1447</f>
        <v>1592</v>
      </c>
      <c r="I1446" s="693">
        <v>100</v>
      </c>
    </row>
    <row r="1447" spans="1:20" ht="15.75" thickBot="1" x14ac:dyDescent="0.3">
      <c r="A1447" s="420"/>
      <c r="B1447" s="651"/>
      <c r="C1447" s="651"/>
      <c r="D1447" s="518" t="s">
        <v>1807</v>
      </c>
      <c r="E1447" s="442" t="s">
        <v>716</v>
      </c>
      <c r="F1447" s="700"/>
      <c r="G1447" s="692">
        <v>1592</v>
      </c>
      <c r="H1447" s="692">
        <v>1592</v>
      </c>
      <c r="I1447" s="368">
        <v>100</v>
      </c>
    </row>
    <row r="1448" spans="1:20" ht="16.5" thickTop="1" thickBot="1" x14ac:dyDescent="0.3">
      <c r="A1448" s="3119" t="s">
        <v>1000</v>
      </c>
      <c r="B1448" s="3120"/>
      <c r="C1448" s="3120"/>
      <c r="D1448" s="3120"/>
      <c r="E1448" s="3121"/>
      <c r="F1448" s="736">
        <f>F1437</f>
        <v>4750</v>
      </c>
      <c r="G1448" s="736">
        <f>G1446+G1444+G1440+G1437+G1435+G1433+G1431</f>
        <v>11958</v>
      </c>
      <c r="H1448" s="736">
        <f>H1446+H1444+H1440+H1437+H1435+H1433+H1431</f>
        <v>11958</v>
      </c>
      <c r="I1448" s="737">
        <f>(H1448/G1448)*100</f>
        <v>100</v>
      </c>
      <c r="R1448" s="374">
        <f>F1448</f>
        <v>4750</v>
      </c>
      <c r="S1448" s="374">
        <f>G1448</f>
        <v>11958</v>
      </c>
      <c r="T1448" s="374">
        <f>H1448</f>
        <v>11958</v>
      </c>
    </row>
    <row r="1449" spans="1:20" ht="15.75" thickTop="1" x14ac:dyDescent="0.25">
      <c r="A1449" s="361"/>
      <c r="B1449" s="361"/>
      <c r="C1449" s="361"/>
      <c r="D1449" s="361"/>
      <c r="E1449" s="361"/>
      <c r="F1449" s="763"/>
      <c r="G1449" s="763"/>
      <c r="H1449" s="763"/>
      <c r="I1449" s="1141"/>
      <c r="R1449" s="374"/>
      <c r="S1449" s="374"/>
      <c r="T1449" s="374"/>
    </row>
    <row r="1450" spans="1:20" ht="15" x14ac:dyDescent="0.25">
      <c r="A1450" s="361"/>
      <c r="B1450" s="361"/>
      <c r="C1450" s="361"/>
      <c r="D1450" s="361"/>
      <c r="E1450" s="361"/>
      <c r="F1450" s="763"/>
      <c r="G1450" s="763"/>
      <c r="H1450" s="763"/>
      <c r="I1450" s="1141"/>
      <c r="R1450" s="374"/>
      <c r="S1450" s="374"/>
      <c r="T1450" s="374"/>
    </row>
    <row r="1451" spans="1:20" ht="13.5" thickBot="1" x14ac:dyDescent="0.25">
      <c r="A1451" s="421" t="s">
        <v>328</v>
      </c>
      <c r="I1451" s="1125" t="s">
        <v>148</v>
      </c>
    </row>
    <row r="1452" spans="1:20" s="106" customFormat="1" thickTop="1" thickBot="1" x14ac:dyDescent="0.25">
      <c r="A1452" s="586" t="s">
        <v>565</v>
      </c>
      <c r="B1452" s="658" t="s">
        <v>149</v>
      </c>
      <c r="C1452" s="587" t="s">
        <v>150</v>
      </c>
      <c r="D1452" s="589" t="s">
        <v>639</v>
      </c>
      <c r="E1452" s="589" t="s">
        <v>151</v>
      </c>
      <c r="F1452" s="589" t="s">
        <v>569</v>
      </c>
      <c r="G1452" s="589" t="s">
        <v>570</v>
      </c>
      <c r="H1452" s="589" t="s">
        <v>797</v>
      </c>
      <c r="I1452" s="674" t="s">
        <v>798</v>
      </c>
    </row>
    <row r="1453" spans="1:20" s="375" customFormat="1" ht="13.5" thickTop="1" thickBot="1" x14ac:dyDescent="0.25">
      <c r="A1453" s="525">
        <v>1</v>
      </c>
      <c r="B1453" s="526">
        <v>2</v>
      </c>
      <c r="C1453" s="526">
        <v>3</v>
      </c>
      <c r="D1453" s="526">
        <v>4</v>
      </c>
      <c r="E1453" s="526">
        <v>5</v>
      </c>
      <c r="F1453" s="512">
        <v>6</v>
      </c>
      <c r="G1453" s="512">
        <v>7</v>
      </c>
      <c r="H1453" s="513">
        <v>8</v>
      </c>
      <c r="I1453" s="591" t="s">
        <v>689</v>
      </c>
    </row>
    <row r="1454" spans="1:20" ht="15.75" thickTop="1" x14ac:dyDescent="0.25">
      <c r="A1454" s="420">
        <v>1173</v>
      </c>
      <c r="B1454" s="617">
        <v>3122</v>
      </c>
      <c r="C1454" s="617">
        <v>5336</v>
      </c>
      <c r="D1454" s="1972"/>
      <c r="E1454" s="616" t="s">
        <v>1740</v>
      </c>
      <c r="F1454" s="683"/>
      <c r="G1454" s="700">
        <f>G1455</f>
        <v>2991</v>
      </c>
      <c r="H1454" s="700">
        <f>H1455</f>
        <v>2991</v>
      </c>
      <c r="I1454" s="707">
        <f t="shared" ref="I1454:I1473" si="187">(H1454/G1454)*100</f>
        <v>100</v>
      </c>
    </row>
    <row r="1455" spans="1:20" ht="14.25" x14ac:dyDescent="0.2">
      <c r="A1455" s="420"/>
      <c r="B1455" s="617"/>
      <c r="C1455" s="1127"/>
      <c r="D1455" s="518" t="s">
        <v>1807</v>
      </c>
      <c r="E1455" s="442" t="s">
        <v>716</v>
      </c>
      <c r="F1455" s="683"/>
      <c r="G1455" s="689">
        <v>2991</v>
      </c>
      <c r="H1455" s="683">
        <v>2991</v>
      </c>
      <c r="I1455" s="679">
        <f t="shared" si="187"/>
        <v>100</v>
      </c>
    </row>
    <row r="1456" spans="1:20" ht="15" x14ac:dyDescent="0.25">
      <c r="A1456" s="420">
        <v>1173</v>
      </c>
      <c r="B1456" s="651">
        <v>3123</v>
      </c>
      <c r="C1456" s="651">
        <v>5336</v>
      </c>
      <c r="D1456" s="888"/>
      <c r="E1456" s="616" t="s">
        <v>1740</v>
      </c>
      <c r="F1456" s="689"/>
      <c r="G1456" s="700">
        <f>G1457</f>
        <v>22281</v>
      </c>
      <c r="H1456" s="700">
        <f>H1457</f>
        <v>22281</v>
      </c>
      <c r="I1456" s="693">
        <f t="shared" si="187"/>
        <v>100</v>
      </c>
    </row>
    <row r="1457" spans="1:9" ht="14.25" x14ac:dyDescent="0.2">
      <c r="A1457" s="420"/>
      <c r="B1457" s="651"/>
      <c r="C1457" s="651"/>
      <c r="D1457" s="518" t="s">
        <v>1807</v>
      </c>
      <c r="E1457" s="442" t="s">
        <v>716</v>
      </c>
      <c r="F1457" s="689"/>
      <c r="G1457" s="689">
        <v>22281</v>
      </c>
      <c r="H1457" s="689">
        <v>22281</v>
      </c>
      <c r="I1457" s="684">
        <f t="shared" si="187"/>
        <v>100</v>
      </c>
    </row>
    <row r="1458" spans="1:9" ht="15" x14ac:dyDescent="0.25">
      <c r="A1458" s="420">
        <v>1173</v>
      </c>
      <c r="B1458" s="651">
        <v>3127</v>
      </c>
      <c r="C1458" s="651">
        <v>5331</v>
      </c>
      <c r="D1458" s="527"/>
      <c r="E1458" s="616" t="s">
        <v>858</v>
      </c>
      <c r="F1458" s="700">
        <f>F1459+F1460+F1461</f>
        <v>10933</v>
      </c>
      <c r="G1458" s="700">
        <f>G1459+G1460+G1461+G1462</f>
        <v>1831</v>
      </c>
      <c r="H1458" s="700">
        <f>H1459+H1460+H1461+H1462</f>
        <v>1831</v>
      </c>
      <c r="I1458" s="693">
        <f t="shared" si="187"/>
        <v>100</v>
      </c>
    </row>
    <row r="1459" spans="1:9" ht="15" x14ac:dyDescent="0.25">
      <c r="A1459" s="420"/>
      <c r="B1459" s="651"/>
      <c r="C1459" s="651"/>
      <c r="D1459" s="636" t="s">
        <v>1811</v>
      </c>
      <c r="E1459" s="1162" t="s">
        <v>717</v>
      </c>
      <c r="F1459" s="692">
        <v>3828</v>
      </c>
      <c r="G1459" s="692">
        <v>638</v>
      </c>
      <c r="H1459" s="692">
        <v>638</v>
      </c>
      <c r="I1459" s="693">
        <f t="shared" si="187"/>
        <v>100</v>
      </c>
    </row>
    <row r="1460" spans="1:9" ht="15" x14ac:dyDescent="0.25">
      <c r="A1460" s="420"/>
      <c r="B1460" s="651"/>
      <c r="C1460" s="651"/>
      <c r="D1460" s="518" t="s">
        <v>1812</v>
      </c>
      <c r="E1460" s="442" t="s">
        <v>63</v>
      </c>
      <c r="F1460" s="692">
        <v>7005</v>
      </c>
      <c r="G1460" s="692">
        <v>1168</v>
      </c>
      <c r="H1460" s="692">
        <v>1168</v>
      </c>
      <c r="I1460" s="693">
        <f t="shared" si="187"/>
        <v>100</v>
      </c>
    </row>
    <row r="1461" spans="1:9" ht="15" x14ac:dyDescent="0.25">
      <c r="A1461" s="420"/>
      <c r="B1461" s="651"/>
      <c r="C1461" s="651"/>
      <c r="D1461" s="518" t="s">
        <v>1817</v>
      </c>
      <c r="E1461" s="442" t="s">
        <v>1312</v>
      </c>
      <c r="F1461" s="692">
        <v>100</v>
      </c>
      <c r="G1461" s="692">
        <v>16</v>
      </c>
      <c r="H1461" s="692">
        <v>16</v>
      </c>
      <c r="I1461" s="693">
        <f t="shared" si="187"/>
        <v>100</v>
      </c>
    </row>
    <row r="1462" spans="1:9" ht="15" x14ac:dyDescent="0.25">
      <c r="A1462" s="420"/>
      <c r="B1462" s="651"/>
      <c r="C1462" s="651"/>
      <c r="D1462" s="518" t="s">
        <v>1837</v>
      </c>
      <c r="E1462" s="721" t="s">
        <v>1644</v>
      </c>
      <c r="F1462" s="700"/>
      <c r="G1462" s="692">
        <v>9</v>
      </c>
      <c r="H1462" s="692">
        <v>9</v>
      </c>
      <c r="I1462" s="368">
        <f t="shared" si="187"/>
        <v>100</v>
      </c>
    </row>
    <row r="1463" spans="1:9" ht="15" x14ac:dyDescent="0.25">
      <c r="A1463" s="420">
        <v>1173</v>
      </c>
      <c r="B1463" s="651">
        <v>3127</v>
      </c>
      <c r="C1463" s="651">
        <v>5336</v>
      </c>
      <c r="D1463" s="888"/>
      <c r="E1463" s="616" t="s">
        <v>1740</v>
      </c>
      <c r="F1463" s="700"/>
      <c r="G1463" s="700">
        <f>G1464+G1465+G1468+G1469</f>
        <v>2385</v>
      </c>
      <c r="H1463" s="700">
        <f>H1464+H1465+H1468+H1469</f>
        <v>2385</v>
      </c>
      <c r="I1463" s="693">
        <f t="shared" si="187"/>
        <v>100</v>
      </c>
    </row>
    <row r="1464" spans="1:9" ht="15" x14ac:dyDescent="0.25">
      <c r="A1464" s="420"/>
      <c r="B1464" s="651"/>
      <c r="C1464" s="651"/>
      <c r="D1464" s="887" t="s">
        <v>1818</v>
      </c>
      <c r="E1464" s="1963" t="s">
        <v>1600</v>
      </c>
      <c r="F1464" s="700"/>
      <c r="G1464" s="692">
        <v>963</v>
      </c>
      <c r="H1464" s="692">
        <v>963</v>
      </c>
      <c r="I1464" s="368">
        <f t="shared" si="187"/>
        <v>100</v>
      </c>
    </row>
    <row r="1465" spans="1:9" ht="15" x14ac:dyDescent="0.25">
      <c r="A1465" s="420"/>
      <c r="B1465" s="651"/>
      <c r="C1465" s="651"/>
      <c r="D1465" s="887" t="s">
        <v>1828</v>
      </c>
      <c r="E1465" s="3125" t="s">
        <v>1744</v>
      </c>
      <c r="F1465" s="700"/>
      <c r="G1465" s="692">
        <v>199</v>
      </c>
      <c r="H1465" s="692">
        <v>199</v>
      </c>
      <c r="I1465" s="368">
        <f t="shared" si="187"/>
        <v>100</v>
      </c>
    </row>
    <row r="1466" spans="1:9" ht="15" x14ac:dyDescent="0.25">
      <c r="A1466" s="420"/>
      <c r="B1466" s="651"/>
      <c r="C1466" s="651"/>
      <c r="D1466" s="887"/>
      <c r="E1466" s="3125"/>
      <c r="F1466" s="700"/>
      <c r="G1466" s="1224"/>
      <c r="H1466" s="1224"/>
      <c r="I1466" s="1234"/>
    </row>
    <row r="1467" spans="1:9" ht="15" x14ac:dyDescent="0.25">
      <c r="A1467" s="420"/>
      <c r="B1467" s="651"/>
      <c r="C1467" s="651"/>
      <c r="D1467" s="887"/>
      <c r="E1467" s="3125"/>
      <c r="F1467" s="700"/>
      <c r="G1467" s="1224"/>
      <c r="H1467" s="1224"/>
      <c r="I1467" s="1234"/>
    </row>
    <row r="1468" spans="1:9" ht="15" x14ac:dyDescent="0.25">
      <c r="A1468" s="420"/>
      <c r="B1468" s="651"/>
      <c r="C1468" s="651"/>
      <c r="D1468" s="887" t="s">
        <v>1808</v>
      </c>
      <c r="E1468" s="1676" t="s">
        <v>1739</v>
      </c>
      <c r="F1468" s="700"/>
      <c r="G1468" s="1224">
        <v>1067</v>
      </c>
      <c r="H1468" s="1224">
        <v>1067</v>
      </c>
      <c r="I1468" s="1234">
        <f t="shared" si="187"/>
        <v>100</v>
      </c>
    </row>
    <row r="1469" spans="1:9" ht="28.5" x14ac:dyDescent="0.25">
      <c r="A1469" s="420"/>
      <c r="B1469" s="651"/>
      <c r="C1469" s="651"/>
      <c r="D1469" s="887" t="s">
        <v>1809</v>
      </c>
      <c r="E1469" s="2876" t="s">
        <v>1810</v>
      </c>
      <c r="F1469" s="700"/>
      <c r="G1469" s="1224">
        <v>156</v>
      </c>
      <c r="H1469" s="1224">
        <v>156</v>
      </c>
      <c r="I1469" s="1234">
        <f t="shared" si="187"/>
        <v>100</v>
      </c>
    </row>
    <row r="1470" spans="1:9" ht="15" x14ac:dyDescent="0.25">
      <c r="A1470" s="420">
        <v>1173</v>
      </c>
      <c r="B1470" s="651">
        <v>3141</v>
      </c>
      <c r="C1470" s="651">
        <v>5336</v>
      </c>
      <c r="D1470" s="888"/>
      <c r="E1470" s="616" t="s">
        <v>1740</v>
      </c>
      <c r="F1470" s="700"/>
      <c r="G1470" s="700">
        <f>G1471</f>
        <v>1942</v>
      </c>
      <c r="H1470" s="700">
        <f>H1471</f>
        <v>1942</v>
      </c>
      <c r="I1470" s="693">
        <f t="shared" si="187"/>
        <v>100</v>
      </c>
    </row>
    <row r="1471" spans="1:9" ht="14.25" x14ac:dyDescent="0.2">
      <c r="A1471" s="420"/>
      <c r="B1471" s="651"/>
      <c r="C1471" s="651"/>
      <c r="D1471" s="518" t="s">
        <v>1807</v>
      </c>
      <c r="E1471" s="442" t="s">
        <v>716</v>
      </c>
      <c r="F1471" s="689"/>
      <c r="G1471" s="689">
        <v>1942</v>
      </c>
      <c r="H1471" s="689">
        <v>1942</v>
      </c>
      <c r="I1471" s="684">
        <f t="shared" si="187"/>
        <v>100</v>
      </c>
    </row>
    <row r="1472" spans="1:9" ht="15" x14ac:dyDescent="0.25">
      <c r="A1472" s="420">
        <v>1173</v>
      </c>
      <c r="B1472" s="617">
        <v>3147</v>
      </c>
      <c r="C1472" s="1128">
        <v>5336</v>
      </c>
      <c r="D1472" s="518"/>
      <c r="E1472" s="616" t="s">
        <v>1740</v>
      </c>
      <c r="F1472" s="352"/>
      <c r="G1472" s="700">
        <f>G1473</f>
        <v>4693</v>
      </c>
      <c r="H1472" s="700">
        <f>H1473</f>
        <v>4693</v>
      </c>
      <c r="I1472" s="707">
        <f t="shared" si="187"/>
        <v>100</v>
      </c>
    </row>
    <row r="1473" spans="1:20" ht="15" thickBot="1" x14ac:dyDescent="0.25">
      <c r="A1473" s="420"/>
      <c r="B1473" s="617"/>
      <c r="C1473" s="1128"/>
      <c r="D1473" s="518" t="s">
        <v>1807</v>
      </c>
      <c r="E1473" s="442" t="s">
        <v>716</v>
      </c>
      <c r="F1473" s="352"/>
      <c r="G1473" s="689">
        <v>4693</v>
      </c>
      <c r="H1473" s="689">
        <v>4693</v>
      </c>
      <c r="I1473" s="679">
        <f t="shared" si="187"/>
        <v>100</v>
      </c>
    </row>
    <row r="1474" spans="1:20" ht="18" customHeight="1" thickTop="1" thickBot="1" x14ac:dyDescent="0.3">
      <c r="A1474" s="3110" t="s">
        <v>1000</v>
      </c>
      <c r="B1474" s="3111"/>
      <c r="C1474" s="3111"/>
      <c r="D1474" s="3111"/>
      <c r="E1474" s="3111"/>
      <c r="F1474" s="680">
        <f>F1458</f>
        <v>10933</v>
      </c>
      <c r="G1474" s="680">
        <f>G1472+G1470+G1463+G1458+G1456+G1454</f>
        <v>36123</v>
      </c>
      <c r="H1474" s="680">
        <f>H1472+H1470+H1463+H1458+H1456+H1454</f>
        <v>36123</v>
      </c>
      <c r="I1474" s="681">
        <f>(H1474/G1474)*100</f>
        <v>100</v>
      </c>
      <c r="R1474" s="374">
        <f>F1474</f>
        <v>10933</v>
      </c>
      <c r="S1474" s="374">
        <f>G1474</f>
        <v>36123</v>
      </c>
      <c r="T1474" s="374">
        <f>H1474</f>
        <v>36123</v>
      </c>
    </row>
    <row r="1475" spans="1:20" s="106" customFormat="1" ht="15.75" thickTop="1" x14ac:dyDescent="0.25">
      <c r="A1475" s="361"/>
      <c r="B1475" s="361"/>
      <c r="C1475" s="361"/>
      <c r="D1475" s="361"/>
      <c r="E1475" s="361"/>
      <c r="F1475" s="178"/>
      <c r="G1475" s="178"/>
      <c r="H1475" s="178"/>
      <c r="I1475" s="207"/>
    </row>
    <row r="1476" spans="1:20" s="106" customFormat="1" ht="15" x14ac:dyDescent="0.25">
      <c r="A1476" s="361"/>
      <c r="B1476" s="361"/>
      <c r="C1476" s="361"/>
      <c r="D1476" s="361"/>
      <c r="E1476" s="361"/>
      <c r="F1476" s="178"/>
      <c r="G1476" s="178"/>
      <c r="H1476" s="178"/>
      <c r="I1476" s="207"/>
    </row>
    <row r="1477" spans="1:20" s="106" customFormat="1" ht="15" x14ac:dyDescent="0.25">
      <c r="A1477" s="361"/>
      <c r="B1477" s="361"/>
      <c r="C1477" s="361"/>
      <c r="D1477" s="361"/>
      <c r="E1477" s="361"/>
      <c r="F1477" s="178"/>
      <c r="G1477" s="178"/>
      <c r="H1477" s="178"/>
      <c r="I1477" s="207"/>
    </row>
    <row r="1478" spans="1:20" s="106" customFormat="1" ht="15" x14ac:dyDescent="0.25">
      <c r="A1478" s="361"/>
      <c r="B1478" s="361"/>
      <c r="C1478" s="361"/>
      <c r="D1478" s="361"/>
      <c r="E1478" s="361"/>
      <c r="F1478" s="178"/>
      <c r="G1478" s="178"/>
      <c r="H1478" s="178"/>
      <c r="I1478" s="207"/>
    </row>
    <row r="1479" spans="1:20" s="106" customFormat="1" ht="15" x14ac:dyDescent="0.25">
      <c r="A1479" s="361"/>
      <c r="B1479" s="361"/>
      <c r="C1479" s="361"/>
      <c r="D1479" s="361"/>
      <c r="E1479" s="361"/>
      <c r="F1479" s="178"/>
      <c r="G1479" s="178"/>
      <c r="H1479" s="178"/>
      <c r="I1479" s="207"/>
    </row>
    <row r="1480" spans="1:20" s="106" customFormat="1" ht="15" x14ac:dyDescent="0.25">
      <c r="A1480" s="361"/>
      <c r="B1480" s="361"/>
      <c r="C1480" s="361"/>
      <c r="D1480" s="361"/>
      <c r="E1480" s="361"/>
      <c r="F1480" s="178"/>
      <c r="G1480" s="178"/>
      <c r="H1480" s="178"/>
      <c r="I1480" s="207"/>
    </row>
    <row r="1481" spans="1:20" ht="13.5" thickBot="1" x14ac:dyDescent="0.25">
      <c r="A1481" s="421" t="s">
        <v>1751</v>
      </c>
      <c r="I1481" s="1125" t="s">
        <v>148</v>
      </c>
    </row>
    <row r="1482" spans="1:20" ht="14.25" thickTop="1" thickBot="1" x14ac:dyDescent="0.25">
      <c r="A1482" s="586" t="s">
        <v>565</v>
      </c>
      <c r="B1482" s="658" t="s">
        <v>149</v>
      </c>
      <c r="C1482" s="587" t="s">
        <v>150</v>
      </c>
      <c r="D1482" s="589" t="s">
        <v>639</v>
      </c>
      <c r="E1482" s="589" t="s">
        <v>151</v>
      </c>
      <c r="F1482" s="589" t="s">
        <v>569</v>
      </c>
      <c r="G1482" s="589" t="s">
        <v>570</v>
      </c>
      <c r="H1482" s="589" t="s">
        <v>797</v>
      </c>
      <c r="I1482" s="674" t="s">
        <v>798</v>
      </c>
    </row>
    <row r="1483" spans="1:20" ht="14.25" thickTop="1" thickBot="1" x14ac:dyDescent="0.25">
      <c r="A1483" s="525">
        <v>1</v>
      </c>
      <c r="B1483" s="526">
        <v>2</v>
      </c>
      <c r="C1483" s="526">
        <v>3</v>
      </c>
      <c r="D1483" s="526">
        <v>4</v>
      </c>
      <c r="E1483" s="526">
        <v>5</v>
      </c>
      <c r="F1483" s="512">
        <v>6</v>
      </c>
      <c r="G1483" s="512">
        <v>7</v>
      </c>
      <c r="H1483" s="513">
        <v>8</v>
      </c>
      <c r="I1483" s="591" t="s">
        <v>689</v>
      </c>
    </row>
    <row r="1484" spans="1:20" ht="15.75" thickTop="1" x14ac:dyDescent="0.25">
      <c r="A1484" s="1136">
        <v>1174</v>
      </c>
      <c r="B1484" s="701">
        <v>3122</v>
      </c>
      <c r="C1484" s="701">
        <v>5336</v>
      </c>
      <c r="D1484" s="706"/>
      <c r="E1484" s="616" t="s">
        <v>1740</v>
      </c>
      <c r="F1484" s="699"/>
      <c r="G1484" s="699">
        <f>G1485</f>
        <v>2679</v>
      </c>
      <c r="H1484" s="699">
        <f>H1485</f>
        <v>2679</v>
      </c>
      <c r="I1484" s="703">
        <f t="shared" ref="I1484:I1507" si="188">(H1484/G1484)*100</f>
        <v>100</v>
      </c>
    </row>
    <row r="1485" spans="1:20" ht="14.25" x14ac:dyDescent="0.2">
      <c r="A1485" s="420"/>
      <c r="B1485" s="617"/>
      <c r="C1485" s="1127"/>
      <c r="D1485" s="518" t="s">
        <v>1807</v>
      </c>
      <c r="E1485" s="442" t="s">
        <v>716</v>
      </c>
      <c r="F1485" s="683"/>
      <c r="G1485" s="683">
        <v>2679</v>
      </c>
      <c r="H1485" s="683">
        <v>2679</v>
      </c>
      <c r="I1485" s="679">
        <f t="shared" si="188"/>
        <v>100</v>
      </c>
    </row>
    <row r="1486" spans="1:20" ht="15" x14ac:dyDescent="0.25">
      <c r="A1486" s="420">
        <v>1174</v>
      </c>
      <c r="B1486" s="651">
        <v>3123</v>
      </c>
      <c r="C1486" s="651">
        <v>5331</v>
      </c>
      <c r="D1486" s="712"/>
      <c r="E1486" s="616" t="s">
        <v>858</v>
      </c>
      <c r="F1486" s="690"/>
      <c r="G1486" s="690">
        <f>G1487</f>
        <v>10</v>
      </c>
      <c r="H1486" s="690">
        <f>H1487</f>
        <v>10</v>
      </c>
      <c r="I1486" s="691">
        <f>(H1486/G1486)*100</f>
        <v>100</v>
      </c>
    </row>
    <row r="1487" spans="1:20" ht="14.25" x14ac:dyDescent="0.2">
      <c r="A1487" s="420"/>
      <c r="B1487" s="651"/>
      <c r="C1487" s="651"/>
      <c r="D1487" s="649" t="s">
        <v>1761</v>
      </c>
      <c r="E1487" s="442" t="s">
        <v>753</v>
      </c>
      <c r="F1487" s="692"/>
      <c r="G1487" s="692">
        <v>10</v>
      </c>
      <c r="H1487" s="692">
        <v>10</v>
      </c>
      <c r="I1487" s="679">
        <f t="shared" si="188"/>
        <v>100</v>
      </c>
    </row>
    <row r="1488" spans="1:20" ht="15" x14ac:dyDescent="0.25">
      <c r="A1488" s="420">
        <v>1174</v>
      </c>
      <c r="B1488" s="651">
        <v>3123</v>
      </c>
      <c r="C1488" s="651">
        <v>5336</v>
      </c>
      <c r="D1488" s="888"/>
      <c r="E1488" s="616" t="s">
        <v>1740</v>
      </c>
      <c r="F1488" s="692"/>
      <c r="G1488" s="700">
        <f>G1489</f>
        <v>14296</v>
      </c>
      <c r="H1488" s="700">
        <f>H1489</f>
        <v>14296</v>
      </c>
      <c r="I1488" s="693">
        <f>(H1488/G1488)*100</f>
        <v>100</v>
      </c>
    </row>
    <row r="1489" spans="1:9" ht="14.25" x14ac:dyDescent="0.2">
      <c r="A1489" s="420"/>
      <c r="B1489" s="651"/>
      <c r="C1489" s="1128"/>
      <c r="D1489" s="518" t="s">
        <v>1807</v>
      </c>
      <c r="E1489" s="442" t="s">
        <v>716</v>
      </c>
      <c r="F1489" s="689"/>
      <c r="G1489" s="689">
        <v>14296</v>
      </c>
      <c r="H1489" s="689">
        <v>14296</v>
      </c>
      <c r="I1489" s="684">
        <f>(H1489/G1489)*100</f>
        <v>100</v>
      </c>
    </row>
    <row r="1490" spans="1:9" ht="15.75" customHeight="1" x14ac:dyDescent="0.25">
      <c r="A1490" s="420">
        <v>1174</v>
      </c>
      <c r="B1490" s="651">
        <v>3124</v>
      </c>
      <c r="C1490" s="651">
        <v>5336</v>
      </c>
      <c r="D1490" s="712"/>
      <c r="E1490" s="616" t="s">
        <v>1740</v>
      </c>
      <c r="F1490" s="690"/>
      <c r="G1490" s="690">
        <f>G1491</f>
        <v>996</v>
      </c>
      <c r="H1490" s="690">
        <f>H1491</f>
        <v>996</v>
      </c>
      <c r="I1490" s="691">
        <f t="shared" si="188"/>
        <v>100</v>
      </c>
    </row>
    <row r="1491" spans="1:9" ht="14.25" x14ac:dyDescent="0.2">
      <c r="A1491" s="420"/>
      <c r="B1491" s="651"/>
      <c r="C1491" s="651"/>
      <c r="D1491" s="518" t="s">
        <v>1807</v>
      </c>
      <c r="E1491" s="442" t="s">
        <v>716</v>
      </c>
      <c r="F1491" s="689"/>
      <c r="G1491" s="689">
        <v>996</v>
      </c>
      <c r="H1491" s="689">
        <v>996</v>
      </c>
      <c r="I1491" s="684">
        <f t="shared" si="188"/>
        <v>100</v>
      </c>
    </row>
    <row r="1492" spans="1:9" ht="15" x14ac:dyDescent="0.25">
      <c r="A1492" s="420">
        <v>1174</v>
      </c>
      <c r="B1492" s="651">
        <v>3127</v>
      </c>
      <c r="C1492" s="651">
        <v>5331</v>
      </c>
      <c r="D1492" s="712"/>
      <c r="E1492" s="616" t="s">
        <v>858</v>
      </c>
      <c r="F1492" s="700">
        <f>F1493+F1494</f>
        <v>6168</v>
      </c>
      <c r="G1492" s="700">
        <f>G1493+G1494+G1495</f>
        <v>1037</v>
      </c>
      <c r="H1492" s="700">
        <f>H1493+H1494+H1495</f>
        <v>1037</v>
      </c>
      <c r="I1492" s="691">
        <f t="shared" si="188"/>
        <v>100</v>
      </c>
    </row>
    <row r="1493" spans="1:9" ht="14.25" x14ac:dyDescent="0.2">
      <c r="A1493" s="420"/>
      <c r="B1493" s="651"/>
      <c r="C1493" s="651"/>
      <c r="D1493" s="636" t="s">
        <v>1811</v>
      </c>
      <c r="E1493" s="1162" t="s">
        <v>717</v>
      </c>
      <c r="F1493" s="689">
        <v>1082</v>
      </c>
      <c r="G1493" s="689">
        <v>180</v>
      </c>
      <c r="H1493" s="689">
        <v>180</v>
      </c>
      <c r="I1493" s="684">
        <f t="shared" si="188"/>
        <v>100</v>
      </c>
    </row>
    <row r="1494" spans="1:9" ht="14.25" x14ac:dyDescent="0.2">
      <c r="A1494" s="420"/>
      <c r="B1494" s="651"/>
      <c r="C1494" s="651"/>
      <c r="D1494" s="518" t="s">
        <v>1812</v>
      </c>
      <c r="E1494" s="442" t="s">
        <v>63</v>
      </c>
      <c r="F1494" s="689">
        <v>5086</v>
      </c>
      <c r="G1494" s="689">
        <v>848</v>
      </c>
      <c r="H1494" s="689">
        <v>848</v>
      </c>
      <c r="I1494" s="684">
        <f t="shared" si="188"/>
        <v>100</v>
      </c>
    </row>
    <row r="1495" spans="1:9" ht="14.25" x14ac:dyDescent="0.2">
      <c r="A1495" s="420"/>
      <c r="B1495" s="651"/>
      <c r="C1495" s="651"/>
      <c r="D1495" s="518" t="s">
        <v>1837</v>
      </c>
      <c r="E1495" s="721" t="s">
        <v>1644</v>
      </c>
      <c r="F1495" s="689"/>
      <c r="G1495" s="689">
        <v>9</v>
      </c>
      <c r="H1495" s="689">
        <v>9</v>
      </c>
      <c r="I1495" s="684">
        <f t="shared" si="188"/>
        <v>100</v>
      </c>
    </row>
    <row r="1496" spans="1:9" ht="15" x14ac:dyDescent="0.25">
      <c r="A1496" s="420">
        <v>1174</v>
      </c>
      <c r="B1496" s="651">
        <v>3127</v>
      </c>
      <c r="C1496" s="651">
        <v>5336</v>
      </c>
      <c r="D1496" s="712"/>
      <c r="E1496" s="616" t="s">
        <v>1740</v>
      </c>
      <c r="F1496" s="689"/>
      <c r="G1496" s="700">
        <f>G1497+G1498+G1499+G1500+G1501</f>
        <v>2466</v>
      </c>
      <c r="H1496" s="700">
        <f>H1497+H1498+H1499+H1500+H1501</f>
        <v>2466</v>
      </c>
      <c r="I1496" s="691">
        <f t="shared" si="188"/>
        <v>100</v>
      </c>
    </row>
    <row r="1497" spans="1:9" ht="14.25" x14ac:dyDescent="0.2">
      <c r="A1497" s="420"/>
      <c r="B1497" s="651"/>
      <c r="C1497" s="651"/>
      <c r="D1497" s="887" t="s">
        <v>1818</v>
      </c>
      <c r="E1497" s="1963" t="s">
        <v>1600</v>
      </c>
      <c r="F1497" s="689"/>
      <c r="G1497" s="689">
        <v>839</v>
      </c>
      <c r="H1497" s="689">
        <v>839</v>
      </c>
      <c r="I1497" s="684">
        <f t="shared" si="188"/>
        <v>100</v>
      </c>
    </row>
    <row r="1498" spans="1:9" ht="14.25" x14ac:dyDescent="0.2">
      <c r="A1498" s="420"/>
      <c r="B1498" s="651"/>
      <c r="C1498" s="651"/>
      <c r="D1498" s="887" t="s">
        <v>1808</v>
      </c>
      <c r="E1498" s="1676" t="s">
        <v>1739</v>
      </c>
      <c r="F1498" s="689"/>
      <c r="G1498" s="689">
        <v>607</v>
      </c>
      <c r="H1498" s="689">
        <v>607</v>
      </c>
      <c r="I1498" s="684">
        <f t="shared" si="188"/>
        <v>100</v>
      </c>
    </row>
    <row r="1499" spans="1:9" ht="28.5" x14ac:dyDescent="0.2">
      <c r="A1499" s="420"/>
      <c r="B1499" s="651"/>
      <c r="C1499" s="651"/>
      <c r="D1499" s="887" t="s">
        <v>1809</v>
      </c>
      <c r="E1499" s="2876" t="s">
        <v>1810</v>
      </c>
      <c r="F1499" s="689"/>
      <c r="G1499" s="1062">
        <v>99</v>
      </c>
      <c r="H1499" s="1062">
        <v>99</v>
      </c>
      <c r="I1499" s="1066">
        <f t="shared" si="188"/>
        <v>100</v>
      </c>
    </row>
    <row r="1500" spans="1:9" ht="14.25" x14ac:dyDescent="0.2">
      <c r="A1500" s="420"/>
      <c r="B1500" s="651"/>
      <c r="C1500" s="651"/>
      <c r="D1500" s="518" t="s">
        <v>1813</v>
      </c>
      <c r="E1500" s="1162" t="s">
        <v>1815</v>
      </c>
      <c r="F1500" s="689"/>
      <c r="G1500" s="689">
        <v>138</v>
      </c>
      <c r="H1500" s="689">
        <v>138</v>
      </c>
      <c r="I1500" s="684">
        <f t="shared" si="188"/>
        <v>100</v>
      </c>
    </row>
    <row r="1501" spans="1:9" ht="14.25" x14ac:dyDescent="0.2">
      <c r="A1501" s="420"/>
      <c r="B1501" s="651"/>
      <c r="C1501" s="651"/>
      <c r="D1501" s="518" t="s">
        <v>1814</v>
      </c>
      <c r="E1501" s="1162" t="s">
        <v>1815</v>
      </c>
      <c r="F1501" s="689"/>
      <c r="G1501" s="689">
        <v>783</v>
      </c>
      <c r="H1501" s="689">
        <v>783</v>
      </c>
      <c r="I1501" s="684">
        <f t="shared" si="188"/>
        <v>100</v>
      </c>
    </row>
    <row r="1502" spans="1:9" ht="15" x14ac:dyDescent="0.25">
      <c r="A1502" s="420">
        <v>1174</v>
      </c>
      <c r="B1502" s="651">
        <v>3141</v>
      </c>
      <c r="C1502" s="651">
        <v>5336</v>
      </c>
      <c r="D1502" s="518"/>
      <c r="E1502" s="616" t="s">
        <v>1740</v>
      </c>
      <c r="F1502" s="689"/>
      <c r="G1502" s="700">
        <f>G1503</f>
        <v>331</v>
      </c>
      <c r="H1502" s="700">
        <f>H1503</f>
        <v>331</v>
      </c>
      <c r="I1502" s="693">
        <f t="shared" si="188"/>
        <v>100</v>
      </c>
    </row>
    <row r="1503" spans="1:9" ht="14.25" x14ac:dyDescent="0.2">
      <c r="A1503" s="420"/>
      <c r="B1503" s="651"/>
      <c r="C1503" s="651"/>
      <c r="D1503" s="518" t="s">
        <v>1807</v>
      </c>
      <c r="E1503" s="442" t="s">
        <v>716</v>
      </c>
      <c r="F1503" s="689"/>
      <c r="G1503" s="689">
        <v>331</v>
      </c>
      <c r="H1503" s="689">
        <v>331</v>
      </c>
      <c r="I1503" s="684">
        <f t="shared" si="188"/>
        <v>100</v>
      </c>
    </row>
    <row r="1504" spans="1:9" ht="15" x14ac:dyDescent="0.25">
      <c r="A1504" s="420">
        <v>1174</v>
      </c>
      <c r="B1504" s="651">
        <v>3147</v>
      </c>
      <c r="C1504" s="651">
        <v>5336</v>
      </c>
      <c r="D1504" s="518"/>
      <c r="E1504" s="616" t="s">
        <v>1740</v>
      </c>
      <c r="F1504" s="689"/>
      <c r="G1504" s="700">
        <f>G1505</f>
        <v>1252</v>
      </c>
      <c r="H1504" s="700">
        <f>H1505</f>
        <v>1252</v>
      </c>
      <c r="I1504" s="693">
        <f t="shared" si="188"/>
        <v>100</v>
      </c>
    </row>
    <row r="1505" spans="1:20" ht="14.25" x14ac:dyDescent="0.2">
      <c r="A1505" s="420"/>
      <c r="B1505" s="651"/>
      <c r="C1505" s="651"/>
      <c r="D1505" s="518" t="s">
        <v>1807</v>
      </c>
      <c r="E1505" s="442" t="s">
        <v>716</v>
      </c>
      <c r="F1505" s="689"/>
      <c r="G1505" s="689">
        <v>1252</v>
      </c>
      <c r="H1505" s="689">
        <v>1252</v>
      </c>
      <c r="I1505" s="684">
        <f t="shared" si="188"/>
        <v>100</v>
      </c>
    </row>
    <row r="1506" spans="1:20" ht="15" x14ac:dyDescent="0.25">
      <c r="A1506" s="420">
        <v>1174</v>
      </c>
      <c r="B1506" s="651">
        <v>3792</v>
      </c>
      <c r="C1506" s="651">
        <v>5331</v>
      </c>
      <c r="D1506" s="518"/>
      <c r="E1506" s="616" t="s">
        <v>858</v>
      </c>
      <c r="F1506" s="689"/>
      <c r="G1506" s="700">
        <v>13</v>
      </c>
      <c r="H1506" s="700">
        <v>13</v>
      </c>
      <c r="I1506" s="693">
        <f t="shared" si="188"/>
        <v>100</v>
      </c>
    </row>
    <row r="1507" spans="1:20" ht="15" thickBot="1" x14ac:dyDescent="0.25">
      <c r="A1507" s="420"/>
      <c r="B1507" s="651"/>
      <c r="C1507" s="651"/>
      <c r="D1507" s="878" t="s">
        <v>1824</v>
      </c>
      <c r="E1507" s="956" t="s">
        <v>338</v>
      </c>
      <c r="F1507" s="1054"/>
      <c r="G1507" s="438">
        <v>13</v>
      </c>
      <c r="H1507" s="312">
        <v>13</v>
      </c>
      <c r="I1507" s="684">
        <f t="shared" si="188"/>
        <v>100</v>
      </c>
    </row>
    <row r="1508" spans="1:20" ht="16.5" thickTop="1" thickBot="1" x14ac:dyDescent="0.3">
      <c r="A1508" s="3110" t="s">
        <v>1000</v>
      </c>
      <c r="B1508" s="3111"/>
      <c r="C1508" s="3111"/>
      <c r="D1508" s="3111"/>
      <c r="E1508" s="3111"/>
      <c r="F1508" s="680">
        <f>F1492</f>
        <v>6168</v>
      </c>
      <c r="G1508" s="680">
        <f>G1506+G1504+G1502+G1496+G1492+G1490+G1488+G1486+G1484</f>
        <v>23080</v>
      </c>
      <c r="H1508" s="680">
        <f>H1506+H1504+H1502+H1496+H1492+H1490+H1488+H1486+H1484</f>
        <v>23080</v>
      </c>
      <c r="I1508" s="681">
        <f>(H1508/G1508)*100</f>
        <v>100</v>
      </c>
      <c r="R1508" s="374">
        <f>F1508</f>
        <v>6168</v>
      </c>
      <c r="S1508" s="374">
        <f>G1508</f>
        <v>23080</v>
      </c>
      <c r="T1508" s="374">
        <f>H1508</f>
        <v>23080</v>
      </c>
    </row>
    <row r="1509" spans="1:20" s="375" customFormat="1" ht="13.5" thickTop="1" x14ac:dyDescent="0.2">
      <c r="A1509" s="373"/>
      <c r="B1509" s="598"/>
      <c r="C1509" s="373"/>
      <c r="D1509" s="670"/>
      <c r="E1509" s="373"/>
      <c r="F1509" s="374"/>
      <c r="G1509" s="374"/>
      <c r="H1509" s="374"/>
      <c r="I1509" s="1125"/>
    </row>
    <row r="1510" spans="1:20" s="375" customFormat="1" x14ac:dyDescent="0.2">
      <c r="A1510" s="373"/>
      <c r="B1510" s="598"/>
      <c r="C1510" s="373"/>
      <c r="D1510" s="670"/>
      <c r="E1510" s="373"/>
      <c r="F1510" s="374"/>
      <c r="G1510" s="374"/>
      <c r="H1510" s="374"/>
      <c r="I1510" s="1125"/>
    </row>
    <row r="1511" spans="1:20" s="375" customFormat="1" x14ac:dyDescent="0.2">
      <c r="A1511" s="373"/>
      <c r="B1511" s="598"/>
      <c r="C1511" s="373"/>
      <c r="D1511" s="670"/>
      <c r="E1511" s="373"/>
      <c r="F1511" s="374"/>
      <c r="G1511" s="374"/>
      <c r="H1511" s="374"/>
      <c r="I1511" s="1125"/>
    </row>
    <row r="1512" spans="1:20" ht="13.5" thickBot="1" x14ac:dyDescent="0.25">
      <c r="A1512" s="421" t="s">
        <v>2153</v>
      </c>
      <c r="I1512" s="1125" t="s">
        <v>148</v>
      </c>
    </row>
    <row r="1513" spans="1:20" ht="14.25" thickTop="1" thickBot="1" x14ac:dyDescent="0.25">
      <c r="A1513" s="586" t="s">
        <v>565</v>
      </c>
      <c r="B1513" s="658" t="s">
        <v>149</v>
      </c>
      <c r="C1513" s="587" t="s">
        <v>150</v>
      </c>
      <c r="D1513" s="589" t="s">
        <v>639</v>
      </c>
      <c r="E1513" s="589" t="s">
        <v>151</v>
      </c>
      <c r="F1513" s="589" t="s">
        <v>569</v>
      </c>
      <c r="G1513" s="589" t="s">
        <v>570</v>
      </c>
      <c r="H1513" s="589" t="s">
        <v>797</v>
      </c>
      <c r="I1513" s="674" t="s">
        <v>798</v>
      </c>
    </row>
    <row r="1514" spans="1:20" ht="14.25" thickTop="1" thickBot="1" x14ac:dyDescent="0.25">
      <c r="A1514" s="525">
        <v>1</v>
      </c>
      <c r="B1514" s="526">
        <v>2</v>
      </c>
      <c r="C1514" s="526">
        <v>3</v>
      </c>
      <c r="D1514" s="526">
        <v>4</v>
      </c>
      <c r="E1514" s="526">
        <v>5</v>
      </c>
      <c r="F1514" s="512">
        <v>6</v>
      </c>
      <c r="G1514" s="512">
        <v>7</v>
      </c>
      <c r="H1514" s="513">
        <v>8</v>
      </c>
      <c r="I1514" s="591" t="s">
        <v>689</v>
      </c>
    </row>
    <row r="1515" spans="1:20" ht="15.75" thickTop="1" x14ac:dyDescent="0.25">
      <c r="A1515" s="1136">
        <v>1175</v>
      </c>
      <c r="B1515" s="701">
        <v>3122</v>
      </c>
      <c r="C1515" s="701">
        <v>5331</v>
      </c>
      <c r="D1515" s="706"/>
      <c r="E1515" s="734" t="s">
        <v>858</v>
      </c>
      <c r="F1515" s="699">
        <f>F1516+F1517</f>
        <v>2608</v>
      </c>
      <c r="G1515" s="699">
        <f>G1516+G1517</f>
        <v>434</v>
      </c>
      <c r="H1515" s="699">
        <f>H1516+H1517</f>
        <v>434</v>
      </c>
      <c r="I1515" s="703">
        <f>(H1515/G1515)*100</f>
        <v>100</v>
      </c>
    </row>
    <row r="1516" spans="1:20" ht="14.25" x14ac:dyDescent="0.2">
      <c r="A1516" s="420"/>
      <c r="B1516" s="617"/>
      <c r="C1516" s="617"/>
      <c r="D1516" s="636" t="s">
        <v>1811</v>
      </c>
      <c r="E1516" s="1162" t="s">
        <v>717</v>
      </c>
      <c r="F1516" s="683">
        <v>482</v>
      </c>
      <c r="G1516" s="683">
        <v>80</v>
      </c>
      <c r="H1516" s="683">
        <v>80</v>
      </c>
      <c r="I1516" s="679">
        <f>(H1516/G1516)*100</f>
        <v>100</v>
      </c>
    </row>
    <row r="1517" spans="1:20" ht="14.25" x14ac:dyDescent="0.2">
      <c r="A1517" s="420"/>
      <c r="B1517" s="617"/>
      <c r="C1517" s="617"/>
      <c r="D1517" s="518" t="s">
        <v>1812</v>
      </c>
      <c r="E1517" s="442" t="s">
        <v>63</v>
      </c>
      <c r="F1517" s="683">
        <v>2126</v>
      </c>
      <c r="G1517" s="683">
        <v>354</v>
      </c>
      <c r="H1517" s="683">
        <v>354</v>
      </c>
      <c r="I1517" s="679">
        <v>100</v>
      </c>
    </row>
    <row r="1518" spans="1:20" ht="15" x14ac:dyDescent="0.25">
      <c r="A1518" s="420">
        <v>1175</v>
      </c>
      <c r="B1518" s="617">
        <v>3122</v>
      </c>
      <c r="C1518" s="617">
        <v>5336</v>
      </c>
      <c r="D1518" s="1974"/>
      <c r="E1518" s="616" t="s">
        <v>1740</v>
      </c>
      <c r="F1518" s="683"/>
      <c r="G1518" s="705">
        <f>G1519+G1522+G1523+G1524+G1525+G1526</f>
        <v>11212</v>
      </c>
      <c r="H1518" s="705">
        <f>H1519+H1522+H1523+H1524+H1525+H1526</f>
        <v>11212</v>
      </c>
      <c r="I1518" s="707">
        <v>100</v>
      </c>
    </row>
    <row r="1519" spans="1:20" ht="14.25" x14ac:dyDescent="0.2">
      <c r="A1519" s="420"/>
      <c r="B1519" s="617"/>
      <c r="C1519" s="617"/>
      <c r="D1519" s="3106" t="s">
        <v>1844</v>
      </c>
      <c r="E1519" s="3113" t="s">
        <v>1287</v>
      </c>
      <c r="F1519" s="683"/>
      <c r="G1519" s="683">
        <v>50</v>
      </c>
      <c r="H1519" s="683">
        <v>50</v>
      </c>
      <c r="I1519" s="679">
        <v>100</v>
      </c>
    </row>
    <row r="1520" spans="1:20" ht="14.25" x14ac:dyDescent="0.2">
      <c r="A1520" s="420"/>
      <c r="B1520" s="617"/>
      <c r="C1520" s="617"/>
      <c r="D1520" s="3107"/>
      <c r="E1520" s="3114"/>
      <c r="F1520" s="683"/>
      <c r="G1520" s="683"/>
      <c r="H1520" s="683"/>
      <c r="I1520" s="679"/>
    </row>
    <row r="1521" spans="1:20" ht="14.25" x14ac:dyDescent="0.2">
      <c r="A1521" s="420"/>
      <c r="B1521" s="617"/>
      <c r="C1521" s="617"/>
      <c r="D1521" s="3107"/>
      <c r="E1521" s="3114"/>
      <c r="F1521" s="683"/>
      <c r="G1521" s="683"/>
      <c r="H1521" s="683"/>
      <c r="I1521" s="679"/>
    </row>
    <row r="1522" spans="1:20" ht="15" x14ac:dyDescent="0.2">
      <c r="A1522" s="420"/>
      <c r="B1522" s="617"/>
      <c r="C1522" s="617"/>
      <c r="D1522" s="887" t="s">
        <v>1808</v>
      </c>
      <c r="E1522" s="1676" t="s">
        <v>1739</v>
      </c>
      <c r="F1522" s="1964"/>
      <c r="G1522" s="1965">
        <v>315</v>
      </c>
      <c r="H1522" s="1965">
        <v>315</v>
      </c>
      <c r="I1522" s="368">
        <f t="shared" ref="I1522:I1523" si="189">(H1522/G1522)*100</f>
        <v>100</v>
      </c>
    </row>
    <row r="1523" spans="1:20" ht="28.5" x14ac:dyDescent="0.2">
      <c r="A1523" s="420"/>
      <c r="B1523" s="617"/>
      <c r="C1523" s="617"/>
      <c r="D1523" s="887" t="s">
        <v>1809</v>
      </c>
      <c r="E1523" s="2876" t="s">
        <v>1810</v>
      </c>
      <c r="F1523" s="1964"/>
      <c r="G1523" s="2031">
        <v>52</v>
      </c>
      <c r="H1523" s="2031">
        <v>52</v>
      </c>
      <c r="I1523" s="1234">
        <f t="shared" si="189"/>
        <v>100</v>
      </c>
    </row>
    <row r="1524" spans="1:20" ht="14.25" x14ac:dyDescent="0.2">
      <c r="A1524" s="420"/>
      <c r="B1524" s="617"/>
      <c r="C1524" s="617"/>
      <c r="D1524" s="518" t="s">
        <v>1807</v>
      </c>
      <c r="E1524" s="442" t="s">
        <v>716</v>
      </c>
      <c r="F1524" s="683"/>
      <c r="G1524" s="683">
        <v>9921</v>
      </c>
      <c r="H1524" s="683">
        <v>9921</v>
      </c>
      <c r="I1524" s="679">
        <v>100</v>
      </c>
    </row>
    <row r="1525" spans="1:20" ht="14.25" x14ac:dyDescent="0.2">
      <c r="A1525" s="420"/>
      <c r="B1525" s="651"/>
      <c r="C1525" s="651"/>
      <c r="D1525" s="518" t="s">
        <v>1813</v>
      </c>
      <c r="E1525" s="1162" t="s">
        <v>1815</v>
      </c>
      <c r="F1525" s="689"/>
      <c r="G1525" s="689">
        <v>131</v>
      </c>
      <c r="H1525" s="689">
        <v>131</v>
      </c>
      <c r="I1525" s="679">
        <v>100</v>
      </c>
    </row>
    <row r="1526" spans="1:20" ht="14.25" x14ac:dyDescent="0.2">
      <c r="A1526" s="420"/>
      <c r="B1526" s="651"/>
      <c r="C1526" s="651"/>
      <c r="D1526" s="518" t="s">
        <v>1814</v>
      </c>
      <c r="E1526" s="1162" t="s">
        <v>1815</v>
      </c>
      <c r="F1526" s="689"/>
      <c r="G1526" s="689">
        <v>743</v>
      </c>
      <c r="H1526" s="689">
        <v>743</v>
      </c>
      <c r="I1526" s="679">
        <v>100</v>
      </c>
    </row>
    <row r="1527" spans="1:20" ht="15" x14ac:dyDescent="0.25">
      <c r="A1527" s="420">
        <v>1175</v>
      </c>
      <c r="B1527" s="651">
        <v>3141</v>
      </c>
      <c r="C1527" s="1128">
        <v>5336</v>
      </c>
      <c r="D1527" s="518"/>
      <c r="E1527" s="616" t="s">
        <v>1740</v>
      </c>
      <c r="F1527" s="689"/>
      <c r="G1527" s="700">
        <f>G1528</f>
        <v>430</v>
      </c>
      <c r="H1527" s="700">
        <f>H1528</f>
        <v>430</v>
      </c>
      <c r="I1527" s="693">
        <f t="shared" ref="I1527:I1530" si="190">(H1527/G1527)*100</f>
        <v>100</v>
      </c>
    </row>
    <row r="1528" spans="1:20" ht="14.25" x14ac:dyDescent="0.2">
      <c r="A1528" s="420"/>
      <c r="B1528" s="651"/>
      <c r="C1528" s="1128"/>
      <c r="D1528" s="518" t="s">
        <v>1807</v>
      </c>
      <c r="E1528" s="442" t="s">
        <v>716</v>
      </c>
      <c r="F1528" s="689"/>
      <c r="G1528" s="689">
        <v>430</v>
      </c>
      <c r="H1528" s="689">
        <v>430</v>
      </c>
      <c r="I1528" s="684">
        <f t="shared" si="190"/>
        <v>100</v>
      </c>
    </row>
    <row r="1529" spans="1:20" ht="15" x14ac:dyDescent="0.25">
      <c r="A1529" s="420">
        <v>1175</v>
      </c>
      <c r="B1529" s="617">
        <v>3293</v>
      </c>
      <c r="C1529" s="1127">
        <v>5336</v>
      </c>
      <c r="D1529" s="685"/>
      <c r="E1529" s="616" t="s">
        <v>1740</v>
      </c>
      <c r="F1529" s="676"/>
      <c r="G1529" s="676">
        <f>G1530</f>
        <v>5</v>
      </c>
      <c r="H1529" s="676">
        <f>H1530</f>
        <v>5</v>
      </c>
      <c r="I1529" s="691">
        <f t="shared" si="190"/>
        <v>100</v>
      </c>
    </row>
    <row r="1530" spans="1:20" ht="15.75" thickBot="1" x14ac:dyDescent="0.3">
      <c r="A1530" s="420"/>
      <c r="B1530" s="617"/>
      <c r="C1530" s="1127"/>
      <c r="D1530" s="1087" t="s">
        <v>1819</v>
      </c>
      <c r="E1530" s="1059" t="s">
        <v>1406</v>
      </c>
      <c r="F1530" s="676"/>
      <c r="G1530" s="352">
        <v>5</v>
      </c>
      <c r="H1530" s="352">
        <v>5</v>
      </c>
      <c r="I1530" s="684">
        <f t="shared" si="190"/>
        <v>100</v>
      </c>
    </row>
    <row r="1531" spans="1:20" ht="16.5" thickTop="1" thickBot="1" x14ac:dyDescent="0.3">
      <c r="A1531" s="3110" t="s">
        <v>1000</v>
      </c>
      <c r="B1531" s="3111"/>
      <c r="C1531" s="3111"/>
      <c r="D1531" s="3111"/>
      <c r="E1531" s="3111"/>
      <c r="F1531" s="680">
        <f>F1515</f>
        <v>2608</v>
      </c>
      <c r="G1531" s="680">
        <f>G1529+G1527+G1518+G1515</f>
        <v>12081</v>
      </c>
      <c r="H1531" s="680">
        <f>H1529+H1527+H1518+H1515</f>
        <v>12081</v>
      </c>
      <c r="I1531" s="681">
        <f>(H1531/G1531)*100</f>
        <v>100</v>
      </c>
      <c r="R1531" s="374">
        <f>F1531</f>
        <v>2608</v>
      </c>
      <c r="S1531" s="374">
        <f>G1531</f>
        <v>12081</v>
      </c>
      <c r="T1531" s="374">
        <f>H1531</f>
        <v>12081</v>
      </c>
    </row>
    <row r="1532" spans="1:20" s="375" customFormat="1" ht="13.5" thickTop="1" x14ac:dyDescent="0.2">
      <c r="A1532" s="373"/>
      <c r="B1532" s="598"/>
      <c r="C1532" s="373"/>
      <c r="D1532" s="670"/>
      <c r="E1532" s="373"/>
      <c r="F1532" s="374"/>
      <c r="G1532" s="374"/>
      <c r="H1532" s="374"/>
      <c r="I1532" s="1125"/>
    </row>
    <row r="1533" spans="1:20" s="375" customFormat="1" x14ac:dyDescent="0.2">
      <c r="A1533" s="373"/>
      <c r="B1533" s="598"/>
      <c r="C1533" s="373"/>
      <c r="D1533" s="670"/>
      <c r="E1533" s="373"/>
      <c r="F1533" s="374"/>
      <c r="G1533" s="374"/>
      <c r="H1533" s="374"/>
      <c r="I1533" s="1125"/>
    </row>
    <row r="1534" spans="1:20" ht="13.5" thickBot="1" x14ac:dyDescent="0.25">
      <c r="A1534" s="421" t="s">
        <v>775</v>
      </c>
      <c r="I1534" s="1125" t="s">
        <v>148</v>
      </c>
    </row>
    <row r="1535" spans="1:20" ht="14.25" thickTop="1" thickBot="1" x14ac:dyDescent="0.25">
      <c r="A1535" s="586" t="s">
        <v>565</v>
      </c>
      <c r="B1535" s="658" t="s">
        <v>149</v>
      </c>
      <c r="C1535" s="587" t="s">
        <v>150</v>
      </c>
      <c r="D1535" s="589" t="s">
        <v>639</v>
      </c>
      <c r="E1535" s="589" t="s">
        <v>151</v>
      </c>
      <c r="F1535" s="589" t="s">
        <v>569</v>
      </c>
      <c r="G1535" s="589" t="s">
        <v>570</v>
      </c>
      <c r="H1535" s="589" t="s">
        <v>797</v>
      </c>
      <c r="I1535" s="674" t="s">
        <v>798</v>
      </c>
    </row>
    <row r="1536" spans="1:20" ht="14.25" thickTop="1" thickBot="1" x14ac:dyDescent="0.25">
      <c r="A1536" s="525">
        <v>1</v>
      </c>
      <c r="B1536" s="526">
        <v>2</v>
      </c>
      <c r="C1536" s="526">
        <v>3</v>
      </c>
      <c r="D1536" s="526">
        <v>4</v>
      </c>
      <c r="E1536" s="526">
        <v>5</v>
      </c>
      <c r="F1536" s="512">
        <v>6</v>
      </c>
      <c r="G1536" s="512">
        <v>7</v>
      </c>
      <c r="H1536" s="513">
        <v>8</v>
      </c>
      <c r="I1536" s="591" t="s">
        <v>689</v>
      </c>
    </row>
    <row r="1537" spans="1:20" ht="15.75" thickTop="1" x14ac:dyDescent="0.25">
      <c r="A1537" s="1136">
        <v>1200</v>
      </c>
      <c r="B1537" s="701">
        <v>3122</v>
      </c>
      <c r="C1537" s="701">
        <v>5336</v>
      </c>
      <c r="D1537" s="706"/>
      <c r="E1537" s="616" t="s">
        <v>1740</v>
      </c>
      <c r="F1537" s="1142"/>
      <c r="G1537" s="403">
        <f>G1538</f>
        <v>868</v>
      </c>
      <c r="H1537" s="403">
        <f>H1538</f>
        <v>868</v>
      </c>
      <c r="I1537" s="703">
        <f>(H1537/G1537)*100</f>
        <v>100</v>
      </c>
    </row>
    <row r="1538" spans="1:20" ht="14.25" x14ac:dyDescent="0.2">
      <c r="A1538" s="719"/>
      <c r="B1538" s="1073"/>
      <c r="C1538" s="1073"/>
      <c r="D1538" s="518" t="s">
        <v>1807</v>
      </c>
      <c r="E1538" s="442" t="s">
        <v>716</v>
      </c>
      <c r="F1538" s="1173"/>
      <c r="G1538" s="1122">
        <v>868</v>
      </c>
      <c r="H1538" s="1172">
        <v>868</v>
      </c>
      <c r="I1538" s="679">
        <f>(H1538/G1538)*100</f>
        <v>100</v>
      </c>
    </row>
    <row r="1539" spans="1:20" ht="15" x14ac:dyDescent="0.25">
      <c r="A1539" s="420">
        <v>1200</v>
      </c>
      <c r="B1539" s="617">
        <v>3123</v>
      </c>
      <c r="C1539" s="617">
        <v>5336</v>
      </c>
      <c r="D1539" s="888"/>
      <c r="E1539" s="616" t="s">
        <v>1740</v>
      </c>
      <c r="F1539" s="683"/>
      <c r="G1539" s="705">
        <f>G1540</f>
        <v>9786</v>
      </c>
      <c r="H1539" s="705">
        <f>H1540</f>
        <v>9786</v>
      </c>
      <c r="I1539" s="707">
        <f t="shared" ref="I1539:I1551" si="191">(H1539/G1539)*100</f>
        <v>100</v>
      </c>
    </row>
    <row r="1540" spans="1:20" ht="14.25" x14ac:dyDescent="0.2">
      <c r="A1540" s="420"/>
      <c r="B1540" s="617"/>
      <c r="C1540" s="1127"/>
      <c r="D1540" s="518" t="s">
        <v>1807</v>
      </c>
      <c r="E1540" s="442" t="s">
        <v>716</v>
      </c>
      <c r="F1540" s="683"/>
      <c r="G1540" s="683">
        <v>9786</v>
      </c>
      <c r="H1540" s="683">
        <v>9786</v>
      </c>
      <c r="I1540" s="679">
        <f t="shared" si="191"/>
        <v>100</v>
      </c>
    </row>
    <row r="1541" spans="1:20" ht="15" x14ac:dyDescent="0.25">
      <c r="A1541" s="420">
        <v>1200</v>
      </c>
      <c r="B1541" s="617">
        <v>3127</v>
      </c>
      <c r="C1541" s="651">
        <v>5331</v>
      </c>
      <c r="D1541" s="712"/>
      <c r="E1541" s="616" t="s">
        <v>858</v>
      </c>
      <c r="F1541" s="705">
        <f>F1542+F1543</f>
        <v>4137</v>
      </c>
      <c r="G1541" s="705">
        <f t="shared" ref="G1541:H1541" si="192">G1542+G1543</f>
        <v>690</v>
      </c>
      <c r="H1541" s="705">
        <f t="shared" si="192"/>
        <v>690</v>
      </c>
      <c r="I1541" s="707">
        <f t="shared" si="191"/>
        <v>100</v>
      </c>
    </row>
    <row r="1542" spans="1:20" ht="14.25" x14ac:dyDescent="0.2">
      <c r="A1542" s="420"/>
      <c r="B1542" s="651"/>
      <c r="C1542" s="651"/>
      <c r="D1542" s="636" t="s">
        <v>1811</v>
      </c>
      <c r="E1542" s="1162" t="s">
        <v>717</v>
      </c>
      <c r="F1542" s="689">
        <v>727</v>
      </c>
      <c r="G1542" s="689">
        <v>122</v>
      </c>
      <c r="H1542" s="689">
        <v>122</v>
      </c>
      <c r="I1542" s="679">
        <f t="shared" si="191"/>
        <v>100</v>
      </c>
    </row>
    <row r="1543" spans="1:20" ht="14.25" x14ac:dyDescent="0.2">
      <c r="A1543" s="420"/>
      <c r="B1543" s="651"/>
      <c r="C1543" s="1128"/>
      <c r="D1543" s="518" t="s">
        <v>1812</v>
      </c>
      <c r="E1543" s="442" t="s">
        <v>63</v>
      </c>
      <c r="F1543" s="689">
        <v>3410</v>
      </c>
      <c r="G1543" s="689">
        <v>568</v>
      </c>
      <c r="H1543" s="689">
        <v>568</v>
      </c>
      <c r="I1543" s="679">
        <f t="shared" si="191"/>
        <v>100</v>
      </c>
    </row>
    <row r="1544" spans="1:20" ht="15" x14ac:dyDescent="0.25">
      <c r="A1544" s="420">
        <v>1200</v>
      </c>
      <c r="B1544" s="617">
        <v>3127</v>
      </c>
      <c r="C1544" s="617">
        <v>5336</v>
      </c>
      <c r="D1544" s="888"/>
      <c r="E1544" s="616" t="s">
        <v>1740</v>
      </c>
      <c r="F1544" s="689"/>
      <c r="G1544" s="705">
        <f>G1545+G1546+G1547</f>
        <v>914</v>
      </c>
      <c r="H1544" s="705">
        <f>H1545+H1546+H1547</f>
        <v>914</v>
      </c>
      <c r="I1544" s="707">
        <f t="shared" si="191"/>
        <v>100</v>
      </c>
    </row>
    <row r="1545" spans="1:20" ht="14.25" x14ac:dyDescent="0.2">
      <c r="A1545" s="420"/>
      <c r="B1545" s="651"/>
      <c r="C1545" s="1128"/>
      <c r="D1545" s="887" t="s">
        <v>1818</v>
      </c>
      <c r="E1545" s="1963" t="s">
        <v>1600</v>
      </c>
      <c r="F1545" s="689"/>
      <c r="G1545" s="689">
        <v>495</v>
      </c>
      <c r="H1545" s="689">
        <v>495</v>
      </c>
      <c r="I1545" s="679">
        <f t="shared" si="191"/>
        <v>100</v>
      </c>
    </row>
    <row r="1546" spans="1:20" ht="14.25" x14ac:dyDescent="0.2">
      <c r="A1546" s="420"/>
      <c r="B1546" s="651"/>
      <c r="C1546" s="1128"/>
      <c r="D1546" s="887" t="s">
        <v>1808</v>
      </c>
      <c r="E1546" s="1676" t="s">
        <v>1739</v>
      </c>
      <c r="F1546" s="689"/>
      <c r="G1546" s="689">
        <v>359</v>
      </c>
      <c r="H1546" s="689">
        <v>359</v>
      </c>
      <c r="I1546" s="679">
        <f t="shared" si="191"/>
        <v>100</v>
      </c>
    </row>
    <row r="1547" spans="1:20" ht="28.5" x14ac:dyDescent="0.2">
      <c r="A1547" s="420"/>
      <c r="B1547" s="651"/>
      <c r="C1547" s="1128"/>
      <c r="D1547" s="887" t="s">
        <v>1809</v>
      </c>
      <c r="E1547" s="2876" t="s">
        <v>1810</v>
      </c>
      <c r="F1547" s="689"/>
      <c r="G1547" s="1062">
        <v>60</v>
      </c>
      <c r="H1547" s="1062">
        <v>60</v>
      </c>
      <c r="I1547" s="1063">
        <f t="shared" si="191"/>
        <v>100</v>
      </c>
    </row>
    <row r="1548" spans="1:20" ht="15" x14ac:dyDescent="0.25">
      <c r="A1548" s="420">
        <v>1200</v>
      </c>
      <c r="B1548" s="651">
        <v>3141</v>
      </c>
      <c r="C1548" s="617">
        <v>5336</v>
      </c>
      <c r="D1548" s="888"/>
      <c r="E1548" s="616" t="s">
        <v>1740</v>
      </c>
      <c r="F1548" s="690"/>
      <c r="G1548" s="690">
        <f>G1549</f>
        <v>195</v>
      </c>
      <c r="H1548" s="690">
        <f>H1549</f>
        <v>195</v>
      </c>
      <c r="I1548" s="691">
        <f t="shared" si="191"/>
        <v>100</v>
      </c>
    </row>
    <row r="1549" spans="1:20" ht="14.25" x14ac:dyDescent="0.2">
      <c r="A1549" s="420"/>
      <c r="B1549" s="651"/>
      <c r="C1549" s="651"/>
      <c r="D1549" s="518" t="s">
        <v>1807</v>
      </c>
      <c r="E1549" s="442" t="s">
        <v>716</v>
      </c>
      <c r="F1549" s="689"/>
      <c r="G1549" s="689">
        <v>195</v>
      </c>
      <c r="H1549" s="689">
        <v>195</v>
      </c>
      <c r="I1549" s="684">
        <f t="shared" si="191"/>
        <v>100</v>
      </c>
    </row>
    <row r="1550" spans="1:20" ht="15" x14ac:dyDescent="0.25">
      <c r="A1550" s="420">
        <v>1200</v>
      </c>
      <c r="B1550" s="651">
        <v>3147</v>
      </c>
      <c r="C1550" s="651">
        <v>5336</v>
      </c>
      <c r="D1550" s="518"/>
      <c r="E1550" s="616" t="s">
        <v>1740</v>
      </c>
      <c r="F1550" s="689"/>
      <c r="G1550" s="700">
        <f>G1551</f>
        <v>1133</v>
      </c>
      <c r="H1550" s="700">
        <f>H1551</f>
        <v>1133</v>
      </c>
      <c r="I1550" s="693">
        <f t="shared" si="191"/>
        <v>100</v>
      </c>
    </row>
    <row r="1551" spans="1:20" ht="12.75" customHeight="1" thickBot="1" x14ac:dyDescent="0.25">
      <c r="A1551" s="420"/>
      <c r="B1551" s="651"/>
      <c r="C1551" s="1128"/>
      <c r="D1551" s="518" t="s">
        <v>1807</v>
      </c>
      <c r="E1551" s="442" t="s">
        <v>716</v>
      </c>
      <c r="F1551" s="689"/>
      <c r="G1551" s="689">
        <v>1133</v>
      </c>
      <c r="H1551" s="689">
        <v>1133</v>
      </c>
      <c r="I1551" s="684">
        <f t="shared" si="191"/>
        <v>100</v>
      </c>
    </row>
    <row r="1552" spans="1:20" s="106" customFormat="1" ht="16.5" thickTop="1" thickBot="1" x14ac:dyDescent="0.3">
      <c r="A1552" s="3110" t="s">
        <v>1000</v>
      </c>
      <c r="B1552" s="3111"/>
      <c r="C1552" s="3111"/>
      <c r="D1552" s="3111"/>
      <c r="E1552" s="3111"/>
      <c r="F1552" s="680">
        <f>F1541</f>
        <v>4137</v>
      </c>
      <c r="G1552" s="680">
        <f>G1550+G1548+G1544+G1541+G1539+G1537</f>
        <v>13586</v>
      </c>
      <c r="H1552" s="680">
        <f>H1550+H1548+H1544+H1541+H1539+H1537</f>
        <v>13586</v>
      </c>
      <c r="I1552" s="681">
        <f>(H1552/G1552)*100</f>
        <v>100</v>
      </c>
      <c r="R1552" s="374">
        <f>F1552</f>
        <v>4137</v>
      </c>
      <c r="S1552" s="374">
        <f>G1552</f>
        <v>13586</v>
      </c>
      <c r="T1552" s="374">
        <f>H1552</f>
        <v>13586</v>
      </c>
    </row>
    <row r="1553" spans="1:9" s="375" customFormat="1" ht="13.5" thickTop="1" x14ac:dyDescent="0.2">
      <c r="A1553" s="373"/>
      <c r="B1553" s="598"/>
      <c r="C1553" s="373"/>
      <c r="D1553" s="670"/>
      <c r="E1553" s="373"/>
      <c r="F1553" s="374"/>
      <c r="G1553" s="374"/>
      <c r="H1553" s="374"/>
      <c r="I1553" s="1125"/>
    </row>
    <row r="1554" spans="1:9" s="375" customFormat="1" x14ac:dyDescent="0.2">
      <c r="A1554" s="373"/>
      <c r="B1554" s="598"/>
      <c r="C1554" s="373"/>
      <c r="D1554" s="670"/>
      <c r="E1554" s="373"/>
      <c r="F1554" s="374"/>
      <c r="G1554" s="374"/>
      <c r="H1554" s="374"/>
      <c r="I1554" s="1125"/>
    </row>
    <row r="1555" spans="1:9" s="375" customFormat="1" x14ac:dyDescent="0.2">
      <c r="A1555" s="373"/>
      <c r="B1555" s="598"/>
      <c r="C1555" s="373"/>
      <c r="D1555" s="670"/>
      <c r="E1555" s="373"/>
      <c r="F1555" s="374"/>
      <c r="G1555" s="374"/>
      <c r="H1555" s="374"/>
      <c r="I1555" s="1125"/>
    </row>
    <row r="1556" spans="1:9" ht="13.5" thickBot="1" x14ac:dyDescent="0.25">
      <c r="A1556" s="421" t="s">
        <v>121</v>
      </c>
      <c r="I1556" s="1125" t="s">
        <v>148</v>
      </c>
    </row>
    <row r="1557" spans="1:9" ht="25.5" customHeight="1" thickTop="1" thickBot="1" x14ac:dyDescent="0.25">
      <c r="A1557" s="586" t="s">
        <v>565</v>
      </c>
      <c r="B1557" s="658" t="s">
        <v>149</v>
      </c>
      <c r="C1557" s="587" t="s">
        <v>150</v>
      </c>
      <c r="D1557" s="589" t="s">
        <v>639</v>
      </c>
      <c r="E1557" s="589" t="s">
        <v>151</v>
      </c>
      <c r="F1557" s="589" t="s">
        <v>569</v>
      </c>
      <c r="G1557" s="589" t="s">
        <v>570</v>
      </c>
      <c r="H1557" s="589" t="s">
        <v>797</v>
      </c>
      <c r="I1557" s="674" t="s">
        <v>798</v>
      </c>
    </row>
    <row r="1558" spans="1:9" ht="14.25" thickTop="1" thickBot="1" x14ac:dyDescent="0.25">
      <c r="A1558" s="525">
        <v>1</v>
      </c>
      <c r="B1558" s="526">
        <v>2</v>
      </c>
      <c r="C1558" s="526">
        <v>3</v>
      </c>
      <c r="D1558" s="526">
        <v>4</v>
      </c>
      <c r="E1558" s="526">
        <v>5</v>
      </c>
      <c r="F1558" s="512">
        <v>6</v>
      </c>
      <c r="G1558" s="512">
        <v>7</v>
      </c>
      <c r="H1558" s="513">
        <v>8</v>
      </c>
      <c r="I1558" s="591" t="s">
        <v>689</v>
      </c>
    </row>
    <row r="1559" spans="1:9" ht="15.75" thickTop="1" x14ac:dyDescent="0.25">
      <c r="A1559" s="420">
        <v>1201</v>
      </c>
      <c r="B1559" s="617">
        <v>3122</v>
      </c>
      <c r="C1559" s="617">
        <v>5336</v>
      </c>
      <c r="D1559" s="675"/>
      <c r="E1559" s="616" t="s">
        <v>1740</v>
      </c>
      <c r="F1559" s="676"/>
      <c r="G1559" s="676">
        <f>G1560</f>
        <v>398</v>
      </c>
      <c r="H1559" s="676">
        <f>H1560</f>
        <v>398</v>
      </c>
      <c r="I1559" s="677">
        <f>(H1559/G1559)*100</f>
        <v>100</v>
      </c>
    </row>
    <row r="1560" spans="1:9" ht="14.25" x14ac:dyDescent="0.2">
      <c r="A1560" s="719"/>
      <c r="B1560" s="1073"/>
      <c r="C1560" s="1073"/>
      <c r="D1560" s="518" t="s">
        <v>1807</v>
      </c>
      <c r="E1560" s="442" t="s">
        <v>716</v>
      </c>
      <c r="F1560" s="683"/>
      <c r="G1560" s="683">
        <v>398</v>
      </c>
      <c r="H1560" s="683">
        <v>398</v>
      </c>
      <c r="I1560" s="679">
        <f>(H1560/G1560)*100</f>
        <v>100</v>
      </c>
    </row>
    <row r="1561" spans="1:9" ht="15" x14ac:dyDescent="0.25">
      <c r="A1561" s="420">
        <v>1201</v>
      </c>
      <c r="B1561" s="617">
        <v>3123</v>
      </c>
      <c r="C1561" s="617">
        <v>5331</v>
      </c>
      <c r="D1561" s="675"/>
      <c r="E1561" s="664" t="s">
        <v>858</v>
      </c>
      <c r="F1561" s="676">
        <f>F1562+F1563+F1564</f>
        <v>5312</v>
      </c>
      <c r="G1561" s="676">
        <f>G1562+G1563+G1564</f>
        <v>906</v>
      </c>
      <c r="H1561" s="676">
        <f>H1562+H1563+H1564</f>
        <v>906</v>
      </c>
      <c r="I1561" s="677">
        <f t="shared" ref="I1561:I1575" si="193">(H1561/G1561)*100</f>
        <v>100</v>
      </c>
    </row>
    <row r="1562" spans="1:9" ht="14.25" x14ac:dyDescent="0.2">
      <c r="A1562" s="420"/>
      <c r="B1562" s="617"/>
      <c r="C1562" s="617"/>
      <c r="D1562" s="636" t="s">
        <v>1811</v>
      </c>
      <c r="E1562" s="1162" t="s">
        <v>717</v>
      </c>
      <c r="F1562" s="683">
        <v>2078</v>
      </c>
      <c r="G1562" s="683">
        <v>346</v>
      </c>
      <c r="H1562" s="683">
        <v>346</v>
      </c>
      <c r="I1562" s="679">
        <f t="shared" si="193"/>
        <v>100</v>
      </c>
    </row>
    <row r="1563" spans="1:9" ht="14.25" x14ac:dyDescent="0.2">
      <c r="A1563" s="420"/>
      <c r="B1563" s="617"/>
      <c r="C1563" s="617"/>
      <c r="D1563" s="518" t="s">
        <v>1812</v>
      </c>
      <c r="E1563" s="442" t="s">
        <v>63</v>
      </c>
      <c r="F1563" s="683">
        <v>3234</v>
      </c>
      <c r="G1563" s="683">
        <v>540</v>
      </c>
      <c r="H1563" s="683">
        <v>540</v>
      </c>
      <c r="I1563" s="679">
        <f t="shared" si="193"/>
        <v>100</v>
      </c>
    </row>
    <row r="1564" spans="1:9" ht="14.25" x14ac:dyDescent="0.2">
      <c r="A1564" s="420"/>
      <c r="B1564" s="617"/>
      <c r="C1564" s="617"/>
      <c r="D1564" s="518" t="s">
        <v>1837</v>
      </c>
      <c r="E1564" s="721" t="s">
        <v>1644</v>
      </c>
      <c r="F1564" s="683"/>
      <c r="G1564" s="683">
        <v>20</v>
      </c>
      <c r="H1564" s="683">
        <v>20</v>
      </c>
      <c r="I1564" s="679">
        <f t="shared" si="193"/>
        <v>100</v>
      </c>
    </row>
    <row r="1565" spans="1:9" ht="15" x14ac:dyDescent="0.25">
      <c r="A1565" s="420">
        <v>1201</v>
      </c>
      <c r="B1565" s="617">
        <v>3123</v>
      </c>
      <c r="C1565" s="617">
        <v>5336</v>
      </c>
      <c r="D1565" s="888"/>
      <c r="E1565" s="616" t="s">
        <v>1740</v>
      </c>
      <c r="F1565" s="683"/>
      <c r="G1565" s="705">
        <f>G1566+G1567+G1568+G1569+G1570+G1571+G1572</f>
        <v>22933</v>
      </c>
      <c r="H1565" s="705">
        <f>H1566+H1567+H1568+H1569+H1570+H1571+H1572</f>
        <v>22933</v>
      </c>
      <c r="I1565" s="707">
        <f t="shared" si="193"/>
        <v>100</v>
      </c>
    </row>
    <row r="1566" spans="1:9" ht="14.25" x14ac:dyDescent="0.2">
      <c r="A1566" s="420"/>
      <c r="B1566" s="617"/>
      <c r="C1566" s="617"/>
      <c r="D1566" s="887" t="s">
        <v>1827</v>
      </c>
      <c r="E1566" s="1676" t="s">
        <v>1407</v>
      </c>
      <c r="F1566" s="696"/>
      <c r="G1566" s="312">
        <v>9</v>
      </c>
      <c r="H1566" s="312">
        <v>9</v>
      </c>
      <c r="I1566" s="893">
        <f t="shared" si="193"/>
        <v>100</v>
      </c>
    </row>
    <row r="1567" spans="1:9" ht="14.25" x14ac:dyDescent="0.2">
      <c r="A1567" s="420"/>
      <c r="B1567" s="617"/>
      <c r="C1567" s="617"/>
      <c r="D1567" s="887" t="s">
        <v>1818</v>
      </c>
      <c r="E1567" s="1963" t="s">
        <v>1600</v>
      </c>
      <c r="F1567" s="310"/>
      <c r="G1567" s="312">
        <v>388</v>
      </c>
      <c r="H1567" s="312">
        <v>388</v>
      </c>
      <c r="I1567" s="893">
        <f t="shared" si="193"/>
        <v>100</v>
      </c>
    </row>
    <row r="1568" spans="1:9" ht="15" x14ac:dyDescent="0.2">
      <c r="A1568" s="420"/>
      <c r="B1568" s="617"/>
      <c r="C1568" s="617"/>
      <c r="D1568" s="887" t="s">
        <v>1808</v>
      </c>
      <c r="E1568" s="1676" t="s">
        <v>1739</v>
      </c>
      <c r="F1568" s="1964"/>
      <c r="G1568" s="1965">
        <v>536</v>
      </c>
      <c r="H1568" s="1965">
        <v>536</v>
      </c>
      <c r="I1568" s="368">
        <f t="shared" ref="I1568:I1569" si="194">(H1568/G1568)*100</f>
        <v>100</v>
      </c>
    </row>
    <row r="1569" spans="1:20" ht="28.5" x14ac:dyDescent="0.2">
      <c r="A1569" s="420"/>
      <c r="B1569" s="617"/>
      <c r="C1569" s="617"/>
      <c r="D1569" s="887" t="s">
        <v>1809</v>
      </c>
      <c r="E1569" s="2876" t="s">
        <v>1810</v>
      </c>
      <c r="F1569" s="1964"/>
      <c r="G1569" s="2031">
        <v>114</v>
      </c>
      <c r="H1569" s="2031">
        <v>114</v>
      </c>
      <c r="I1569" s="1234">
        <f t="shared" si="194"/>
        <v>100</v>
      </c>
    </row>
    <row r="1570" spans="1:20" ht="14.25" x14ac:dyDescent="0.2">
      <c r="A1570" s="420"/>
      <c r="B1570" s="617"/>
      <c r="C1570" s="617"/>
      <c r="D1570" s="518" t="s">
        <v>1807</v>
      </c>
      <c r="E1570" s="442" t="s">
        <v>716</v>
      </c>
      <c r="F1570" s="683"/>
      <c r="G1570" s="683">
        <v>20992</v>
      </c>
      <c r="H1570" s="683">
        <v>20992</v>
      </c>
      <c r="I1570" s="679">
        <f t="shared" si="193"/>
        <v>100</v>
      </c>
    </row>
    <row r="1571" spans="1:20" ht="14.25" x14ac:dyDescent="0.2">
      <c r="A1571" s="420"/>
      <c r="B1571" s="651"/>
      <c r="C1571" s="651"/>
      <c r="D1571" s="518" t="s">
        <v>1813</v>
      </c>
      <c r="E1571" s="1162" t="s">
        <v>1815</v>
      </c>
      <c r="F1571" s="689"/>
      <c r="G1571" s="689">
        <v>134</v>
      </c>
      <c r="H1571" s="689">
        <v>134</v>
      </c>
      <c r="I1571" s="679">
        <f t="shared" si="193"/>
        <v>100</v>
      </c>
    </row>
    <row r="1572" spans="1:20" ht="14.25" x14ac:dyDescent="0.2">
      <c r="A1572" s="420"/>
      <c r="B1572" s="651"/>
      <c r="C1572" s="651"/>
      <c r="D1572" s="518" t="s">
        <v>1814</v>
      </c>
      <c r="E1572" s="1162" t="s">
        <v>1815</v>
      </c>
      <c r="F1572" s="689"/>
      <c r="G1572" s="689">
        <v>760</v>
      </c>
      <c r="H1572" s="689">
        <v>760</v>
      </c>
      <c r="I1572" s="679">
        <f t="shared" si="193"/>
        <v>100</v>
      </c>
    </row>
    <row r="1573" spans="1:20" ht="15" x14ac:dyDescent="0.25">
      <c r="A1573" s="420">
        <v>1201</v>
      </c>
      <c r="B1573" s="651">
        <v>3147</v>
      </c>
      <c r="C1573" s="651">
        <v>5336</v>
      </c>
      <c r="D1573" s="518"/>
      <c r="E1573" s="616" t="s">
        <v>1740</v>
      </c>
      <c r="F1573" s="689"/>
      <c r="G1573" s="700">
        <f>G1574</f>
        <v>1256</v>
      </c>
      <c r="H1573" s="700">
        <f>H1574</f>
        <v>1256</v>
      </c>
      <c r="I1573" s="693">
        <f t="shared" si="193"/>
        <v>100</v>
      </c>
    </row>
    <row r="1574" spans="1:20" ht="15" thickBot="1" x14ac:dyDescent="0.25">
      <c r="A1574" s="420"/>
      <c r="B1574" s="651"/>
      <c r="C1574" s="1128"/>
      <c r="D1574" s="518" t="s">
        <v>1807</v>
      </c>
      <c r="E1574" s="442" t="s">
        <v>716</v>
      </c>
      <c r="F1574" s="689"/>
      <c r="G1574" s="689">
        <v>1256</v>
      </c>
      <c r="H1574" s="689">
        <v>1256</v>
      </c>
      <c r="I1574" s="684">
        <f t="shared" si="193"/>
        <v>100</v>
      </c>
    </row>
    <row r="1575" spans="1:20" ht="16.5" thickTop="1" thickBot="1" x14ac:dyDescent="0.3">
      <c r="A1575" s="3110" t="s">
        <v>1000</v>
      </c>
      <c r="B1575" s="3111"/>
      <c r="C1575" s="3111"/>
      <c r="D1575" s="3111"/>
      <c r="E1575" s="3111"/>
      <c r="F1575" s="680">
        <f>F1561</f>
        <v>5312</v>
      </c>
      <c r="G1575" s="680">
        <f>G1573+G1565+G1561+G1559</f>
        <v>25493</v>
      </c>
      <c r="H1575" s="680">
        <f>H1573+H1565+H1561+H1559</f>
        <v>25493</v>
      </c>
      <c r="I1575" s="681">
        <f t="shared" si="193"/>
        <v>100</v>
      </c>
      <c r="R1575" s="374">
        <f>F1575</f>
        <v>5312</v>
      </c>
      <c r="S1575" s="374">
        <f>G1575</f>
        <v>25493</v>
      </c>
      <c r="T1575" s="374">
        <f>H1575</f>
        <v>25493</v>
      </c>
    </row>
    <row r="1576" spans="1:20" ht="14.25" customHeight="1" thickTop="1" x14ac:dyDescent="0.25">
      <c r="A1576" s="361"/>
      <c r="B1576" s="361"/>
      <c r="C1576" s="361"/>
      <c r="D1576" s="361"/>
      <c r="E1576" s="361"/>
      <c r="F1576" s="178"/>
      <c r="G1576" s="178"/>
      <c r="H1576" s="178"/>
      <c r="I1576" s="207"/>
      <c r="R1576" s="374"/>
      <c r="S1576" s="374"/>
      <c r="T1576" s="374"/>
    </row>
    <row r="1577" spans="1:20" ht="15" x14ac:dyDescent="0.25">
      <c r="A1577" s="361"/>
      <c r="B1577" s="361"/>
      <c r="C1577" s="361"/>
      <c r="D1577" s="361"/>
      <c r="E1577" s="361"/>
      <c r="F1577" s="178"/>
      <c r="G1577" s="178"/>
      <c r="H1577" s="178"/>
      <c r="I1577" s="207"/>
      <c r="R1577" s="374"/>
      <c r="S1577" s="374"/>
      <c r="T1577" s="374"/>
    </row>
    <row r="1578" spans="1:20" ht="15.75" customHeight="1" thickBot="1" x14ac:dyDescent="0.25">
      <c r="A1578" s="421" t="s">
        <v>1289</v>
      </c>
      <c r="I1578" s="1125" t="s">
        <v>148</v>
      </c>
    </row>
    <row r="1579" spans="1:20" ht="14.25" thickTop="1" thickBot="1" x14ac:dyDescent="0.25">
      <c r="A1579" s="586" t="s">
        <v>565</v>
      </c>
      <c r="B1579" s="658" t="s">
        <v>149</v>
      </c>
      <c r="C1579" s="587" t="s">
        <v>150</v>
      </c>
      <c r="D1579" s="589" t="s">
        <v>639</v>
      </c>
      <c r="E1579" s="589" t="s">
        <v>151</v>
      </c>
      <c r="F1579" s="589" t="s">
        <v>569</v>
      </c>
      <c r="G1579" s="589" t="s">
        <v>570</v>
      </c>
      <c r="H1579" s="589" t="s">
        <v>797</v>
      </c>
      <c r="I1579" s="674" t="s">
        <v>798</v>
      </c>
    </row>
    <row r="1580" spans="1:20" ht="14.25" thickTop="1" thickBot="1" x14ac:dyDescent="0.25">
      <c r="A1580" s="525">
        <v>1</v>
      </c>
      <c r="B1580" s="526">
        <v>2</v>
      </c>
      <c r="C1580" s="526">
        <v>3</v>
      </c>
      <c r="D1580" s="526">
        <v>4</v>
      </c>
      <c r="E1580" s="526">
        <v>5</v>
      </c>
      <c r="F1580" s="512">
        <v>6</v>
      </c>
      <c r="G1580" s="512">
        <v>7</v>
      </c>
      <c r="H1580" s="513">
        <v>8</v>
      </c>
      <c r="I1580" s="591" t="s">
        <v>689</v>
      </c>
    </row>
    <row r="1581" spans="1:20" ht="15.75" thickTop="1" x14ac:dyDescent="0.25">
      <c r="A1581" s="1136">
        <v>1202</v>
      </c>
      <c r="B1581" s="701">
        <v>3122</v>
      </c>
      <c r="C1581" s="701">
        <v>5331</v>
      </c>
      <c r="D1581" s="706"/>
      <c r="E1581" s="734" t="s">
        <v>858</v>
      </c>
      <c r="F1581" s="699"/>
      <c r="G1581" s="699">
        <f>G1582</f>
        <v>55</v>
      </c>
      <c r="H1581" s="699">
        <f>H1582</f>
        <v>55</v>
      </c>
      <c r="I1581" s="703">
        <f t="shared" ref="I1581:I1604" si="195">(H1581/G1581)*100</f>
        <v>100</v>
      </c>
    </row>
    <row r="1582" spans="1:20" ht="14.25" x14ac:dyDescent="0.2">
      <c r="A1582" s="420"/>
      <c r="B1582" s="617"/>
      <c r="C1582" s="617"/>
      <c r="D1582" s="518" t="s">
        <v>1837</v>
      </c>
      <c r="E1582" s="721" t="s">
        <v>1644</v>
      </c>
      <c r="F1582" s="683"/>
      <c r="G1582" s="683">
        <v>55</v>
      </c>
      <c r="H1582" s="683">
        <v>55</v>
      </c>
      <c r="I1582" s="679">
        <f t="shared" si="195"/>
        <v>100</v>
      </c>
    </row>
    <row r="1583" spans="1:20" ht="15" x14ac:dyDescent="0.25">
      <c r="A1583" s="420">
        <v>1202</v>
      </c>
      <c r="B1583" s="617">
        <v>3122</v>
      </c>
      <c r="C1583" s="617">
        <v>5336</v>
      </c>
      <c r="D1583" s="1974"/>
      <c r="E1583" s="616" t="s">
        <v>1740</v>
      </c>
      <c r="F1583" s="683"/>
      <c r="G1583" s="705">
        <f>G1584+G1587</f>
        <v>14030</v>
      </c>
      <c r="H1583" s="705">
        <f>H1584+H1587</f>
        <v>14030</v>
      </c>
      <c r="I1583" s="707">
        <f t="shared" si="195"/>
        <v>100</v>
      </c>
    </row>
    <row r="1584" spans="1:20" ht="14.25" customHeight="1" x14ac:dyDescent="0.2">
      <c r="A1584" s="420"/>
      <c r="B1584" s="617"/>
      <c r="C1584" s="617"/>
      <c r="D1584" s="3106" t="s">
        <v>1844</v>
      </c>
      <c r="E1584" s="3112" t="s">
        <v>1287</v>
      </c>
      <c r="F1584" s="683"/>
      <c r="G1584" s="683">
        <v>113</v>
      </c>
      <c r="H1584" s="683">
        <v>113</v>
      </c>
      <c r="I1584" s="679">
        <f t="shared" ref="I1584" si="196">(H1584/G1584)*100</f>
        <v>100</v>
      </c>
    </row>
    <row r="1585" spans="1:9" ht="14.25" x14ac:dyDescent="0.2">
      <c r="A1585" s="420"/>
      <c r="B1585" s="617"/>
      <c r="C1585" s="617"/>
      <c r="D1585" s="3107"/>
      <c r="E1585" s="3107"/>
      <c r="F1585" s="683"/>
      <c r="G1585" s="683"/>
      <c r="H1585" s="683"/>
      <c r="I1585" s="679"/>
    </row>
    <row r="1586" spans="1:9" ht="14.25" x14ac:dyDescent="0.2">
      <c r="A1586" s="420"/>
      <c r="B1586" s="617"/>
      <c r="C1586" s="617"/>
      <c r="D1586" s="3107"/>
      <c r="E1586" s="3107"/>
      <c r="F1586" s="683"/>
      <c r="G1586" s="683"/>
      <c r="H1586" s="683"/>
      <c r="I1586" s="679"/>
    </row>
    <row r="1587" spans="1:9" ht="14.25" x14ac:dyDescent="0.2">
      <c r="A1587" s="420"/>
      <c r="B1587" s="617"/>
      <c r="C1587" s="1127"/>
      <c r="D1587" s="518" t="s">
        <v>1807</v>
      </c>
      <c r="E1587" s="442" t="s">
        <v>716</v>
      </c>
      <c r="F1587" s="683"/>
      <c r="G1587" s="683">
        <v>13917</v>
      </c>
      <c r="H1587" s="683">
        <v>13917</v>
      </c>
      <c r="I1587" s="679">
        <f t="shared" si="195"/>
        <v>100</v>
      </c>
    </row>
    <row r="1588" spans="1:9" ht="15" x14ac:dyDescent="0.25">
      <c r="A1588" s="420">
        <v>1202</v>
      </c>
      <c r="B1588" s="651">
        <v>3123</v>
      </c>
      <c r="C1588" s="651">
        <v>5336</v>
      </c>
      <c r="D1588" s="518"/>
      <c r="E1588" s="616" t="s">
        <v>1740</v>
      </c>
      <c r="F1588" s="692"/>
      <c r="G1588" s="700">
        <f>G1589</f>
        <v>768</v>
      </c>
      <c r="H1588" s="700">
        <f>H1589</f>
        <v>768</v>
      </c>
      <c r="I1588" s="693">
        <f t="shared" si="195"/>
        <v>100</v>
      </c>
    </row>
    <row r="1589" spans="1:9" ht="14.25" x14ac:dyDescent="0.2">
      <c r="A1589" s="420"/>
      <c r="B1589" s="651"/>
      <c r="C1589" s="651"/>
      <c r="D1589" s="518" t="s">
        <v>1807</v>
      </c>
      <c r="E1589" s="442" t="s">
        <v>716</v>
      </c>
      <c r="F1589" s="689"/>
      <c r="G1589" s="689">
        <v>768</v>
      </c>
      <c r="H1589" s="689">
        <v>768</v>
      </c>
      <c r="I1589" s="684">
        <f t="shared" si="195"/>
        <v>100</v>
      </c>
    </row>
    <row r="1590" spans="1:9" ht="15" x14ac:dyDescent="0.25">
      <c r="A1590" s="420">
        <v>1202</v>
      </c>
      <c r="B1590" s="651">
        <v>3127</v>
      </c>
      <c r="C1590" s="1128">
        <v>5331</v>
      </c>
      <c r="D1590" s="697"/>
      <c r="E1590" s="616" t="s">
        <v>858</v>
      </c>
      <c r="F1590" s="700">
        <f>F1591+F1592</f>
        <v>4674</v>
      </c>
      <c r="G1590" s="700">
        <f t="shared" ref="G1590:H1590" si="197">G1591+G1592</f>
        <v>778</v>
      </c>
      <c r="H1590" s="700">
        <f t="shared" si="197"/>
        <v>778</v>
      </c>
      <c r="I1590" s="691">
        <f t="shared" si="195"/>
        <v>100</v>
      </c>
    </row>
    <row r="1591" spans="1:9" ht="14.25" x14ac:dyDescent="0.2">
      <c r="A1591" s="420"/>
      <c r="B1591" s="651"/>
      <c r="C1591" s="1128"/>
      <c r="D1591" s="636" t="s">
        <v>1811</v>
      </c>
      <c r="E1591" s="1162" t="s">
        <v>717</v>
      </c>
      <c r="F1591" s="689">
        <v>785</v>
      </c>
      <c r="G1591" s="689">
        <v>130</v>
      </c>
      <c r="H1591" s="689">
        <v>130</v>
      </c>
      <c r="I1591" s="684">
        <f t="shared" si="195"/>
        <v>100</v>
      </c>
    </row>
    <row r="1592" spans="1:9" ht="14.25" x14ac:dyDescent="0.2">
      <c r="A1592" s="420"/>
      <c r="B1592" s="651"/>
      <c r="C1592" s="651"/>
      <c r="D1592" s="518" t="s">
        <v>1812</v>
      </c>
      <c r="E1592" s="442" t="s">
        <v>63</v>
      </c>
      <c r="F1592" s="689">
        <v>3889</v>
      </c>
      <c r="G1592" s="689">
        <v>648</v>
      </c>
      <c r="H1592" s="689">
        <v>648</v>
      </c>
      <c r="I1592" s="684">
        <f t="shared" si="195"/>
        <v>100</v>
      </c>
    </row>
    <row r="1593" spans="1:9" ht="15" x14ac:dyDescent="0.25">
      <c r="A1593" s="420">
        <v>1202</v>
      </c>
      <c r="B1593" s="651">
        <v>3127</v>
      </c>
      <c r="C1593" s="651">
        <v>5336</v>
      </c>
      <c r="D1593" s="518"/>
      <c r="E1593" s="616" t="s">
        <v>1740</v>
      </c>
      <c r="F1593" s="689"/>
      <c r="G1593" s="700">
        <f>G1594+G1595+G1596+G1597+G1598+G1599</f>
        <v>1574</v>
      </c>
      <c r="H1593" s="700">
        <f>H1594+H1595+H1596+H1597+H1598+H1599</f>
        <v>1574</v>
      </c>
      <c r="I1593" s="691">
        <f t="shared" si="195"/>
        <v>100</v>
      </c>
    </row>
    <row r="1594" spans="1:9" ht="28.5" x14ac:dyDescent="0.2">
      <c r="A1594" s="420"/>
      <c r="B1594" s="651"/>
      <c r="C1594" s="651"/>
      <c r="D1594" s="649" t="s">
        <v>1821</v>
      </c>
      <c r="E1594" s="2887" t="s">
        <v>1822</v>
      </c>
      <c r="F1594" s="689"/>
      <c r="G1594" s="1062">
        <v>17</v>
      </c>
      <c r="H1594" s="1062">
        <v>17</v>
      </c>
      <c r="I1594" s="1066">
        <f t="shared" si="195"/>
        <v>100</v>
      </c>
    </row>
    <row r="1595" spans="1:9" ht="14.25" x14ac:dyDescent="0.2">
      <c r="A1595" s="420"/>
      <c r="B1595" s="651"/>
      <c r="C1595" s="651"/>
      <c r="D1595" s="887" t="s">
        <v>1827</v>
      </c>
      <c r="E1595" s="1676" t="s">
        <v>1407</v>
      </c>
      <c r="F1595" s="689"/>
      <c r="G1595" s="1062">
        <v>9</v>
      </c>
      <c r="H1595" s="1062">
        <v>9</v>
      </c>
      <c r="I1595" s="1066">
        <f t="shared" si="195"/>
        <v>100</v>
      </c>
    </row>
    <row r="1596" spans="1:9" ht="14.25" x14ac:dyDescent="0.2">
      <c r="A1596" s="420"/>
      <c r="B1596" s="651"/>
      <c r="C1596" s="651"/>
      <c r="D1596" s="887" t="s">
        <v>1808</v>
      </c>
      <c r="E1596" s="1676" t="s">
        <v>1739</v>
      </c>
      <c r="F1596" s="689"/>
      <c r="G1596" s="1062">
        <v>522</v>
      </c>
      <c r="H1596" s="1062">
        <v>522</v>
      </c>
      <c r="I1596" s="1066">
        <f t="shared" si="195"/>
        <v>100</v>
      </c>
    </row>
    <row r="1597" spans="1:9" ht="28.5" x14ac:dyDescent="0.2">
      <c r="A1597" s="420"/>
      <c r="B1597" s="651"/>
      <c r="C1597" s="651"/>
      <c r="D1597" s="887" t="s">
        <v>1809</v>
      </c>
      <c r="E1597" s="2876" t="s">
        <v>1810</v>
      </c>
      <c r="F1597" s="689"/>
      <c r="G1597" s="1062">
        <v>98</v>
      </c>
      <c r="H1597" s="1062">
        <v>98</v>
      </c>
      <c r="I1597" s="1066">
        <f t="shared" si="195"/>
        <v>100</v>
      </c>
    </row>
    <row r="1598" spans="1:9" ht="14.25" x14ac:dyDescent="0.2">
      <c r="A1598" s="420"/>
      <c r="B1598" s="651"/>
      <c r="C1598" s="651"/>
      <c r="D1598" s="518" t="s">
        <v>1813</v>
      </c>
      <c r="E1598" s="1162" t="s">
        <v>1815</v>
      </c>
      <c r="F1598" s="689"/>
      <c r="G1598" s="1062">
        <v>139</v>
      </c>
      <c r="H1598" s="1062">
        <v>139</v>
      </c>
      <c r="I1598" s="1066">
        <f t="shared" si="195"/>
        <v>100</v>
      </c>
    </row>
    <row r="1599" spans="1:9" ht="14.25" x14ac:dyDescent="0.2">
      <c r="A1599" s="420"/>
      <c r="B1599" s="651"/>
      <c r="C1599" s="651"/>
      <c r="D1599" s="518" t="s">
        <v>1814</v>
      </c>
      <c r="E1599" s="1162" t="s">
        <v>1815</v>
      </c>
      <c r="F1599" s="689"/>
      <c r="G1599" s="1062">
        <v>789</v>
      </c>
      <c r="H1599" s="1062">
        <v>789</v>
      </c>
      <c r="I1599" s="1066">
        <f t="shared" si="195"/>
        <v>100</v>
      </c>
    </row>
    <row r="1600" spans="1:9" ht="15" x14ac:dyDescent="0.25">
      <c r="A1600" s="420">
        <v>1202</v>
      </c>
      <c r="B1600" s="651">
        <v>3141</v>
      </c>
      <c r="C1600" s="651">
        <v>5336</v>
      </c>
      <c r="D1600" s="518"/>
      <c r="E1600" s="616" t="s">
        <v>1740</v>
      </c>
      <c r="F1600" s="689"/>
      <c r="G1600" s="700">
        <f>G1601</f>
        <v>179</v>
      </c>
      <c r="H1600" s="700">
        <f>H1601</f>
        <v>179</v>
      </c>
      <c r="I1600" s="693">
        <f t="shared" si="195"/>
        <v>100</v>
      </c>
    </row>
    <row r="1601" spans="1:20" ht="14.25" x14ac:dyDescent="0.2">
      <c r="A1601" s="420"/>
      <c r="B1601" s="651"/>
      <c r="C1601" s="651"/>
      <c r="D1601" s="518" t="s">
        <v>1807</v>
      </c>
      <c r="E1601" s="442" t="s">
        <v>716</v>
      </c>
      <c r="F1601" s="689"/>
      <c r="G1601" s="689">
        <v>179</v>
      </c>
      <c r="H1601" s="689">
        <v>179</v>
      </c>
      <c r="I1601" s="684">
        <f t="shared" si="195"/>
        <v>100</v>
      </c>
    </row>
    <row r="1602" spans="1:20" ht="15" x14ac:dyDescent="0.25">
      <c r="A1602" s="420">
        <v>1202</v>
      </c>
      <c r="B1602" s="651">
        <v>3147</v>
      </c>
      <c r="C1602" s="651">
        <v>5336</v>
      </c>
      <c r="D1602" s="518"/>
      <c r="E1602" s="616" t="s">
        <v>1740</v>
      </c>
      <c r="F1602" s="700"/>
      <c r="G1602" s="700">
        <f>G1603</f>
        <v>4584</v>
      </c>
      <c r="H1602" s="700">
        <f>H1603</f>
        <v>4584</v>
      </c>
      <c r="I1602" s="691">
        <f t="shared" si="195"/>
        <v>100</v>
      </c>
    </row>
    <row r="1603" spans="1:20" ht="15" customHeight="1" x14ac:dyDescent="0.2">
      <c r="A1603" s="420"/>
      <c r="B1603" s="651"/>
      <c r="C1603" s="1128"/>
      <c r="D1603" s="518" t="s">
        <v>1807</v>
      </c>
      <c r="E1603" s="442" t="s">
        <v>716</v>
      </c>
      <c r="F1603" s="689"/>
      <c r="G1603" s="689">
        <v>4584</v>
      </c>
      <c r="H1603" s="689">
        <v>4584</v>
      </c>
      <c r="I1603" s="684">
        <f t="shared" si="195"/>
        <v>100</v>
      </c>
    </row>
    <row r="1604" spans="1:20" ht="15" x14ac:dyDescent="0.25">
      <c r="A1604" s="420">
        <v>1202</v>
      </c>
      <c r="B1604" s="651">
        <v>3792</v>
      </c>
      <c r="C1604" s="1128">
        <v>5331</v>
      </c>
      <c r="D1604" s="697"/>
      <c r="E1604" s="616" t="s">
        <v>858</v>
      </c>
      <c r="F1604" s="700"/>
      <c r="G1604" s="700">
        <f>G1605</f>
        <v>15</v>
      </c>
      <c r="H1604" s="700">
        <f>H1605</f>
        <v>15</v>
      </c>
      <c r="I1604" s="691">
        <f t="shared" si="195"/>
        <v>100</v>
      </c>
    </row>
    <row r="1605" spans="1:20" ht="15" thickBot="1" x14ac:dyDescent="0.25">
      <c r="A1605" s="420"/>
      <c r="B1605" s="651"/>
      <c r="C1605" s="1128"/>
      <c r="D1605" s="878" t="s">
        <v>1824</v>
      </c>
      <c r="E1605" s="956" t="s">
        <v>338</v>
      </c>
      <c r="F1605" s="689"/>
      <c r="G1605" s="689">
        <v>15</v>
      </c>
      <c r="H1605" s="689">
        <v>15</v>
      </c>
      <c r="I1605" s="684">
        <f>(H1605/G1605)*100</f>
        <v>100</v>
      </c>
    </row>
    <row r="1606" spans="1:20" ht="16.5" thickTop="1" thickBot="1" x14ac:dyDescent="0.3">
      <c r="A1606" s="3110" t="s">
        <v>1000</v>
      </c>
      <c r="B1606" s="3111"/>
      <c r="C1606" s="3111"/>
      <c r="D1606" s="3111"/>
      <c r="E1606" s="3111"/>
      <c r="F1606" s="680">
        <f>F1590</f>
        <v>4674</v>
      </c>
      <c r="G1606" s="680">
        <f>G1604+G1602+G1600+G1593+G1590+G1588+G1583+G1581</f>
        <v>21983</v>
      </c>
      <c r="H1606" s="680">
        <f>H1604+H1602+H1600+H1593+H1590+H1588+H1583+H1581</f>
        <v>21983</v>
      </c>
      <c r="I1606" s="681">
        <f>(H1606/G1606)*100</f>
        <v>100</v>
      </c>
      <c r="R1606" s="374">
        <f>F1606</f>
        <v>4674</v>
      </c>
      <c r="S1606" s="374">
        <f>G1606</f>
        <v>21983</v>
      </c>
      <c r="T1606" s="374">
        <f>H1606</f>
        <v>21983</v>
      </c>
    </row>
    <row r="1607" spans="1:20" ht="12.75" customHeight="1" thickTop="1" x14ac:dyDescent="0.25">
      <c r="A1607" s="361"/>
      <c r="B1607" s="361"/>
      <c r="C1607" s="361"/>
      <c r="D1607" s="361"/>
      <c r="E1607" s="361"/>
      <c r="F1607" s="178"/>
      <c r="G1607" s="178"/>
      <c r="H1607" s="178"/>
      <c r="I1607" s="207"/>
      <c r="R1607" s="374"/>
      <c r="S1607" s="374"/>
      <c r="T1607" s="374"/>
    </row>
    <row r="1608" spans="1:20" ht="12.75" customHeight="1" x14ac:dyDescent="0.25">
      <c r="A1608" s="361"/>
      <c r="B1608" s="361"/>
      <c r="C1608" s="361"/>
      <c r="D1608" s="361"/>
      <c r="E1608" s="361"/>
      <c r="F1608" s="178"/>
      <c r="G1608" s="178"/>
      <c r="H1608" s="178"/>
      <c r="I1608" s="207"/>
      <c r="R1608" s="374"/>
      <c r="S1608" s="374"/>
      <c r="T1608" s="374"/>
    </row>
    <row r="1609" spans="1:20" ht="12.75" customHeight="1" x14ac:dyDescent="0.25">
      <c r="A1609" s="361"/>
      <c r="B1609" s="361"/>
      <c r="C1609" s="361"/>
      <c r="D1609" s="361"/>
      <c r="E1609" s="361"/>
      <c r="F1609" s="178"/>
      <c r="G1609" s="178"/>
      <c r="H1609" s="178"/>
      <c r="I1609" s="207"/>
      <c r="R1609" s="374"/>
      <c r="S1609" s="374"/>
      <c r="T1609" s="374"/>
    </row>
    <row r="1610" spans="1:20" ht="12.75" customHeight="1" x14ac:dyDescent="0.25">
      <c r="A1610" s="361"/>
      <c r="B1610" s="361"/>
      <c r="C1610" s="361"/>
      <c r="D1610" s="361"/>
      <c r="E1610" s="361"/>
      <c r="F1610" s="178"/>
      <c r="G1610" s="178"/>
      <c r="H1610" s="178"/>
      <c r="I1610" s="207"/>
      <c r="R1610" s="374"/>
      <c r="S1610" s="374"/>
      <c r="T1610" s="374"/>
    </row>
    <row r="1611" spans="1:20" ht="12.75" customHeight="1" x14ac:dyDescent="0.25">
      <c r="A1611" s="361"/>
      <c r="B1611" s="361"/>
      <c r="C1611" s="361"/>
      <c r="D1611" s="361"/>
      <c r="E1611" s="361"/>
      <c r="F1611" s="178"/>
      <c r="G1611" s="178"/>
      <c r="H1611" s="178"/>
      <c r="I1611" s="207"/>
      <c r="R1611" s="374"/>
      <c r="S1611" s="374"/>
      <c r="T1611" s="374"/>
    </row>
    <row r="1612" spans="1:20" ht="12.75" customHeight="1" x14ac:dyDescent="0.25">
      <c r="A1612" s="361"/>
      <c r="B1612" s="361"/>
      <c r="C1612" s="361"/>
      <c r="D1612" s="361"/>
      <c r="E1612" s="361"/>
      <c r="F1612" s="178"/>
      <c r="G1612" s="178"/>
      <c r="H1612" s="178"/>
      <c r="I1612" s="207"/>
      <c r="R1612" s="374"/>
      <c r="S1612" s="374"/>
      <c r="T1612" s="374"/>
    </row>
    <row r="1613" spans="1:20" ht="12.75" customHeight="1" x14ac:dyDescent="0.25">
      <c r="A1613" s="361"/>
      <c r="B1613" s="361"/>
      <c r="C1613" s="361"/>
      <c r="D1613" s="361"/>
      <c r="E1613" s="361"/>
      <c r="F1613" s="178"/>
      <c r="G1613" s="178"/>
      <c r="H1613" s="178"/>
      <c r="I1613" s="207"/>
      <c r="R1613" s="374"/>
      <c r="S1613" s="374"/>
      <c r="T1613" s="374"/>
    </row>
    <row r="1614" spans="1:20" ht="12.75" customHeight="1" x14ac:dyDescent="0.25">
      <c r="A1614" s="361"/>
      <c r="B1614" s="361"/>
      <c r="C1614" s="361"/>
      <c r="D1614" s="361"/>
      <c r="E1614" s="361"/>
      <c r="F1614" s="178"/>
      <c r="G1614" s="178"/>
      <c r="H1614" s="178"/>
      <c r="I1614" s="207"/>
      <c r="R1614" s="374"/>
      <c r="S1614" s="374"/>
      <c r="T1614" s="374"/>
    </row>
    <row r="1615" spans="1:20" ht="12.75" customHeight="1" x14ac:dyDescent="0.25">
      <c r="A1615" s="361"/>
      <c r="B1615" s="361"/>
      <c r="C1615" s="361"/>
      <c r="D1615" s="361"/>
      <c r="E1615" s="361"/>
      <c r="F1615" s="178"/>
      <c r="G1615" s="178"/>
      <c r="H1615" s="178"/>
      <c r="I1615" s="207"/>
      <c r="R1615" s="374"/>
      <c r="S1615" s="374"/>
      <c r="T1615" s="374"/>
    </row>
    <row r="1616" spans="1:20" ht="12.75" customHeight="1" x14ac:dyDescent="0.25">
      <c r="A1616" s="361"/>
      <c r="B1616" s="361"/>
      <c r="C1616" s="361"/>
      <c r="D1616" s="361"/>
      <c r="E1616" s="361"/>
      <c r="F1616" s="178"/>
      <c r="G1616" s="178"/>
      <c r="H1616" s="178"/>
      <c r="I1616" s="207"/>
      <c r="R1616" s="374"/>
      <c r="S1616" s="374"/>
      <c r="T1616" s="374"/>
    </row>
    <row r="1617" spans="1:20" ht="12.75" customHeight="1" x14ac:dyDescent="0.25">
      <c r="A1617" s="361"/>
      <c r="B1617" s="361"/>
      <c r="C1617" s="361"/>
      <c r="D1617" s="361"/>
      <c r="E1617" s="361"/>
      <c r="F1617" s="178"/>
      <c r="G1617" s="178"/>
      <c r="H1617" s="178"/>
      <c r="I1617" s="207"/>
      <c r="R1617" s="374"/>
      <c r="S1617" s="374"/>
      <c r="T1617" s="374"/>
    </row>
    <row r="1618" spans="1:20" ht="12.75" customHeight="1" x14ac:dyDescent="0.25">
      <c r="A1618" s="361"/>
      <c r="B1618" s="361"/>
      <c r="C1618" s="361"/>
      <c r="D1618" s="361"/>
      <c r="E1618" s="361"/>
      <c r="F1618" s="178"/>
      <c r="G1618" s="178"/>
      <c r="H1618" s="178"/>
      <c r="I1618" s="207"/>
      <c r="R1618" s="374"/>
      <c r="S1618" s="374"/>
      <c r="T1618" s="374"/>
    </row>
    <row r="1619" spans="1:20" ht="12.75" customHeight="1" x14ac:dyDescent="0.25">
      <c r="A1619" s="361"/>
      <c r="B1619" s="361"/>
      <c r="C1619" s="361"/>
      <c r="D1619" s="361"/>
      <c r="E1619" s="361"/>
      <c r="F1619" s="178"/>
      <c r="G1619" s="178"/>
      <c r="H1619" s="178"/>
      <c r="I1619" s="207"/>
      <c r="R1619" s="374"/>
      <c r="S1619" s="374"/>
      <c r="T1619" s="374"/>
    </row>
    <row r="1620" spans="1:20" ht="12.75" customHeight="1" x14ac:dyDescent="0.25">
      <c r="A1620" s="361"/>
      <c r="B1620" s="361"/>
      <c r="C1620" s="361"/>
      <c r="D1620" s="361"/>
      <c r="E1620" s="361"/>
      <c r="F1620" s="178"/>
      <c r="G1620" s="178"/>
      <c r="H1620" s="178"/>
      <c r="I1620" s="207"/>
      <c r="R1620" s="374"/>
      <c r="S1620" s="374"/>
      <c r="T1620" s="374"/>
    </row>
    <row r="1621" spans="1:20" ht="12.75" customHeight="1" x14ac:dyDescent="0.25">
      <c r="A1621" s="361"/>
      <c r="B1621" s="361"/>
      <c r="C1621" s="361"/>
      <c r="D1621" s="361"/>
      <c r="E1621" s="361"/>
      <c r="F1621" s="178"/>
      <c r="G1621" s="178"/>
      <c r="H1621" s="178"/>
      <c r="I1621" s="207"/>
      <c r="R1621" s="374"/>
      <c r="S1621" s="374"/>
      <c r="T1621" s="374"/>
    </row>
    <row r="1622" spans="1:20" ht="12.75" customHeight="1" x14ac:dyDescent="0.25">
      <c r="A1622" s="361"/>
      <c r="B1622" s="361"/>
      <c r="C1622" s="361"/>
      <c r="D1622" s="361"/>
      <c r="E1622" s="361"/>
      <c r="F1622" s="178"/>
      <c r="G1622" s="178"/>
      <c r="H1622" s="178"/>
      <c r="I1622" s="207"/>
      <c r="R1622" s="374"/>
      <c r="S1622" s="374"/>
      <c r="T1622" s="374"/>
    </row>
    <row r="1623" spans="1:20" ht="12.75" customHeight="1" x14ac:dyDescent="0.25">
      <c r="A1623" s="361"/>
      <c r="B1623" s="361"/>
      <c r="C1623" s="361"/>
      <c r="D1623" s="361"/>
      <c r="E1623" s="361"/>
      <c r="F1623" s="178"/>
      <c r="G1623" s="178"/>
      <c r="H1623" s="178"/>
      <c r="I1623" s="207"/>
      <c r="R1623" s="374"/>
      <c r="S1623" s="374"/>
      <c r="T1623" s="374"/>
    </row>
    <row r="1624" spans="1:20" ht="12.75" customHeight="1" x14ac:dyDescent="0.25">
      <c r="A1624" s="361"/>
      <c r="B1624" s="361"/>
      <c r="C1624" s="361"/>
      <c r="D1624" s="361"/>
      <c r="E1624" s="361"/>
      <c r="F1624" s="178"/>
      <c r="G1624" s="178"/>
      <c r="H1624" s="178"/>
      <c r="I1624" s="207"/>
      <c r="R1624" s="374"/>
      <c r="S1624" s="374"/>
      <c r="T1624" s="374"/>
    </row>
    <row r="1625" spans="1:20" ht="12.75" customHeight="1" x14ac:dyDescent="0.25">
      <c r="A1625" s="361"/>
      <c r="B1625" s="361"/>
      <c r="C1625" s="361"/>
      <c r="D1625" s="361"/>
      <c r="E1625" s="361"/>
      <c r="F1625" s="178"/>
      <c r="G1625" s="178"/>
      <c r="H1625" s="178"/>
      <c r="I1625" s="207"/>
      <c r="R1625" s="374"/>
      <c r="S1625" s="374"/>
      <c r="T1625" s="374"/>
    </row>
    <row r="1626" spans="1:20" ht="12.75" customHeight="1" x14ac:dyDescent="0.25">
      <c r="A1626" s="361"/>
      <c r="B1626" s="361"/>
      <c r="C1626" s="361"/>
      <c r="D1626" s="361"/>
      <c r="E1626" s="361"/>
      <c r="F1626" s="178"/>
      <c r="G1626" s="178"/>
      <c r="H1626" s="178"/>
      <c r="I1626" s="207"/>
      <c r="R1626" s="374"/>
      <c r="S1626" s="374"/>
      <c r="T1626" s="374"/>
    </row>
    <row r="1627" spans="1:20" ht="12.75" customHeight="1" x14ac:dyDescent="0.25">
      <c r="A1627" s="361"/>
      <c r="B1627" s="361"/>
      <c r="C1627" s="361"/>
      <c r="D1627" s="361"/>
      <c r="E1627" s="361"/>
      <c r="F1627" s="178"/>
      <c r="G1627" s="178"/>
      <c r="H1627" s="178"/>
      <c r="I1627" s="207"/>
      <c r="R1627" s="374"/>
      <c r="S1627" s="374"/>
      <c r="T1627" s="374"/>
    </row>
    <row r="1628" spans="1:20" ht="12.75" customHeight="1" x14ac:dyDescent="0.25">
      <c r="A1628" s="361"/>
      <c r="B1628" s="361"/>
      <c r="C1628" s="361"/>
      <c r="D1628" s="361"/>
      <c r="E1628" s="361"/>
      <c r="F1628" s="178"/>
      <c r="G1628" s="178"/>
      <c r="H1628" s="178"/>
      <c r="I1628" s="207"/>
      <c r="R1628" s="374"/>
      <c r="S1628" s="374"/>
      <c r="T1628" s="374"/>
    </row>
    <row r="1629" spans="1:20" ht="13.5" thickBot="1" x14ac:dyDescent="0.25">
      <c r="A1629" s="421" t="s">
        <v>293</v>
      </c>
      <c r="I1629" s="1125" t="s">
        <v>148</v>
      </c>
    </row>
    <row r="1630" spans="1:20" ht="14.25" thickTop="1" thickBot="1" x14ac:dyDescent="0.25">
      <c r="A1630" s="586" t="s">
        <v>565</v>
      </c>
      <c r="B1630" s="658" t="s">
        <v>149</v>
      </c>
      <c r="C1630" s="587" t="s">
        <v>150</v>
      </c>
      <c r="D1630" s="589" t="s">
        <v>639</v>
      </c>
      <c r="E1630" s="589" t="s">
        <v>151</v>
      </c>
      <c r="F1630" s="589" t="s">
        <v>569</v>
      </c>
      <c r="G1630" s="589" t="s">
        <v>570</v>
      </c>
      <c r="H1630" s="589" t="s">
        <v>797</v>
      </c>
      <c r="I1630" s="674" t="s">
        <v>798</v>
      </c>
    </row>
    <row r="1631" spans="1:20" ht="14.25" thickTop="1" thickBot="1" x14ac:dyDescent="0.25">
      <c r="A1631" s="525">
        <v>1</v>
      </c>
      <c r="B1631" s="526">
        <v>2</v>
      </c>
      <c r="C1631" s="526">
        <v>3</v>
      </c>
      <c r="D1631" s="526">
        <v>4</v>
      </c>
      <c r="E1631" s="526">
        <v>5</v>
      </c>
      <c r="F1631" s="512">
        <v>6</v>
      </c>
      <c r="G1631" s="512">
        <v>7</v>
      </c>
      <c r="H1631" s="513">
        <v>8</v>
      </c>
      <c r="I1631" s="591" t="s">
        <v>689</v>
      </c>
    </row>
    <row r="1632" spans="1:20" ht="15.75" thickTop="1" x14ac:dyDescent="0.25">
      <c r="A1632" s="1136">
        <v>1204</v>
      </c>
      <c r="B1632" s="701">
        <v>3122</v>
      </c>
      <c r="C1632" s="701">
        <v>5336</v>
      </c>
      <c r="D1632" s="706"/>
      <c r="E1632" s="616" t="s">
        <v>1740</v>
      </c>
      <c r="F1632" s="699"/>
      <c r="G1632" s="699">
        <f>G1633</f>
        <v>3197</v>
      </c>
      <c r="H1632" s="699">
        <f>H1633</f>
        <v>3197</v>
      </c>
      <c r="I1632" s="703">
        <f>(H1632/G1632)*100</f>
        <v>100</v>
      </c>
    </row>
    <row r="1633" spans="1:9" ht="14.25" x14ac:dyDescent="0.2">
      <c r="A1633" s="420"/>
      <c r="B1633" s="617"/>
      <c r="C1633" s="1127"/>
      <c r="D1633" s="518" t="s">
        <v>1807</v>
      </c>
      <c r="E1633" s="442" t="s">
        <v>716</v>
      </c>
      <c r="F1633" s="683"/>
      <c r="G1633" s="683">
        <v>3197</v>
      </c>
      <c r="H1633" s="683">
        <v>3197</v>
      </c>
      <c r="I1633" s="679">
        <f t="shared" ref="I1633:I1654" si="198">(H1633/G1633)*100</f>
        <v>100</v>
      </c>
    </row>
    <row r="1634" spans="1:9" ht="15" x14ac:dyDescent="0.25">
      <c r="A1634" s="420">
        <v>1204</v>
      </c>
      <c r="B1634" s="651">
        <v>3123</v>
      </c>
      <c r="C1634" s="1128">
        <v>5336</v>
      </c>
      <c r="D1634" s="1972"/>
      <c r="E1634" s="616" t="s">
        <v>1740</v>
      </c>
      <c r="F1634" s="689"/>
      <c r="G1634" s="700">
        <f>G1635</f>
        <v>31162</v>
      </c>
      <c r="H1634" s="700">
        <f>H1635</f>
        <v>31162</v>
      </c>
      <c r="I1634" s="693">
        <f t="shared" si="198"/>
        <v>100</v>
      </c>
    </row>
    <row r="1635" spans="1:9" ht="14.25" x14ac:dyDescent="0.2">
      <c r="A1635" s="420"/>
      <c r="B1635" s="651"/>
      <c r="C1635" s="1128"/>
      <c r="D1635" s="518" t="s">
        <v>1807</v>
      </c>
      <c r="E1635" s="442" t="s">
        <v>716</v>
      </c>
      <c r="F1635" s="689"/>
      <c r="G1635" s="689">
        <v>31162</v>
      </c>
      <c r="H1635" s="689">
        <v>31162</v>
      </c>
      <c r="I1635" s="684">
        <f t="shared" si="198"/>
        <v>100</v>
      </c>
    </row>
    <row r="1636" spans="1:9" ht="15" x14ac:dyDescent="0.25">
      <c r="A1636" s="420">
        <v>1204</v>
      </c>
      <c r="B1636" s="651">
        <v>3124</v>
      </c>
      <c r="C1636" s="1128">
        <v>5336</v>
      </c>
      <c r="D1636" s="888"/>
      <c r="E1636" s="616" t="s">
        <v>1740</v>
      </c>
      <c r="F1636" s="689"/>
      <c r="G1636" s="700">
        <f>G1637</f>
        <v>3223</v>
      </c>
      <c r="H1636" s="700">
        <f>H1637</f>
        <v>3223</v>
      </c>
      <c r="I1636" s="693">
        <f t="shared" si="198"/>
        <v>100</v>
      </c>
    </row>
    <row r="1637" spans="1:9" ht="14.25" x14ac:dyDescent="0.2">
      <c r="A1637" s="420"/>
      <c r="B1637" s="651"/>
      <c r="C1637" s="1128"/>
      <c r="D1637" s="518" t="s">
        <v>1807</v>
      </c>
      <c r="E1637" s="442" t="s">
        <v>716</v>
      </c>
      <c r="F1637" s="689"/>
      <c r="G1637" s="689">
        <v>3223</v>
      </c>
      <c r="H1637" s="689">
        <v>3223</v>
      </c>
      <c r="I1637" s="684">
        <f t="shared" si="198"/>
        <v>100</v>
      </c>
    </row>
    <row r="1638" spans="1:9" ht="15" x14ac:dyDescent="0.25">
      <c r="A1638" s="420">
        <v>1204</v>
      </c>
      <c r="B1638" s="651">
        <v>3127</v>
      </c>
      <c r="C1638" s="651">
        <v>5331</v>
      </c>
      <c r="D1638" s="712"/>
      <c r="E1638" s="616" t="s">
        <v>858</v>
      </c>
      <c r="F1638" s="690">
        <f>F1639+F1640</f>
        <v>9049</v>
      </c>
      <c r="G1638" s="690">
        <f t="shared" ref="G1638:H1638" si="199">G1639+G1640</f>
        <v>1508</v>
      </c>
      <c r="H1638" s="690">
        <f t="shared" si="199"/>
        <v>1508</v>
      </c>
      <c r="I1638" s="691">
        <f t="shared" si="198"/>
        <v>100</v>
      </c>
    </row>
    <row r="1639" spans="1:9" ht="14.25" x14ac:dyDescent="0.2">
      <c r="A1639" s="420"/>
      <c r="B1639" s="651"/>
      <c r="C1639" s="651"/>
      <c r="D1639" s="636" t="s">
        <v>1811</v>
      </c>
      <c r="E1639" s="1162" t="s">
        <v>717</v>
      </c>
      <c r="F1639" s="689">
        <v>1990</v>
      </c>
      <c r="G1639" s="689">
        <v>332</v>
      </c>
      <c r="H1639" s="689">
        <v>332</v>
      </c>
      <c r="I1639" s="684">
        <f t="shared" si="198"/>
        <v>100</v>
      </c>
    </row>
    <row r="1640" spans="1:9" ht="14.25" x14ac:dyDescent="0.2">
      <c r="A1640" s="420"/>
      <c r="B1640" s="651"/>
      <c r="C1640" s="1128"/>
      <c r="D1640" s="518" t="s">
        <v>1812</v>
      </c>
      <c r="E1640" s="442" t="s">
        <v>63</v>
      </c>
      <c r="F1640" s="689">
        <v>7059</v>
      </c>
      <c r="G1640" s="689">
        <v>1176</v>
      </c>
      <c r="H1640" s="689">
        <v>1176</v>
      </c>
      <c r="I1640" s="684">
        <f t="shared" si="198"/>
        <v>100</v>
      </c>
    </row>
    <row r="1641" spans="1:9" ht="15" x14ac:dyDescent="0.25">
      <c r="A1641" s="420">
        <v>1204</v>
      </c>
      <c r="B1641" s="651">
        <v>3127</v>
      </c>
      <c r="C1641" s="1128">
        <v>5336</v>
      </c>
      <c r="D1641" s="888"/>
      <c r="E1641" s="616" t="s">
        <v>1740</v>
      </c>
      <c r="F1641" s="689"/>
      <c r="G1641" s="690">
        <f>G1642+G1643+G1644+G1647+G1648+G1649+G1650</f>
        <v>3981</v>
      </c>
      <c r="H1641" s="690">
        <f>H1642+H1643+H1644+H1647+H1648+H1649+H1650</f>
        <v>3981</v>
      </c>
      <c r="I1641" s="691">
        <f t="shared" si="198"/>
        <v>100</v>
      </c>
    </row>
    <row r="1642" spans="1:9" ht="14.25" x14ac:dyDescent="0.2">
      <c r="A1642" s="420"/>
      <c r="B1642" s="651"/>
      <c r="C1642" s="1128"/>
      <c r="D1642" s="887" t="s">
        <v>1827</v>
      </c>
      <c r="E1642" s="1676" t="s">
        <v>1407</v>
      </c>
      <c r="F1642" s="689"/>
      <c r="G1642" s="689">
        <v>9</v>
      </c>
      <c r="H1642" s="689">
        <v>9</v>
      </c>
      <c r="I1642" s="684">
        <f t="shared" si="198"/>
        <v>100</v>
      </c>
    </row>
    <row r="1643" spans="1:9" ht="14.25" x14ac:dyDescent="0.2">
      <c r="A1643" s="420"/>
      <c r="B1643" s="651"/>
      <c r="C1643" s="1128"/>
      <c r="D1643" s="887" t="s">
        <v>1818</v>
      </c>
      <c r="E1643" s="1963" t="s">
        <v>1600</v>
      </c>
      <c r="F1643" s="689"/>
      <c r="G1643" s="689">
        <v>1488</v>
      </c>
      <c r="H1643" s="689">
        <v>1488</v>
      </c>
      <c r="I1643" s="684">
        <f t="shared" si="198"/>
        <v>100</v>
      </c>
    </row>
    <row r="1644" spans="1:9" ht="14.25" x14ac:dyDescent="0.2">
      <c r="A1644" s="420"/>
      <c r="B1644" s="651"/>
      <c r="C1644" s="1128"/>
      <c r="D1644" s="887" t="s">
        <v>1828</v>
      </c>
      <c r="E1644" s="3125" t="s">
        <v>1744</v>
      </c>
      <c r="F1644" s="689"/>
      <c r="G1644" s="689">
        <v>445</v>
      </c>
      <c r="H1644" s="689">
        <v>445</v>
      </c>
      <c r="I1644" s="684">
        <f t="shared" si="198"/>
        <v>100</v>
      </c>
    </row>
    <row r="1645" spans="1:9" ht="14.25" x14ac:dyDescent="0.2">
      <c r="A1645" s="420"/>
      <c r="B1645" s="651"/>
      <c r="C1645" s="1128"/>
      <c r="D1645" s="887"/>
      <c r="E1645" s="3125"/>
      <c r="F1645" s="689"/>
      <c r="G1645" s="689"/>
      <c r="H1645" s="689"/>
      <c r="I1645" s="684"/>
    </row>
    <row r="1646" spans="1:9" ht="14.25" x14ac:dyDescent="0.2">
      <c r="A1646" s="420"/>
      <c r="B1646" s="651"/>
      <c r="C1646" s="1128"/>
      <c r="D1646" s="887"/>
      <c r="E1646" s="3125"/>
      <c r="F1646" s="689"/>
      <c r="G1646" s="689"/>
      <c r="H1646" s="689"/>
      <c r="I1646" s="684"/>
    </row>
    <row r="1647" spans="1:9" ht="14.25" customHeight="1" x14ac:dyDescent="0.2">
      <c r="A1647" s="420"/>
      <c r="B1647" s="651"/>
      <c r="C1647" s="1128"/>
      <c r="D1647" s="887" t="s">
        <v>1808</v>
      </c>
      <c r="E1647" s="1676" t="s">
        <v>1739</v>
      </c>
      <c r="F1647" s="689"/>
      <c r="G1647" s="689">
        <v>1281</v>
      </c>
      <c r="H1647" s="689">
        <v>1281</v>
      </c>
      <c r="I1647" s="684">
        <f t="shared" si="198"/>
        <v>100</v>
      </c>
    </row>
    <row r="1648" spans="1:9" ht="28.5" x14ac:dyDescent="0.2">
      <c r="A1648" s="420"/>
      <c r="B1648" s="651"/>
      <c r="C1648" s="1128"/>
      <c r="D1648" s="887" t="s">
        <v>1809</v>
      </c>
      <c r="E1648" s="2876" t="s">
        <v>1810</v>
      </c>
      <c r="F1648" s="689"/>
      <c r="G1648" s="1062">
        <v>215</v>
      </c>
      <c r="H1648" s="1062">
        <v>215</v>
      </c>
      <c r="I1648" s="1066">
        <f t="shared" si="198"/>
        <v>100</v>
      </c>
    </row>
    <row r="1649" spans="1:27" ht="14.25" x14ac:dyDescent="0.2">
      <c r="A1649" s="420"/>
      <c r="B1649" s="651"/>
      <c r="C1649" s="1128"/>
      <c r="D1649" s="518" t="s">
        <v>1813</v>
      </c>
      <c r="E1649" s="1162" t="s">
        <v>1815</v>
      </c>
      <c r="F1649" s="689"/>
      <c r="G1649" s="689">
        <v>81</v>
      </c>
      <c r="H1649" s="689">
        <v>81</v>
      </c>
      <c r="I1649" s="684">
        <f t="shared" si="198"/>
        <v>100</v>
      </c>
    </row>
    <row r="1650" spans="1:27" ht="14.25" x14ac:dyDescent="0.2">
      <c r="A1650" s="420"/>
      <c r="B1650" s="651"/>
      <c r="C1650" s="1128"/>
      <c r="D1650" s="518" t="s">
        <v>1814</v>
      </c>
      <c r="E1650" s="1162" t="s">
        <v>1815</v>
      </c>
      <c r="F1650" s="689"/>
      <c r="G1650" s="689">
        <v>462</v>
      </c>
      <c r="H1650" s="689">
        <v>462</v>
      </c>
      <c r="I1650" s="684">
        <f t="shared" si="198"/>
        <v>100</v>
      </c>
    </row>
    <row r="1651" spans="1:27" ht="15" x14ac:dyDescent="0.25">
      <c r="A1651" s="420">
        <v>1204</v>
      </c>
      <c r="B1651" s="651">
        <v>3141</v>
      </c>
      <c r="C1651" s="1128">
        <v>5336</v>
      </c>
      <c r="D1651" s="527"/>
      <c r="E1651" s="616" t="s">
        <v>1740</v>
      </c>
      <c r="F1651" s="700"/>
      <c r="G1651" s="700">
        <f>G1652</f>
        <v>1631</v>
      </c>
      <c r="H1651" s="700">
        <f>H1652</f>
        <v>1631</v>
      </c>
      <c r="I1651" s="693">
        <f t="shared" si="198"/>
        <v>100</v>
      </c>
    </row>
    <row r="1652" spans="1:27" ht="14.25" x14ac:dyDescent="0.2">
      <c r="A1652" s="420"/>
      <c r="B1652" s="651"/>
      <c r="C1652" s="1128"/>
      <c r="D1652" s="518" t="s">
        <v>1807</v>
      </c>
      <c r="E1652" s="442" t="s">
        <v>716</v>
      </c>
      <c r="F1652" s="689"/>
      <c r="G1652" s="689">
        <v>1631</v>
      </c>
      <c r="H1652" s="689">
        <v>1631</v>
      </c>
      <c r="I1652" s="684">
        <f t="shared" si="198"/>
        <v>100</v>
      </c>
    </row>
    <row r="1653" spans="1:27" ht="15" x14ac:dyDescent="0.25">
      <c r="A1653" s="420">
        <v>1204</v>
      </c>
      <c r="B1653" s="617">
        <v>3147</v>
      </c>
      <c r="C1653" s="617">
        <v>5336</v>
      </c>
      <c r="D1653" s="518"/>
      <c r="E1653" s="616" t="s">
        <v>1740</v>
      </c>
      <c r="F1653" s="683"/>
      <c r="G1653" s="705">
        <f>G1654</f>
        <v>3835</v>
      </c>
      <c r="H1653" s="705">
        <f>H1654</f>
        <v>3835</v>
      </c>
      <c r="I1653" s="707">
        <f t="shared" si="198"/>
        <v>100</v>
      </c>
    </row>
    <row r="1654" spans="1:27" ht="15" thickBot="1" x14ac:dyDescent="0.25">
      <c r="A1654" s="420"/>
      <c r="B1654" s="617"/>
      <c r="C1654" s="1127"/>
      <c r="D1654" s="518" t="s">
        <v>1807</v>
      </c>
      <c r="E1654" s="442" t="s">
        <v>716</v>
      </c>
      <c r="F1654" s="683"/>
      <c r="G1654" s="683">
        <v>3835</v>
      </c>
      <c r="H1654" s="683">
        <v>3835</v>
      </c>
      <c r="I1654" s="679">
        <f t="shared" si="198"/>
        <v>100</v>
      </c>
    </row>
    <row r="1655" spans="1:27" ht="16.5" thickTop="1" thickBot="1" x14ac:dyDescent="0.3">
      <c r="A1655" s="3110" t="s">
        <v>1000</v>
      </c>
      <c r="B1655" s="3111"/>
      <c r="C1655" s="3111"/>
      <c r="D1655" s="3111"/>
      <c r="E1655" s="3111"/>
      <c r="F1655" s="680">
        <f>F1638</f>
        <v>9049</v>
      </c>
      <c r="G1655" s="680">
        <f>G1653+G1651+G1641+G1638+G1636+G1634+G1632</f>
        <v>48537</v>
      </c>
      <c r="H1655" s="680">
        <f>H1653+H1651+H1641+H1638+H1636+H1634+H1632</f>
        <v>48537</v>
      </c>
      <c r="I1655" s="681">
        <f>(H1655/G1655)*100</f>
        <v>100</v>
      </c>
      <c r="J1655" s="374">
        <f>F1655</f>
        <v>9049</v>
      </c>
      <c r="K1655" s="374" t="e">
        <f>G1655+#REF!</f>
        <v>#REF!</v>
      </c>
      <c r="L1655" s="374" t="e">
        <f>H1655+#REF!</f>
        <v>#REF!</v>
      </c>
      <c r="R1655" s="374">
        <f>F1655</f>
        <v>9049</v>
      </c>
      <c r="S1655" s="374">
        <f>G1655</f>
        <v>48537</v>
      </c>
      <c r="T1655" s="374">
        <f>H1655</f>
        <v>48537</v>
      </c>
      <c r="U1655" s="374"/>
      <c r="V1655" s="374"/>
      <c r="W1655" s="374"/>
      <c r="Y1655" s="374"/>
      <c r="Z1655" s="374"/>
      <c r="AA1655" s="374"/>
    </row>
    <row r="1656" spans="1:27" s="106" customFormat="1" ht="13.5" thickTop="1" x14ac:dyDescent="0.2">
      <c r="A1656" s="373"/>
      <c r="B1656" s="598"/>
      <c r="C1656" s="373"/>
      <c r="D1656" s="670"/>
      <c r="E1656" s="373"/>
      <c r="F1656" s="374"/>
      <c r="G1656" s="374"/>
      <c r="H1656" s="374"/>
      <c r="I1656" s="1125"/>
    </row>
    <row r="1657" spans="1:27" ht="13.5" thickBot="1" x14ac:dyDescent="0.25">
      <c r="A1657" s="421" t="s">
        <v>294</v>
      </c>
      <c r="I1657" s="1125" t="s">
        <v>148</v>
      </c>
    </row>
    <row r="1658" spans="1:27" ht="14.25" thickTop="1" thickBot="1" x14ac:dyDescent="0.25">
      <c r="A1658" s="586" t="s">
        <v>565</v>
      </c>
      <c r="B1658" s="658" t="s">
        <v>149</v>
      </c>
      <c r="C1658" s="587" t="s">
        <v>150</v>
      </c>
      <c r="D1658" s="589" t="s">
        <v>639</v>
      </c>
      <c r="E1658" s="589" t="s">
        <v>151</v>
      </c>
      <c r="F1658" s="589" t="s">
        <v>569</v>
      </c>
      <c r="G1658" s="589" t="s">
        <v>570</v>
      </c>
      <c r="H1658" s="589" t="s">
        <v>797</v>
      </c>
      <c r="I1658" s="674" t="s">
        <v>798</v>
      </c>
    </row>
    <row r="1659" spans="1:27" ht="14.25" thickTop="1" thickBot="1" x14ac:dyDescent="0.25">
      <c r="A1659" s="525">
        <v>1</v>
      </c>
      <c r="B1659" s="526">
        <v>2</v>
      </c>
      <c r="C1659" s="526">
        <v>3</v>
      </c>
      <c r="D1659" s="526">
        <v>4</v>
      </c>
      <c r="E1659" s="526">
        <v>5</v>
      </c>
      <c r="F1659" s="512">
        <v>6</v>
      </c>
      <c r="G1659" s="512">
        <v>7</v>
      </c>
      <c r="H1659" s="513">
        <v>8</v>
      </c>
      <c r="I1659" s="591" t="s">
        <v>689</v>
      </c>
    </row>
    <row r="1660" spans="1:27" ht="15.75" thickTop="1" x14ac:dyDescent="0.25">
      <c r="A1660" s="1136">
        <v>1205</v>
      </c>
      <c r="B1660" s="701">
        <v>3122</v>
      </c>
      <c r="C1660" s="701">
        <v>5336</v>
      </c>
      <c r="D1660" s="706"/>
      <c r="E1660" s="616" t="s">
        <v>1740</v>
      </c>
      <c r="F1660" s="699"/>
      <c r="G1660" s="699">
        <f>G1661</f>
        <v>2916</v>
      </c>
      <c r="H1660" s="699">
        <f>H1661</f>
        <v>2916</v>
      </c>
      <c r="I1660" s="703">
        <f t="shared" ref="I1660:I1676" si="200">(H1660/G1660)*100</f>
        <v>100</v>
      </c>
    </row>
    <row r="1661" spans="1:27" ht="15" x14ac:dyDescent="0.25">
      <c r="A1661" s="420"/>
      <c r="B1661" s="617"/>
      <c r="C1661" s="617"/>
      <c r="D1661" s="518" t="s">
        <v>1807</v>
      </c>
      <c r="E1661" s="442" t="s">
        <v>716</v>
      </c>
      <c r="F1661" s="676"/>
      <c r="G1661" s="683">
        <v>2916</v>
      </c>
      <c r="H1661" s="683">
        <v>2916</v>
      </c>
      <c r="I1661" s="679">
        <f t="shared" si="200"/>
        <v>100</v>
      </c>
    </row>
    <row r="1662" spans="1:27" ht="15" x14ac:dyDescent="0.25">
      <c r="A1662" s="420">
        <v>1205</v>
      </c>
      <c r="B1662" s="651">
        <v>3123</v>
      </c>
      <c r="C1662" s="651">
        <v>5336</v>
      </c>
      <c r="D1662" s="518"/>
      <c r="E1662" s="616" t="s">
        <v>1740</v>
      </c>
      <c r="F1662" s="692"/>
      <c r="G1662" s="700">
        <f>G1663</f>
        <v>14182</v>
      </c>
      <c r="H1662" s="700">
        <f>H1663</f>
        <v>14182</v>
      </c>
      <c r="I1662" s="707">
        <f t="shared" si="200"/>
        <v>100</v>
      </c>
    </row>
    <row r="1663" spans="1:27" ht="15" x14ac:dyDescent="0.25">
      <c r="A1663" s="420"/>
      <c r="B1663" s="651"/>
      <c r="C1663" s="651"/>
      <c r="D1663" s="518" t="s">
        <v>1807</v>
      </c>
      <c r="E1663" s="442" t="s">
        <v>716</v>
      </c>
      <c r="F1663" s="690"/>
      <c r="G1663" s="689">
        <v>14182</v>
      </c>
      <c r="H1663" s="689">
        <v>14182</v>
      </c>
      <c r="I1663" s="679">
        <f t="shared" si="200"/>
        <v>100</v>
      </c>
    </row>
    <row r="1664" spans="1:27" ht="15" x14ac:dyDescent="0.25">
      <c r="A1664" s="420">
        <v>1205</v>
      </c>
      <c r="B1664" s="651">
        <v>3127</v>
      </c>
      <c r="C1664" s="651">
        <v>5331</v>
      </c>
      <c r="D1664" s="712"/>
      <c r="E1664" s="616" t="s">
        <v>858</v>
      </c>
      <c r="F1664" s="700">
        <f>F1665+F1666+F1667</f>
        <v>5489</v>
      </c>
      <c r="G1664" s="700">
        <f t="shared" ref="G1664:H1664" si="201">G1665+G1666+G1667</f>
        <v>916</v>
      </c>
      <c r="H1664" s="700">
        <f t="shared" si="201"/>
        <v>916</v>
      </c>
      <c r="I1664" s="707">
        <f t="shared" si="200"/>
        <v>100</v>
      </c>
    </row>
    <row r="1665" spans="1:27" ht="14.25" x14ac:dyDescent="0.2">
      <c r="A1665" s="420"/>
      <c r="B1665" s="651"/>
      <c r="C1665" s="651"/>
      <c r="D1665" s="636" t="s">
        <v>1811</v>
      </c>
      <c r="E1665" s="1162" t="s">
        <v>717</v>
      </c>
      <c r="F1665" s="689">
        <v>1854</v>
      </c>
      <c r="G1665" s="689">
        <v>310</v>
      </c>
      <c r="H1665" s="689">
        <v>310</v>
      </c>
      <c r="I1665" s="679">
        <f t="shared" si="200"/>
        <v>100</v>
      </c>
    </row>
    <row r="1666" spans="1:27" ht="14.25" x14ac:dyDescent="0.2">
      <c r="A1666" s="420"/>
      <c r="B1666" s="651"/>
      <c r="C1666" s="651"/>
      <c r="D1666" s="518" t="s">
        <v>1812</v>
      </c>
      <c r="E1666" s="442" t="s">
        <v>63</v>
      </c>
      <c r="F1666" s="689">
        <v>3500</v>
      </c>
      <c r="G1666" s="689">
        <v>584</v>
      </c>
      <c r="H1666" s="689">
        <v>584</v>
      </c>
      <c r="I1666" s="679">
        <f t="shared" si="200"/>
        <v>100</v>
      </c>
    </row>
    <row r="1667" spans="1:27" ht="14.25" x14ac:dyDescent="0.2">
      <c r="A1667" s="420"/>
      <c r="B1667" s="651"/>
      <c r="C1667" s="651"/>
      <c r="D1667" s="518" t="s">
        <v>1817</v>
      </c>
      <c r="E1667" s="442" t="s">
        <v>1312</v>
      </c>
      <c r="F1667" s="689">
        <v>135</v>
      </c>
      <c r="G1667" s="689">
        <v>22</v>
      </c>
      <c r="H1667" s="689">
        <v>22</v>
      </c>
      <c r="I1667" s="679">
        <f t="shared" si="200"/>
        <v>100</v>
      </c>
    </row>
    <row r="1668" spans="1:27" ht="15" x14ac:dyDescent="0.25">
      <c r="A1668" s="420">
        <v>1205</v>
      </c>
      <c r="B1668" s="651">
        <v>3127</v>
      </c>
      <c r="C1668" s="651">
        <v>5336</v>
      </c>
      <c r="D1668" s="518"/>
      <c r="E1668" s="616" t="s">
        <v>1740</v>
      </c>
      <c r="F1668" s="689"/>
      <c r="G1668" s="700">
        <f>G1669+G1670+G1671+G1672+G1673+G1674</f>
        <v>1315</v>
      </c>
      <c r="H1668" s="700">
        <f>H1669+H1670+H1671+H1672+H1673+H1674</f>
        <v>1315</v>
      </c>
      <c r="I1668" s="691">
        <f t="shared" si="200"/>
        <v>100</v>
      </c>
    </row>
    <row r="1669" spans="1:27" ht="14.25" x14ac:dyDescent="0.2">
      <c r="A1669" s="420"/>
      <c r="B1669" s="651"/>
      <c r="C1669" s="651"/>
      <c r="D1669" s="887" t="s">
        <v>1827</v>
      </c>
      <c r="E1669" s="1676" t="s">
        <v>1407</v>
      </c>
      <c r="F1669" s="689"/>
      <c r="G1669" s="689">
        <v>9</v>
      </c>
      <c r="H1669" s="689">
        <v>9</v>
      </c>
      <c r="I1669" s="679">
        <f t="shared" si="200"/>
        <v>100</v>
      </c>
    </row>
    <row r="1670" spans="1:27" ht="14.25" x14ac:dyDescent="0.2">
      <c r="A1670" s="420"/>
      <c r="B1670" s="651"/>
      <c r="C1670" s="651"/>
      <c r="D1670" s="887" t="s">
        <v>1808</v>
      </c>
      <c r="E1670" s="1676" t="s">
        <v>1739</v>
      </c>
      <c r="F1670" s="689"/>
      <c r="G1670" s="689">
        <v>432</v>
      </c>
      <c r="H1670" s="689">
        <v>432</v>
      </c>
      <c r="I1670" s="679">
        <f t="shared" si="200"/>
        <v>100</v>
      </c>
    </row>
    <row r="1671" spans="1:27" ht="28.5" x14ac:dyDescent="0.2">
      <c r="A1671" s="420"/>
      <c r="B1671" s="651"/>
      <c r="C1671" s="651"/>
      <c r="D1671" s="887" t="s">
        <v>1809</v>
      </c>
      <c r="E1671" s="2882" t="s">
        <v>1810</v>
      </c>
      <c r="F1671" s="689"/>
      <c r="G1671" s="1062">
        <v>88</v>
      </c>
      <c r="H1671" s="1062">
        <v>88</v>
      </c>
      <c r="I1671" s="1063">
        <f t="shared" si="200"/>
        <v>100</v>
      </c>
    </row>
    <row r="1672" spans="1:27" ht="14.25" x14ac:dyDescent="0.2">
      <c r="A1672" s="420"/>
      <c r="B1672" s="651"/>
      <c r="C1672" s="651"/>
      <c r="D1672" s="518" t="s">
        <v>1848</v>
      </c>
      <c r="E1672" s="1162" t="s">
        <v>1752</v>
      </c>
      <c r="F1672" s="689"/>
      <c r="G1672" s="689">
        <v>20</v>
      </c>
      <c r="H1672" s="689">
        <v>20</v>
      </c>
      <c r="I1672" s="679">
        <f t="shared" si="200"/>
        <v>100</v>
      </c>
    </row>
    <row r="1673" spans="1:27" ht="14.25" x14ac:dyDescent="0.2">
      <c r="A1673" s="420"/>
      <c r="B1673" s="651"/>
      <c r="C1673" s="651"/>
      <c r="D1673" s="518" t="s">
        <v>1813</v>
      </c>
      <c r="E1673" s="1162" t="s">
        <v>1815</v>
      </c>
      <c r="F1673" s="689"/>
      <c r="G1673" s="689">
        <v>115</v>
      </c>
      <c r="H1673" s="689">
        <v>115</v>
      </c>
      <c r="I1673" s="679">
        <f t="shared" si="200"/>
        <v>100</v>
      </c>
    </row>
    <row r="1674" spans="1:27" ht="14.25" x14ac:dyDescent="0.2">
      <c r="A1674" s="420"/>
      <c r="B1674" s="651"/>
      <c r="C1674" s="651"/>
      <c r="D1674" s="518" t="s">
        <v>1814</v>
      </c>
      <c r="E1674" s="1162" t="s">
        <v>1815</v>
      </c>
      <c r="F1674" s="689"/>
      <c r="G1674" s="689">
        <v>651</v>
      </c>
      <c r="H1674" s="689">
        <v>651</v>
      </c>
      <c r="I1674" s="679">
        <f t="shared" si="200"/>
        <v>100</v>
      </c>
    </row>
    <row r="1675" spans="1:27" ht="15" x14ac:dyDescent="0.25">
      <c r="A1675" s="420">
        <v>1205</v>
      </c>
      <c r="B1675" s="651">
        <v>3141</v>
      </c>
      <c r="C1675" s="651">
        <v>5336</v>
      </c>
      <c r="D1675" s="518"/>
      <c r="E1675" s="616" t="s">
        <v>1740</v>
      </c>
      <c r="F1675" s="689"/>
      <c r="G1675" s="700">
        <f>G1676</f>
        <v>146</v>
      </c>
      <c r="H1675" s="700">
        <f>H1676</f>
        <v>146</v>
      </c>
      <c r="I1675" s="693">
        <f t="shared" si="200"/>
        <v>100</v>
      </c>
    </row>
    <row r="1676" spans="1:27" ht="15" thickBot="1" x14ac:dyDescent="0.25">
      <c r="A1676" s="420"/>
      <c r="B1676" s="651"/>
      <c r="C1676" s="1128"/>
      <c r="D1676" s="518" t="s">
        <v>1807</v>
      </c>
      <c r="E1676" s="442" t="s">
        <v>716</v>
      </c>
      <c r="F1676" s="689"/>
      <c r="G1676" s="689">
        <v>146</v>
      </c>
      <c r="H1676" s="689">
        <v>146</v>
      </c>
      <c r="I1676" s="684">
        <f t="shared" si="200"/>
        <v>100</v>
      </c>
    </row>
    <row r="1677" spans="1:27" ht="16.5" thickTop="1" thickBot="1" x14ac:dyDescent="0.3">
      <c r="A1677" s="3110" t="s">
        <v>1000</v>
      </c>
      <c r="B1677" s="3111"/>
      <c r="C1677" s="3111"/>
      <c r="D1677" s="3111"/>
      <c r="E1677" s="3111"/>
      <c r="F1677" s="680">
        <f>F1664</f>
        <v>5489</v>
      </c>
      <c r="G1677" s="680">
        <f>G1675+G1668+G1664+G1662+G1660</f>
        <v>19475</v>
      </c>
      <c r="H1677" s="680">
        <f>H1675+H1668+H1664+H1662+H1660</f>
        <v>19475</v>
      </c>
      <c r="I1677" s="681">
        <f>(H1677/G1677)*100</f>
        <v>100</v>
      </c>
      <c r="J1677" s="374">
        <f>F1677</f>
        <v>5489</v>
      </c>
      <c r="K1677" s="374" t="e">
        <f>G1677+#REF!</f>
        <v>#REF!</v>
      </c>
      <c r="L1677" s="374" t="e">
        <f>H1677+#REF!</f>
        <v>#REF!</v>
      </c>
      <c r="R1677" s="374">
        <f>F1677</f>
        <v>5489</v>
      </c>
      <c r="S1677" s="374">
        <f>G1677</f>
        <v>19475</v>
      </c>
      <c r="T1677" s="374">
        <f>H1677</f>
        <v>19475</v>
      </c>
      <c r="U1677" s="374"/>
      <c r="V1677" s="374"/>
      <c r="W1677" s="374"/>
      <c r="Y1677" s="374"/>
      <c r="Z1677" s="374"/>
      <c r="AA1677" s="374"/>
    </row>
    <row r="1678" spans="1:27" s="375" customFormat="1" ht="13.5" thickTop="1" x14ac:dyDescent="0.2">
      <c r="A1678" s="373"/>
      <c r="B1678" s="598"/>
      <c r="C1678" s="373"/>
      <c r="D1678" s="670"/>
      <c r="E1678" s="373"/>
      <c r="F1678" s="374"/>
      <c r="G1678" s="374"/>
      <c r="H1678" s="374"/>
      <c r="I1678" s="1125"/>
    </row>
    <row r="1679" spans="1:27" ht="13.5" thickBot="1" x14ac:dyDescent="0.25">
      <c r="A1679" s="421" t="s">
        <v>295</v>
      </c>
      <c r="I1679" s="1125" t="s">
        <v>148</v>
      </c>
    </row>
    <row r="1680" spans="1:27" ht="14.25" thickTop="1" thickBot="1" x14ac:dyDescent="0.25">
      <c r="A1680" s="586" t="s">
        <v>565</v>
      </c>
      <c r="B1680" s="658" t="s">
        <v>149</v>
      </c>
      <c r="C1680" s="587" t="s">
        <v>150</v>
      </c>
      <c r="D1680" s="589" t="s">
        <v>639</v>
      </c>
      <c r="E1680" s="589" t="s">
        <v>151</v>
      </c>
      <c r="F1680" s="589" t="s">
        <v>569</v>
      </c>
      <c r="G1680" s="589" t="s">
        <v>570</v>
      </c>
      <c r="H1680" s="589" t="s">
        <v>797</v>
      </c>
      <c r="I1680" s="674" t="s">
        <v>798</v>
      </c>
    </row>
    <row r="1681" spans="1:9" ht="14.25" thickTop="1" thickBot="1" x14ac:dyDescent="0.25">
      <c r="A1681" s="525">
        <v>1</v>
      </c>
      <c r="B1681" s="526">
        <v>2</v>
      </c>
      <c r="C1681" s="526">
        <v>3</v>
      </c>
      <c r="D1681" s="526">
        <v>4</v>
      </c>
      <c r="E1681" s="526">
        <v>5</v>
      </c>
      <c r="F1681" s="512">
        <v>6</v>
      </c>
      <c r="G1681" s="512">
        <v>7</v>
      </c>
      <c r="H1681" s="513">
        <v>8</v>
      </c>
      <c r="I1681" s="591" t="s">
        <v>689</v>
      </c>
    </row>
    <row r="1682" spans="1:9" ht="15.75" thickTop="1" x14ac:dyDescent="0.25">
      <c r="A1682" s="1136">
        <v>1206</v>
      </c>
      <c r="B1682" s="701">
        <v>3122</v>
      </c>
      <c r="C1682" s="701">
        <v>5336</v>
      </c>
      <c r="D1682" s="706"/>
      <c r="E1682" s="616" t="s">
        <v>1740</v>
      </c>
      <c r="F1682" s="699"/>
      <c r="G1682" s="699">
        <f>G1683</f>
        <v>2900</v>
      </c>
      <c r="H1682" s="699">
        <f>H1683</f>
        <v>2900</v>
      </c>
      <c r="I1682" s="703">
        <f t="shared" ref="I1682:I1699" si="202">(H1682/G1682)*100</f>
        <v>100</v>
      </c>
    </row>
    <row r="1683" spans="1:9" ht="14.25" x14ac:dyDescent="0.2">
      <c r="A1683" s="420"/>
      <c r="B1683" s="617"/>
      <c r="C1683" s="617"/>
      <c r="D1683" s="518" t="s">
        <v>1807</v>
      </c>
      <c r="E1683" s="442" t="s">
        <v>716</v>
      </c>
      <c r="F1683" s="683"/>
      <c r="G1683" s="683">
        <v>2900</v>
      </c>
      <c r="H1683" s="683">
        <v>2900</v>
      </c>
      <c r="I1683" s="679">
        <f t="shared" si="202"/>
        <v>100</v>
      </c>
    </row>
    <row r="1684" spans="1:9" ht="15" x14ac:dyDescent="0.25">
      <c r="A1684" s="420">
        <v>1206</v>
      </c>
      <c r="B1684" s="617">
        <v>3123</v>
      </c>
      <c r="C1684" s="617">
        <v>5336</v>
      </c>
      <c r="D1684" s="888"/>
      <c r="E1684" s="616" t="s">
        <v>1740</v>
      </c>
      <c r="F1684" s="683"/>
      <c r="G1684" s="705">
        <f>G1685</f>
        <v>22125</v>
      </c>
      <c r="H1684" s="705">
        <f>H1685</f>
        <v>22125</v>
      </c>
      <c r="I1684" s="707">
        <f t="shared" si="202"/>
        <v>100</v>
      </c>
    </row>
    <row r="1685" spans="1:9" ht="14.25" x14ac:dyDescent="0.2">
      <c r="A1685" s="420"/>
      <c r="B1685" s="617"/>
      <c r="C1685" s="617"/>
      <c r="D1685" s="518" t="s">
        <v>1807</v>
      </c>
      <c r="E1685" s="442" t="s">
        <v>716</v>
      </c>
      <c r="F1685" s="683"/>
      <c r="G1685" s="683">
        <v>22125</v>
      </c>
      <c r="H1685" s="683">
        <v>22125</v>
      </c>
      <c r="I1685" s="679">
        <f t="shared" si="202"/>
        <v>100</v>
      </c>
    </row>
    <row r="1686" spans="1:9" ht="15" x14ac:dyDescent="0.25">
      <c r="A1686" s="420">
        <v>1206</v>
      </c>
      <c r="B1686" s="617">
        <v>3127</v>
      </c>
      <c r="C1686" s="651">
        <v>5331</v>
      </c>
      <c r="D1686" s="712"/>
      <c r="E1686" s="616" t="s">
        <v>858</v>
      </c>
      <c r="F1686" s="705">
        <f>F1687+F1688+F1689</f>
        <v>3525</v>
      </c>
      <c r="G1686" s="705">
        <f t="shared" ref="G1686:H1686" si="203">G1687+G1688+G1689</f>
        <v>586</v>
      </c>
      <c r="H1686" s="705">
        <f t="shared" si="203"/>
        <v>586</v>
      </c>
      <c r="I1686" s="707">
        <f t="shared" si="202"/>
        <v>100</v>
      </c>
    </row>
    <row r="1687" spans="1:9" ht="14.25" x14ac:dyDescent="0.2">
      <c r="A1687" s="420"/>
      <c r="B1687" s="651"/>
      <c r="C1687" s="651"/>
      <c r="D1687" s="636" t="s">
        <v>1811</v>
      </c>
      <c r="E1687" s="1162" t="s">
        <v>717</v>
      </c>
      <c r="F1687" s="689">
        <v>179</v>
      </c>
      <c r="G1687" s="689">
        <v>30</v>
      </c>
      <c r="H1687" s="689">
        <v>30</v>
      </c>
      <c r="I1687" s="679">
        <f t="shared" si="202"/>
        <v>100</v>
      </c>
    </row>
    <row r="1688" spans="1:9" ht="14.25" x14ac:dyDescent="0.2">
      <c r="A1688" s="420"/>
      <c r="B1688" s="651"/>
      <c r="C1688" s="651"/>
      <c r="D1688" s="518" t="s">
        <v>1812</v>
      </c>
      <c r="E1688" s="442" t="s">
        <v>63</v>
      </c>
      <c r="F1688" s="689">
        <v>3316</v>
      </c>
      <c r="G1688" s="689">
        <v>552</v>
      </c>
      <c r="H1688" s="689">
        <v>552</v>
      </c>
      <c r="I1688" s="679">
        <f t="shared" si="202"/>
        <v>100</v>
      </c>
    </row>
    <row r="1689" spans="1:9" ht="14.25" x14ac:dyDescent="0.2">
      <c r="A1689" s="420"/>
      <c r="B1689" s="651"/>
      <c r="C1689" s="651"/>
      <c r="D1689" s="518" t="s">
        <v>1817</v>
      </c>
      <c r="E1689" s="442" t="s">
        <v>1312</v>
      </c>
      <c r="F1689" s="689">
        <v>30</v>
      </c>
      <c r="G1689" s="689">
        <v>4</v>
      </c>
      <c r="H1689" s="689">
        <v>4</v>
      </c>
      <c r="I1689" s="679">
        <f t="shared" si="202"/>
        <v>100</v>
      </c>
    </row>
    <row r="1690" spans="1:9" ht="15" x14ac:dyDescent="0.25">
      <c r="A1690" s="420">
        <v>1206</v>
      </c>
      <c r="B1690" s="651">
        <v>3127</v>
      </c>
      <c r="C1690" s="651">
        <v>5336</v>
      </c>
      <c r="D1690" s="518"/>
      <c r="E1690" s="616" t="s">
        <v>1740</v>
      </c>
      <c r="F1690" s="690"/>
      <c r="G1690" s="690">
        <f>G1691+G1692+G1693+G1694+G1695</f>
        <v>2595</v>
      </c>
      <c r="H1690" s="690">
        <f>H1691+H1692+H1693+H1694+H1695</f>
        <v>2595</v>
      </c>
      <c r="I1690" s="691">
        <f t="shared" si="202"/>
        <v>100</v>
      </c>
    </row>
    <row r="1691" spans="1:9" ht="15" x14ac:dyDescent="0.25">
      <c r="A1691" s="420"/>
      <c r="B1691" s="651"/>
      <c r="C1691" s="651"/>
      <c r="D1691" s="887" t="s">
        <v>1818</v>
      </c>
      <c r="E1691" s="1963" t="s">
        <v>1600</v>
      </c>
      <c r="F1691" s="690"/>
      <c r="G1691" s="692">
        <v>177</v>
      </c>
      <c r="H1691" s="692">
        <v>177</v>
      </c>
      <c r="I1691" s="679">
        <f t="shared" si="202"/>
        <v>100</v>
      </c>
    </row>
    <row r="1692" spans="1:9" ht="15" x14ac:dyDescent="0.25">
      <c r="A1692" s="420"/>
      <c r="B1692" s="651"/>
      <c r="C1692" s="651"/>
      <c r="D1692" s="887" t="s">
        <v>1808</v>
      </c>
      <c r="E1692" s="1676" t="s">
        <v>1739</v>
      </c>
      <c r="F1692" s="690"/>
      <c r="G1692" s="692">
        <v>710</v>
      </c>
      <c r="H1692" s="692">
        <v>710</v>
      </c>
      <c r="I1692" s="679">
        <f t="shared" si="202"/>
        <v>100</v>
      </c>
    </row>
    <row r="1693" spans="1:9" ht="28.5" x14ac:dyDescent="0.2">
      <c r="A1693" s="420"/>
      <c r="B1693" s="651"/>
      <c r="C1693" s="651"/>
      <c r="D1693" s="887" t="s">
        <v>1809</v>
      </c>
      <c r="E1693" s="2882" t="s">
        <v>1810</v>
      </c>
      <c r="F1693" s="689"/>
      <c r="G1693" s="1062">
        <v>131</v>
      </c>
      <c r="H1693" s="1062">
        <v>131</v>
      </c>
      <c r="I1693" s="1063">
        <f t="shared" si="202"/>
        <v>100</v>
      </c>
    </row>
    <row r="1694" spans="1:9" ht="14.25" x14ac:dyDescent="0.2">
      <c r="A1694" s="420"/>
      <c r="B1694" s="651"/>
      <c r="C1694" s="651"/>
      <c r="D1694" s="518" t="s">
        <v>1813</v>
      </c>
      <c r="E1694" s="1162" t="s">
        <v>1815</v>
      </c>
      <c r="F1694" s="683"/>
      <c r="G1694" s="689">
        <v>237</v>
      </c>
      <c r="H1694" s="689">
        <v>237</v>
      </c>
      <c r="I1694" s="679">
        <f t="shared" si="202"/>
        <v>100</v>
      </c>
    </row>
    <row r="1695" spans="1:9" ht="14.25" x14ac:dyDescent="0.2">
      <c r="A1695" s="420"/>
      <c r="B1695" s="651"/>
      <c r="C1695" s="651"/>
      <c r="D1695" s="518" t="s">
        <v>1814</v>
      </c>
      <c r="E1695" s="1162" t="s">
        <v>1815</v>
      </c>
      <c r="F1695" s="1074"/>
      <c r="G1695" s="438">
        <v>1340</v>
      </c>
      <c r="H1695" s="312">
        <v>1340</v>
      </c>
      <c r="I1695" s="679">
        <f t="shared" si="202"/>
        <v>100</v>
      </c>
    </row>
    <row r="1696" spans="1:9" ht="15" x14ac:dyDescent="0.25">
      <c r="A1696" s="420">
        <v>1206</v>
      </c>
      <c r="B1696" s="651">
        <v>3141</v>
      </c>
      <c r="C1696" s="651">
        <v>5336</v>
      </c>
      <c r="D1696" s="518"/>
      <c r="E1696" s="616" t="s">
        <v>1740</v>
      </c>
      <c r="F1696" s="689"/>
      <c r="G1696" s="700">
        <f>G1697</f>
        <v>879</v>
      </c>
      <c r="H1696" s="700">
        <f>H1697</f>
        <v>879</v>
      </c>
      <c r="I1696" s="693">
        <f t="shared" si="202"/>
        <v>100</v>
      </c>
    </row>
    <row r="1697" spans="1:20" ht="14.25" x14ac:dyDescent="0.2">
      <c r="A1697" s="420"/>
      <c r="B1697" s="651"/>
      <c r="C1697" s="1128"/>
      <c r="D1697" s="518" t="s">
        <v>1807</v>
      </c>
      <c r="E1697" s="442" t="s">
        <v>716</v>
      </c>
      <c r="F1697" s="689"/>
      <c r="G1697" s="689">
        <v>879</v>
      </c>
      <c r="H1697" s="689">
        <v>879</v>
      </c>
      <c r="I1697" s="684">
        <f t="shared" si="202"/>
        <v>100</v>
      </c>
    </row>
    <row r="1698" spans="1:20" ht="15" x14ac:dyDescent="0.25">
      <c r="A1698" s="420">
        <v>1206</v>
      </c>
      <c r="B1698" s="617">
        <v>3293</v>
      </c>
      <c r="C1698" s="1127">
        <v>5336</v>
      </c>
      <c r="D1698" s="697"/>
      <c r="E1698" s="616" t="s">
        <v>1740</v>
      </c>
      <c r="F1698" s="700"/>
      <c r="G1698" s="700">
        <f>G1699</f>
        <v>3</v>
      </c>
      <c r="H1698" s="700">
        <f>H1699</f>
        <v>3</v>
      </c>
      <c r="I1698" s="693">
        <f t="shared" si="202"/>
        <v>100</v>
      </c>
    </row>
    <row r="1699" spans="1:20" ht="15" thickBot="1" x14ac:dyDescent="0.25">
      <c r="A1699" s="420"/>
      <c r="B1699" s="651"/>
      <c r="C1699" s="1128"/>
      <c r="D1699" s="649" t="s">
        <v>1819</v>
      </c>
      <c r="E1699" s="1174" t="s">
        <v>55</v>
      </c>
      <c r="F1699" s="689"/>
      <c r="G1699" s="689">
        <v>3</v>
      </c>
      <c r="H1699" s="689">
        <v>3</v>
      </c>
      <c r="I1699" s="684">
        <f t="shared" si="202"/>
        <v>100</v>
      </c>
    </row>
    <row r="1700" spans="1:20" s="106" customFormat="1" ht="16.5" thickTop="1" thickBot="1" x14ac:dyDescent="0.3">
      <c r="A1700" s="3110" t="s">
        <v>1000</v>
      </c>
      <c r="B1700" s="3111"/>
      <c r="C1700" s="3111"/>
      <c r="D1700" s="3111"/>
      <c r="E1700" s="3111"/>
      <c r="F1700" s="680">
        <f>F1686</f>
        <v>3525</v>
      </c>
      <c r="G1700" s="680">
        <f>G1698+G1696+G1690+G1686+G1684+G1682</f>
        <v>29088</v>
      </c>
      <c r="H1700" s="680">
        <f>H1698+H1696+H1690+H1686+H1684+H1682</f>
        <v>29088</v>
      </c>
      <c r="I1700" s="681">
        <f>(H1700/G1700)*100</f>
        <v>100</v>
      </c>
      <c r="R1700" s="374">
        <f>F1700</f>
        <v>3525</v>
      </c>
      <c r="S1700" s="374">
        <f>G1700</f>
        <v>29088</v>
      </c>
      <c r="T1700" s="374">
        <f>H1700</f>
        <v>29088</v>
      </c>
    </row>
    <row r="1701" spans="1:20" s="375" customFormat="1" ht="13.5" thickTop="1" x14ac:dyDescent="0.2">
      <c r="A1701" s="373"/>
      <c r="B1701" s="598"/>
      <c r="C1701" s="373"/>
      <c r="D1701" s="670"/>
      <c r="E1701" s="373"/>
      <c r="F1701" s="374"/>
      <c r="G1701" s="374"/>
      <c r="H1701" s="374"/>
      <c r="I1701" s="1125"/>
    </row>
    <row r="1702" spans="1:20" ht="13.5" thickBot="1" x14ac:dyDescent="0.25">
      <c r="A1702" s="421" t="s">
        <v>296</v>
      </c>
      <c r="I1702" s="1125" t="s">
        <v>148</v>
      </c>
    </row>
    <row r="1703" spans="1:20" ht="14.25" thickTop="1" thickBot="1" x14ac:dyDescent="0.25">
      <c r="A1703" s="586" t="s">
        <v>565</v>
      </c>
      <c r="B1703" s="658" t="s">
        <v>149</v>
      </c>
      <c r="C1703" s="587" t="s">
        <v>150</v>
      </c>
      <c r="D1703" s="589" t="s">
        <v>639</v>
      </c>
      <c r="E1703" s="589" t="s">
        <v>151</v>
      </c>
      <c r="F1703" s="589" t="s">
        <v>569</v>
      </c>
      <c r="G1703" s="589" t="s">
        <v>570</v>
      </c>
      <c r="H1703" s="589" t="s">
        <v>797</v>
      </c>
      <c r="I1703" s="674" t="s">
        <v>798</v>
      </c>
    </row>
    <row r="1704" spans="1:20" ht="14.25" thickTop="1" thickBot="1" x14ac:dyDescent="0.25">
      <c r="A1704" s="525">
        <v>1</v>
      </c>
      <c r="B1704" s="526">
        <v>2</v>
      </c>
      <c r="C1704" s="526">
        <v>3</v>
      </c>
      <c r="D1704" s="526">
        <v>4</v>
      </c>
      <c r="E1704" s="526">
        <v>5</v>
      </c>
      <c r="F1704" s="512">
        <v>6</v>
      </c>
      <c r="G1704" s="512">
        <v>7</v>
      </c>
      <c r="H1704" s="513">
        <v>8</v>
      </c>
      <c r="I1704" s="591" t="s">
        <v>689</v>
      </c>
    </row>
    <row r="1705" spans="1:20" ht="14.25" customHeight="1" thickTop="1" x14ac:dyDescent="0.25">
      <c r="A1705" s="420">
        <v>1207</v>
      </c>
      <c r="B1705" s="651">
        <v>3122</v>
      </c>
      <c r="C1705" s="651">
        <v>5336</v>
      </c>
      <c r="D1705" s="1974"/>
      <c r="E1705" s="616" t="s">
        <v>1740</v>
      </c>
      <c r="F1705" s="683"/>
      <c r="G1705" s="705">
        <f>G1706</f>
        <v>5523</v>
      </c>
      <c r="H1705" s="705">
        <f>H1706</f>
        <v>5523</v>
      </c>
      <c r="I1705" s="677">
        <f t="shared" ref="I1705:I1725" si="204">(H1705/G1705)*100</f>
        <v>100</v>
      </c>
    </row>
    <row r="1706" spans="1:20" ht="14.25" x14ac:dyDescent="0.2">
      <c r="A1706" s="420"/>
      <c r="B1706" s="651"/>
      <c r="C1706" s="651"/>
      <c r="D1706" s="518" t="s">
        <v>1807</v>
      </c>
      <c r="E1706" s="442" t="s">
        <v>716</v>
      </c>
      <c r="F1706" s="683"/>
      <c r="G1706" s="683">
        <v>5523</v>
      </c>
      <c r="H1706" s="683">
        <v>5523</v>
      </c>
      <c r="I1706" s="679">
        <f t="shared" si="204"/>
        <v>100</v>
      </c>
    </row>
    <row r="1707" spans="1:20" ht="15" x14ac:dyDescent="0.25">
      <c r="A1707" s="420">
        <v>1207</v>
      </c>
      <c r="B1707" s="617">
        <v>3123</v>
      </c>
      <c r="C1707" s="617">
        <v>5336</v>
      </c>
      <c r="D1707" s="1973"/>
      <c r="E1707" s="616" t="s">
        <v>1740</v>
      </c>
      <c r="F1707" s="683"/>
      <c r="G1707" s="705">
        <f>G1708</f>
        <v>19974</v>
      </c>
      <c r="H1707" s="705">
        <f>H1708</f>
        <v>19974</v>
      </c>
      <c r="I1707" s="707">
        <f t="shared" si="204"/>
        <v>100</v>
      </c>
    </row>
    <row r="1708" spans="1:20" ht="14.25" x14ac:dyDescent="0.2">
      <c r="A1708" s="420"/>
      <c r="B1708" s="617"/>
      <c r="C1708" s="1127"/>
      <c r="D1708" s="518" t="s">
        <v>1807</v>
      </c>
      <c r="E1708" s="442" t="s">
        <v>716</v>
      </c>
      <c r="F1708" s="683"/>
      <c r="G1708" s="683">
        <v>19974</v>
      </c>
      <c r="H1708" s="683">
        <v>19974</v>
      </c>
      <c r="I1708" s="679">
        <f t="shared" si="204"/>
        <v>100</v>
      </c>
    </row>
    <row r="1709" spans="1:20" ht="15" x14ac:dyDescent="0.25">
      <c r="A1709" s="420">
        <v>1207</v>
      </c>
      <c r="B1709" s="651">
        <v>3127</v>
      </c>
      <c r="C1709" s="651">
        <v>5331</v>
      </c>
      <c r="D1709" s="712"/>
      <c r="E1709" s="616" t="s">
        <v>858</v>
      </c>
      <c r="F1709" s="690">
        <f>F1710+F1711</f>
        <v>3604</v>
      </c>
      <c r="G1709" s="690">
        <f t="shared" ref="G1709:H1709" si="205">G1710+G1711</f>
        <v>602</v>
      </c>
      <c r="H1709" s="690">
        <f t="shared" si="205"/>
        <v>602</v>
      </c>
      <c r="I1709" s="691">
        <f t="shared" si="204"/>
        <v>100</v>
      </c>
    </row>
    <row r="1710" spans="1:20" ht="14.25" x14ac:dyDescent="0.2">
      <c r="A1710" s="420"/>
      <c r="B1710" s="651"/>
      <c r="C1710" s="651"/>
      <c r="D1710" s="636" t="s">
        <v>1811</v>
      </c>
      <c r="E1710" s="1162" t="s">
        <v>717</v>
      </c>
      <c r="F1710" s="692">
        <v>678</v>
      </c>
      <c r="G1710" s="692">
        <v>114</v>
      </c>
      <c r="H1710" s="692">
        <v>114</v>
      </c>
      <c r="I1710" s="684">
        <f t="shared" si="204"/>
        <v>100</v>
      </c>
    </row>
    <row r="1711" spans="1:20" ht="14.25" x14ac:dyDescent="0.2">
      <c r="A1711" s="420"/>
      <c r="B1711" s="651"/>
      <c r="C1711" s="651"/>
      <c r="D1711" s="518" t="s">
        <v>1812</v>
      </c>
      <c r="E1711" s="442" t="s">
        <v>63</v>
      </c>
      <c r="F1711" s="689">
        <v>2926</v>
      </c>
      <c r="G1711" s="689">
        <v>488</v>
      </c>
      <c r="H1711" s="689">
        <v>488</v>
      </c>
      <c r="I1711" s="684">
        <f t="shared" si="204"/>
        <v>100</v>
      </c>
    </row>
    <row r="1712" spans="1:20" ht="15" x14ac:dyDescent="0.25">
      <c r="A1712" s="420">
        <v>1207</v>
      </c>
      <c r="B1712" s="651">
        <v>3127</v>
      </c>
      <c r="C1712" s="617">
        <v>5336</v>
      </c>
      <c r="D1712" s="2881"/>
      <c r="E1712" s="616" t="s">
        <v>1740</v>
      </c>
      <c r="F1712" s="689"/>
      <c r="G1712" s="690">
        <f>G1713+G1716+G1717+G1718+G1719+G1720+G1721</f>
        <v>1936</v>
      </c>
      <c r="H1712" s="690">
        <f>H1713+H1716+H1717+H1718+H1719+H1720+H1721</f>
        <v>1936</v>
      </c>
      <c r="I1712" s="691">
        <f t="shared" si="204"/>
        <v>100</v>
      </c>
    </row>
    <row r="1713" spans="1:20" ht="14.25" x14ac:dyDescent="0.2">
      <c r="A1713" s="420"/>
      <c r="B1713" s="651"/>
      <c r="C1713" s="651"/>
      <c r="D1713" s="3106" t="s">
        <v>1844</v>
      </c>
      <c r="E1713" s="3113" t="s">
        <v>1287</v>
      </c>
      <c r="F1713" s="689"/>
      <c r="G1713" s="689">
        <v>104</v>
      </c>
      <c r="H1713" s="689">
        <v>104</v>
      </c>
      <c r="I1713" s="684">
        <f t="shared" si="204"/>
        <v>100</v>
      </c>
    </row>
    <row r="1714" spans="1:20" ht="14.25" x14ac:dyDescent="0.2">
      <c r="A1714" s="420"/>
      <c r="B1714" s="651"/>
      <c r="C1714" s="651"/>
      <c r="D1714" s="3107"/>
      <c r="E1714" s="3114"/>
      <c r="F1714" s="689"/>
      <c r="G1714" s="689"/>
      <c r="H1714" s="689"/>
      <c r="I1714" s="684"/>
    </row>
    <row r="1715" spans="1:20" ht="14.25" x14ac:dyDescent="0.2">
      <c r="A1715" s="420"/>
      <c r="B1715" s="651"/>
      <c r="C1715" s="651"/>
      <c r="D1715" s="3107"/>
      <c r="E1715" s="3114"/>
      <c r="F1715" s="689"/>
      <c r="G1715" s="689"/>
      <c r="H1715" s="689"/>
      <c r="I1715" s="684"/>
    </row>
    <row r="1716" spans="1:20" ht="14.25" customHeight="1" x14ac:dyDescent="0.2">
      <c r="A1716" s="420"/>
      <c r="B1716" s="651"/>
      <c r="C1716" s="651"/>
      <c r="D1716" s="518" t="s">
        <v>1827</v>
      </c>
      <c r="E1716" s="1676" t="s">
        <v>1407</v>
      </c>
      <c r="F1716" s="689"/>
      <c r="G1716" s="689">
        <v>9</v>
      </c>
      <c r="H1716" s="689">
        <v>9</v>
      </c>
      <c r="I1716" s="684">
        <f t="shared" si="204"/>
        <v>100</v>
      </c>
    </row>
    <row r="1717" spans="1:20" ht="14.25" customHeight="1" x14ac:dyDescent="0.2">
      <c r="A1717" s="420"/>
      <c r="B1717" s="651"/>
      <c r="C1717" s="651"/>
      <c r="D1717" s="887" t="s">
        <v>1818</v>
      </c>
      <c r="E1717" s="1963" t="s">
        <v>1600</v>
      </c>
      <c r="F1717" s="689"/>
      <c r="G1717" s="689">
        <v>252</v>
      </c>
      <c r="H1717" s="689">
        <v>252</v>
      </c>
      <c r="I1717" s="684">
        <f t="shared" si="204"/>
        <v>100</v>
      </c>
    </row>
    <row r="1718" spans="1:20" ht="14.25" customHeight="1" x14ac:dyDescent="0.2">
      <c r="A1718" s="420"/>
      <c r="B1718" s="651"/>
      <c r="C1718" s="651"/>
      <c r="D1718" s="887" t="s">
        <v>1808</v>
      </c>
      <c r="E1718" s="1676" t="s">
        <v>1739</v>
      </c>
      <c r="F1718" s="689"/>
      <c r="G1718" s="689">
        <v>867</v>
      </c>
      <c r="H1718" s="689">
        <v>867</v>
      </c>
      <c r="I1718" s="684">
        <f t="shared" si="204"/>
        <v>100</v>
      </c>
    </row>
    <row r="1719" spans="1:20" ht="14.25" customHeight="1" x14ac:dyDescent="0.2">
      <c r="A1719" s="420"/>
      <c r="B1719" s="651"/>
      <c r="C1719" s="651"/>
      <c r="D1719" s="887" t="s">
        <v>1809</v>
      </c>
      <c r="E1719" s="2882" t="s">
        <v>1810</v>
      </c>
      <c r="F1719" s="689"/>
      <c r="G1719" s="689">
        <v>137</v>
      </c>
      <c r="H1719" s="689">
        <v>137</v>
      </c>
      <c r="I1719" s="684">
        <f t="shared" si="204"/>
        <v>100</v>
      </c>
    </row>
    <row r="1720" spans="1:20" ht="14.25" customHeight="1" x14ac:dyDescent="0.2">
      <c r="A1720" s="420"/>
      <c r="B1720" s="651"/>
      <c r="C1720" s="651"/>
      <c r="D1720" s="518" t="s">
        <v>1813</v>
      </c>
      <c r="E1720" s="1162" t="s">
        <v>1815</v>
      </c>
      <c r="F1720" s="689"/>
      <c r="G1720" s="689">
        <v>85</v>
      </c>
      <c r="H1720" s="689">
        <v>85</v>
      </c>
      <c r="I1720" s="684">
        <f t="shared" si="204"/>
        <v>100</v>
      </c>
    </row>
    <row r="1721" spans="1:20" ht="14.25" x14ac:dyDescent="0.2">
      <c r="A1721" s="420"/>
      <c r="B1721" s="651"/>
      <c r="C1721" s="651"/>
      <c r="D1721" s="518" t="s">
        <v>1814</v>
      </c>
      <c r="E1721" s="1162" t="s">
        <v>1815</v>
      </c>
      <c r="F1721" s="689"/>
      <c r="G1721" s="689">
        <v>482</v>
      </c>
      <c r="H1721" s="689">
        <v>482</v>
      </c>
      <c r="I1721" s="684">
        <f t="shared" si="204"/>
        <v>100</v>
      </c>
    </row>
    <row r="1722" spans="1:20" ht="18" customHeight="1" x14ac:dyDescent="0.25">
      <c r="A1722" s="420">
        <v>1207</v>
      </c>
      <c r="B1722" s="651">
        <v>3141</v>
      </c>
      <c r="C1722" s="651">
        <v>5336</v>
      </c>
      <c r="D1722" s="518"/>
      <c r="E1722" s="616" t="s">
        <v>1740</v>
      </c>
      <c r="F1722" s="689"/>
      <c r="G1722" s="700">
        <f>G1723</f>
        <v>16</v>
      </c>
      <c r="H1722" s="700">
        <f>H1723</f>
        <v>16</v>
      </c>
      <c r="I1722" s="693">
        <f t="shared" si="204"/>
        <v>100</v>
      </c>
    </row>
    <row r="1723" spans="1:20" ht="14.25" x14ac:dyDescent="0.2">
      <c r="A1723" s="420"/>
      <c r="B1723" s="651"/>
      <c r="C1723" s="1128"/>
      <c r="D1723" s="518" t="s">
        <v>1807</v>
      </c>
      <c r="E1723" s="442" t="s">
        <v>716</v>
      </c>
      <c r="F1723" s="689"/>
      <c r="G1723" s="689">
        <v>16</v>
      </c>
      <c r="H1723" s="689">
        <v>16</v>
      </c>
      <c r="I1723" s="684">
        <f t="shared" si="204"/>
        <v>100</v>
      </c>
    </row>
    <row r="1724" spans="1:20" ht="15" x14ac:dyDescent="0.25">
      <c r="A1724" s="420">
        <v>1207</v>
      </c>
      <c r="B1724" s="651">
        <v>3147</v>
      </c>
      <c r="C1724" s="651">
        <v>5336</v>
      </c>
      <c r="D1724" s="518"/>
      <c r="E1724" s="616" t="s">
        <v>1740</v>
      </c>
      <c r="F1724" s="689"/>
      <c r="G1724" s="700">
        <f>G1725</f>
        <v>1691</v>
      </c>
      <c r="H1724" s="700">
        <f>H1725</f>
        <v>1691</v>
      </c>
      <c r="I1724" s="693">
        <f t="shared" si="204"/>
        <v>100</v>
      </c>
    </row>
    <row r="1725" spans="1:20" ht="15" thickBot="1" x14ac:dyDescent="0.25">
      <c r="A1725" s="420"/>
      <c r="B1725" s="651"/>
      <c r="C1725" s="1128"/>
      <c r="D1725" s="518" t="s">
        <v>1807</v>
      </c>
      <c r="E1725" s="442" t="s">
        <v>716</v>
      </c>
      <c r="F1725" s="689"/>
      <c r="G1725" s="689">
        <v>1691</v>
      </c>
      <c r="H1725" s="689">
        <v>1691</v>
      </c>
      <c r="I1725" s="684">
        <f t="shared" si="204"/>
        <v>100</v>
      </c>
    </row>
    <row r="1726" spans="1:20" s="106" customFormat="1" ht="16.5" thickTop="1" thickBot="1" x14ac:dyDescent="0.3">
      <c r="A1726" s="3110" t="s">
        <v>1000</v>
      </c>
      <c r="B1726" s="3111"/>
      <c r="C1726" s="3111"/>
      <c r="D1726" s="3111"/>
      <c r="E1726" s="3111"/>
      <c r="F1726" s="680">
        <f>F1709</f>
        <v>3604</v>
      </c>
      <c r="G1726" s="680">
        <f>G1724+G1722+G1712+G1709+G1707+G1705</f>
        <v>29742</v>
      </c>
      <c r="H1726" s="680">
        <f>H1724+H1722+H1712+H1709+H1707+H1705</f>
        <v>29742</v>
      </c>
      <c r="I1726" s="681">
        <f>(H1726/G1726)*100</f>
        <v>100</v>
      </c>
      <c r="R1726" s="374">
        <f>F1726</f>
        <v>3604</v>
      </c>
      <c r="S1726" s="374">
        <f>G1726</f>
        <v>29742</v>
      </c>
      <c r="T1726" s="374">
        <f>H1726</f>
        <v>29742</v>
      </c>
    </row>
    <row r="1727" spans="1:20" s="375" customFormat="1" ht="15.75" thickTop="1" x14ac:dyDescent="0.25">
      <c r="A1727" s="361"/>
      <c r="B1727" s="361"/>
      <c r="C1727" s="361"/>
      <c r="D1727" s="361"/>
      <c r="E1727" s="361"/>
      <c r="F1727" s="178"/>
      <c r="G1727" s="178"/>
      <c r="H1727" s="178"/>
      <c r="I1727" s="207"/>
    </row>
    <row r="1728" spans="1:20" s="375" customFormat="1" ht="15" x14ac:dyDescent="0.25">
      <c r="A1728" s="361"/>
      <c r="B1728" s="361"/>
      <c r="C1728" s="361"/>
      <c r="D1728" s="361"/>
      <c r="E1728" s="361"/>
      <c r="F1728" s="178"/>
      <c r="G1728" s="178"/>
      <c r="H1728" s="178"/>
      <c r="I1728" s="207"/>
    </row>
    <row r="1729" spans="1:9" ht="13.5" thickBot="1" x14ac:dyDescent="0.25">
      <c r="A1729" s="421" t="s">
        <v>1290</v>
      </c>
      <c r="I1729" s="1125" t="s">
        <v>148</v>
      </c>
    </row>
    <row r="1730" spans="1:9" ht="14.25" thickTop="1" thickBot="1" x14ac:dyDescent="0.25">
      <c r="A1730" s="586" t="s">
        <v>565</v>
      </c>
      <c r="B1730" s="658" t="s">
        <v>149</v>
      </c>
      <c r="C1730" s="587" t="s">
        <v>150</v>
      </c>
      <c r="D1730" s="589" t="s">
        <v>639</v>
      </c>
      <c r="E1730" s="589" t="s">
        <v>151</v>
      </c>
      <c r="F1730" s="589" t="s">
        <v>569</v>
      </c>
      <c r="G1730" s="589" t="s">
        <v>570</v>
      </c>
      <c r="H1730" s="589" t="s">
        <v>797</v>
      </c>
      <c r="I1730" s="674" t="s">
        <v>798</v>
      </c>
    </row>
    <row r="1731" spans="1:9" ht="14.25" thickTop="1" thickBot="1" x14ac:dyDescent="0.25">
      <c r="A1731" s="525">
        <v>1</v>
      </c>
      <c r="B1731" s="526">
        <v>2</v>
      </c>
      <c r="C1731" s="526">
        <v>3</v>
      </c>
      <c r="D1731" s="526">
        <v>4</v>
      </c>
      <c r="E1731" s="526">
        <v>5</v>
      </c>
      <c r="F1731" s="512">
        <v>6</v>
      </c>
      <c r="G1731" s="512">
        <v>7</v>
      </c>
      <c r="H1731" s="513">
        <v>8</v>
      </c>
      <c r="I1731" s="591" t="s">
        <v>689</v>
      </c>
    </row>
    <row r="1732" spans="1:9" ht="15.75" thickTop="1" x14ac:dyDescent="0.25">
      <c r="A1732" s="1136">
        <v>1208</v>
      </c>
      <c r="B1732" s="701">
        <v>3122</v>
      </c>
      <c r="C1732" s="701">
        <v>5336</v>
      </c>
      <c r="D1732" s="706"/>
      <c r="E1732" s="616" t="s">
        <v>1740</v>
      </c>
      <c r="F1732" s="699"/>
      <c r="G1732" s="699">
        <f>G1733</f>
        <v>1748</v>
      </c>
      <c r="H1732" s="699">
        <f>H1733</f>
        <v>1748</v>
      </c>
      <c r="I1732" s="703">
        <f>(H1732/G1732)*100</f>
        <v>100</v>
      </c>
    </row>
    <row r="1733" spans="1:9" ht="14.25" x14ac:dyDescent="0.2">
      <c r="A1733" s="420"/>
      <c r="B1733" s="617"/>
      <c r="C1733" s="617"/>
      <c r="D1733" s="518" t="s">
        <v>1807</v>
      </c>
      <c r="E1733" s="442" t="s">
        <v>716</v>
      </c>
      <c r="F1733" s="683"/>
      <c r="G1733" s="683">
        <v>1748</v>
      </c>
      <c r="H1733" s="683">
        <v>1748</v>
      </c>
      <c r="I1733" s="679">
        <f>(H1733/G1733)*100</f>
        <v>100</v>
      </c>
    </row>
    <row r="1734" spans="1:9" ht="15" x14ac:dyDescent="0.25">
      <c r="A1734" s="420">
        <v>1208</v>
      </c>
      <c r="B1734" s="651">
        <v>3123</v>
      </c>
      <c r="C1734" s="651">
        <v>5336</v>
      </c>
      <c r="D1734" s="888"/>
      <c r="E1734" s="616" t="s">
        <v>1740</v>
      </c>
      <c r="F1734" s="689"/>
      <c r="G1734" s="700">
        <f>G1735</f>
        <v>12463</v>
      </c>
      <c r="H1734" s="700">
        <f>H1735</f>
        <v>12463</v>
      </c>
      <c r="I1734" s="693">
        <f t="shared" ref="I1734:I1746" si="206">(H1734/G1734)*100</f>
        <v>100</v>
      </c>
    </row>
    <row r="1735" spans="1:9" ht="14.25" x14ac:dyDescent="0.2">
      <c r="A1735" s="420"/>
      <c r="B1735" s="651"/>
      <c r="C1735" s="1128"/>
      <c r="D1735" s="518" t="s">
        <v>1807</v>
      </c>
      <c r="E1735" s="442" t="s">
        <v>716</v>
      </c>
      <c r="F1735" s="689"/>
      <c r="G1735" s="689">
        <v>12463</v>
      </c>
      <c r="H1735" s="689">
        <v>12463</v>
      </c>
      <c r="I1735" s="684">
        <f t="shared" si="206"/>
        <v>100</v>
      </c>
    </row>
    <row r="1736" spans="1:9" ht="15" x14ac:dyDescent="0.25">
      <c r="A1736" s="420">
        <v>1208</v>
      </c>
      <c r="B1736" s="651">
        <v>3127</v>
      </c>
      <c r="C1736" s="651">
        <v>5331</v>
      </c>
      <c r="D1736" s="712"/>
      <c r="E1736" s="616" t="s">
        <v>858</v>
      </c>
      <c r="F1736" s="690">
        <f>F1737+F1738</f>
        <v>5170</v>
      </c>
      <c r="G1736" s="690">
        <f t="shared" ref="G1736:H1736" si="207">G1737+G1738</f>
        <v>862</v>
      </c>
      <c r="H1736" s="690">
        <f t="shared" si="207"/>
        <v>862</v>
      </c>
      <c r="I1736" s="691">
        <f t="shared" si="206"/>
        <v>100</v>
      </c>
    </row>
    <row r="1737" spans="1:9" ht="14.25" x14ac:dyDescent="0.2">
      <c r="A1737" s="420"/>
      <c r="B1737" s="651"/>
      <c r="C1737" s="1128"/>
      <c r="D1737" s="636" t="s">
        <v>1811</v>
      </c>
      <c r="E1737" s="1162" t="s">
        <v>717</v>
      </c>
      <c r="F1737" s="689">
        <v>836</v>
      </c>
      <c r="G1737" s="689">
        <v>140</v>
      </c>
      <c r="H1737" s="689">
        <v>140</v>
      </c>
      <c r="I1737" s="684">
        <f t="shared" si="206"/>
        <v>100</v>
      </c>
    </row>
    <row r="1738" spans="1:9" ht="14.25" x14ac:dyDescent="0.2">
      <c r="A1738" s="420"/>
      <c r="B1738" s="651"/>
      <c r="C1738" s="1128"/>
      <c r="D1738" s="518" t="s">
        <v>1812</v>
      </c>
      <c r="E1738" s="442" t="s">
        <v>63</v>
      </c>
      <c r="F1738" s="689">
        <v>4334</v>
      </c>
      <c r="G1738" s="689">
        <v>722</v>
      </c>
      <c r="H1738" s="689">
        <v>722</v>
      </c>
      <c r="I1738" s="684">
        <f t="shared" si="206"/>
        <v>100</v>
      </c>
    </row>
    <row r="1739" spans="1:9" ht="15" x14ac:dyDescent="0.25">
      <c r="A1739" s="420">
        <v>1208</v>
      </c>
      <c r="B1739" s="651">
        <v>3127</v>
      </c>
      <c r="C1739" s="651">
        <v>5336</v>
      </c>
      <c r="D1739" s="888"/>
      <c r="E1739" s="616" t="s">
        <v>1740</v>
      </c>
      <c r="F1739" s="689"/>
      <c r="G1739" s="690">
        <f>G1740+G1741+G1742+G1743+G1744</f>
        <v>2273</v>
      </c>
      <c r="H1739" s="690">
        <f>H1740+H1741+H1742+H1743+H1744</f>
        <v>2273</v>
      </c>
      <c r="I1739" s="691">
        <f t="shared" si="206"/>
        <v>100</v>
      </c>
    </row>
    <row r="1740" spans="1:9" ht="14.25" x14ac:dyDescent="0.2">
      <c r="A1740" s="420"/>
      <c r="B1740" s="651"/>
      <c r="C1740" s="1128"/>
      <c r="D1740" s="887" t="s">
        <v>1818</v>
      </c>
      <c r="E1740" s="1963" t="s">
        <v>1600</v>
      </c>
      <c r="F1740" s="689"/>
      <c r="G1740" s="689">
        <v>471</v>
      </c>
      <c r="H1740" s="689">
        <v>471</v>
      </c>
      <c r="I1740" s="684">
        <f t="shared" si="206"/>
        <v>100</v>
      </c>
    </row>
    <row r="1741" spans="1:9" ht="14.25" x14ac:dyDescent="0.2">
      <c r="A1741" s="420"/>
      <c r="B1741" s="651"/>
      <c r="C1741" s="1128"/>
      <c r="D1741" s="887" t="s">
        <v>1808</v>
      </c>
      <c r="E1741" s="1676" t="s">
        <v>1739</v>
      </c>
      <c r="F1741" s="689"/>
      <c r="G1741" s="689">
        <v>407</v>
      </c>
      <c r="H1741" s="689">
        <v>407</v>
      </c>
      <c r="I1741" s="684">
        <f t="shared" si="206"/>
        <v>100</v>
      </c>
    </row>
    <row r="1742" spans="1:9" ht="28.5" x14ac:dyDescent="0.2">
      <c r="A1742" s="420"/>
      <c r="B1742" s="651"/>
      <c r="C1742" s="1128"/>
      <c r="D1742" s="887" t="s">
        <v>1809</v>
      </c>
      <c r="E1742" s="2882" t="s">
        <v>1810</v>
      </c>
      <c r="F1742" s="689"/>
      <c r="G1742" s="1062">
        <v>94</v>
      </c>
      <c r="H1742" s="1062">
        <v>94</v>
      </c>
      <c r="I1742" s="1066">
        <f t="shared" si="206"/>
        <v>100</v>
      </c>
    </row>
    <row r="1743" spans="1:9" ht="14.25" x14ac:dyDescent="0.2">
      <c r="A1743" s="420"/>
      <c r="B1743" s="651"/>
      <c r="C1743" s="1128"/>
      <c r="D1743" s="518" t="s">
        <v>1813</v>
      </c>
      <c r="E1743" s="1162" t="s">
        <v>1815</v>
      </c>
      <c r="F1743" s="689"/>
      <c r="G1743" s="689">
        <v>195</v>
      </c>
      <c r="H1743" s="689">
        <v>195</v>
      </c>
      <c r="I1743" s="684">
        <f t="shared" si="206"/>
        <v>100</v>
      </c>
    </row>
    <row r="1744" spans="1:9" ht="14.25" x14ac:dyDescent="0.2">
      <c r="A1744" s="420"/>
      <c r="B1744" s="651"/>
      <c r="C1744" s="1128"/>
      <c r="D1744" s="518" t="s">
        <v>1814</v>
      </c>
      <c r="E1744" s="1162" t="s">
        <v>1815</v>
      </c>
      <c r="F1744" s="689"/>
      <c r="G1744" s="689">
        <v>1106</v>
      </c>
      <c r="H1744" s="689">
        <v>1106</v>
      </c>
      <c r="I1744" s="684">
        <f t="shared" si="206"/>
        <v>100</v>
      </c>
    </row>
    <row r="1745" spans="1:20" ht="14.25" customHeight="1" x14ac:dyDescent="0.25">
      <c r="A1745" s="420">
        <v>1208</v>
      </c>
      <c r="B1745" s="651">
        <v>3141</v>
      </c>
      <c r="C1745" s="1128">
        <v>5336</v>
      </c>
      <c r="D1745" s="527"/>
      <c r="E1745" s="616" t="s">
        <v>1740</v>
      </c>
      <c r="F1745" s="700"/>
      <c r="G1745" s="700">
        <f>G1746</f>
        <v>1879</v>
      </c>
      <c r="H1745" s="700">
        <f>H1746</f>
        <v>1879</v>
      </c>
      <c r="I1745" s="693">
        <f t="shared" si="206"/>
        <v>100</v>
      </c>
    </row>
    <row r="1746" spans="1:20" ht="14.25" x14ac:dyDescent="0.2">
      <c r="A1746" s="420"/>
      <c r="B1746" s="651"/>
      <c r="C1746" s="1128"/>
      <c r="D1746" s="518" t="s">
        <v>1807</v>
      </c>
      <c r="E1746" s="442" t="s">
        <v>716</v>
      </c>
      <c r="F1746" s="689"/>
      <c r="G1746" s="689">
        <v>1879</v>
      </c>
      <c r="H1746" s="689">
        <v>1879</v>
      </c>
      <c r="I1746" s="684">
        <f t="shared" si="206"/>
        <v>100</v>
      </c>
    </row>
    <row r="1747" spans="1:20" ht="18" customHeight="1" x14ac:dyDescent="0.25">
      <c r="A1747" s="420">
        <v>1208</v>
      </c>
      <c r="B1747" s="651">
        <v>3147</v>
      </c>
      <c r="C1747" s="651">
        <v>5336</v>
      </c>
      <c r="D1747" s="1137"/>
      <c r="E1747" s="616" t="s">
        <v>1740</v>
      </c>
      <c r="F1747" s="689"/>
      <c r="G1747" s="700">
        <f>G1748</f>
        <v>2762</v>
      </c>
      <c r="H1747" s="700">
        <f>H1748</f>
        <v>2762</v>
      </c>
      <c r="I1747" s="693">
        <f t="shared" ref="I1747:I1752" si="208">(H1747/G1747)*100</f>
        <v>100</v>
      </c>
    </row>
    <row r="1748" spans="1:20" ht="14.25" x14ac:dyDescent="0.2">
      <c r="A1748" s="420"/>
      <c r="B1748" s="651"/>
      <c r="C1748" s="651"/>
      <c r="D1748" s="518" t="s">
        <v>1807</v>
      </c>
      <c r="E1748" s="442" t="s">
        <v>716</v>
      </c>
      <c r="F1748" s="689"/>
      <c r="G1748" s="689">
        <v>2762</v>
      </c>
      <c r="H1748" s="689">
        <v>2762</v>
      </c>
      <c r="I1748" s="684">
        <f t="shared" si="208"/>
        <v>100</v>
      </c>
    </row>
    <row r="1749" spans="1:20" ht="15" x14ac:dyDescent="0.25">
      <c r="A1749" s="420">
        <v>1208</v>
      </c>
      <c r="B1749" s="617">
        <v>3293</v>
      </c>
      <c r="C1749" s="1127">
        <v>5336</v>
      </c>
      <c r="D1749" s="685"/>
      <c r="E1749" s="616" t="s">
        <v>1740</v>
      </c>
      <c r="F1749" s="700"/>
      <c r="G1749" s="700">
        <f>G1750</f>
        <v>4</v>
      </c>
      <c r="H1749" s="700">
        <f>H1750</f>
        <v>4</v>
      </c>
      <c r="I1749" s="693">
        <f t="shared" si="208"/>
        <v>100</v>
      </c>
    </row>
    <row r="1750" spans="1:20" ht="14.25" x14ac:dyDescent="0.2">
      <c r="A1750" s="420"/>
      <c r="B1750" s="651"/>
      <c r="C1750" s="651"/>
      <c r="D1750" s="649" t="s">
        <v>1819</v>
      </c>
      <c r="E1750" s="1174" t="s">
        <v>55</v>
      </c>
      <c r="F1750" s="689"/>
      <c r="G1750" s="689">
        <v>4</v>
      </c>
      <c r="H1750" s="689">
        <v>4</v>
      </c>
      <c r="I1750" s="684">
        <f t="shared" si="208"/>
        <v>100</v>
      </c>
    </row>
    <row r="1751" spans="1:20" ht="15" x14ac:dyDescent="0.25">
      <c r="A1751" s="420">
        <v>1208</v>
      </c>
      <c r="B1751" s="651">
        <v>3792</v>
      </c>
      <c r="C1751" s="651">
        <v>5331</v>
      </c>
      <c r="D1751" s="712"/>
      <c r="E1751" s="616" t="s">
        <v>858</v>
      </c>
      <c r="F1751" s="689"/>
      <c r="G1751" s="700">
        <f>G1752</f>
        <v>15</v>
      </c>
      <c r="H1751" s="700">
        <f>H1752</f>
        <v>15</v>
      </c>
      <c r="I1751" s="693">
        <f t="shared" si="208"/>
        <v>100</v>
      </c>
      <c r="J1751" s="700"/>
      <c r="K1751" s="700"/>
      <c r="L1751" s="693"/>
      <c r="M1751" s="700"/>
      <c r="N1751" s="700"/>
      <c r="O1751" s="693"/>
      <c r="P1751" s="2888"/>
    </row>
    <row r="1752" spans="1:20" ht="15" thickBot="1" x14ac:dyDescent="0.25">
      <c r="A1752" s="420"/>
      <c r="B1752" s="651"/>
      <c r="C1752" s="651"/>
      <c r="D1752" s="878" t="s">
        <v>1824</v>
      </c>
      <c r="E1752" s="956" t="s">
        <v>338</v>
      </c>
      <c r="F1752" s="689"/>
      <c r="G1752" s="689">
        <v>15</v>
      </c>
      <c r="H1752" s="689">
        <v>15</v>
      </c>
      <c r="I1752" s="684">
        <f t="shared" si="208"/>
        <v>100</v>
      </c>
    </row>
    <row r="1753" spans="1:20" ht="16.5" thickTop="1" thickBot="1" x14ac:dyDescent="0.3">
      <c r="A1753" s="3110" t="s">
        <v>1000</v>
      </c>
      <c r="B1753" s="3111"/>
      <c r="C1753" s="3111"/>
      <c r="D1753" s="3111"/>
      <c r="E1753" s="3111"/>
      <c r="F1753" s="680">
        <f>F1736</f>
        <v>5170</v>
      </c>
      <c r="G1753" s="680">
        <f>G1751+G1749+G1747+G1745+G1739+G1736+G1734+G1732</f>
        <v>22006</v>
      </c>
      <c r="H1753" s="680">
        <f>H1751+H1749+H1747+H1745+H1739+H1736+H1734+H1732</f>
        <v>22006</v>
      </c>
      <c r="I1753" s="681">
        <f>(H1753/G1753)*100</f>
        <v>100</v>
      </c>
      <c r="R1753" s="374">
        <f>F1753</f>
        <v>5170</v>
      </c>
      <c r="S1753" s="374">
        <f>G1753</f>
        <v>22006</v>
      </c>
      <c r="T1753" s="374">
        <f>H1753</f>
        <v>22006</v>
      </c>
    </row>
    <row r="1754" spans="1:20" s="375" customFormat="1" ht="12" customHeight="1" thickTop="1" x14ac:dyDescent="0.2">
      <c r="A1754" s="373"/>
      <c r="B1754" s="598"/>
      <c r="C1754" s="373"/>
      <c r="D1754" s="670"/>
      <c r="E1754" s="373"/>
      <c r="F1754" s="374"/>
      <c r="G1754" s="374"/>
      <c r="H1754" s="374"/>
      <c r="I1754" s="1125"/>
    </row>
    <row r="1755" spans="1:20" s="375" customFormat="1" ht="12" customHeight="1" x14ac:dyDescent="0.2">
      <c r="A1755" s="373"/>
      <c r="B1755" s="598"/>
      <c r="C1755" s="373"/>
      <c r="D1755" s="670"/>
      <c r="E1755" s="373"/>
      <c r="F1755" s="374"/>
      <c r="G1755" s="374"/>
      <c r="H1755" s="374"/>
      <c r="I1755" s="1125"/>
    </row>
    <row r="1756" spans="1:20" s="375" customFormat="1" ht="12" customHeight="1" x14ac:dyDescent="0.2">
      <c r="A1756" s="373"/>
      <c r="B1756" s="598"/>
      <c r="C1756" s="373"/>
      <c r="D1756" s="670"/>
      <c r="E1756" s="373"/>
      <c r="F1756" s="374"/>
      <c r="G1756" s="374"/>
      <c r="H1756" s="374"/>
      <c r="I1756" s="1125"/>
    </row>
    <row r="1757" spans="1:20" ht="13.5" thickBot="1" x14ac:dyDescent="0.25">
      <c r="A1757" s="421" t="s">
        <v>2152</v>
      </c>
      <c r="I1757" s="1125" t="s">
        <v>148</v>
      </c>
    </row>
    <row r="1758" spans="1:20" ht="14.25" thickTop="1" thickBot="1" x14ac:dyDescent="0.25">
      <c r="A1758" s="586" t="s">
        <v>565</v>
      </c>
      <c r="B1758" s="658" t="s">
        <v>149</v>
      </c>
      <c r="C1758" s="587" t="s">
        <v>150</v>
      </c>
      <c r="D1758" s="589" t="s">
        <v>639</v>
      </c>
      <c r="E1758" s="589" t="s">
        <v>151</v>
      </c>
      <c r="F1758" s="589" t="s">
        <v>569</v>
      </c>
      <c r="G1758" s="589" t="s">
        <v>570</v>
      </c>
      <c r="H1758" s="589" t="s">
        <v>797</v>
      </c>
      <c r="I1758" s="674" t="s">
        <v>798</v>
      </c>
    </row>
    <row r="1759" spans="1:20" ht="14.25" thickTop="1" thickBot="1" x14ac:dyDescent="0.25">
      <c r="A1759" s="525">
        <v>1</v>
      </c>
      <c r="B1759" s="526">
        <v>2</v>
      </c>
      <c r="C1759" s="526">
        <v>3</v>
      </c>
      <c r="D1759" s="526">
        <v>4</v>
      </c>
      <c r="E1759" s="526">
        <v>5</v>
      </c>
      <c r="F1759" s="512">
        <v>6</v>
      </c>
      <c r="G1759" s="512">
        <v>7</v>
      </c>
      <c r="H1759" s="513">
        <v>8</v>
      </c>
      <c r="I1759" s="591" t="s">
        <v>689</v>
      </c>
    </row>
    <row r="1760" spans="1:20" ht="15.75" thickTop="1" x14ac:dyDescent="0.25">
      <c r="A1760" s="1136">
        <v>1212</v>
      </c>
      <c r="B1760" s="701">
        <v>3122</v>
      </c>
      <c r="C1760" s="701">
        <v>5336</v>
      </c>
      <c r="D1760" s="706"/>
      <c r="E1760" s="616" t="s">
        <v>1740</v>
      </c>
      <c r="F1760" s="699"/>
      <c r="G1760" s="699">
        <f>G1761</f>
        <v>1634</v>
      </c>
      <c r="H1760" s="699">
        <f>H1761</f>
        <v>1634</v>
      </c>
      <c r="I1760" s="703">
        <f>(H1760/G1760)*100</f>
        <v>100</v>
      </c>
    </row>
    <row r="1761" spans="1:20" ht="14.25" x14ac:dyDescent="0.2">
      <c r="A1761" s="420"/>
      <c r="B1761" s="617"/>
      <c r="C1761" s="617"/>
      <c r="D1761" s="518" t="s">
        <v>1807</v>
      </c>
      <c r="E1761" s="442" t="s">
        <v>716</v>
      </c>
      <c r="F1761" s="683"/>
      <c r="G1761" s="683">
        <v>1634</v>
      </c>
      <c r="H1761" s="683">
        <v>1634</v>
      </c>
      <c r="I1761" s="679">
        <f>(H1761/G1761)*100</f>
        <v>100</v>
      </c>
    </row>
    <row r="1762" spans="1:20" ht="15" x14ac:dyDescent="0.25">
      <c r="A1762" s="420">
        <v>1212</v>
      </c>
      <c r="B1762" s="617">
        <v>3123</v>
      </c>
      <c r="C1762" s="617">
        <v>5336</v>
      </c>
      <c r="D1762" s="888"/>
      <c r="E1762" s="616" t="s">
        <v>1740</v>
      </c>
      <c r="F1762" s="683"/>
      <c r="G1762" s="705">
        <f>G1763</f>
        <v>14702</v>
      </c>
      <c r="H1762" s="705">
        <f>H1763</f>
        <v>14702</v>
      </c>
      <c r="I1762" s="707">
        <f t="shared" ref="I1762:I1772" si="209">(H1762/G1762)*100</f>
        <v>100</v>
      </c>
    </row>
    <row r="1763" spans="1:20" ht="14.25" x14ac:dyDescent="0.2">
      <c r="A1763" s="420"/>
      <c r="B1763" s="617"/>
      <c r="C1763" s="617"/>
      <c r="D1763" s="518" t="s">
        <v>1807</v>
      </c>
      <c r="E1763" s="442" t="s">
        <v>716</v>
      </c>
      <c r="F1763" s="683"/>
      <c r="G1763" s="683">
        <v>14702</v>
      </c>
      <c r="H1763" s="683">
        <v>14702</v>
      </c>
      <c r="I1763" s="679">
        <f t="shared" si="209"/>
        <v>100</v>
      </c>
    </row>
    <row r="1764" spans="1:20" ht="15" x14ac:dyDescent="0.25">
      <c r="A1764" s="420">
        <v>1212</v>
      </c>
      <c r="B1764" s="617">
        <v>3127</v>
      </c>
      <c r="C1764" s="651">
        <v>5331</v>
      </c>
      <c r="D1764" s="712"/>
      <c r="E1764" s="616" t="s">
        <v>858</v>
      </c>
      <c r="F1764" s="705">
        <f>F1765+F1766</f>
        <v>3017</v>
      </c>
      <c r="G1764" s="705">
        <f t="shared" ref="G1764:H1764" si="210">G1765+G1766</f>
        <v>502</v>
      </c>
      <c r="H1764" s="705">
        <f t="shared" si="210"/>
        <v>502</v>
      </c>
      <c r="I1764" s="707">
        <f t="shared" si="209"/>
        <v>100</v>
      </c>
    </row>
    <row r="1765" spans="1:20" ht="14.25" x14ac:dyDescent="0.2">
      <c r="A1765" s="420"/>
      <c r="B1765" s="651"/>
      <c r="C1765" s="651"/>
      <c r="D1765" s="636" t="s">
        <v>1811</v>
      </c>
      <c r="E1765" s="1162" t="s">
        <v>717</v>
      </c>
      <c r="F1765" s="689">
        <v>228</v>
      </c>
      <c r="G1765" s="689">
        <v>38</v>
      </c>
      <c r="H1765" s="689">
        <v>38</v>
      </c>
      <c r="I1765" s="679">
        <f t="shared" si="209"/>
        <v>100</v>
      </c>
    </row>
    <row r="1766" spans="1:20" ht="14.25" x14ac:dyDescent="0.2">
      <c r="A1766" s="420"/>
      <c r="B1766" s="651"/>
      <c r="C1766" s="651"/>
      <c r="D1766" s="518" t="s">
        <v>1812</v>
      </c>
      <c r="E1766" s="442" t="s">
        <v>63</v>
      </c>
      <c r="F1766" s="689">
        <v>2789</v>
      </c>
      <c r="G1766" s="689">
        <v>464</v>
      </c>
      <c r="H1766" s="689">
        <v>464</v>
      </c>
      <c r="I1766" s="679">
        <f t="shared" si="209"/>
        <v>100</v>
      </c>
    </row>
    <row r="1767" spans="1:20" ht="15" x14ac:dyDescent="0.25">
      <c r="A1767" s="420">
        <v>1212</v>
      </c>
      <c r="B1767" s="617">
        <v>3127</v>
      </c>
      <c r="C1767" s="617">
        <v>5336</v>
      </c>
      <c r="D1767" s="888"/>
      <c r="E1767" s="616" t="s">
        <v>1740</v>
      </c>
      <c r="F1767" s="689"/>
      <c r="G1767" s="705">
        <f>G1768+G1769+G1770</f>
        <v>734</v>
      </c>
      <c r="H1767" s="705">
        <f>H1768+H1769+H1770</f>
        <v>734</v>
      </c>
      <c r="I1767" s="707">
        <f t="shared" si="209"/>
        <v>100</v>
      </c>
    </row>
    <row r="1768" spans="1:20" ht="14.25" x14ac:dyDescent="0.2">
      <c r="A1768" s="420"/>
      <c r="B1768" s="651"/>
      <c r="C1768" s="651"/>
      <c r="D1768" s="887" t="s">
        <v>1818</v>
      </c>
      <c r="E1768" s="1963" t="s">
        <v>1600</v>
      </c>
      <c r="F1768" s="689"/>
      <c r="G1768" s="689">
        <v>207</v>
      </c>
      <c r="H1768" s="689">
        <v>207</v>
      </c>
      <c r="I1768" s="679">
        <f t="shared" si="209"/>
        <v>100</v>
      </c>
    </row>
    <row r="1769" spans="1:20" ht="14.25" x14ac:dyDescent="0.2">
      <c r="A1769" s="420"/>
      <c r="B1769" s="651"/>
      <c r="C1769" s="651"/>
      <c r="D1769" s="887" t="s">
        <v>1808</v>
      </c>
      <c r="E1769" s="1676" t="s">
        <v>1739</v>
      </c>
      <c r="F1769" s="689"/>
      <c r="G1769" s="689">
        <v>444</v>
      </c>
      <c r="H1769" s="689">
        <v>444</v>
      </c>
      <c r="I1769" s="679">
        <f t="shared" si="209"/>
        <v>100</v>
      </c>
    </row>
    <row r="1770" spans="1:20" ht="28.5" x14ac:dyDescent="0.2">
      <c r="A1770" s="420"/>
      <c r="B1770" s="651"/>
      <c r="C1770" s="651"/>
      <c r="D1770" s="887" t="s">
        <v>1809</v>
      </c>
      <c r="E1770" s="2882" t="s">
        <v>1810</v>
      </c>
      <c r="F1770" s="689"/>
      <c r="G1770" s="1062">
        <v>83</v>
      </c>
      <c r="H1770" s="1062">
        <v>83</v>
      </c>
      <c r="I1770" s="1063">
        <f t="shared" si="209"/>
        <v>100</v>
      </c>
    </row>
    <row r="1771" spans="1:20" ht="15" x14ac:dyDescent="0.25">
      <c r="A1771" s="420">
        <v>1212</v>
      </c>
      <c r="B1771" s="651">
        <v>3293</v>
      </c>
      <c r="C1771" s="617">
        <v>5336</v>
      </c>
      <c r="D1771" s="888"/>
      <c r="E1771" s="616" t="s">
        <v>1740</v>
      </c>
      <c r="F1771" s="700"/>
      <c r="G1771" s="700">
        <v>3</v>
      </c>
      <c r="H1771" s="700">
        <v>3</v>
      </c>
      <c r="I1771" s="693">
        <f t="shared" si="209"/>
        <v>100</v>
      </c>
    </row>
    <row r="1772" spans="1:20" ht="13.5" customHeight="1" thickBot="1" x14ac:dyDescent="0.25">
      <c r="A1772" s="420"/>
      <c r="B1772" s="651"/>
      <c r="C1772" s="651"/>
      <c r="D1772" s="649" t="s">
        <v>1819</v>
      </c>
      <c r="E1772" s="1174" t="s">
        <v>55</v>
      </c>
      <c r="F1772" s="689"/>
      <c r="G1772" s="689">
        <v>3</v>
      </c>
      <c r="H1772" s="689">
        <v>3</v>
      </c>
      <c r="I1772" s="684">
        <f t="shared" si="209"/>
        <v>100</v>
      </c>
    </row>
    <row r="1773" spans="1:20" ht="16.5" thickTop="1" thickBot="1" x14ac:dyDescent="0.3">
      <c r="A1773" s="3110" t="s">
        <v>1000</v>
      </c>
      <c r="B1773" s="3111"/>
      <c r="C1773" s="3111"/>
      <c r="D1773" s="3111"/>
      <c r="E1773" s="3111"/>
      <c r="F1773" s="680">
        <f>F1764</f>
        <v>3017</v>
      </c>
      <c r="G1773" s="680">
        <f>G1771+G1767+G1764+G1762+G1760</f>
        <v>17575</v>
      </c>
      <c r="H1773" s="680">
        <f>H1771+H1767+H1764+H1762+H1760</f>
        <v>17575</v>
      </c>
      <c r="I1773" s="681">
        <f>(H1773/G1773)*100</f>
        <v>100</v>
      </c>
      <c r="R1773" s="374">
        <f>F1773</f>
        <v>3017</v>
      </c>
      <c r="S1773" s="374">
        <f>G1773</f>
        <v>17575</v>
      </c>
      <c r="T1773" s="374">
        <f>H1773</f>
        <v>17575</v>
      </c>
    </row>
    <row r="1774" spans="1:20" s="106" customFormat="1" ht="13.5" thickTop="1" x14ac:dyDescent="0.2">
      <c r="A1774" s="373"/>
      <c r="B1774" s="598"/>
      <c r="C1774" s="373"/>
      <c r="D1774" s="670"/>
      <c r="E1774" s="373"/>
      <c r="F1774" s="374"/>
      <c r="G1774" s="374"/>
      <c r="H1774" s="374"/>
      <c r="I1774" s="1125"/>
    </row>
    <row r="1776" spans="1:20" ht="13.5" thickBot="1" x14ac:dyDescent="0.25">
      <c r="A1776" s="421" t="s">
        <v>297</v>
      </c>
      <c r="I1776" s="1125" t="s">
        <v>148</v>
      </c>
    </row>
    <row r="1777" spans="1:9" ht="14.25" thickTop="1" thickBot="1" x14ac:dyDescent="0.25">
      <c r="A1777" s="586" t="s">
        <v>565</v>
      </c>
      <c r="B1777" s="658" t="s">
        <v>149</v>
      </c>
      <c r="C1777" s="587" t="s">
        <v>150</v>
      </c>
      <c r="D1777" s="589" t="s">
        <v>639</v>
      </c>
      <c r="E1777" s="589" t="s">
        <v>151</v>
      </c>
      <c r="F1777" s="589" t="s">
        <v>569</v>
      </c>
      <c r="G1777" s="589" t="s">
        <v>570</v>
      </c>
      <c r="H1777" s="589" t="s">
        <v>797</v>
      </c>
      <c r="I1777" s="674" t="s">
        <v>798</v>
      </c>
    </row>
    <row r="1778" spans="1:9" ht="14.25" thickTop="1" thickBot="1" x14ac:dyDescent="0.25">
      <c r="A1778" s="525">
        <v>1</v>
      </c>
      <c r="B1778" s="526">
        <v>2</v>
      </c>
      <c r="C1778" s="526">
        <v>3</v>
      </c>
      <c r="D1778" s="526">
        <v>4</v>
      </c>
      <c r="E1778" s="526">
        <v>5</v>
      </c>
      <c r="F1778" s="512">
        <v>6</v>
      </c>
      <c r="G1778" s="512">
        <v>7</v>
      </c>
      <c r="H1778" s="513">
        <v>8</v>
      </c>
      <c r="I1778" s="591" t="s">
        <v>689</v>
      </c>
    </row>
    <row r="1779" spans="1:9" ht="15.75" thickTop="1" x14ac:dyDescent="0.25">
      <c r="A1779" s="420">
        <v>1216</v>
      </c>
      <c r="B1779" s="617">
        <v>3123</v>
      </c>
      <c r="C1779" s="617">
        <v>5336</v>
      </c>
      <c r="D1779" s="1972"/>
      <c r="E1779" s="616" t="s">
        <v>1740</v>
      </c>
      <c r="F1779" s="683"/>
      <c r="G1779" s="705">
        <f>G1780</f>
        <v>9397</v>
      </c>
      <c r="H1779" s="705">
        <f>H1780</f>
        <v>9397</v>
      </c>
      <c r="I1779" s="707">
        <f t="shared" ref="I1779:I1793" si="211">(H1779/G1779)*100</f>
        <v>100</v>
      </c>
    </row>
    <row r="1780" spans="1:9" ht="14.25" x14ac:dyDescent="0.2">
      <c r="A1780" s="420"/>
      <c r="B1780" s="617"/>
      <c r="C1780" s="617"/>
      <c r="D1780" s="518" t="s">
        <v>1807</v>
      </c>
      <c r="E1780" s="442" t="s">
        <v>716</v>
      </c>
      <c r="F1780" s="683"/>
      <c r="G1780" s="683">
        <v>9397</v>
      </c>
      <c r="H1780" s="683">
        <v>9397</v>
      </c>
      <c r="I1780" s="679">
        <f t="shared" si="211"/>
        <v>100</v>
      </c>
    </row>
    <row r="1781" spans="1:9" ht="15" x14ac:dyDescent="0.25">
      <c r="A1781" s="420">
        <v>1216</v>
      </c>
      <c r="B1781" s="651">
        <v>3124</v>
      </c>
      <c r="C1781" s="651">
        <v>5336</v>
      </c>
      <c r="D1781" s="888"/>
      <c r="E1781" s="616" t="s">
        <v>1740</v>
      </c>
      <c r="F1781" s="689"/>
      <c r="G1781" s="700">
        <f>G1782</f>
        <v>2130</v>
      </c>
      <c r="H1781" s="700">
        <f>H1782</f>
        <v>2130</v>
      </c>
      <c r="I1781" s="693">
        <f t="shared" si="211"/>
        <v>100</v>
      </c>
    </row>
    <row r="1782" spans="1:9" ht="14.25" x14ac:dyDescent="0.2">
      <c r="A1782" s="420"/>
      <c r="B1782" s="651"/>
      <c r="C1782" s="1128"/>
      <c r="D1782" s="518" t="s">
        <v>1807</v>
      </c>
      <c r="E1782" s="442" t="s">
        <v>716</v>
      </c>
      <c r="F1782" s="689"/>
      <c r="G1782" s="689">
        <v>2130</v>
      </c>
      <c r="H1782" s="689">
        <v>2130</v>
      </c>
      <c r="I1782" s="684">
        <f t="shared" si="211"/>
        <v>100</v>
      </c>
    </row>
    <row r="1783" spans="1:9" ht="15" x14ac:dyDescent="0.25">
      <c r="A1783" s="420">
        <v>1216</v>
      </c>
      <c r="B1783" s="651">
        <v>3127</v>
      </c>
      <c r="C1783" s="651">
        <v>5331</v>
      </c>
      <c r="D1783" s="712"/>
      <c r="E1783" s="616" t="s">
        <v>858</v>
      </c>
      <c r="F1783" s="690">
        <f>F1784+F1785</f>
        <v>1976</v>
      </c>
      <c r="G1783" s="690">
        <f t="shared" ref="G1783:H1783" si="212">G1784+G1785</f>
        <v>330</v>
      </c>
      <c r="H1783" s="690">
        <f t="shared" si="212"/>
        <v>330</v>
      </c>
      <c r="I1783" s="691">
        <f t="shared" si="211"/>
        <v>100</v>
      </c>
    </row>
    <row r="1784" spans="1:9" ht="14.25" x14ac:dyDescent="0.2">
      <c r="A1784" s="420"/>
      <c r="B1784" s="651"/>
      <c r="C1784" s="1128"/>
      <c r="D1784" s="636" t="s">
        <v>1811</v>
      </c>
      <c r="E1784" s="1162" t="s">
        <v>717</v>
      </c>
      <c r="F1784" s="689">
        <v>206</v>
      </c>
      <c r="G1784" s="689">
        <v>34</v>
      </c>
      <c r="H1784" s="689">
        <v>34</v>
      </c>
      <c r="I1784" s="684">
        <f t="shared" si="211"/>
        <v>100</v>
      </c>
    </row>
    <row r="1785" spans="1:9" ht="14.25" x14ac:dyDescent="0.2">
      <c r="A1785" s="420"/>
      <c r="B1785" s="651"/>
      <c r="C1785" s="1128"/>
      <c r="D1785" s="518" t="s">
        <v>1812</v>
      </c>
      <c r="E1785" s="442" t="s">
        <v>63</v>
      </c>
      <c r="F1785" s="689">
        <v>1770</v>
      </c>
      <c r="G1785" s="689">
        <v>296</v>
      </c>
      <c r="H1785" s="689">
        <v>296</v>
      </c>
      <c r="I1785" s="684">
        <f t="shared" si="211"/>
        <v>100</v>
      </c>
    </row>
    <row r="1786" spans="1:9" ht="15" x14ac:dyDescent="0.25">
      <c r="A1786" s="420">
        <v>1216</v>
      </c>
      <c r="B1786" s="651">
        <v>3127</v>
      </c>
      <c r="C1786" s="651">
        <v>5336</v>
      </c>
      <c r="D1786" s="888"/>
      <c r="E1786" s="616" t="s">
        <v>1740</v>
      </c>
      <c r="F1786" s="689"/>
      <c r="G1786" s="690">
        <f>G1787+G1788+G1789+G1790+G1791</f>
        <v>1336</v>
      </c>
      <c r="H1786" s="690">
        <f>H1787+H1788+H1789+H1790+H1791</f>
        <v>1336</v>
      </c>
      <c r="I1786" s="691">
        <f t="shared" si="211"/>
        <v>100</v>
      </c>
    </row>
    <row r="1787" spans="1:9" ht="14.25" x14ac:dyDescent="0.2">
      <c r="A1787" s="420"/>
      <c r="B1787" s="651"/>
      <c r="C1787" s="651"/>
      <c r="D1787" s="887" t="s">
        <v>1818</v>
      </c>
      <c r="E1787" s="1963" t="s">
        <v>1600</v>
      </c>
      <c r="F1787" s="689"/>
      <c r="G1787" s="689">
        <v>249</v>
      </c>
      <c r="H1787" s="689">
        <v>249</v>
      </c>
      <c r="I1787" s="684">
        <f t="shared" si="211"/>
        <v>100</v>
      </c>
    </row>
    <row r="1788" spans="1:9" ht="14.25" x14ac:dyDescent="0.2">
      <c r="A1788" s="420"/>
      <c r="B1788" s="651"/>
      <c r="C1788" s="651"/>
      <c r="D1788" s="887" t="s">
        <v>1808</v>
      </c>
      <c r="E1788" s="1676" t="s">
        <v>1739</v>
      </c>
      <c r="F1788" s="689"/>
      <c r="G1788" s="689">
        <v>262</v>
      </c>
      <c r="H1788" s="689">
        <v>262</v>
      </c>
      <c r="I1788" s="684">
        <f t="shared" si="211"/>
        <v>100</v>
      </c>
    </row>
    <row r="1789" spans="1:9" ht="28.5" x14ac:dyDescent="0.2">
      <c r="A1789" s="420"/>
      <c r="B1789" s="651"/>
      <c r="C1789" s="1128"/>
      <c r="D1789" s="887" t="s">
        <v>1809</v>
      </c>
      <c r="E1789" s="2882" t="s">
        <v>1810</v>
      </c>
      <c r="F1789" s="689"/>
      <c r="G1789" s="1062">
        <v>58</v>
      </c>
      <c r="H1789" s="1062">
        <v>58</v>
      </c>
      <c r="I1789" s="1066">
        <f t="shared" si="211"/>
        <v>100</v>
      </c>
    </row>
    <row r="1790" spans="1:9" ht="14.25" x14ac:dyDescent="0.2">
      <c r="A1790" s="420"/>
      <c r="B1790" s="651"/>
      <c r="C1790" s="1128"/>
      <c r="D1790" s="518" t="s">
        <v>1813</v>
      </c>
      <c r="E1790" s="1162" t="s">
        <v>1815</v>
      </c>
      <c r="F1790" s="689"/>
      <c r="G1790" s="689">
        <v>115</v>
      </c>
      <c r="H1790" s="689">
        <v>115</v>
      </c>
      <c r="I1790" s="684">
        <f t="shared" si="211"/>
        <v>100</v>
      </c>
    </row>
    <row r="1791" spans="1:9" ht="14.25" x14ac:dyDescent="0.2">
      <c r="A1791" s="420"/>
      <c r="B1791" s="651"/>
      <c r="C1791" s="1128"/>
      <c r="D1791" s="518" t="s">
        <v>1814</v>
      </c>
      <c r="E1791" s="1162" t="s">
        <v>1815</v>
      </c>
      <c r="F1791" s="689"/>
      <c r="G1791" s="689">
        <v>652</v>
      </c>
      <c r="H1791" s="689">
        <v>652</v>
      </c>
      <c r="I1791" s="684">
        <f t="shared" si="211"/>
        <v>100</v>
      </c>
    </row>
    <row r="1792" spans="1:9" ht="15.75" customHeight="1" x14ac:dyDescent="0.25">
      <c r="A1792" s="420">
        <v>1216</v>
      </c>
      <c r="B1792" s="651">
        <v>3141</v>
      </c>
      <c r="C1792" s="651">
        <v>5336</v>
      </c>
      <c r="D1792" s="518"/>
      <c r="E1792" s="616" t="s">
        <v>1740</v>
      </c>
      <c r="F1792" s="689"/>
      <c r="G1792" s="700">
        <f>G1793</f>
        <v>59</v>
      </c>
      <c r="H1792" s="700">
        <f>H1793</f>
        <v>59</v>
      </c>
      <c r="I1792" s="693">
        <f t="shared" si="211"/>
        <v>100</v>
      </c>
    </row>
    <row r="1793" spans="1:23" ht="15.75" customHeight="1" thickBot="1" x14ac:dyDescent="0.25">
      <c r="A1793" s="420"/>
      <c r="B1793" s="651"/>
      <c r="C1793" s="651"/>
      <c r="D1793" s="518" t="s">
        <v>1807</v>
      </c>
      <c r="E1793" s="442" t="s">
        <v>716</v>
      </c>
      <c r="F1793" s="689"/>
      <c r="G1793" s="689">
        <v>59</v>
      </c>
      <c r="H1793" s="689">
        <v>59</v>
      </c>
      <c r="I1793" s="684">
        <f t="shared" si="211"/>
        <v>100</v>
      </c>
    </row>
    <row r="1794" spans="1:23" ht="16.5" thickTop="1" thickBot="1" x14ac:dyDescent="0.3">
      <c r="A1794" s="3110" t="s">
        <v>1000</v>
      </c>
      <c r="B1794" s="3111"/>
      <c r="C1794" s="3111"/>
      <c r="D1794" s="3111"/>
      <c r="E1794" s="3111"/>
      <c r="F1794" s="680">
        <f>F1783</f>
        <v>1976</v>
      </c>
      <c r="G1794" s="680">
        <f>G1792+G1786+G1783+G1781+G1779</f>
        <v>13252</v>
      </c>
      <c r="H1794" s="680">
        <f>H1792+H1786+H1783+H1781+H1779</f>
        <v>13252</v>
      </c>
      <c r="I1794" s="681">
        <f>(H1794/G1794)*100</f>
        <v>100</v>
      </c>
      <c r="J1794" s="374">
        <f>F1794</f>
        <v>1976</v>
      </c>
      <c r="K1794" s="374" t="e">
        <f>G1794+#REF!</f>
        <v>#REF!</v>
      </c>
      <c r="L1794" s="374" t="e">
        <f>H1794+#REF!</f>
        <v>#REF!</v>
      </c>
      <c r="R1794" s="374">
        <f>F1794</f>
        <v>1976</v>
      </c>
      <c r="S1794" s="374">
        <f>G1794</f>
        <v>13252</v>
      </c>
      <c r="T1794" s="374">
        <f>H1794</f>
        <v>13252</v>
      </c>
      <c r="U1794" s="374"/>
      <c r="V1794" s="374"/>
      <c r="W1794" s="374"/>
    </row>
    <row r="1795" spans="1:23" s="375" customFormat="1" ht="13.5" thickTop="1" x14ac:dyDescent="0.2">
      <c r="A1795" s="373"/>
      <c r="B1795" s="598"/>
      <c r="C1795" s="373"/>
      <c r="D1795" s="670"/>
      <c r="E1795" s="373"/>
      <c r="F1795" s="374"/>
      <c r="G1795" s="374"/>
      <c r="H1795" s="374"/>
      <c r="I1795" s="1125"/>
    </row>
    <row r="1796" spans="1:23" s="375" customFormat="1" x14ac:dyDescent="0.2">
      <c r="A1796" s="373"/>
      <c r="B1796" s="598"/>
      <c r="C1796" s="373"/>
      <c r="D1796" s="670"/>
      <c r="E1796" s="373"/>
      <c r="F1796" s="374"/>
      <c r="G1796" s="374"/>
      <c r="H1796" s="374"/>
      <c r="I1796" s="1125"/>
    </row>
    <row r="1797" spans="1:23" ht="13.5" thickBot="1" x14ac:dyDescent="0.25">
      <c r="A1797" s="421" t="s">
        <v>1122</v>
      </c>
      <c r="I1797" s="1125" t="s">
        <v>148</v>
      </c>
    </row>
    <row r="1798" spans="1:23" ht="14.25" thickTop="1" thickBot="1" x14ac:dyDescent="0.25">
      <c r="A1798" s="586" t="s">
        <v>565</v>
      </c>
      <c r="B1798" s="658" t="s">
        <v>149</v>
      </c>
      <c r="C1798" s="587" t="s">
        <v>150</v>
      </c>
      <c r="D1798" s="589" t="s">
        <v>639</v>
      </c>
      <c r="E1798" s="589" t="s">
        <v>151</v>
      </c>
      <c r="F1798" s="589" t="s">
        <v>569</v>
      </c>
      <c r="G1798" s="589" t="s">
        <v>570</v>
      </c>
      <c r="H1798" s="589" t="s">
        <v>797</v>
      </c>
      <c r="I1798" s="674" t="s">
        <v>798</v>
      </c>
    </row>
    <row r="1799" spans="1:23" ht="14.25" thickTop="1" thickBot="1" x14ac:dyDescent="0.25">
      <c r="A1799" s="525">
        <v>1</v>
      </c>
      <c r="B1799" s="526">
        <v>2</v>
      </c>
      <c r="C1799" s="526">
        <v>3</v>
      </c>
      <c r="D1799" s="526">
        <v>4</v>
      </c>
      <c r="E1799" s="526">
        <v>5</v>
      </c>
      <c r="F1799" s="512">
        <v>6</v>
      </c>
      <c r="G1799" s="512">
        <v>7</v>
      </c>
      <c r="H1799" s="513">
        <v>8</v>
      </c>
      <c r="I1799" s="591" t="s">
        <v>689</v>
      </c>
    </row>
    <row r="1800" spans="1:23" ht="15.75" thickTop="1" x14ac:dyDescent="0.25">
      <c r="A1800" s="1136">
        <v>1218</v>
      </c>
      <c r="B1800" s="701">
        <v>3124</v>
      </c>
      <c r="C1800" s="701">
        <v>5331</v>
      </c>
      <c r="D1800" s="706"/>
      <c r="E1800" s="734" t="s">
        <v>858</v>
      </c>
      <c r="F1800" s="699">
        <f>F1801+F1802</f>
        <v>1848</v>
      </c>
      <c r="G1800" s="699">
        <f t="shared" ref="G1800:H1800" si="213">G1801+G1802</f>
        <v>308</v>
      </c>
      <c r="H1800" s="699">
        <f t="shared" si="213"/>
        <v>308</v>
      </c>
      <c r="I1800" s="703">
        <f t="shared" ref="I1800:I1812" si="214">(H1800/G1800)*100</f>
        <v>100</v>
      </c>
    </row>
    <row r="1801" spans="1:23" ht="14.25" x14ac:dyDescent="0.2">
      <c r="A1801" s="420"/>
      <c r="B1801" s="617"/>
      <c r="C1801" s="617"/>
      <c r="D1801" s="636" t="s">
        <v>1811</v>
      </c>
      <c r="E1801" s="1162" t="s">
        <v>717</v>
      </c>
      <c r="F1801" s="683">
        <v>323</v>
      </c>
      <c r="G1801" s="683">
        <v>54</v>
      </c>
      <c r="H1801" s="683">
        <v>54</v>
      </c>
      <c r="I1801" s="684">
        <f t="shared" si="214"/>
        <v>100</v>
      </c>
    </row>
    <row r="1802" spans="1:23" ht="14.25" x14ac:dyDescent="0.2">
      <c r="A1802" s="420"/>
      <c r="B1802" s="617"/>
      <c r="C1802" s="617"/>
      <c r="D1802" s="518" t="s">
        <v>1812</v>
      </c>
      <c r="E1802" s="442" t="s">
        <v>63</v>
      </c>
      <c r="F1802" s="683">
        <v>1525</v>
      </c>
      <c r="G1802" s="683">
        <v>254</v>
      </c>
      <c r="H1802" s="683">
        <v>254</v>
      </c>
      <c r="I1802" s="684">
        <f t="shared" si="214"/>
        <v>100</v>
      </c>
    </row>
    <row r="1803" spans="1:23" ht="15" x14ac:dyDescent="0.25">
      <c r="A1803" s="420">
        <v>1218</v>
      </c>
      <c r="B1803" s="617">
        <v>3124</v>
      </c>
      <c r="C1803" s="617">
        <v>5336</v>
      </c>
      <c r="D1803" s="887"/>
      <c r="E1803" s="616" t="s">
        <v>1740</v>
      </c>
      <c r="F1803" s="683"/>
      <c r="G1803" s="705">
        <f>G1804+G1805+G1806</f>
        <v>15134</v>
      </c>
      <c r="H1803" s="705">
        <f>H1804+H1805+H1806</f>
        <v>15134</v>
      </c>
      <c r="I1803" s="693">
        <f t="shared" si="214"/>
        <v>100</v>
      </c>
    </row>
    <row r="1804" spans="1:23" ht="15" x14ac:dyDescent="0.2">
      <c r="A1804" s="420"/>
      <c r="B1804" s="617"/>
      <c r="C1804" s="617"/>
      <c r="D1804" s="887" t="s">
        <v>1808</v>
      </c>
      <c r="E1804" s="1676" t="s">
        <v>1739</v>
      </c>
      <c r="F1804" s="1964"/>
      <c r="G1804" s="1965">
        <v>277</v>
      </c>
      <c r="H1804" s="1965">
        <v>277</v>
      </c>
      <c r="I1804" s="368">
        <f t="shared" ref="I1804:I1805" si="215">(H1804/G1804)*100</f>
        <v>100</v>
      </c>
    </row>
    <row r="1805" spans="1:23" ht="28.5" x14ac:dyDescent="0.2">
      <c r="A1805" s="420"/>
      <c r="B1805" s="617"/>
      <c r="C1805" s="617"/>
      <c r="D1805" s="887" t="s">
        <v>1809</v>
      </c>
      <c r="E1805" s="2882" t="s">
        <v>1810</v>
      </c>
      <c r="F1805" s="1964"/>
      <c r="G1805" s="2031">
        <v>89</v>
      </c>
      <c r="H1805" s="2031">
        <v>89</v>
      </c>
      <c r="I1805" s="1234">
        <f t="shared" si="215"/>
        <v>100</v>
      </c>
    </row>
    <row r="1806" spans="1:23" ht="14.25" x14ac:dyDescent="0.2">
      <c r="A1806" s="420"/>
      <c r="B1806" s="617"/>
      <c r="C1806" s="617"/>
      <c r="D1806" s="518" t="s">
        <v>1807</v>
      </c>
      <c r="E1806" s="442" t="s">
        <v>716</v>
      </c>
      <c r="F1806" s="683"/>
      <c r="G1806" s="683">
        <v>14768</v>
      </c>
      <c r="H1806" s="683">
        <v>14768</v>
      </c>
      <c r="I1806" s="684">
        <f t="shared" si="214"/>
        <v>100</v>
      </c>
    </row>
    <row r="1807" spans="1:23" ht="15" x14ac:dyDescent="0.25">
      <c r="A1807" s="420">
        <v>1218</v>
      </c>
      <c r="B1807" s="651">
        <v>3141</v>
      </c>
      <c r="C1807" s="651">
        <v>5336</v>
      </c>
      <c r="D1807" s="527"/>
      <c r="E1807" s="616" t="s">
        <v>1740</v>
      </c>
      <c r="F1807" s="700"/>
      <c r="G1807" s="700">
        <f>G1808</f>
        <v>675</v>
      </c>
      <c r="H1807" s="700">
        <f>H1808</f>
        <v>675</v>
      </c>
      <c r="I1807" s="693">
        <f t="shared" si="214"/>
        <v>100</v>
      </c>
    </row>
    <row r="1808" spans="1:23" ht="14.25" x14ac:dyDescent="0.2">
      <c r="A1808" s="420"/>
      <c r="B1808" s="651"/>
      <c r="C1808" s="651"/>
      <c r="D1808" s="518" t="s">
        <v>1807</v>
      </c>
      <c r="E1808" s="442" t="s">
        <v>716</v>
      </c>
      <c r="F1808" s="689"/>
      <c r="G1808" s="689">
        <v>675</v>
      </c>
      <c r="H1808" s="689">
        <v>675</v>
      </c>
      <c r="I1808" s="684">
        <f t="shared" si="214"/>
        <v>100</v>
      </c>
    </row>
    <row r="1809" spans="1:23" ht="15" x14ac:dyDescent="0.25">
      <c r="A1809" s="420">
        <v>1218</v>
      </c>
      <c r="B1809" s="651">
        <v>3145</v>
      </c>
      <c r="C1809" s="651">
        <v>5336</v>
      </c>
      <c r="D1809" s="518"/>
      <c r="E1809" s="616" t="s">
        <v>1740</v>
      </c>
      <c r="F1809" s="689"/>
      <c r="G1809" s="700">
        <f>G1810</f>
        <v>2279</v>
      </c>
      <c r="H1809" s="700">
        <f>H1810</f>
        <v>2279</v>
      </c>
      <c r="I1809" s="693">
        <f t="shared" si="214"/>
        <v>100</v>
      </c>
    </row>
    <row r="1810" spans="1:23" ht="14.25" x14ac:dyDescent="0.2">
      <c r="A1810" s="420"/>
      <c r="B1810" s="651"/>
      <c r="C1810" s="651"/>
      <c r="D1810" s="518" t="s">
        <v>1807</v>
      </c>
      <c r="E1810" s="442" t="s">
        <v>716</v>
      </c>
      <c r="F1810" s="689"/>
      <c r="G1810" s="689">
        <v>2279</v>
      </c>
      <c r="H1810" s="689">
        <v>2279</v>
      </c>
      <c r="I1810" s="684">
        <f t="shared" si="214"/>
        <v>100</v>
      </c>
    </row>
    <row r="1811" spans="1:23" ht="15" x14ac:dyDescent="0.25">
      <c r="A1811" s="420">
        <v>1218</v>
      </c>
      <c r="B1811" s="617">
        <v>3293</v>
      </c>
      <c r="C1811" s="651">
        <v>5336</v>
      </c>
      <c r="D1811" s="518"/>
      <c r="E1811" s="616" t="s">
        <v>1740</v>
      </c>
      <c r="F1811" s="700"/>
      <c r="G1811" s="700">
        <v>95</v>
      </c>
      <c r="H1811" s="700">
        <v>95</v>
      </c>
      <c r="I1811" s="693">
        <f t="shared" si="214"/>
        <v>100</v>
      </c>
    </row>
    <row r="1812" spans="1:23" ht="15" thickBot="1" x14ac:dyDescent="0.25">
      <c r="A1812" s="420"/>
      <c r="B1812" s="651"/>
      <c r="C1812" s="651"/>
      <c r="D1812" s="649" t="s">
        <v>1819</v>
      </c>
      <c r="E1812" s="1174" t="s">
        <v>55</v>
      </c>
      <c r="F1812" s="689"/>
      <c r="G1812" s="689">
        <v>95</v>
      </c>
      <c r="H1812" s="689">
        <v>95</v>
      </c>
      <c r="I1812" s="684">
        <f t="shared" si="214"/>
        <v>100</v>
      </c>
    </row>
    <row r="1813" spans="1:23" ht="16.5" thickTop="1" thickBot="1" x14ac:dyDescent="0.3">
      <c r="A1813" s="3110" t="s">
        <v>1000</v>
      </c>
      <c r="B1813" s="3111"/>
      <c r="C1813" s="3111"/>
      <c r="D1813" s="3111"/>
      <c r="E1813" s="3111"/>
      <c r="F1813" s="680">
        <f>F1800</f>
        <v>1848</v>
      </c>
      <c r="G1813" s="680">
        <f>G1811+G1809+G1807+G1803+G1800</f>
        <v>18491</v>
      </c>
      <c r="H1813" s="680">
        <f>H1811+H1809+H1807+H1803+H1800</f>
        <v>18491</v>
      </c>
      <c r="I1813" s="681">
        <f>(H1813/G1813)*100</f>
        <v>100</v>
      </c>
      <c r="R1813" s="374">
        <f>F1813</f>
        <v>1848</v>
      </c>
      <c r="S1813" s="374">
        <f>G1813</f>
        <v>18491</v>
      </c>
      <c r="T1813" s="374">
        <f>H1813</f>
        <v>18491</v>
      </c>
    </row>
    <row r="1814" spans="1:23" ht="15.75" thickTop="1" x14ac:dyDescent="0.25">
      <c r="A1814" s="361"/>
      <c r="B1814" s="361"/>
      <c r="C1814" s="361"/>
      <c r="D1814" s="361"/>
      <c r="E1814" s="361"/>
      <c r="F1814" s="178"/>
      <c r="G1814" s="178"/>
      <c r="H1814" s="178"/>
      <c r="I1814" s="207"/>
      <c r="R1814" s="374"/>
      <c r="S1814" s="374"/>
      <c r="T1814" s="374"/>
    </row>
    <row r="1815" spans="1:23" s="1165" customFormat="1" ht="15" x14ac:dyDescent="0.2">
      <c r="A1815" s="1164"/>
      <c r="B1815" s="1164"/>
      <c r="C1815" s="1164"/>
      <c r="D1815" s="1164"/>
      <c r="E1815" s="1164"/>
      <c r="F1815" s="1195"/>
      <c r="G1815" s="1195"/>
      <c r="H1815" s="1195"/>
      <c r="I1815" s="1196"/>
      <c r="J1815" s="1177"/>
      <c r="K1815" s="1177"/>
      <c r="L1815" s="1177"/>
      <c r="R1815" s="1177"/>
      <c r="S1815" s="1177"/>
      <c r="T1815" s="1177"/>
      <c r="U1815" s="1177"/>
      <c r="V1815" s="1177"/>
      <c r="W1815" s="1177"/>
    </row>
    <row r="1816" spans="1:23" ht="13.5" thickBot="1" x14ac:dyDescent="0.25">
      <c r="A1816" s="421" t="s">
        <v>127</v>
      </c>
      <c r="I1816" s="1125" t="s">
        <v>148</v>
      </c>
    </row>
    <row r="1817" spans="1:23" ht="14.25" thickTop="1" thickBot="1" x14ac:dyDescent="0.25">
      <c r="A1817" s="586" t="s">
        <v>565</v>
      </c>
      <c r="B1817" s="658" t="s">
        <v>149</v>
      </c>
      <c r="C1817" s="587" t="s">
        <v>150</v>
      </c>
      <c r="D1817" s="589" t="s">
        <v>639</v>
      </c>
      <c r="E1817" s="589" t="s">
        <v>151</v>
      </c>
      <c r="F1817" s="589" t="s">
        <v>569</v>
      </c>
      <c r="G1817" s="589" t="s">
        <v>570</v>
      </c>
      <c r="H1817" s="589" t="s">
        <v>797</v>
      </c>
      <c r="I1817" s="674" t="s">
        <v>798</v>
      </c>
    </row>
    <row r="1818" spans="1:23" ht="14.25" thickTop="1" thickBot="1" x14ac:dyDescent="0.25">
      <c r="A1818" s="525">
        <v>1</v>
      </c>
      <c r="B1818" s="526">
        <v>2</v>
      </c>
      <c r="C1818" s="526">
        <v>3</v>
      </c>
      <c r="D1818" s="526">
        <v>4</v>
      </c>
      <c r="E1818" s="526">
        <v>5</v>
      </c>
      <c r="F1818" s="512">
        <v>6</v>
      </c>
      <c r="G1818" s="512">
        <v>7</v>
      </c>
      <c r="H1818" s="513">
        <v>8</v>
      </c>
      <c r="I1818" s="591" t="s">
        <v>689</v>
      </c>
    </row>
    <row r="1819" spans="1:23" ht="15.75" thickTop="1" x14ac:dyDescent="0.25">
      <c r="A1819" s="1136">
        <v>1222</v>
      </c>
      <c r="B1819" s="701">
        <v>3124</v>
      </c>
      <c r="C1819" s="701">
        <v>5331</v>
      </c>
      <c r="D1819" s="706"/>
      <c r="E1819" s="734" t="s">
        <v>858</v>
      </c>
      <c r="F1819" s="699">
        <f>F1820+F1821</f>
        <v>1095</v>
      </c>
      <c r="G1819" s="699">
        <f t="shared" ref="G1819:H1819" si="216">G1820+G1821</f>
        <v>184</v>
      </c>
      <c r="H1819" s="699">
        <f t="shared" si="216"/>
        <v>184</v>
      </c>
      <c r="I1819" s="703">
        <f t="shared" ref="I1819:I1825" si="217">(H1819/G1819)*100</f>
        <v>100</v>
      </c>
    </row>
    <row r="1820" spans="1:23" ht="14.25" x14ac:dyDescent="0.2">
      <c r="A1820" s="420"/>
      <c r="B1820" s="617"/>
      <c r="C1820" s="617"/>
      <c r="D1820" s="636" t="s">
        <v>1811</v>
      </c>
      <c r="E1820" s="1162" t="s">
        <v>717</v>
      </c>
      <c r="F1820" s="683">
        <v>90</v>
      </c>
      <c r="G1820" s="683">
        <v>16</v>
      </c>
      <c r="H1820" s="683">
        <v>16</v>
      </c>
      <c r="I1820" s="679">
        <f t="shared" si="217"/>
        <v>100</v>
      </c>
    </row>
    <row r="1821" spans="1:23" ht="14.25" x14ac:dyDescent="0.2">
      <c r="A1821" s="420"/>
      <c r="B1821" s="617"/>
      <c r="C1821" s="617"/>
      <c r="D1821" s="518" t="s">
        <v>1812</v>
      </c>
      <c r="E1821" s="442" t="s">
        <v>63</v>
      </c>
      <c r="F1821" s="683">
        <v>1005</v>
      </c>
      <c r="G1821" s="683">
        <v>168</v>
      </c>
      <c r="H1821" s="683">
        <v>168</v>
      </c>
      <c r="I1821" s="679">
        <f t="shared" si="217"/>
        <v>100</v>
      </c>
    </row>
    <row r="1822" spans="1:23" ht="15" x14ac:dyDescent="0.25">
      <c r="A1822" s="420">
        <v>1222</v>
      </c>
      <c r="B1822" s="617">
        <v>3124</v>
      </c>
      <c r="C1822" s="617">
        <v>5336</v>
      </c>
      <c r="D1822" s="887"/>
      <c r="E1822" s="616" t="s">
        <v>1740</v>
      </c>
      <c r="F1822" s="683"/>
      <c r="G1822" s="705">
        <f>G1823+G1824+G1825</f>
        <v>12257</v>
      </c>
      <c r="H1822" s="705">
        <f>H1823+H1824+H1825</f>
        <v>12257</v>
      </c>
      <c r="I1822" s="707">
        <f t="shared" si="217"/>
        <v>100</v>
      </c>
    </row>
    <row r="1823" spans="1:23" ht="15" x14ac:dyDescent="0.2">
      <c r="A1823" s="420"/>
      <c r="B1823" s="617"/>
      <c r="C1823" s="617"/>
      <c r="D1823" s="887" t="s">
        <v>1808</v>
      </c>
      <c r="E1823" s="1676" t="s">
        <v>1739</v>
      </c>
      <c r="F1823" s="1964"/>
      <c r="G1823" s="1965">
        <v>229</v>
      </c>
      <c r="H1823" s="1965">
        <v>229</v>
      </c>
      <c r="I1823" s="368">
        <f t="shared" ref="I1823:I1824" si="218">(H1823/G1823)*100</f>
        <v>100</v>
      </c>
    </row>
    <row r="1824" spans="1:23" ht="28.5" x14ac:dyDescent="0.2">
      <c r="A1824" s="420"/>
      <c r="B1824" s="617"/>
      <c r="C1824" s="617"/>
      <c r="D1824" s="887" t="s">
        <v>1809</v>
      </c>
      <c r="E1824" s="2882" t="s">
        <v>1810</v>
      </c>
      <c r="F1824" s="1964"/>
      <c r="G1824" s="2031">
        <v>70</v>
      </c>
      <c r="H1824" s="2031">
        <v>70</v>
      </c>
      <c r="I1824" s="1234">
        <f t="shared" si="218"/>
        <v>100</v>
      </c>
    </row>
    <row r="1825" spans="1:20" ht="14.25" x14ac:dyDescent="0.2">
      <c r="A1825" s="420"/>
      <c r="B1825" s="617"/>
      <c r="C1825" s="617"/>
      <c r="D1825" s="518" t="s">
        <v>1807</v>
      </c>
      <c r="E1825" s="442" t="s">
        <v>716</v>
      </c>
      <c r="F1825" s="683"/>
      <c r="G1825" s="683">
        <v>11958</v>
      </c>
      <c r="H1825" s="683">
        <v>11958</v>
      </c>
      <c r="I1825" s="679">
        <f t="shared" si="217"/>
        <v>100</v>
      </c>
    </row>
    <row r="1826" spans="1:20" ht="15" x14ac:dyDescent="0.25">
      <c r="A1826" s="420">
        <v>1222</v>
      </c>
      <c r="B1826" s="617">
        <v>3145</v>
      </c>
      <c r="C1826" s="617">
        <v>5336</v>
      </c>
      <c r="D1826" s="887"/>
      <c r="E1826" s="616" t="s">
        <v>1740</v>
      </c>
      <c r="F1826" s="683"/>
      <c r="G1826" s="705">
        <f>G1827</f>
        <v>1407</v>
      </c>
      <c r="H1826" s="705">
        <f>H1827</f>
        <v>1407</v>
      </c>
      <c r="I1826" s="707">
        <f t="shared" ref="I1826:I1829" si="219">(H1826/G1826)*100</f>
        <v>100</v>
      </c>
    </row>
    <row r="1827" spans="1:20" ht="14.25" x14ac:dyDescent="0.2">
      <c r="A1827" s="420"/>
      <c r="B1827" s="617"/>
      <c r="C1827" s="617"/>
      <c r="D1827" s="518" t="s">
        <v>1807</v>
      </c>
      <c r="E1827" s="442" t="s">
        <v>716</v>
      </c>
      <c r="F1827" s="683"/>
      <c r="G1827" s="683">
        <v>1407</v>
      </c>
      <c r="H1827" s="683">
        <v>1407</v>
      </c>
      <c r="I1827" s="679">
        <f t="shared" si="219"/>
        <v>100</v>
      </c>
    </row>
    <row r="1828" spans="1:20" ht="15" x14ac:dyDescent="0.25">
      <c r="A1828" s="420">
        <v>1222</v>
      </c>
      <c r="B1828" s="617">
        <v>3293</v>
      </c>
      <c r="C1828" s="651">
        <v>5336</v>
      </c>
      <c r="D1828" s="518"/>
      <c r="E1828" s="616" t="s">
        <v>1740</v>
      </c>
      <c r="F1828" s="683"/>
      <c r="G1828" s="705">
        <f>G1829</f>
        <v>7</v>
      </c>
      <c r="H1828" s="705">
        <f>H1829</f>
        <v>7</v>
      </c>
      <c r="I1828" s="707">
        <f t="shared" si="219"/>
        <v>100</v>
      </c>
    </row>
    <row r="1829" spans="1:20" ht="15" thickBot="1" x14ac:dyDescent="0.25">
      <c r="A1829" s="420"/>
      <c r="B1829" s="651"/>
      <c r="C1829" s="651"/>
      <c r="D1829" s="649" t="s">
        <v>1819</v>
      </c>
      <c r="E1829" s="1174" t="s">
        <v>55</v>
      </c>
      <c r="F1829" s="683"/>
      <c r="G1829" s="683">
        <v>7</v>
      </c>
      <c r="H1829" s="683">
        <v>7</v>
      </c>
      <c r="I1829" s="679">
        <f t="shared" si="219"/>
        <v>100</v>
      </c>
    </row>
    <row r="1830" spans="1:20" ht="16.5" thickTop="1" thickBot="1" x14ac:dyDescent="0.3">
      <c r="A1830" s="3110" t="s">
        <v>1000</v>
      </c>
      <c r="B1830" s="3111"/>
      <c r="C1830" s="3111"/>
      <c r="D1830" s="3111"/>
      <c r="E1830" s="3111"/>
      <c r="F1830" s="680">
        <f>F1819</f>
        <v>1095</v>
      </c>
      <c r="G1830" s="680">
        <f>G1828+G1826+G1822+G1819</f>
        <v>13855</v>
      </c>
      <c r="H1830" s="680">
        <f>H1828+H1826+H1822+H1819</f>
        <v>13855</v>
      </c>
      <c r="I1830" s="681">
        <f>(H1830/G1830)*100</f>
        <v>100</v>
      </c>
      <c r="R1830" s="374">
        <f>F1830</f>
        <v>1095</v>
      </c>
      <c r="S1830" s="374">
        <f>G1830</f>
        <v>13855</v>
      </c>
      <c r="T1830" s="374">
        <f>H1830</f>
        <v>13855</v>
      </c>
    </row>
    <row r="1831" spans="1:20" ht="15.75" thickTop="1" x14ac:dyDescent="0.25">
      <c r="A1831" s="361"/>
      <c r="B1831" s="361"/>
      <c r="C1831" s="361"/>
      <c r="D1831" s="361"/>
      <c r="E1831" s="361"/>
      <c r="F1831" s="178"/>
      <c r="G1831" s="178"/>
      <c r="H1831" s="178"/>
      <c r="I1831" s="207"/>
      <c r="R1831" s="374"/>
      <c r="S1831" s="374"/>
      <c r="T1831" s="374"/>
    </row>
    <row r="1832" spans="1:20" ht="15" x14ac:dyDescent="0.25">
      <c r="A1832" s="361"/>
      <c r="B1832" s="361"/>
      <c r="C1832" s="361"/>
      <c r="D1832" s="361"/>
      <c r="E1832" s="361"/>
      <c r="F1832" s="178"/>
      <c r="G1832" s="178"/>
      <c r="H1832" s="178"/>
      <c r="I1832" s="207"/>
      <c r="R1832" s="374"/>
      <c r="S1832" s="374"/>
      <c r="T1832" s="374"/>
    </row>
    <row r="1833" spans="1:20" ht="15" x14ac:dyDescent="0.25">
      <c r="A1833" s="361"/>
      <c r="B1833" s="361"/>
      <c r="C1833" s="361"/>
      <c r="D1833" s="361"/>
      <c r="E1833" s="361"/>
      <c r="F1833" s="178"/>
      <c r="G1833" s="178"/>
      <c r="H1833" s="178"/>
      <c r="I1833" s="207"/>
      <c r="R1833" s="374"/>
      <c r="S1833" s="374"/>
      <c r="T1833" s="374"/>
    </row>
    <row r="1834" spans="1:20" ht="15" x14ac:dyDescent="0.25">
      <c r="A1834" s="361"/>
      <c r="B1834" s="361"/>
      <c r="C1834" s="361"/>
      <c r="D1834" s="361"/>
      <c r="E1834" s="361"/>
      <c r="F1834" s="178"/>
      <c r="G1834" s="178"/>
      <c r="H1834" s="178"/>
      <c r="I1834" s="207"/>
      <c r="R1834" s="374"/>
      <c r="S1834" s="374"/>
      <c r="T1834" s="374"/>
    </row>
    <row r="1835" spans="1:20" ht="15" x14ac:dyDescent="0.25">
      <c r="A1835" s="361"/>
      <c r="B1835" s="361"/>
      <c r="C1835" s="361"/>
      <c r="D1835" s="361"/>
      <c r="E1835" s="361"/>
      <c r="F1835" s="178"/>
      <c r="G1835" s="178"/>
      <c r="H1835" s="178"/>
      <c r="I1835" s="207"/>
      <c r="R1835" s="374"/>
      <c r="S1835" s="374"/>
      <c r="T1835" s="374"/>
    </row>
    <row r="1836" spans="1:20" ht="15" x14ac:dyDescent="0.25">
      <c r="A1836" s="361"/>
      <c r="B1836" s="361"/>
      <c r="C1836" s="361"/>
      <c r="D1836" s="361"/>
      <c r="E1836" s="361"/>
      <c r="F1836" s="178"/>
      <c r="G1836" s="178"/>
      <c r="H1836" s="178"/>
      <c r="I1836" s="207"/>
      <c r="R1836" s="374"/>
      <c r="S1836" s="374"/>
      <c r="T1836" s="374"/>
    </row>
    <row r="1837" spans="1:20" ht="15" x14ac:dyDescent="0.25">
      <c r="A1837" s="361"/>
      <c r="B1837" s="361"/>
      <c r="C1837" s="361"/>
      <c r="D1837" s="361"/>
      <c r="E1837" s="361"/>
      <c r="F1837" s="178"/>
      <c r="G1837" s="178"/>
      <c r="H1837" s="178"/>
      <c r="I1837" s="207"/>
      <c r="R1837" s="374"/>
      <c r="S1837" s="374"/>
      <c r="T1837" s="374"/>
    </row>
    <row r="1838" spans="1:20" ht="15" x14ac:dyDescent="0.25">
      <c r="A1838" s="361"/>
      <c r="B1838" s="361"/>
      <c r="C1838" s="361"/>
      <c r="D1838" s="361"/>
      <c r="E1838" s="361"/>
      <c r="F1838" s="178"/>
      <c r="G1838" s="178"/>
      <c r="H1838" s="178"/>
      <c r="I1838" s="207"/>
      <c r="R1838" s="374"/>
      <c r="S1838" s="374"/>
      <c r="T1838" s="374"/>
    </row>
    <row r="1839" spans="1:20" ht="15" x14ac:dyDescent="0.25">
      <c r="A1839" s="361"/>
      <c r="B1839" s="361"/>
      <c r="C1839" s="361"/>
      <c r="D1839" s="361"/>
      <c r="E1839" s="361"/>
      <c r="F1839" s="178"/>
      <c r="G1839" s="178"/>
      <c r="H1839" s="178"/>
      <c r="I1839" s="207"/>
      <c r="R1839" s="374"/>
      <c r="S1839" s="374"/>
      <c r="T1839" s="374"/>
    </row>
    <row r="1840" spans="1:20" ht="15" x14ac:dyDescent="0.25">
      <c r="A1840" s="361"/>
      <c r="B1840" s="361"/>
      <c r="C1840" s="361"/>
      <c r="D1840" s="361"/>
      <c r="E1840" s="361"/>
      <c r="F1840" s="178"/>
      <c r="G1840" s="178"/>
      <c r="H1840" s="178"/>
      <c r="I1840" s="207"/>
      <c r="R1840" s="374"/>
      <c r="S1840" s="374"/>
      <c r="T1840" s="374"/>
    </row>
    <row r="1841" spans="1:20" ht="15" x14ac:dyDescent="0.25">
      <c r="A1841" s="361"/>
      <c r="B1841" s="361"/>
      <c r="C1841" s="361"/>
      <c r="D1841" s="361"/>
      <c r="E1841" s="361"/>
      <c r="F1841" s="178"/>
      <c r="G1841" s="178"/>
      <c r="H1841" s="178"/>
      <c r="I1841" s="207"/>
      <c r="R1841" s="374"/>
      <c r="S1841" s="374"/>
      <c r="T1841" s="374"/>
    </row>
    <row r="1842" spans="1:20" ht="15" x14ac:dyDescent="0.25">
      <c r="A1842" s="361"/>
      <c r="B1842" s="361"/>
      <c r="C1842" s="361"/>
      <c r="D1842" s="361"/>
      <c r="E1842" s="361"/>
      <c r="F1842" s="178"/>
      <c r="G1842" s="178"/>
      <c r="H1842" s="178"/>
      <c r="I1842" s="207"/>
      <c r="R1842" s="374"/>
      <c r="S1842" s="374"/>
      <c r="T1842" s="374"/>
    </row>
    <row r="1843" spans="1:20" ht="15" x14ac:dyDescent="0.25">
      <c r="A1843" s="361"/>
      <c r="B1843" s="361"/>
      <c r="C1843" s="361"/>
      <c r="D1843" s="361"/>
      <c r="E1843" s="361"/>
      <c r="F1843" s="178"/>
      <c r="G1843" s="178"/>
      <c r="H1843" s="178"/>
      <c r="I1843" s="207"/>
      <c r="R1843" s="374"/>
      <c r="S1843" s="374"/>
      <c r="T1843" s="374"/>
    </row>
    <row r="1844" spans="1:20" ht="15" x14ac:dyDescent="0.25">
      <c r="A1844" s="361"/>
      <c r="B1844" s="361"/>
      <c r="C1844" s="361"/>
      <c r="D1844" s="361"/>
      <c r="E1844" s="361"/>
      <c r="F1844" s="178"/>
      <c r="G1844" s="178"/>
      <c r="H1844" s="178"/>
      <c r="I1844" s="207"/>
      <c r="R1844" s="374"/>
      <c r="S1844" s="374"/>
      <c r="T1844" s="374"/>
    </row>
    <row r="1845" spans="1:20" ht="15" x14ac:dyDescent="0.25">
      <c r="A1845" s="361"/>
      <c r="B1845" s="361"/>
      <c r="C1845" s="361"/>
      <c r="D1845" s="361"/>
      <c r="E1845" s="361"/>
      <c r="F1845" s="178"/>
      <c r="G1845" s="178"/>
      <c r="H1845" s="178"/>
      <c r="I1845" s="207"/>
      <c r="R1845" s="374"/>
      <c r="S1845" s="374"/>
      <c r="T1845" s="374"/>
    </row>
    <row r="1846" spans="1:20" ht="15" x14ac:dyDescent="0.25">
      <c r="A1846" s="361"/>
      <c r="B1846" s="361"/>
      <c r="C1846" s="361"/>
      <c r="D1846" s="361"/>
      <c r="E1846" s="361"/>
      <c r="F1846" s="178"/>
      <c r="G1846" s="178"/>
      <c r="H1846" s="178"/>
      <c r="I1846" s="207"/>
      <c r="R1846" s="374"/>
      <c r="S1846" s="374"/>
      <c r="T1846" s="374"/>
    </row>
    <row r="1847" spans="1:20" ht="15" x14ac:dyDescent="0.25">
      <c r="A1847" s="361"/>
      <c r="B1847" s="361"/>
      <c r="C1847" s="361"/>
      <c r="D1847" s="361"/>
      <c r="E1847" s="361"/>
      <c r="F1847" s="178"/>
      <c r="G1847" s="178"/>
      <c r="H1847" s="178"/>
      <c r="I1847" s="207"/>
      <c r="R1847" s="374"/>
      <c r="S1847" s="374"/>
      <c r="T1847" s="374"/>
    </row>
    <row r="1848" spans="1:20" ht="13.5" thickBot="1" x14ac:dyDescent="0.25">
      <c r="A1848" s="421" t="s">
        <v>128</v>
      </c>
      <c r="I1848" s="1125" t="s">
        <v>148</v>
      </c>
    </row>
    <row r="1849" spans="1:20" ht="18" customHeight="1" thickTop="1" thickBot="1" x14ac:dyDescent="0.25">
      <c r="A1849" s="586" t="s">
        <v>565</v>
      </c>
      <c r="B1849" s="658" t="s">
        <v>149</v>
      </c>
      <c r="C1849" s="587" t="s">
        <v>150</v>
      </c>
      <c r="D1849" s="589" t="s">
        <v>639</v>
      </c>
      <c r="E1849" s="589" t="s">
        <v>151</v>
      </c>
      <c r="F1849" s="589" t="s">
        <v>569</v>
      </c>
      <c r="G1849" s="589" t="s">
        <v>570</v>
      </c>
      <c r="H1849" s="589" t="s">
        <v>797</v>
      </c>
      <c r="I1849" s="674" t="s">
        <v>798</v>
      </c>
    </row>
    <row r="1850" spans="1:20" ht="14.25" thickTop="1" thickBot="1" x14ac:dyDescent="0.25">
      <c r="A1850" s="525">
        <v>1</v>
      </c>
      <c r="B1850" s="526">
        <v>2</v>
      </c>
      <c r="C1850" s="526">
        <v>3</v>
      </c>
      <c r="D1850" s="526">
        <v>4</v>
      </c>
      <c r="E1850" s="526">
        <v>5</v>
      </c>
      <c r="F1850" s="512">
        <v>6</v>
      </c>
      <c r="G1850" s="512">
        <v>7</v>
      </c>
      <c r="H1850" s="513">
        <v>8</v>
      </c>
      <c r="I1850" s="591" t="s">
        <v>689</v>
      </c>
    </row>
    <row r="1851" spans="1:20" ht="15.75" thickTop="1" x14ac:dyDescent="0.25">
      <c r="A1851" s="420">
        <v>1223</v>
      </c>
      <c r="B1851" s="651">
        <v>3122</v>
      </c>
      <c r="C1851" s="651">
        <v>5336</v>
      </c>
      <c r="D1851" s="1681"/>
      <c r="E1851" s="616" t="s">
        <v>1740</v>
      </c>
      <c r="F1851" s="692"/>
      <c r="G1851" s="700">
        <f>G1852</f>
        <v>12312</v>
      </c>
      <c r="H1851" s="700">
        <f>H1852</f>
        <v>12312</v>
      </c>
      <c r="I1851" s="707">
        <f t="shared" ref="I1851:I1870" si="220">(H1851/G1851)*100</f>
        <v>100</v>
      </c>
    </row>
    <row r="1852" spans="1:20" ht="13.5" customHeight="1" x14ac:dyDescent="0.2">
      <c r="A1852" s="420"/>
      <c r="B1852" s="651"/>
      <c r="C1852" s="651"/>
      <c r="D1852" s="518" t="s">
        <v>1807</v>
      </c>
      <c r="E1852" s="442" t="s">
        <v>716</v>
      </c>
      <c r="F1852" s="692"/>
      <c r="G1852" s="689">
        <v>12312</v>
      </c>
      <c r="H1852" s="689">
        <v>12312</v>
      </c>
      <c r="I1852" s="679">
        <f t="shared" si="220"/>
        <v>100</v>
      </c>
    </row>
    <row r="1853" spans="1:20" ht="15" x14ac:dyDescent="0.25">
      <c r="A1853" s="420">
        <v>1223</v>
      </c>
      <c r="B1853" s="651">
        <v>3123</v>
      </c>
      <c r="C1853" s="651">
        <v>5336</v>
      </c>
      <c r="D1853" s="1973"/>
      <c r="E1853" s="616" t="s">
        <v>1740</v>
      </c>
      <c r="F1853" s="689"/>
      <c r="G1853" s="700">
        <f>G1854</f>
        <v>8780</v>
      </c>
      <c r="H1853" s="700">
        <f>H1854</f>
        <v>8780</v>
      </c>
      <c r="I1853" s="693">
        <f t="shared" si="220"/>
        <v>100</v>
      </c>
    </row>
    <row r="1854" spans="1:20" ht="14.25" x14ac:dyDescent="0.2">
      <c r="A1854" s="420"/>
      <c r="B1854" s="651"/>
      <c r="C1854" s="651"/>
      <c r="D1854" s="518" t="s">
        <v>1807</v>
      </c>
      <c r="E1854" s="442" t="s">
        <v>716</v>
      </c>
      <c r="F1854" s="689"/>
      <c r="G1854" s="689">
        <v>8780</v>
      </c>
      <c r="H1854" s="689">
        <v>8780</v>
      </c>
      <c r="I1854" s="684">
        <f t="shared" si="220"/>
        <v>100</v>
      </c>
      <c r="R1854" s="2884"/>
      <c r="S1854" s="2885"/>
    </row>
    <row r="1855" spans="1:20" ht="15" x14ac:dyDescent="0.25">
      <c r="A1855" s="420">
        <v>1223</v>
      </c>
      <c r="B1855" s="651">
        <v>3124</v>
      </c>
      <c r="C1855" s="651">
        <v>5336</v>
      </c>
      <c r="D1855" s="518"/>
      <c r="E1855" s="616" t="s">
        <v>1740</v>
      </c>
      <c r="F1855" s="689"/>
      <c r="G1855" s="700">
        <f>G1856</f>
        <v>8470</v>
      </c>
      <c r="H1855" s="700">
        <f>H1856</f>
        <v>8470</v>
      </c>
      <c r="I1855" s="693">
        <f t="shared" si="220"/>
        <v>100</v>
      </c>
      <c r="R1855" s="1979"/>
      <c r="S1855" s="1980"/>
    </row>
    <row r="1856" spans="1:20" ht="14.25" x14ac:dyDescent="0.2">
      <c r="A1856" s="420"/>
      <c r="B1856" s="651"/>
      <c r="C1856" s="1128"/>
      <c r="D1856" s="518" t="s">
        <v>1807</v>
      </c>
      <c r="E1856" s="442" t="s">
        <v>716</v>
      </c>
      <c r="F1856" s="689"/>
      <c r="G1856" s="689">
        <v>8470</v>
      </c>
      <c r="H1856" s="689">
        <v>8470</v>
      </c>
      <c r="I1856" s="684">
        <f t="shared" si="220"/>
        <v>100</v>
      </c>
    </row>
    <row r="1857" spans="1:20" ht="15" x14ac:dyDescent="0.25">
      <c r="A1857" s="420">
        <v>1223</v>
      </c>
      <c r="B1857" s="651">
        <v>3127</v>
      </c>
      <c r="C1857" s="651">
        <v>5331</v>
      </c>
      <c r="D1857" s="712"/>
      <c r="E1857" s="664" t="s">
        <v>858</v>
      </c>
      <c r="F1857" s="700">
        <f>F1858+F1859</f>
        <v>5103</v>
      </c>
      <c r="G1857" s="700">
        <f t="shared" ref="G1857:H1857" si="221">G1858+G1859</f>
        <v>850</v>
      </c>
      <c r="H1857" s="700">
        <f t="shared" si="221"/>
        <v>850</v>
      </c>
      <c r="I1857" s="693">
        <f t="shared" si="220"/>
        <v>100</v>
      </c>
    </row>
    <row r="1858" spans="1:20" ht="14.25" x14ac:dyDescent="0.2">
      <c r="A1858" s="420"/>
      <c r="B1858" s="651"/>
      <c r="C1858" s="1128"/>
      <c r="D1858" s="636" t="s">
        <v>1811</v>
      </c>
      <c r="E1858" s="1162" t="s">
        <v>717</v>
      </c>
      <c r="F1858" s="689">
        <v>701</v>
      </c>
      <c r="G1858" s="689">
        <v>116</v>
      </c>
      <c r="H1858" s="689">
        <v>116</v>
      </c>
      <c r="I1858" s="684">
        <f t="shared" si="220"/>
        <v>100</v>
      </c>
    </row>
    <row r="1859" spans="1:20" ht="14.25" x14ac:dyDescent="0.2">
      <c r="A1859" s="420"/>
      <c r="B1859" s="651"/>
      <c r="C1859" s="1128"/>
      <c r="D1859" s="518" t="s">
        <v>1812</v>
      </c>
      <c r="E1859" s="442" t="s">
        <v>63</v>
      </c>
      <c r="F1859" s="689">
        <v>4402</v>
      </c>
      <c r="G1859" s="689">
        <v>734</v>
      </c>
      <c r="H1859" s="689">
        <v>734</v>
      </c>
      <c r="I1859" s="684">
        <f t="shared" si="220"/>
        <v>100</v>
      </c>
    </row>
    <row r="1860" spans="1:20" ht="15" x14ac:dyDescent="0.25">
      <c r="A1860" s="420">
        <v>1223</v>
      </c>
      <c r="B1860" s="651">
        <v>3127</v>
      </c>
      <c r="C1860" s="651">
        <v>5336</v>
      </c>
      <c r="D1860" s="518"/>
      <c r="E1860" s="616" t="s">
        <v>1740</v>
      </c>
      <c r="F1860" s="689"/>
      <c r="G1860" s="700">
        <f>G1861+G1862+G1863+G1864+G1865+G1866</f>
        <v>2577</v>
      </c>
      <c r="H1860" s="700">
        <f>H1861+H1862+H1863+H1864+H1865+H1866</f>
        <v>2577</v>
      </c>
      <c r="I1860" s="693">
        <f t="shared" si="220"/>
        <v>100</v>
      </c>
    </row>
    <row r="1861" spans="1:20" ht="28.5" x14ac:dyDescent="0.2">
      <c r="A1861" s="420"/>
      <c r="B1861" s="651"/>
      <c r="C1861" s="1128"/>
      <c r="D1861" s="1061" t="s">
        <v>1821</v>
      </c>
      <c r="E1861" s="2887" t="s">
        <v>1822</v>
      </c>
      <c r="F1861" s="689"/>
      <c r="G1861" s="1062">
        <v>15</v>
      </c>
      <c r="H1861" s="1062">
        <v>15</v>
      </c>
      <c r="I1861" s="1066">
        <f t="shared" si="220"/>
        <v>100</v>
      </c>
    </row>
    <row r="1862" spans="1:20" ht="14.25" x14ac:dyDescent="0.2">
      <c r="A1862" s="420"/>
      <c r="B1862" s="651"/>
      <c r="C1862" s="1128"/>
      <c r="D1862" s="887" t="s">
        <v>1818</v>
      </c>
      <c r="E1862" s="1963" t="s">
        <v>1600</v>
      </c>
      <c r="F1862" s="689"/>
      <c r="G1862" s="689">
        <v>304</v>
      </c>
      <c r="H1862" s="689">
        <v>304</v>
      </c>
      <c r="I1862" s="684">
        <f t="shared" si="220"/>
        <v>100</v>
      </c>
    </row>
    <row r="1863" spans="1:20" ht="14.25" x14ac:dyDescent="0.2">
      <c r="A1863" s="420"/>
      <c r="B1863" s="651"/>
      <c r="C1863" s="1128"/>
      <c r="D1863" s="887" t="s">
        <v>1808</v>
      </c>
      <c r="E1863" s="1676" t="s">
        <v>1739</v>
      </c>
      <c r="F1863" s="689"/>
      <c r="G1863" s="689">
        <v>996</v>
      </c>
      <c r="H1863" s="689">
        <v>996</v>
      </c>
      <c r="I1863" s="684">
        <f t="shared" si="220"/>
        <v>100</v>
      </c>
    </row>
    <row r="1864" spans="1:20" ht="28.5" x14ac:dyDescent="0.2">
      <c r="A1864" s="420"/>
      <c r="B1864" s="651"/>
      <c r="C1864" s="1128"/>
      <c r="D1864" s="887" t="s">
        <v>1809</v>
      </c>
      <c r="E1864" s="2882" t="s">
        <v>1810</v>
      </c>
      <c r="F1864" s="689"/>
      <c r="G1864" s="1062">
        <v>163</v>
      </c>
      <c r="H1864" s="1062">
        <v>163</v>
      </c>
      <c r="I1864" s="1066">
        <f t="shared" si="220"/>
        <v>100</v>
      </c>
    </row>
    <row r="1865" spans="1:20" ht="14.25" x14ac:dyDescent="0.2">
      <c r="A1865" s="420"/>
      <c r="B1865" s="651"/>
      <c r="C1865" s="1128"/>
      <c r="D1865" s="518" t="s">
        <v>1813</v>
      </c>
      <c r="E1865" s="1162" t="s">
        <v>1815</v>
      </c>
      <c r="F1865" s="689"/>
      <c r="G1865" s="689">
        <v>165</v>
      </c>
      <c r="H1865" s="689">
        <v>165</v>
      </c>
      <c r="I1865" s="684">
        <f t="shared" si="220"/>
        <v>100</v>
      </c>
    </row>
    <row r="1866" spans="1:20" ht="14.25" x14ac:dyDescent="0.2">
      <c r="A1866" s="420"/>
      <c r="B1866" s="651"/>
      <c r="C1866" s="1128"/>
      <c r="D1866" s="518" t="s">
        <v>1814</v>
      </c>
      <c r="E1866" s="1162" t="s">
        <v>1815</v>
      </c>
      <c r="F1866" s="689"/>
      <c r="G1866" s="689">
        <v>934</v>
      </c>
      <c r="H1866" s="689">
        <v>934</v>
      </c>
      <c r="I1866" s="684">
        <f t="shared" si="220"/>
        <v>100</v>
      </c>
    </row>
    <row r="1867" spans="1:20" ht="18" customHeight="1" x14ac:dyDescent="0.25">
      <c r="A1867" s="420">
        <v>1223</v>
      </c>
      <c r="B1867" s="651">
        <v>3141</v>
      </c>
      <c r="C1867" s="651">
        <v>5336</v>
      </c>
      <c r="D1867" s="518"/>
      <c r="E1867" s="616" t="s">
        <v>1740</v>
      </c>
      <c r="F1867" s="689"/>
      <c r="G1867" s="700">
        <f>G1868</f>
        <v>524</v>
      </c>
      <c r="H1867" s="700">
        <f>H1868</f>
        <v>524</v>
      </c>
      <c r="I1867" s="693">
        <f t="shared" si="220"/>
        <v>100</v>
      </c>
    </row>
    <row r="1868" spans="1:20" ht="13.5" customHeight="1" x14ac:dyDescent="0.2">
      <c r="A1868" s="420"/>
      <c r="B1868" s="651"/>
      <c r="C1868" s="1128"/>
      <c r="D1868" s="518" t="s">
        <v>1807</v>
      </c>
      <c r="E1868" s="442" t="s">
        <v>716</v>
      </c>
      <c r="F1868" s="689"/>
      <c r="G1868" s="689">
        <v>524</v>
      </c>
      <c r="H1868" s="689">
        <v>524</v>
      </c>
      <c r="I1868" s="684">
        <f t="shared" si="220"/>
        <v>100</v>
      </c>
    </row>
    <row r="1869" spans="1:20" ht="15" x14ac:dyDescent="0.25">
      <c r="A1869" s="420">
        <v>1223</v>
      </c>
      <c r="B1869" s="651">
        <v>3147</v>
      </c>
      <c r="C1869" s="651">
        <v>5336</v>
      </c>
      <c r="D1869" s="518"/>
      <c r="E1869" s="616" t="s">
        <v>1740</v>
      </c>
      <c r="F1869" s="689"/>
      <c r="G1869" s="700">
        <f>G1870</f>
        <v>1910</v>
      </c>
      <c r="H1869" s="700">
        <f>H1870</f>
        <v>1910</v>
      </c>
      <c r="I1869" s="693">
        <f t="shared" si="220"/>
        <v>100</v>
      </c>
    </row>
    <row r="1870" spans="1:20" ht="15.75" customHeight="1" thickBot="1" x14ac:dyDescent="0.25">
      <c r="A1870" s="420"/>
      <c r="B1870" s="651"/>
      <c r="C1870" s="1128"/>
      <c r="D1870" s="518" t="s">
        <v>1807</v>
      </c>
      <c r="E1870" s="442" t="s">
        <v>716</v>
      </c>
      <c r="F1870" s="689"/>
      <c r="G1870" s="689">
        <v>1910</v>
      </c>
      <c r="H1870" s="689">
        <v>1910</v>
      </c>
      <c r="I1870" s="684">
        <f t="shared" si="220"/>
        <v>100</v>
      </c>
    </row>
    <row r="1871" spans="1:20" ht="16.5" thickTop="1" thickBot="1" x14ac:dyDescent="0.3">
      <c r="A1871" s="3110" t="s">
        <v>1000</v>
      </c>
      <c r="B1871" s="3111"/>
      <c r="C1871" s="3111"/>
      <c r="D1871" s="3111"/>
      <c r="E1871" s="3111"/>
      <c r="F1871" s="680">
        <f>F1857</f>
        <v>5103</v>
      </c>
      <c r="G1871" s="680">
        <f>G1869+G1867+G1860+G1857+G1855+G1853+G1851</f>
        <v>35423</v>
      </c>
      <c r="H1871" s="680">
        <f>H1869+H1867+H1860+H1857+H1855+H1853+H1851</f>
        <v>35423</v>
      </c>
      <c r="I1871" s="681">
        <f>(H1871/G1871)*100</f>
        <v>100</v>
      </c>
      <c r="R1871" s="374">
        <f>F1871</f>
        <v>5103</v>
      </c>
      <c r="S1871" s="374">
        <f>G1871</f>
        <v>35423</v>
      </c>
      <c r="T1871" s="374">
        <f>H1871</f>
        <v>35423</v>
      </c>
    </row>
    <row r="1872" spans="1:20" s="106" customFormat="1" ht="13.5" thickTop="1" x14ac:dyDescent="0.2">
      <c r="A1872" s="373"/>
      <c r="B1872" s="598"/>
      <c r="C1872" s="373"/>
      <c r="D1872" s="670"/>
      <c r="E1872" s="373"/>
      <c r="F1872" s="374"/>
      <c r="G1872" s="374"/>
      <c r="H1872" s="374"/>
      <c r="I1872" s="1125"/>
    </row>
    <row r="1873" spans="1:9" s="106" customFormat="1" x14ac:dyDescent="0.2">
      <c r="A1873" s="373"/>
      <c r="B1873" s="598"/>
      <c r="C1873" s="373"/>
      <c r="D1873" s="670"/>
      <c r="E1873" s="373"/>
      <c r="F1873" s="374"/>
      <c r="G1873" s="374"/>
      <c r="H1873" s="374"/>
      <c r="I1873" s="1125"/>
    </row>
    <row r="1874" spans="1:9" ht="13.5" thickBot="1" x14ac:dyDescent="0.25">
      <c r="A1874" s="421" t="s">
        <v>2151</v>
      </c>
      <c r="I1874" s="1125" t="s">
        <v>148</v>
      </c>
    </row>
    <row r="1875" spans="1:9" ht="14.25" thickTop="1" thickBot="1" x14ac:dyDescent="0.25">
      <c r="A1875" s="586" t="s">
        <v>565</v>
      </c>
      <c r="B1875" s="658" t="s">
        <v>149</v>
      </c>
      <c r="C1875" s="587" t="s">
        <v>150</v>
      </c>
      <c r="D1875" s="589" t="s">
        <v>639</v>
      </c>
      <c r="E1875" s="589" t="s">
        <v>151</v>
      </c>
      <c r="F1875" s="589" t="s">
        <v>569</v>
      </c>
      <c r="G1875" s="589" t="s">
        <v>570</v>
      </c>
      <c r="H1875" s="589" t="s">
        <v>797</v>
      </c>
      <c r="I1875" s="674" t="s">
        <v>798</v>
      </c>
    </row>
    <row r="1876" spans="1:9" ht="14.25" thickTop="1" thickBot="1" x14ac:dyDescent="0.25">
      <c r="A1876" s="525">
        <v>1</v>
      </c>
      <c r="B1876" s="526">
        <v>2</v>
      </c>
      <c r="C1876" s="526">
        <v>3</v>
      </c>
      <c r="D1876" s="526">
        <v>4</v>
      </c>
      <c r="E1876" s="526">
        <v>5</v>
      </c>
      <c r="F1876" s="512">
        <v>6</v>
      </c>
      <c r="G1876" s="512">
        <v>7</v>
      </c>
      <c r="H1876" s="513">
        <v>8</v>
      </c>
      <c r="I1876" s="591" t="s">
        <v>689</v>
      </c>
    </row>
    <row r="1877" spans="1:9" ht="15.75" thickTop="1" x14ac:dyDescent="0.25">
      <c r="A1877" s="1136">
        <v>1225</v>
      </c>
      <c r="B1877" s="701">
        <v>3124</v>
      </c>
      <c r="C1877" s="701">
        <v>5331</v>
      </c>
      <c r="D1877" s="706"/>
      <c r="E1877" s="734" t="s">
        <v>858</v>
      </c>
      <c r="F1877" s="699">
        <f>F1878+F1879+F1880</f>
        <v>3510</v>
      </c>
      <c r="G1877" s="699">
        <f>G1878+G1879+G1880</f>
        <v>582</v>
      </c>
      <c r="H1877" s="699">
        <f>H1878+H1879+H1880</f>
        <v>582</v>
      </c>
      <c r="I1877" s="703">
        <f t="shared" ref="I1877:I1893" si="222">(H1877/G1877)*100</f>
        <v>100</v>
      </c>
    </row>
    <row r="1878" spans="1:9" ht="14.25" x14ac:dyDescent="0.2">
      <c r="A1878" s="420"/>
      <c r="B1878" s="617"/>
      <c r="C1878" s="617"/>
      <c r="D1878" s="636" t="s">
        <v>1811</v>
      </c>
      <c r="E1878" s="1162" t="s">
        <v>717</v>
      </c>
      <c r="F1878" s="352">
        <v>629</v>
      </c>
      <c r="G1878" s="683">
        <v>102</v>
      </c>
      <c r="H1878" s="683">
        <v>102</v>
      </c>
      <c r="I1878" s="679">
        <f t="shared" si="222"/>
        <v>100</v>
      </c>
    </row>
    <row r="1879" spans="1:9" ht="14.25" x14ac:dyDescent="0.2">
      <c r="A1879" s="420"/>
      <c r="B1879" s="617"/>
      <c r="C1879" s="617"/>
      <c r="D1879" s="518" t="s">
        <v>1812</v>
      </c>
      <c r="E1879" s="442" t="s">
        <v>63</v>
      </c>
      <c r="F1879" s="352">
        <v>2831</v>
      </c>
      <c r="G1879" s="683">
        <v>472</v>
      </c>
      <c r="H1879" s="683">
        <v>472</v>
      </c>
      <c r="I1879" s="679">
        <f t="shared" si="222"/>
        <v>100</v>
      </c>
    </row>
    <row r="1880" spans="1:9" ht="15.75" customHeight="1" x14ac:dyDescent="0.2">
      <c r="A1880" s="420"/>
      <c r="B1880" s="651"/>
      <c r="C1880" s="651"/>
      <c r="D1880" s="518" t="s">
        <v>1817</v>
      </c>
      <c r="E1880" s="442" t="s">
        <v>1312</v>
      </c>
      <c r="F1880" s="692">
        <v>50</v>
      </c>
      <c r="G1880" s="689">
        <v>8</v>
      </c>
      <c r="H1880" s="689">
        <v>8</v>
      </c>
      <c r="I1880" s="679">
        <f t="shared" si="222"/>
        <v>100</v>
      </c>
    </row>
    <row r="1881" spans="1:9" ht="13.5" customHeight="1" x14ac:dyDescent="0.25">
      <c r="A1881" s="420">
        <v>1225</v>
      </c>
      <c r="B1881" s="651">
        <v>3124</v>
      </c>
      <c r="C1881" s="651">
        <v>5336</v>
      </c>
      <c r="D1881" s="887"/>
      <c r="E1881" s="616" t="s">
        <v>1740</v>
      </c>
      <c r="F1881" s="692"/>
      <c r="G1881" s="700">
        <f>G1882+G1883+G1884+G1885+G1886</f>
        <v>26079</v>
      </c>
      <c r="H1881" s="700">
        <f>H1882+H1883+H1884+H1885+H1886</f>
        <v>26079</v>
      </c>
      <c r="I1881" s="707">
        <f t="shared" si="222"/>
        <v>100</v>
      </c>
    </row>
    <row r="1882" spans="1:9" ht="28.5" x14ac:dyDescent="0.2">
      <c r="A1882" s="420"/>
      <c r="B1882" s="651"/>
      <c r="C1882" s="651"/>
      <c r="D1882" s="1061" t="s">
        <v>1821</v>
      </c>
      <c r="E1882" s="2887" t="s">
        <v>1822</v>
      </c>
      <c r="F1882" s="731"/>
      <c r="G1882" s="1089">
        <v>78</v>
      </c>
      <c r="H1882" s="1089">
        <v>78</v>
      </c>
      <c r="I1882" s="1105">
        <f t="shared" si="222"/>
        <v>100</v>
      </c>
    </row>
    <row r="1883" spans="1:9" ht="13.5" customHeight="1" x14ac:dyDescent="0.2">
      <c r="A1883" s="420"/>
      <c r="B1883" s="651"/>
      <c r="C1883" s="651"/>
      <c r="D1883" s="887" t="s">
        <v>1818</v>
      </c>
      <c r="E1883" s="1963" t="s">
        <v>1600</v>
      </c>
      <c r="F1883" s="310"/>
      <c r="G1883" s="312">
        <v>337</v>
      </c>
      <c r="H1883" s="312">
        <v>337</v>
      </c>
      <c r="I1883" s="893">
        <f t="shared" si="222"/>
        <v>100</v>
      </c>
    </row>
    <row r="1884" spans="1:9" ht="13.5" customHeight="1" x14ac:dyDescent="0.2">
      <c r="A1884" s="420"/>
      <c r="B1884" s="651"/>
      <c r="C1884" s="651"/>
      <c r="D1884" s="887" t="s">
        <v>1808</v>
      </c>
      <c r="E1884" s="1676" t="s">
        <v>1739</v>
      </c>
      <c r="F1884" s="1964"/>
      <c r="G1884" s="1965">
        <v>631</v>
      </c>
      <c r="H1884" s="1965">
        <v>631</v>
      </c>
      <c r="I1884" s="368">
        <f t="shared" ref="I1884:I1885" si="223">(H1884/G1884)*100</f>
        <v>100</v>
      </c>
    </row>
    <row r="1885" spans="1:9" ht="13.5" customHeight="1" x14ac:dyDescent="0.2">
      <c r="A1885" s="420"/>
      <c r="B1885" s="651"/>
      <c r="C1885" s="651"/>
      <c r="D1885" s="887" t="s">
        <v>1809</v>
      </c>
      <c r="E1885" s="2882" t="s">
        <v>1810</v>
      </c>
      <c r="F1885" s="1964"/>
      <c r="G1885" s="1965">
        <v>152</v>
      </c>
      <c r="H1885" s="1965">
        <v>152</v>
      </c>
      <c r="I1885" s="368">
        <f t="shared" si="223"/>
        <v>100</v>
      </c>
    </row>
    <row r="1886" spans="1:9" ht="13.5" customHeight="1" x14ac:dyDescent="0.25">
      <c r="A1886" s="420"/>
      <c r="B1886" s="651"/>
      <c r="C1886" s="651"/>
      <c r="D1886" s="518" t="s">
        <v>1807</v>
      </c>
      <c r="E1886" s="442" t="s">
        <v>716</v>
      </c>
      <c r="F1886" s="690"/>
      <c r="G1886" s="689">
        <v>24881</v>
      </c>
      <c r="H1886" s="689">
        <v>24881</v>
      </c>
      <c r="I1886" s="679">
        <f t="shared" si="222"/>
        <v>100</v>
      </c>
    </row>
    <row r="1887" spans="1:9" ht="15.75" customHeight="1" x14ac:dyDescent="0.25">
      <c r="A1887" s="420">
        <v>1225</v>
      </c>
      <c r="B1887" s="651">
        <v>3141</v>
      </c>
      <c r="C1887" s="651">
        <v>5336</v>
      </c>
      <c r="D1887" s="518"/>
      <c r="E1887" s="616" t="s">
        <v>1740</v>
      </c>
      <c r="F1887" s="689"/>
      <c r="G1887" s="700">
        <f>G1888</f>
        <v>664</v>
      </c>
      <c r="H1887" s="700">
        <f>H1888</f>
        <v>664</v>
      </c>
      <c r="I1887" s="693">
        <f t="shared" si="222"/>
        <v>100</v>
      </c>
    </row>
    <row r="1888" spans="1:9" ht="14.25" x14ac:dyDescent="0.2">
      <c r="A1888" s="420"/>
      <c r="B1888" s="651"/>
      <c r="C1888" s="651"/>
      <c r="D1888" s="518" t="s">
        <v>1807</v>
      </c>
      <c r="E1888" s="442" t="s">
        <v>716</v>
      </c>
      <c r="F1888" s="689"/>
      <c r="G1888" s="689">
        <v>664</v>
      </c>
      <c r="H1888" s="689">
        <v>664</v>
      </c>
      <c r="I1888" s="684">
        <f t="shared" si="222"/>
        <v>100</v>
      </c>
    </row>
    <row r="1889" spans="1:20" ht="15" x14ac:dyDescent="0.25">
      <c r="A1889" s="420">
        <v>1225</v>
      </c>
      <c r="B1889" s="651">
        <v>3145</v>
      </c>
      <c r="C1889" s="1128">
        <v>5336</v>
      </c>
      <c r="D1889" s="518"/>
      <c r="E1889" s="616" t="s">
        <v>1740</v>
      </c>
      <c r="F1889" s="689"/>
      <c r="G1889" s="700">
        <f>G1890</f>
        <v>4179</v>
      </c>
      <c r="H1889" s="700">
        <f>H1890</f>
        <v>4179</v>
      </c>
      <c r="I1889" s="693">
        <f t="shared" si="222"/>
        <v>100</v>
      </c>
    </row>
    <row r="1890" spans="1:20" s="1165" customFormat="1" ht="14.25" x14ac:dyDescent="0.2">
      <c r="A1890" s="1187"/>
      <c r="B1890" s="1197"/>
      <c r="C1890" s="1198"/>
      <c r="D1890" s="649" t="s">
        <v>1807</v>
      </c>
      <c r="E1890" s="1199" t="s">
        <v>716</v>
      </c>
      <c r="F1890" s="1062"/>
      <c r="G1890" s="1062">
        <v>4179</v>
      </c>
      <c r="H1890" s="1062">
        <v>4179</v>
      </c>
      <c r="I1890" s="1066">
        <f t="shared" si="222"/>
        <v>100</v>
      </c>
    </row>
    <row r="1891" spans="1:20" ht="15" x14ac:dyDescent="0.25">
      <c r="A1891" s="420">
        <v>1225</v>
      </c>
      <c r="B1891" s="617">
        <v>3293</v>
      </c>
      <c r="C1891" s="1128">
        <v>5336</v>
      </c>
      <c r="D1891" s="518"/>
      <c r="E1891" s="616" t="s">
        <v>1740</v>
      </c>
      <c r="F1891" s="700"/>
      <c r="G1891" s="700">
        <f>G1892</f>
        <v>391</v>
      </c>
      <c r="H1891" s="700">
        <f>H1892</f>
        <v>391</v>
      </c>
      <c r="I1891" s="693">
        <f t="shared" si="222"/>
        <v>100</v>
      </c>
    </row>
    <row r="1892" spans="1:20" ht="15" thickBot="1" x14ac:dyDescent="0.25">
      <c r="A1892" s="420"/>
      <c r="B1892" s="651"/>
      <c r="C1892" s="1128"/>
      <c r="D1892" s="649" t="s">
        <v>1819</v>
      </c>
      <c r="E1892" s="1174" t="s">
        <v>55</v>
      </c>
      <c r="F1892" s="689"/>
      <c r="G1892" s="689">
        <v>391</v>
      </c>
      <c r="H1892" s="689">
        <v>391</v>
      </c>
      <c r="I1892" s="684">
        <f t="shared" si="222"/>
        <v>100</v>
      </c>
    </row>
    <row r="1893" spans="1:20" ht="16.5" thickTop="1" thickBot="1" x14ac:dyDescent="0.3">
      <c r="A1893" s="3110" t="s">
        <v>1000</v>
      </c>
      <c r="B1893" s="3111"/>
      <c r="C1893" s="3111"/>
      <c r="D1893" s="3111"/>
      <c r="E1893" s="3111"/>
      <c r="F1893" s="680">
        <f>F1877</f>
        <v>3510</v>
      </c>
      <c r="G1893" s="680">
        <f>G1891+G1889+G1887+G1881+G1877</f>
        <v>31895</v>
      </c>
      <c r="H1893" s="680">
        <f>H1891+H1889+H1887+H1881+H1877</f>
        <v>31895</v>
      </c>
      <c r="I1893" s="681">
        <f t="shared" si="222"/>
        <v>100</v>
      </c>
      <c r="R1893" s="374">
        <f>F1893</f>
        <v>3510</v>
      </c>
      <c r="S1893" s="374">
        <f>G1893</f>
        <v>31895</v>
      </c>
      <c r="T1893" s="374">
        <f>H1893</f>
        <v>31895</v>
      </c>
    </row>
    <row r="1894" spans="1:20" ht="13.5" thickTop="1" x14ac:dyDescent="0.2"/>
    <row r="1896" spans="1:20" s="1165" customFormat="1" ht="13.5" thickBot="1" x14ac:dyDescent="0.25">
      <c r="A1896" s="1190" t="s">
        <v>1754</v>
      </c>
      <c r="B1896" s="1178"/>
      <c r="D1896" s="1179"/>
      <c r="F1896" s="1177"/>
      <c r="G1896" s="1177"/>
      <c r="H1896" s="1177"/>
      <c r="I1896" s="1180" t="s">
        <v>148</v>
      </c>
    </row>
    <row r="1897" spans="1:20" ht="14.25" thickTop="1" thickBot="1" x14ac:dyDescent="0.25">
      <c r="A1897" s="586" t="s">
        <v>565</v>
      </c>
      <c r="B1897" s="658" t="s">
        <v>149</v>
      </c>
      <c r="C1897" s="587" t="s">
        <v>150</v>
      </c>
      <c r="D1897" s="589" t="s">
        <v>639</v>
      </c>
      <c r="E1897" s="589" t="s">
        <v>151</v>
      </c>
      <c r="F1897" s="589" t="s">
        <v>569</v>
      </c>
      <c r="G1897" s="589" t="s">
        <v>570</v>
      </c>
      <c r="H1897" s="589" t="s">
        <v>797</v>
      </c>
      <c r="I1897" s="674" t="s">
        <v>798</v>
      </c>
    </row>
    <row r="1898" spans="1:20" ht="14.25" thickTop="1" thickBot="1" x14ac:dyDescent="0.25">
      <c r="A1898" s="525">
        <v>1</v>
      </c>
      <c r="B1898" s="526">
        <v>2</v>
      </c>
      <c r="C1898" s="526">
        <v>3</v>
      </c>
      <c r="D1898" s="526">
        <v>4</v>
      </c>
      <c r="E1898" s="526">
        <v>5</v>
      </c>
      <c r="F1898" s="512">
        <v>6</v>
      </c>
      <c r="G1898" s="512">
        <v>7</v>
      </c>
      <c r="H1898" s="513">
        <v>8</v>
      </c>
      <c r="I1898" s="591" t="s">
        <v>689</v>
      </c>
    </row>
    <row r="1899" spans="1:20" ht="15.75" thickTop="1" x14ac:dyDescent="0.25">
      <c r="A1899" s="1136">
        <v>1226</v>
      </c>
      <c r="B1899" s="701">
        <v>3122</v>
      </c>
      <c r="C1899" s="701">
        <v>5336</v>
      </c>
      <c r="D1899" s="706"/>
      <c r="E1899" s="616" t="s">
        <v>1740</v>
      </c>
      <c r="F1899" s="699"/>
      <c r="G1899" s="699">
        <f>G1900</f>
        <v>4568</v>
      </c>
      <c r="H1899" s="699">
        <f>H1900</f>
        <v>4568</v>
      </c>
      <c r="I1899" s="703">
        <f>(H1899/G1899)*100</f>
        <v>100</v>
      </c>
    </row>
    <row r="1900" spans="1:20" ht="14.25" x14ac:dyDescent="0.2">
      <c r="A1900" s="420"/>
      <c r="B1900" s="617"/>
      <c r="C1900" s="617"/>
      <c r="D1900" s="518" t="s">
        <v>1807</v>
      </c>
      <c r="E1900" s="442" t="s">
        <v>716</v>
      </c>
      <c r="F1900" s="683"/>
      <c r="G1900" s="683">
        <v>4568</v>
      </c>
      <c r="H1900" s="683">
        <v>4568</v>
      </c>
      <c r="I1900" s="679">
        <v>100</v>
      </c>
    </row>
    <row r="1901" spans="1:20" ht="15" x14ac:dyDescent="0.25">
      <c r="A1901" s="420">
        <v>1226</v>
      </c>
      <c r="B1901" s="617">
        <v>3123</v>
      </c>
      <c r="C1901" s="617">
        <v>5336</v>
      </c>
      <c r="D1901" s="1972"/>
      <c r="E1901" s="616" t="s">
        <v>1740</v>
      </c>
      <c r="F1901" s="683"/>
      <c r="G1901" s="705">
        <f>G1902</f>
        <v>14624</v>
      </c>
      <c r="H1901" s="705">
        <f>H1902</f>
        <v>14624</v>
      </c>
      <c r="I1901" s="707">
        <v>100</v>
      </c>
    </row>
    <row r="1902" spans="1:20" ht="14.25" customHeight="1" x14ac:dyDescent="0.2">
      <c r="A1902" s="420"/>
      <c r="B1902" s="617"/>
      <c r="C1902" s="617"/>
      <c r="D1902" s="518" t="s">
        <v>1807</v>
      </c>
      <c r="E1902" s="442" t="s">
        <v>716</v>
      </c>
      <c r="F1902" s="683"/>
      <c r="G1902" s="683">
        <v>14624</v>
      </c>
      <c r="H1902" s="683">
        <v>14624</v>
      </c>
      <c r="I1902" s="679">
        <v>100</v>
      </c>
    </row>
    <row r="1903" spans="1:20" ht="14.25" customHeight="1" x14ac:dyDescent="0.25">
      <c r="A1903" s="420">
        <v>1226</v>
      </c>
      <c r="B1903" s="617">
        <v>3127</v>
      </c>
      <c r="C1903" s="651">
        <v>5331</v>
      </c>
      <c r="D1903" s="712"/>
      <c r="E1903" s="616" t="s">
        <v>858</v>
      </c>
      <c r="F1903" s="690">
        <f>F1904+F1905+F1906</f>
        <v>8267</v>
      </c>
      <c r="G1903" s="690">
        <f t="shared" ref="G1903:H1903" si="224">G1904+G1905+G1906</f>
        <v>1378</v>
      </c>
      <c r="H1903" s="690">
        <f t="shared" si="224"/>
        <v>1378</v>
      </c>
      <c r="I1903" s="691">
        <v>100</v>
      </c>
    </row>
    <row r="1904" spans="1:20" ht="14.25" customHeight="1" x14ac:dyDescent="0.2">
      <c r="A1904" s="420"/>
      <c r="B1904" s="651"/>
      <c r="C1904" s="651"/>
      <c r="D1904" s="636" t="s">
        <v>1811</v>
      </c>
      <c r="E1904" s="1162" t="s">
        <v>717</v>
      </c>
      <c r="F1904" s="689">
        <v>2224</v>
      </c>
      <c r="G1904" s="689">
        <v>370</v>
      </c>
      <c r="H1904" s="689">
        <v>370</v>
      </c>
      <c r="I1904" s="679">
        <v>100</v>
      </c>
    </row>
    <row r="1905" spans="1:20" ht="14.25" customHeight="1" x14ac:dyDescent="0.2">
      <c r="A1905" s="420"/>
      <c r="B1905" s="651"/>
      <c r="C1905" s="651"/>
      <c r="D1905" s="518" t="s">
        <v>1812</v>
      </c>
      <c r="E1905" s="442" t="s">
        <v>63</v>
      </c>
      <c r="F1905" s="689">
        <v>5563</v>
      </c>
      <c r="G1905" s="689">
        <v>928</v>
      </c>
      <c r="H1905" s="689">
        <v>928</v>
      </c>
      <c r="I1905" s="679">
        <v>100</v>
      </c>
    </row>
    <row r="1906" spans="1:20" ht="14.25" customHeight="1" x14ac:dyDescent="0.2">
      <c r="A1906" s="420"/>
      <c r="B1906" s="651"/>
      <c r="C1906" s="651"/>
      <c r="D1906" s="518" t="s">
        <v>1817</v>
      </c>
      <c r="E1906" s="442" t="s">
        <v>1312</v>
      </c>
      <c r="F1906" s="689">
        <v>480</v>
      </c>
      <c r="G1906" s="689">
        <v>80</v>
      </c>
      <c r="H1906" s="689">
        <v>80</v>
      </c>
      <c r="I1906" s="679">
        <v>100</v>
      </c>
    </row>
    <row r="1907" spans="1:20" ht="14.25" customHeight="1" x14ac:dyDescent="0.25">
      <c r="A1907" s="420">
        <v>1226</v>
      </c>
      <c r="B1907" s="617">
        <v>3127</v>
      </c>
      <c r="C1907" s="617">
        <v>5336</v>
      </c>
      <c r="D1907" s="2880"/>
      <c r="E1907" s="616" t="s">
        <v>1740</v>
      </c>
      <c r="F1907" s="689"/>
      <c r="G1907" s="690">
        <f>G1908+G1909+G1910+G1911+G1912</f>
        <v>1641</v>
      </c>
      <c r="H1907" s="690">
        <f>H1908+H1909+H1910+H1911+H1912</f>
        <v>1641</v>
      </c>
      <c r="I1907" s="691">
        <v>100</v>
      </c>
    </row>
    <row r="1908" spans="1:20" ht="14.25" customHeight="1" x14ac:dyDescent="0.2">
      <c r="A1908" s="420"/>
      <c r="B1908" s="651"/>
      <c r="C1908" s="651"/>
      <c r="D1908" s="887" t="s">
        <v>1818</v>
      </c>
      <c r="E1908" s="1963" t="s">
        <v>1600</v>
      </c>
      <c r="F1908" s="689"/>
      <c r="G1908" s="689">
        <v>677</v>
      </c>
      <c r="H1908" s="689">
        <v>677</v>
      </c>
      <c r="I1908" s="679">
        <v>100</v>
      </c>
    </row>
    <row r="1909" spans="1:20" ht="14.25" customHeight="1" x14ac:dyDescent="0.2">
      <c r="A1909" s="420"/>
      <c r="B1909" s="651"/>
      <c r="C1909" s="651"/>
      <c r="D1909" s="887" t="s">
        <v>1808</v>
      </c>
      <c r="E1909" s="1676" t="s">
        <v>1739</v>
      </c>
      <c r="F1909" s="689"/>
      <c r="G1909" s="689">
        <v>413</v>
      </c>
      <c r="H1909" s="689">
        <v>413</v>
      </c>
      <c r="I1909" s="679">
        <v>100</v>
      </c>
    </row>
    <row r="1910" spans="1:20" ht="28.5" x14ac:dyDescent="0.2">
      <c r="A1910" s="420"/>
      <c r="B1910" s="651"/>
      <c r="C1910" s="651"/>
      <c r="D1910" s="887" t="s">
        <v>1809</v>
      </c>
      <c r="E1910" s="2882" t="s">
        <v>1810</v>
      </c>
      <c r="F1910" s="689"/>
      <c r="G1910" s="689">
        <v>109</v>
      </c>
      <c r="H1910" s="689">
        <v>109</v>
      </c>
      <c r="I1910" s="679">
        <v>100</v>
      </c>
    </row>
    <row r="1911" spans="1:20" ht="14.25" customHeight="1" x14ac:dyDescent="0.2">
      <c r="A1911" s="420"/>
      <c r="B1911" s="651"/>
      <c r="C1911" s="651"/>
      <c r="D1911" s="518" t="s">
        <v>1813</v>
      </c>
      <c r="E1911" s="1162" t="s">
        <v>1815</v>
      </c>
      <c r="F1911" s="689"/>
      <c r="G1911" s="689">
        <v>66</v>
      </c>
      <c r="H1911" s="689">
        <v>66</v>
      </c>
      <c r="I1911" s="679">
        <v>100</v>
      </c>
    </row>
    <row r="1912" spans="1:20" ht="14.25" customHeight="1" x14ac:dyDescent="0.2">
      <c r="A1912" s="420"/>
      <c r="B1912" s="651"/>
      <c r="C1912" s="651"/>
      <c r="D1912" s="518" t="s">
        <v>1814</v>
      </c>
      <c r="E1912" s="1162" t="s">
        <v>1815</v>
      </c>
      <c r="F1912" s="689"/>
      <c r="G1912" s="689">
        <v>376</v>
      </c>
      <c r="H1912" s="689">
        <v>376</v>
      </c>
      <c r="I1912" s="679">
        <v>100</v>
      </c>
    </row>
    <row r="1913" spans="1:20" ht="15" x14ac:dyDescent="0.25">
      <c r="A1913" s="420">
        <v>1226</v>
      </c>
      <c r="B1913" s="651">
        <v>3141</v>
      </c>
      <c r="C1913" s="651">
        <v>5336</v>
      </c>
      <c r="D1913" s="518"/>
      <c r="E1913" s="616" t="s">
        <v>1740</v>
      </c>
      <c r="F1913" s="689"/>
      <c r="G1913" s="700">
        <f>G1914</f>
        <v>1005</v>
      </c>
      <c r="H1913" s="700">
        <f>H1914</f>
        <v>1005</v>
      </c>
      <c r="I1913" s="693">
        <v>100</v>
      </c>
    </row>
    <row r="1914" spans="1:20" ht="14.25" x14ac:dyDescent="0.2">
      <c r="A1914" s="420"/>
      <c r="B1914" s="651"/>
      <c r="C1914" s="651"/>
      <c r="D1914" s="518" t="s">
        <v>1807</v>
      </c>
      <c r="E1914" s="442" t="s">
        <v>716</v>
      </c>
      <c r="F1914" s="689"/>
      <c r="G1914" s="689">
        <v>1005</v>
      </c>
      <c r="H1914" s="689">
        <v>1005</v>
      </c>
      <c r="I1914" s="684">
        <v>100</v>
      </c>
    </row>
    <row r="1915" spans="1:20" ht="15" x14ac:dyDescent="0.25">
      <c r="A1915" s="420">
        <v>1226</v>
      </c>
      <c r="B1915" s="651">
        <v>3147</v>
      </c>
      <c r="C1915" s="651">
        <v>5336</v>
      </c>
      <c r="D1915" s="518"/>
      <c r="E1915" s="616" t="s">
        <v>1740</v>
      </c>
      <c r="F1915" s="689"/>
      <c r="G1915" s="700">
        <f>G1916</f>
        <v>2576</v>
      </c>
      <c r="H1915" s="700">
        <f>H1916</f>
        <v>2576</v>
      </c>
      <c r="I1915" s="693">
        <f t="shared" ref="I1915:I1919" si="225">(H1915/G1915)*100</f>
        <v>100</v>
      </c>
    </row>
    <row r="1916" spans="1:20" ht="14.25" x14ac:dyDescent="0.2">
      <c r="A1916" s="420"/>
      <c r="B1916" s="651"/>
      <c r="C1916" s="1128"/>
      <c r="D1916" s="518" t="s">
        <v>1807</v>
      </c>
      <c r="E1916" s="442" t="s">
        <v>716</v>
      </c>
      <c r="F1916" s="689"/>
      <c r="G1916" s="689">
        <v>2576</v>
      </c>
      <c r="H1916" s="689">
        <v>2576</v>
      </c>
      <c r="I1916" s="684">
        <f t="shared" si="225"/>
        <v>100</v>
      </c>
    </row>
    <row r="1917" spans="1:20" ht="15" x14ac:dyDescent="0.25">
      <c r="A1917" s="420">
        <v>1226</v>
      </c>
      <c r="B1917" s="651">
        <v>3293</v>
      </c>
      <c r="C1917" s="651">
        <v>5336</v>
      </c>
      <c r="D1917" s="518"/>
      <c r="E1917" s="616" t="s">
        <v>1740</v>
      </c>
      <c r="F1917" s="690"/>
      <c r="G1917" s="690">
        <f>G1918</f>
        <v>37</v>
      </c>
      <c r="H1917" s="690">
        <f>H1918</f>
        <v>37</v>
      </c>
      <c r="I1917" s="691">
        <f t="shared" si="225"/>
        <v>100</v>
      </c>
    </row>
    <row r="1918" spans="1:20" ht="15" thickBot="1" x14ac:dyDescent="0.25">
      <c r="A1918" s="420"/>
      <c r="B1918" s="651"/>
      <c r="C1918" s="651"/>
      <c r="D1918" s="649" t="s">
        <v>1819</v>
      </c>
      <c r="E1918" s="1174" t="s">
        <v>55</v>
      </c>
      <c r="F1918" s="689"/>
      <c r="G1918" s="689">
        <v>37</v>
      </c>
      <c r="H1918" s="689">
        <v>37</v>
      </c>
      <c r="I1918" s="684">
        <f t="shared" si="225"/>
        <v>100</v>
      </c>
    </row>
    <row r="1919" spans="1:20" ht="16.5" thickTop="1" thickBot="1" x14ac:dyDescent="0.3">
      <c r="A1919" s="3110" t="s">
        <v>1000</v>
      </c>
      <c r="B1919" s="3111"/>
      <c r="C1919" s="3111"/>
      <c r="D1919" s="3111"/>
      <c r="E1919" s="3111"/>
      <c r="F1919" s="680">
        <f>F1903</f>
        <v>8267</v>
      </c>
      <c r="G1919" s="680">
        <f>G1917+G1915+G1913+G1907+G1903+G1901+G1899</f>
        <v>25829</v>
      </c>
      <c r="H1919" s="680">
        <f>H1917+H1915+H1913+H1907+H1903+H1901+H1899</f>
        <v>25829</v>
      </c>
      <c r="I1919" s="681">
        <f t="shared" si="225"/>
        <v>100</v>
      </c>
      <c r="R1919" s="374">
        <f>F1919</f>
        <v>8267</v>
      </c>
      <c r="S1919" s="374">
        <f>G1919</f>
        <v>25829</v>
      </c>
      <c r="T1919" s="374">
        <f>H1919</f>
        <v>25829</v>
      </c>
    </row>
    <row r="1920" spans="1:20" ht="15.75" thickTop="1" x14ac:dyDescent="0.25">
      <c r="A1920" s="361"/>
      <c r="B1920" s="361"/>
      <c r="C1920" s="361"/>
      <c r="D1920" s="361"/>
      <c r="E1920" s="361"/>
      <c r="F1920" s="178"/>
      <c r="G1920" s="178"/>
      <c r="H1920" s="178"/>
      <c r="I1920" s="207"/>
      <c r="R1920" s="374"/>
      <c r="S1920" s="374"/>
      <c r="T1920" s="374"/>
    </row>
    <row r="1921" spans="1:20" ht="13.5" thickBot="1" x14ac:dyDescent="0.25">
      <c r="A1921" s="421" t="s">
        <v>973</v>
      </c>
      <c r="I1921" s="1125" t="s">
        <v>148</v>
      </c>
    </row>
    <row r="1922" spans="1:20" ht="14.25" thickTop="1" thickBot="1" x14ac:dyDescent="0.25">
      <c r="A1922" s="586" t="s">
        <v>565</v>
      </c>
      <c r="B1922" s="658" t="s">
        <v>149</v>
      </c>
      <c r="C1922" s="587" t="s">
        <v>150</v>
      </c>
      <c r="D1922" s="589" t="s">
        <v>639</v>
      </c>
      <c r="E1922" s="589" t="s">
        <v>151</v>
      </c>
      <c r="F1922" s="589" t="s">
        <v>569</v>
      </c>
      <c r="G1922" s="589" t="s">
        <v>570</v>
      </c>
      <c r="H1922" s="589" t="s">
        <v>797</v>
      </c>
      <c r="I1922" s="674" t="s">
        <v>798</v>
      </c>
    </row>
    <row r="1923" spans="1:20" ht="14.25" thickTop="1" thickBot="1" x14ac:dyDescent="0.25">
      <c r="A1923" s="525">
        <v>1</v>
      </c>
      <c r="B1923" s="526">
        <v>2</v>
      </c>
      <c r="C1923" s="526">
        <v>3</v>
      </c>
      <c r="D1923" s="526">
        <v>4</v>
      </c>
      <c r="E1923" s="526">
        <v>5</v>
      </c>
      <c r="F1923" s="512">
        <v>6</v>
      </c>
      <c r="G1923" s="512">
        <v>7</v>
      </c>
      <c r="H1923" s="513">
        <v>8</v>
      </c>
      <c r="I1923" s="591" t="s">
        <v>689</v>
      </c>
    </row>
    <row r="1924" spans="1:20" ht="18" customHeight="1" thickTop="1" x14ac:dyDescent="0.25">
      <c r="A1924" s="1136">
        <v>1300</v>
      </c>
      <c r="B1924" s="701">
        <v>3231</v>
      </c>
      <c r="C1924" s="701">
        <v>5331</v>
      </c>
      <c r="D1924" s="706"/>
      <c r="E1924" s="734" t="s">
        <v>858</v>
      </c>
      <c r="F1924" s="699">
        <f>F1925</f>
        <v>182</v>
      </c>
      <c r="G1924" s="699">
        <f t="shared" ref="G1924:H1924" si="226">G1925</f>
        <v>30</v>
      </c>
      <c r="H1924" s="699">
        <f t="shared" si="226"/>
        <v>30</v>
      </c>
      <c r="I1924" s="703">
        <f t="shared" ref="I1924:I1930" si="227">(H1924/G1924)*100</f>
        <v>100</v>
      </c>
    </row>
    <row r="1925" spans="1:20" ht="14.25" x14ac:dyDescent="0.2">
      <c r="A1925" s="420"/>
      <c r="B1925" s="617"/>
      <c r="C1925" s="617"/>
      <c r="D1925" s="636" t="s">
        <v>1811</v>
      </c>
      <c r="E1925" s="1162" t="s">
        <v>717</v>
      </c>
      <c r="F1925" s="683">
        <v>182</v>
      </c>
      <c r="G1925" s="683">
        <v>30</v>
      </c>
      <c r="H1925" s="683">
        <v>30</v>
      </c>
      <c r="I1925" s="679">
        <f t="shared" si="227"/>
        <v>100</v>
      </c>
      <c r="R1925" s="374"/>
      <c r="S1925" s="374"/>
      <c r="T1925" s="374"/>
    </row>
    <row r="1926" spans="1:20" ht="15" x14ac:dyDescent="0.25">
      <c r="A1926" s="420">
        <v>1300</v>
      </c>
      <c r="B1926" s="617">
        <v>3231</v>
      </c>
      <c r="C1926" s="617">
        <v>5336</v>
      </c>
      <c r="D1926" s="887"/>
      <c r="E1926" s="616" t="s">
        <v>1740</v>
      </c>
      <c r="F1926" s="683"/>
      <c r="G1926" s="705">
        <f>G1927+G1928+G1929</f>
        <v>13646</v>
      </c>
      <c r="H1926" s="705">
        <f>H1927+H1928+H1929</f>
        <v>13646</v>
      </c>
      <c r="I1926" s="707">
        <f t="shared" si="227"/>
        <v>100</v>
      </c>
      <c r="R1926" s="374"/>
      <c r="S1926" s="374"/>
      <c r="T1926" s="374"/>
    </row>
    <row r="1927" spans="1:20" ht="15" x14ac:dyDescent="0.2">
      <c r="A1927" s="420"/>
      <c r="B1927" s="617"/>
      <c r="C1927" s="617"/>
      <c r="D1927" s="887" t="s">
        <v>1808</v>
      </c>
      <c r="E1927" s="1676" t="s">
        <v>1739</v>
      </c>
      <c r="F1927" s="1964"/>
      <c r="G1927" s="1965">
        <v>454</v>
      </c>
      <c r="H1927" s="1965">
        <v>454</v>
      </c>
      <c r="I1927" s="368">
        <f t="shared" ref="I1927:I1928" si="228">(H1927/G1927)*100</f>
        <v>100</v>
      </c>
      <c r="R1927" s="374"/>
      <c r="S1927" s="374"/>
      <c r="T1927" s="374"/>
    </row>
    <row r="1928" spans="1:20" ht="28.5" x14ac:dyDescent="0.2">
      <c r="A1928" s="420"/>
      <c r="B1928" s="617"/>
      <c r="C1928" s="617"/>
      <c r="D1928" s="887" t="s">
        <v>1809</v>
      </c>
      <c r="E1928" s="2882" t="s">
        <v>1810</v>
      </c>
      <c r="F1928" s="1964"/>
      <c r="G1928" s="2031">
        <v>66</v>
      </c>
      <c r="H1928" s="2031">
        <v>66</v>
      </c>
      <c r="I1928" s="1234">
        <f t="shared" si="228"/>
        <v>100</v>
      </c>
      <c r="R1928" s="374"/>
      <c r="S1928" s="374"/>
      <c r="T1928" s="374"/>
    </row>
    <row r="1929" spans="1:20" ht="15" thickBot="1" x14ac:dyDescent="0.25">
      <c r="A1929" s="420"/>
      <c r="B1929" s="617"/>
      <c r="C1929" s="1127"/>
      <c r="D1929" s="518" t="s">
        <v>1807</v>
      </c>
      <c r="E1929" s="442" t="s">
        <v>716</v>
      </c>
      <c r="F1929" s="683"/>
      <c r="G1929" s="683">
        <v>13126</v>
      </c>
      <c r="H1929" s="683">
        <v>13126</v>
      </c>
      <c r="I1929" s="679">
        <f t="shared" si="227"/>
        <v>100</v>
      </c>
    </row>
    <row r="1930" spans="1:20" ht="16.5" thickTop="1" thickBot="1" x14ac:dyDescent="0.3">
      <c r="A1930" s="3110" t="s">
        <v>1000</v>
      </c>
      <c r="B1930" s="3111"/>
      <c r="C1930" s="3111"/>
      <c r="D1930" s="3111"/>
      <c r="E1930" s="3111"/>
      <c r="F1930" s="680">
        <f>SUM(F1924)</f>
        <v>182</v>
      </c>
      <c r="G1930" s="680">
        <f>G1924+G1926</f>
        <v>13676</v>
      </c>
      <c r="H1930" s="680">
        <f>H1924+H1926</f>
        <v>13676</v>
      </c>
      <c r="I1930" s="681">
        <f t="shared" si="227"/>
        <v>100</v>
      </c>
      <c r="R1930" s="374">
        <f>F1930</f>
        <v>182</v>
      </c>
      <c r="S1930" s="374">
        <f>G1930</f>
        <v>13676</v>
      </c>
      <c r="T1930" s="374">
        <f>H1930</f>
        <v>13676</v>
      </c>
    </row>
    <row r="1931" spans="1:20" ht="15.75" thickTop="1" x14ac:dyDescent="0.25">
      <c r="A1931" s="361"/>
      <c r="B1931" s="361"/>
      <c r="C1931" s="361"/>
      <c r="D1931" s="361"/>
      <c r="E1931" s="361"/>
      <c r="F1931" s="178"/>
      <c r="G1931" s="178"/>
      <c r="H1931" s="178"/>
      <c r="I1931" s="207"/>
      <c r="R1931" s="374"/>
      <c r="S1931" s="374"/>
      <c r="T1931" s="374"/>
    </row>
    <row r="1932" spans="1:20" ht="15" x14ac:dyDescent="0.25">
      <c r="A1932" s="361"/>
      <c r="B1932" s="361"/>
      <c r="C1932" s="361"/>
      <c r="D1932" s="361"/>
      <c r="E1932" s="361"/>
      <c r="F1932" s="178"/>
      <c r="G1932" s="178"/>
      <c r="H1932" s="178"/>
      <c r="I1932" s="207"/>
      <c r="R1932" s="374"/>
      <c r="S1932" s="374"/>
      <c r="T1932" s="374"/>
    </row>
    <row r="1933" spans="1:20" ht="15" customHeight="1" thickBot="1" x14ac:dyDescent="0.25">
      <c r="A1933" s="421" t="s">
        <v>974</v>
      </c>
      <c r="I1933" s="1125" t="s">
        <v>148</v>
      </c>
    </row>
    <row r="1934" spans="1:20" ht="14.25" thickTop="1" thickBot="1" x14ac:dyDescent="0.25">
      <c r="A1934" s="586" t="s">
        <v>565</v>
      </c>
      <c r="B1934" s="658" t="s">
        <v>149</v>
      </c>
      <c r="C1934" s="587" t="s">
        <v>150</v>
      </c>
      <c r="D1934" s="589" t="s">
        <v>639</v>
      </c>
      <c r="E1934" s="589" t="s">
        <v>151</v>
      </c>
      <c r="F1934" s="589" t="s">
        <v>569</v>
      </c>
      <c r="G1934" s="589" t="s">
        <v>570</v>
      </c>
      <c r="H1934" s="589" t="s">
        <v>797</v>
      </c>
      <c r="I1934" s="674" t="s">
        <v>798</v>
      </c>
    </row>
    <row r="1935" spans="1:20" ht="14.25" thickTop="1" thickBot="1" x14ac:dyDescent="0.25">
      <c r="A1935" s="525">
        <v>1</v>
      </c>
      <c r="B1935" s="526">
        <v>2</v>
      </c>
      <c r="C1935" s="526">
        <v>3</v>
      </c>
      <c r="D1935" s="526">
        <v>4</v>
      </c>
      <c r="E1935" s="526">
        <v>5</v>
      </c>
      <c r="F1935" s="512">
        <v>6</v>
      </c>
      <c r="G1935" s="512">
        <v>7</v>
      </c>
      <c r="H1935" s="513">
        <v>8</v>
      </c>
      <c r="I1935" s="591" t="s">
        <v>689</v>
      </c>
    </row>
    <row r="1936" spans="1:20" ht="15.75" thickTop="1" x14ac:dyDescent="0.25">
      <c r="A1936" s="1136">
        <v>1301</v>
      </c>
      <c r="B1936" s="701">
        <v>3231</v>
      </c>
      <c r="C1936" s="701">
        <v>5331</v>
      </c>
      <c r="D1936" s="706"/>
      <c r="E1936" s="734" t="s">
        <v>858</v>
      </c>
      <c r="F1936" s="699">
        <f>F1937</f>
        <v>742</v>
      </c>
      <c r="G1936" s="699">
        <f t="shared" ref="G1936:H1936" si="229">G1937</f>
        <v>124</v>
      </c>
      <c r="H1936" s="699">
        <f t="shared" si="229"/>
        <v>124</v>
      </c>
      <c r="I1936" s="703">
        <f t="shared" ref="I1936:I1946" si="230">(H1936/G1936)*100</f>
        <v>100</v>
      </c>
    </row>
    <row r="1937" spans="1:20" ht="14.25" x14ac:dyDescent="0.2">
      <c r="A1937" s="420"/>
      <c r="B1937" s="617"/>
      <c r="C1937" s="617"/>
      <c r="D1937" s="636" t="s">
        <v>1811</v>
      </c>
      <c r="E1937" s="1162" t="s">
        <v>717</v>
      </c>
      <c r="F1937" s="683">
        <v>742</v>
      </c>
      <c r="G1937" s="683">
        <v>124</v>
      </c>
      <c r="H1937" s="683">
        <v>124</v>
      </c>
      <c r="I1937" s="679">
        <f t="shared" si="230"/>
        <v>100</v>
      </c>
    </row>
    <row r="1938" spans="1:20" ht="18" customHeight="1" x14ac:dyDescent="0.25">
      <c r="A1938" s="420">
        <v>1301</v>
      </c>
      <c r="B1938" s="617">
        <v>3231</v>
      </c>
      <c r="C1938" s="617">
        <v>5336</v>
      </c>
      <c r="D1938" s="887"/>
      <c r="E1938" s="616" t="s">
        <v>1740</v>
      </c>
      <c r="F1938" s="683"/>
      <c r="G1938" s="705">
        <f>G1939+G1940+G1941+G1942</f>
        <v>28468</v>
      </c>
      <c r="H1938" s="705">
        <f>H1939+H1940+H1941+H1942</f>
        <v>28468</v>
      </c>
      <c r="I1938" s="707">
        <f t="shared" si="230"/>
        <v>100</v>
      </c>
    </row>
    <row r="1939" spans="1:20" ht="14.25" customHeight="1" x14ac:dyDescent="0.2">
      <c r="A1939" s="420"/>
      <c r="B1939" s="617"/>
      <c r="C1939" s="617"/>
      <c r="D1939" s="887" t="s">
        <v>1808</v>
      </c>
      <c r="E1939" s="1676" t="s">
        <v>1739</v>
      </c>
      <c r="F1939" s="1964"/>
      <c r="G1939" s="1965">
        <v>903</v>
      </c>
      <c r="H1939" s="1965">
        <v>903</v>
      </c>
      <c r="I1939" s="368">
        <f t="shared" ref="I1939:I1941" si="231">(H1939/G1939)*100</f>
        <v>100</v>
      </c>
    </row>
    <row r="1940" spans="1:20" ht="28.5" x14ac:dyDescent="0.2">
      <c r="A1940" s="420"/>
      <c r="B1940" s="617"/>
      <c r="C1940" s="617"/>
      <c r="D1940" s="887" t="s">
        <v>1809</v>
      </c>
      <c r="E1940" s="2882" t="s">
        <v>1810</v>
      </c>
      <c r="F1940" s="1964"/>
      <c r="G1940" s="2031">
        <v>140</v>
      </c>
      <c r="H1940" s="2031">
        <v>140</v>
      </c>
      <c r="I1940" s="1234">
        <f t="shared" si="231"/>
        <v>100</v>
      </c>
    </row>
    <row r="1941" spans="1:20" ht="15" x14ac:dyDescent="0.2">
      <c r="A1941" s="420"/>
      <c r="B1941" s="617"/>
      <c r="C1941" s="617"/>
      <c r="D1941" s="887" t="s">
        <v>1848</v>
      </c>
      <c r="E1941" s="1174" t="s">
        <v>1752</v>
      </c>
      <c r="F1941" s="1964"/>
      <c r="G1941" s="2031">
        <v>131</v>
      </c>
      <c r="H1941" s="2031">
        <v>131</v>
      </c>
      <c r="I1941" s="1234">
        <f t="shared" si="231"/>
        <v>100</v>
      </c>
    </row>
    <row r="1942" spans="1:20" ht="14.25" x14ac:dyDescent="0.2">
      <c r="A1942" s="420"/>
      <c r="B1942" s="617"/>
      <c r="C1942" s="617"/>
      <c r="D1942" s="518" t="s">
        <v>1807</v>
      </c>
      <c r="E1942" s="442" t="s">
        <v>716</v>
      </c>
      <c r="F1942" s="683"/>
      <c r="G1942" s="683">
        <v>27294</v>
      </c>
      <c r="H1942" s="683">
        <v>27294</v>
      </c>
      <c r="I1942" s="679">
        <f t="shared" si="230"/>
        <v>100</v>
      </c>
    </row>
    <row r="1943" spans="1:20" ht="15" x14ac:dyDescent="0.25">
      <c r="A1943" s="420">
        <v>1301</v>
      </c>
      <c r="B1943" s="617">
        <v>3299</v>
      </c>
      <c r="C1943" s="617">
        <v>5331</v>
      </c>
      <c r="D1943" s="518"/>
      <c r="E1943" s="616" t="s">
        <v>858</v>
      </c>
      <c r="F1943" s="683"/>
      <c r="G1943" s="705">
        <f>G1944+G1945</f>
        <v>25</v>
      </c>
      <c r="H1943" s="705">
        <f>H1944+H1945</f>
        <v>25</v>
      </c>
      <c r="I1943" s="707">
        <f t="shared" si="230"/>
        <v>100</v>
      </c>
    </row>
    <row r="1944" spans="1:20" ht="14.25" x14ac:dyDescent="0.2">
      <c r="A1944" s="420"/>
      <c r="B1944" s="617"/>
      <c r="C1944" s="617"/>
      <c r="D1944" s="1068" t="s">
        <v>1830</v>
      </c>
      <c r="E1944" s="446" t="s">
        <v>1011</v>
      </c>
      <c r="F1944" s="696"/>
      <c r="G1944" s="438">
        <v>10</v>
      </c>
      <c r="H1944" s="312">
        <v>10</v>
      </c>
      <c r="I1944" s="893">
        <f t="shared" si="230"/>
        <v>100</v>
      </c>
    </row>
    <row r="1945" spans="1:20" ht="43.5" thickBot="1" x14ac:dyDescent="0.25">
      <c r="A1945" s="420"/>
      <c r="B1945" s="617"/>
      <c r="C1945" s="617"/>
      <c r="D1945" s="1087" t="s">
        <v>1831</v>
      </c>
      <c r="E1945" s="2883" t="s">
        <v>1832</v>
      </c>
      <c r="F1945" s="1074"/>
      <c r="G1945" s="2035">
        <v>15</v>
      </c>
      <c r="H1945" s="1089">
        <v>15</v>
      </c>
      <c r="I1945" s="1105">
        <f t="shared" ref="I1945" si="232">(H1945/G1945)*100</f>
        <v>100</v>
      </c>
    </row>
    <row r="1946" spans="1:20" ht="16.5" thickTop="1" thickBot="1" x14ac:dyDescent="0.3">
      <c r="A1946" s="3110" t="s">
        <v>1000</v>
      </c>
      <c r="B1946" s="3111"/>
      <c r="C1946" s="3111"/>
      <c r="D1946" s="3111"/>
      <c r="E1946" s="3111"/>
      <c r="F1946" s="680">
        <f>SUM(F1936)</f>
        <v>742</v>
      </c>
      <c r="G1946" s="680">
        <f>G1936+G1938+G1943</f>
        <v>28617</v>
      </c>
      <c r="H1946" s="680">
        <f>H1936+H1938+H1943</f>
        <v>28617</v>
      </c>
      <c r="I1946" s="681">
        <f t="shared" si="230"/>
        <v>100</v>
      </c>
      <c r="R1946" s="374">
        <f>F1946</f>
        <v>742</v>
      </c>
      <c r="S1946" s="374">
        <f>G1946</f>
        <v>28617</v>
      </c>
      <c r="T1946" s="374">
        <f>H1946</f>
        <v>28617</v>
      </c>
    </row>
    <row r="1947" spans="1:20" s="106" customFormat="1" ht="13.5" thickTop="1" x14ac:dyDescent="0.2">
      <c r="A1947" s="373"/>
      <c r="B1947" s="598"/>
      <c r="C1947" s="373"/>
      <c r="D1947" s="670"/>
      <c r="E1947" s="373"/>
      <c r="F1947" s="374"/>
      <c r="G1947" s="374"/>
      <c r="H1947" s="374"/>
      <c r="I1947" s="1125"/>
    </row>
    <row r="1948" spans="1:20" s="375" customFormat="1" x14ac:dyDescent="0.2">
      <c r="A1948" s="373"/>
      <c r="B1948" s="598"/>
      <c r="C1948" s="373"/>
      <c r="D1948" s="670"/>
      <c r="E1948" s="373"/>
      <c r="F1948" s="374"/>
      <c r="G1948" s="374"/>
      <c r="H1948" s="374"/>
      <c r="I1948" s="1125"/>
    </row>
    <row r="1949" spans="1:20" ht="13.5" thickBot="1" x14ac:dyDescent="0.25">
      <c r="A1949" s="421" t="s">
        <v>130</v>
      </c>
      <c r="I1949" s="1125" t="s">
        <v>148</v>
      </c>
    </row>
    <row r="1950" spans="1:20" ht="14.25" thickTop="1" thickBot="1" x14ac:dyDescent="0.25">
      <c r="A1950" s="586" t="s">
        <v>565</v>
      </c>
      <c r="B1950" s="658" t="s">
        <v>149</v>
      </c>
      <c r="C1950" s="587" t="s">
        <v>150</v>
      </c>
      <c r="D1950" s="589" t="s">
        <v>639</v>
      </c>
      <c r="E1950" s="589" t="s">
        <v>151</v>
      </c>
      <c r="F1950" s="589" t="s">
        <v>569</v>
      </c>
      <c r="G1950" s="589" t="s">
        <v>570</v>
      </c>
      <c r="H1950" s="589" t="s">
        <v>797</v>
      </c>
      <c r="I1950" s="674" t="s">
        <v>798</v>
      </c>
    </row>
    <row r="1951" spans="1:20" ht="14.25" thickTop="1" thickBot="1" x14ac:dyDescent="0.25">
      <c r="A1951" s="525">
        <v>1</v>
      </c>
      <c r="B1951" s="526">
        <v>2</v>
      </c>
      <c r="C1951" s="526">
        <v>3</v>
      </c>
      <c r="D1951" s="526">
        <v>4</v>
      </c>
      <c r="E1951" s="526">
        <v>5</v>
      </c>
      <c r="F1951" s="512">
        <v>6</v>
      </c>
      <c r="G1951" s="512">
        <v>7</v>
      </c>
      <c r="H1951" s="513">
        <v>8</v>
      </c>
      <c r="I1951" s="591" t="s">
        <v>689</v>
      </c>
    </row>
    <row r="1952" spans="1:20" ht="15.75" thickTop="1" x14ac:dyDescent="0.25">
      <c r="A1952" s="1136">
        <v>1302</v>
      </c>
      <c r="B1952" s="701">
        <v>3231</v>
      </c>
      <c r="C1952" s="701">
        <v>5331</v>
      </c>
      <c r="D1952" s="706"/>
      <c r="E1952" s="734" t="s">
        <v>858</v>
      </c>
      <c r="F1952" s="699">
        <f>F1953</f>
        <v>83</v>
      </c>
      <c r="G1952" s="699">
        <f t="shared" ref="G1952:H1952" si="233">G1953</f>
        <v>14</v>
      </c>
      <c r="H1952" s="699">
        <f t="shared" si="233"/>
        <v>14</v>
      </c>
      <c r="I1952" s="703">
        <f t="shared" ref="I1952:I1958" si="234">(H1952/G1952)*100</f>
        <v>100</v>
      </c>
    </row>
    <row r="1953" spans="1:20" ht="14.25" x14ac:dyDescent="0.2">
      <c r="A1953" s="420"/>
      <c r="B1953" s="617"/>
      <c r="C1953" s="617"/>
      <c r="D1953" s="636" t="s">
        <v>1811</v>
      </c>
      <c r="E1953" s="1162" t="s">
        <v>717</v>
      </c>
      <c r="F1953" s="683">
        <v>83</v>
      </c>
      <c r="G1953" s="683">
        <v>14</v>
      </c>
      <c r="H1953" s="683">
        <v>14</v>
      </c>
      <c r="I1953" s="679">
        <f t="shared" si="234"/>
        <v>100</v>
      </c>
    </row>
    <row r="1954" spans="1:20" ht="15" x14ac:dyDescent="0.25">
      <c r="A1954" s="420">
        <v>1302</v>
      </c>
      <c r="B1954" s="651">
        <v>3231</v>
      </c>
      <c r="C1954" s="651">
        <v>5336</v>
      </c>
      <c r="D1954" s="888"/>
      <c r="E1954" s="616" t="s">
        <v>1740</v>
      </c>
      <c r="F1954" s="689"/>
      <c r="G1954" s="700">
        <f>G1955+G1956+G1957</f>
        <v>4223</v>
      </c>
      <c r="H1954" s="700">
        <f>H1955+H1956+H1957</f>
        <v>4223</v>
      </c>
      <c r="I1954" s="707">
        <f t="shared" si="234"/>
        <v>100</v>
      </c>
    </row>
    <row r="1955" spans="1:20" ht="15" x14ac:dyDescent="0.2">
      <c r="A1955" s="420"/>
      <c r="B1955" s="651"/>
      <c r="C1955" s="651"/>
      <c r="D1955" s="887" t="s">
        <v>1808</v>
      </c>
      <c r="E1955" s="1676" t="s">
        <v>1739</v>
      </c>
      <c r="F1955" s="1964"/>
      <c r="G1955" s="1965">
        <v>127</v>
      </c>
      <c r="H1955" s="1965">
        <v>127</v>
      </c>
      <c r="I1955" s="368">
        <f t="shared" ref="I1955:I1956" si="235">(H1955/G1955)*100</f>
        <v>100</v>
      </c>
    </row>
    <row r="1956" spans="1:20" ht="28.5" x14ac:dyDescent="0.2">
      <c r="A1956" s="420"/>
      <c r="B1956" s="651"/>
      <c r="C1956" s="651"/>
      <c r="D1956" s="887" t="s">
        <v>1809</v>
      </c>
      <c r="E1956" s="2882" t="s">
        <v>1810</v>
      </c>
      <c r="F1956" s="735"/>
      <c r="G1956" s="2031">
        <v>21</v>
      </c>
      <c r="H1956" s="2031">
        <v>21</v>
      </c>
      <c r="I1956" s="1234">
        <f t="shared" si="235"/>
        <v>100</v>
      </c>
    </row>
    <row r="1957" spans="1:20" ht="15" thickBot="1" x14ac:dyDescent="0.25">
      <c r="A1957" s="420"/>
      <c r="B1957" s="651"/>
      <c r="C1957" s="1128"/>
      <c r="D1957" s="518" t="s">
        <v>1807</v>
      </c>
      <c r="E1957" s="442" t="s">
        <v>716</v>
      </c>
      <c r="F1957" s="689"/>
      <c r="G1957" s="689">
        <v>4075</v>
      </c>
      <c r="H1957" s="689">
        <v>4075</v>
      </c>
      <c r="I1957" s="684">
        <f t="shared" si="234"/>
        <v>100</v>
      </c>
    </row>
    <row r="1958" spans="1:20" ht="16.5" thickTop="1" thickBot="1" x14ac:dyDescent="0.3">
      <c r="A1958" s="3110" t="s">
        <v>1000</v>
      </c>
      <c r="B1958" s="3111"/>
      <c r="C1958" s="3111"/>
      <c r="D1958" s="3111"/>
      <c r="E1958" s="3111"/>
      <c r="F1958" s="680">
        <f>F1952</f>
        <v>83</v>
      </c>
      <c r="G1958" s="680">
        <f>G1952+G1954</f>
        <v>4237</v>
      </c>
      <c r="H1958" s="680">
        <f>H1952+H1954</f>
        <v>4237</v>
      </c>
      <c r="I1958" s="681">
        <f t="shared" si="234"/>
        <v>100</v>
      </c>
      <c r="R1958" s="374">
        <f>F1958</f>
        <v>83</v>
      </c>
      <c r="S1958" s="374">
        <f>G1958</f>
        <v>4237</v>
      </c>
      <c r="T1958" s="374">
        <f>H1958</f>
        <v>4237</v>
      </c>
    </row>
    <row r="1959" spans="1:20" s="375" customFormat="1" ht="13.5" thickTop="1" x14ac:dyDescent="0.2">
      <c r="A1959" s="373"/>
      <c r="B1959" s="598"/>
      <c r="C1959" s="373"/>
      <c r="D1959" s="670"/>
      <c r="E1959" s="373"/>
      <c r="F1959" s="374"/>
      <c r="G1959" s="374"/>
      <c r="H1959" s="374"/>
      <c r="I1959" s="1125"/>
    </row>
    <row r="1960" spans="1:20" s="375" customFormat="1" x14ac:dyDescent="0.2">
      <c r="A1960" s="373"/>
      <c r="B1960" s="598"/>
      <c r="C1960" s="373"/>
      <c r="D1960" s="670"/>
      <c r="E1960" s="373"/>
      <c r="F1960" s="374"/>
      <c r="G1960" s="374"/>
      <c r="H1960" s="374"/>
      <c r="I1960" s="1125"/>
    </row>
    <row r="1961" spans="1:20" ht="13.5" customHeight="1" thickBot="1" x14ac:dyDescent="0.25">
      <c r="A1961" s="421" t="s">
        <v>586</v>
      </c>
      <c r="I1961" s="1125" t="s">
        <v>148</v>
      </c>
    </row>
    <row r="1962" spans="1:20" ht="13.5" customHeight="1" thickTop="1" thickBot="1" x14ac:dyDescent="0.25">
      <c r="A1962" s="586" t="s">
        <v>565</v>
      </c>
      <c r="B1962" s="658" t="s">
        <v>149</v>
      </c>
      <c r="C1962" s="587" t="s">
        <v>150</v>
      </c>
      <c r="D1962" s="589" t="s">
        <v>639</v>
      </c>
      <c r="E1962" s="589" t="s">
        <v>151</v>
      </c>
      <c r="F1962" s="589" t="s">
        <v>569</v>
      </c>
      <c r="G1962" s="589" t="s">
        <v>570</v>
      </c>
      <c r="H1962" s="589" t="s">
        <v>797</v>
      </c>
      <c r="I1962" s="674" t="s">
        <v>798</v>
      </c>
    </row>
    <row r="1963" spans="1:20" ht="14.25" thickTop="1" thickBot="1" x14ac:dyDescent="0.25">
      <c r="A1963" s="525">
        <v>1</v>
      </c>
      <c r="B1963" s="526">
        <v>2</v>
      </c>
      <c r="C1963" s="526">
        <v>3</v>
      </c>
      <c r="D1963" s="526">
        <v>4</v>
      </c>
      <c r="E1963" s="526">
        <v>5</v>
      </c>
      <c r="F1963" s="512">
        <v>6</v>
      </c>
      <c r="G1963" s="512">
        <v>7</v>
      </c>
      <c r="H1963" s="513">
        <v>8</v>
      </c>
      <c r="I1963" s="591" t="s">
        <v>689</v>
      </c>
    </row>
    <row r="1964" spans="1:20" ht="15.75" thickTop="1" x14ac:dyDescent="0.25">
      <c r="A1964" s="1136">
        <v>1303</v>
      </c>
      <c r="B1964" s="701">
        <v>3231</v>
      </c>
      <c r="C1964" s="701">
        <v>5331</v>
      </c>
      <c r="D1964" s="706"/>
      <c r="E1964" s="734" t="s">
        <v>858</v>
      </c>
      <c r="F1964" s="699">
        <f>F1965</f>
        <v>73</v>
      </c>
      <c r="G1964" s="699">
        <f t="shared" ref="G1964:H1964" si="236">G1965</f>
        <v>12</v>
      </c>
      <c r="H1964" s="699">
        <f t="shared" si="236"/>
        <v>12</v>
      </c>
      <c r="I1964" s="703">
        <f>(H1964/G1964)*100</f>
        <v>100</v>
      </c>
    </row>
    <row r="1965" spans="1:20" ht="14.25" x14ac:dyDescent="0.2">
      <c r="A1965" s="420"/>
      <c r="B1965" s="617"/>
      <c r="C1965" s="617"/>
      <c r="D1965" s="636" t="s">
        <v>1811</v>
      </c>
      <c r="E1965" s="1162" t="s">
        <v>717</v>
      </c>
      <c r="F1965" s="683">
        <v>73</v>
      </c>
      <c r="G1965" s="683">
        <v>12</v>
      </c>
      <c r="H1965" s="683">
        <v>12</v>
      </c>
      <c r="I1965" s="679">
        <f>(H1965/G1965)*100</f>
        <v>100</v>
      </c>
    </row>
    <row r="1966" spans="1:20" ht="15" x14ac:dyDescent="0.25">
      <c r="A1966" s="420">
        <v>1303</v>
      </c>
      <c r="B1966" s="617">
        <v>3231</v>
      </c>
      <c r="C1966" s="695">
        <v>5336</v>
      </c>
      <c r="D1966" s="887"/>
      <c r="E1966" s="616" t="s">
        <v>1740</v>
      </c>
      <c r="F1966" s="683"/>
      <c r="G1966" s="705">
        <f>G1967+G1968+G1969</f>
        <v>7558</v>
      </c>
      <c r="H1966" s="705">
        <f>H1967+H1968+H1969</f>
        <v>7558</v>
      </c>
      <c r="I1966" s="707">
        <f>(H1966/G1966)*100</f>
        <v>100</v>
      </c>
    </row>
    <row r="1967" spans="1:20" ht="12.75" customHeight="1" x14ac:dyDescent="0.2">
      <c r="A1967" s="420"/>
      <c r="B1967" s="617"/>
      <c r="C1967" s="695"/>
      <c r="D1967" s="887" t="s">
        <v>1808</v>
      </c>
      <c r="E1967" s="1676" t="s">
        <v>1739</v>
      </c>
      <c r="F1967" s="1964"/>
      <c r="G1967" s="1965">
        <v>217</v>
      </c>
      <c r="H1967" s="1965">
        <v>217</v>
      </c>
      <c r="I1967" s="368">
        <f t="shared" ref="I1967:I1968" si="237">(H1967/G1967)*100</f>
        <v>100</v>
      </c>
    </row>
    <row r="1968" spans="1:20" ht="28.5" x14ac:dyDescent="0.2">
      <c r="A1968" s="420"/>
      <c r="B1968" s="617"/>
      <c r="C1968" s="695"/>
      <c r="D1968" s="887" t="s">
        <v>1809</v>
      </c>
      <c r="E1968" s="2882" t="s">
        <v>1810</v>
      </c>
      <c r="F1968" s="1964"/>
      <c r="G1968" s="2031">
        <v>36</v>
      </c>
      <c r="H1968" s="2031">
        <v>36</v>
      </c>
      <c r="I1968" s="1234">
        <f t="shared" si="237"/>
        <v>100</v>
      </c>
    </row>
    <row r="1969" spans="1:20" ht="14.25" customHeight="1" thickBot="1" x14ac:dyDescent="0.25">
      <c r="A1969" s="1143"/>
      <c r="B1969" s="686"/>
      <c r="C1969" s="751"/>
      <c r="D1969" s="518" t="s">
        <v>1807</v>
      </c>
      <c r="E1969" s="442" t="s">
        <v>716</v>
      </c>
      <c r="F1969" s="687"/>
      <c r="G1969" s="687">
        <v>7305</v>
      </c>
      <c r="H1969" s="687">
        <v>7305</v>
      </c>
      <c r="I1969" s="688">
        <f>(H1969/G1969)*100</f>
        <v>100</v>
      </c>
    </row>
    <row r="1970" spans="1:20" ht="16.5" thickTop="1" thickBot="1" x14ac:dyDescent="0.3">
      <c r="A1970" s="3110" t="s">
        <v>1000</v>
      </c>
      <c r="B1970" s="3111"/>
      <c r="C1970" s="3111"/>
      <c r="D1970" s="3111"/>
      <c r="E1970" s="3111"/>
      <c r="F1970" s="680">
        <f>F1964+F1966</f>
        <v>73</v>
      </c>
      <c r="G1970" s="680">
        <f>G1964+G1966</f>
        <v>7570</v>
      </c>
      <c r="H1970" s="680">
        <f>H1964+H1966</f>
        <v>7570</v>
      </c>
      <c r="I1970" s="681">
        <f>(H1970/G1970)*100</f>
        <v>100</v>
      </c>
      <c r="R1970" s="374">
        <f>F1970</f>
        <v>73</v>
      </c>
      <c r="S1970" s="374">
        <f>G1970</f>
        <v>7570</v>
      </c>
      <c r="T1970" s="374">
        <f>H1970</f>
        <v>7570</v>
      </c>
    </row>
    <row r="1971" spans="1:20" ht="15.75" thickTop="1" x14ac:dyDescent="0.25">
      <c r="A1971" s="361"/>
      <c r="B1971" s="361"/>
      <c r="C1971" s="361"/>
      <c r="D1971" s="361"/>
      <c r="E1971" s="361"/>
      <c r="F1971" s="178"/>
      <c r="G1971" s="178"/>
      <c r="H1971" s="178"/>
      <c r="I1971" s="207"/>
      <c r="R1971" s="374"/>
      <c r="S1971" s="374"/>
      <c r="T1971" s="374"/>
    </row>
    <row r="1972" spans="1:20" ht="13.5" thickBot="1" x14ac:dyDescent="0.25">
      <c r="A1972" s="421" t="s">
        <v>131</v>
      </c>
      <c r="I1972" s="1125" t="s">
        <v>148</v>
      </c>
    </row>
    <row r="1973" spans="1:20" ht="14.25" thickTop="1" thickBot="1" x14ac:dyDescent="0.25">
      <c r="A1973" s="586" t="s">
        <v>565</v>
      </c>
      <c r="B1973" s="658" t="s">
        <v>149</v>
      </c>
      <c r="C1973" s="587" t="s">
        <v>150</v>
      </c>
      <c r="D1973" s="589" t="s">
        <v>639</v>
      </c>
      <c r="E1973" s="589" t="s">
        <v>151</v>
      </c>
      <c r="F1973" s="589" t="s">
        <v>569</v>
      </c>
      <c r="G1973" s="589" t="s">
        <v>570</v>
      </c>
      <c r="H1973" s="589" t="s">
        <v>797</v>
      </c>
      <c r="I1973" s="674" t="s">
        <v>798</v>
      </c>
    </row>
    <row r="1974" spans="1:20" ht="14.25" thickTop="1" thickBot="1" x14ac:dyDescent="0.25">
      <c r="A1974" s="525">
        <v>1</v>
      </c>
      <c r="B1974" s="526">
        <v>2</v>
      </c>
      <c r="C1974" s="526">
        <v>3</v>
      </c>
      <c r="D1974" s="526">
        <v>4</v>
      </c>
      <c r="E1974" s="526">
        <v>5</v>
      </c>
      <c r="F1974" s="512">
        <v>6</v>
      </c>
      <c r="G1974" s="512">
        <v>7</v>
      </c>
      <c r="H1974" s="513">
        <v>8</v>
      </c>
      <c r="I1974" s="591" t="s">
        <v>689</v>
      </c>
    </row>
    <row r="1975" spans="1:20" ht="18" customHeight="1" thickTop="1" x14ac:dyDescent="0.25">
      <c r="A1975" s="1136">
        <v>1304</v>
      </c>
      <c r="B1975" s="701">
        <v>3231</v>
      </c>
      <c r="C1975" s="701">
        <v>5331</v>
      </c>
      <c r="D1975" s="706"/>
      <c r="E1975" s="734" t="s">
        <v>858</v>
      </c>
      <c r="F1975" s="699">
        <f>F1976+F1977</f>
        <v>93</v>
      </c>
      <c r="G1975" s="699">
        <f>G1976+G1977</f>
        <v>16</v>
      </c>
      <c r="H1975" s="699">
        <f>H1976+H1977</f>
        <v>16</v>
      </c>
      <c r="I1975" s="703">
        <f t="shared" ref="I1975:I1982" si="238">(H1975/G1975)*100</f>
        <v>100</v>
      </c>
    </row>
    <row r="1976" spans="1:20" ht="14.25" x14ac:dyDescent="0.2">
      <c r="A1976" s="420"/>
      <c r="B1976" s="617"/>
      <c r="C1976" s="617"/>
      <c r="D1976" s="636" t="s">
        <v>1811</v>
      </c>
      <c r="E1976" s="1162" t="s">
        <v>717</v>
      </c>
      <c r="F1976" s="683">
        <v>6</v>
      </c>
      <c r="G1976" s="683">
        <v>2</v>
      </c>
      <c r="H1976" s="683">
        <v>2</v>
      </c>
      <c r="I1976" s="679">
        <f t="shared" si="238"/>
        <v>100</v>
      </c>
    </row>
    <row r="1977" spans="1:20" ht="14.25" x14ac:dyDescent="0.2">
      <c r="A1977" s="420"/>
      <c r="B1977" s="617"/>
      <c r="C1977" s="617"/>
      <c r="D1977" s="518" t="s">
        <v>1812</v>
      </c>
      <c r="E1977" s="442" t="s">
        <v>63</v>
      </c>
      <c r="F1977" s="683">
        <v>87</v>
      </c>
      <c r="G1977" s="683">
        <v>14</v>
      </c>
      <c r="H1977" s="683">
        <v>14</v>
      </c>
      <c r="I1977" s="679">
        <f t="shared" si="238"/>
        <v>100</v>
      </c>
    </row>
    <row r="1978" spans="1:20" ht="15" x14ac:dyDescent="0.25">
      <c r="A1978" s="420">
        <v>1304</v>
      </c>
      <c r="B1978" s="617">
        <v>3231</v>
      </c>
      <c r="C1978" s="617">
        <v>5336</v>
      </c>
      <c r="D1978" s="518"/>
      <c r="E1978" s="616" t="s">
        <v>1740</v>
      </c>
      <c r="F1978" s="683"/>
      <c r="G1978" s="705">
        <f>G1979+G1980+G1981</f>
        <v>11783</v>
      </c>
      <c r="H1978" s="705">
        <f>H1979+H1980+H1981</f>
        <v>11783</v>
      </c>
      <c r="I1978" s="707">
        <f t="shared" si="238"/>
        <v>100</v>
      </c>
    </row>
    <row r="1979" spans="1:20" ht="15" x14ac:dyDescent="0.2">
      <c r="A1979" s="420"/>
      <c r="B1979" s="617"/>
      <c r="C1979" s="617"/>
      <c r="D1979" s="887" t="s">
        <v>1808</v>
      </c>
      <c r="E1979" s="1676" t="s">
        <v>1739</v>
      </c>
      <c r="F1979" s="1964"/>
      <c r="G1979" s="1965">
        <v>298</v>
      </c>
      <c r="H1979" s="1965">
        <v>298</v>
      </c>
      <c r="I1979" s="368">
        <f t="shared" ref="I1979:I1980" si="239">(H1979/G1979)*100</f>
        <v>100</v>
      </c>
    </row>
    <row r="1980" spans="1:20" ht="28.5" x14ac:dyDescent="0.2">
      <c r="A1980" s="420"/>
      <c r="B1980" s="617"/>
      <c r="C1980" s="617"/>
      <c r="D1980" s="887" t="s">
        <v>1809</v>
      </c>
      <c r="E1980" s="2882" t="s">
        <v>1810</v>
      </c>
      <c r="F1980" s="1964"/>
      <c r="G1980" s="2031">
        <v>58</v>
      </c>
      <c r="H1980" s="2031">
        <v>58</v>
      </c>
      <c r="I1980" s="1234">
        <f t="shared" si="239"/>
        <v>100</v>
      </c>
    </row>
    <row r="1981" spans="1:20" ht="15" thickBot="1" x14ac:dyDescent="0.25">
      <c r="A1981" s="420"/>
      <c r="B1981" s="617"/>
      <c r="C1981" s="1127"/>
      <c r="D1981" s="518" t="s">
        <v>1807</v>
      </c>
      <c r="E1981" s="442" t="s">
        <v>716</v>
      </c>
      <c r="F1981" s="683"/>
      <c r="G1981" s="683">
        <v>11427</v>
      </c>
      <c r="H1981" s="683">
        <v>11427</v>
      </c>
      <c r="I1981" s="679">
        <f t="shared" si="238"/>
        <v>100</v>
      </c>
    </row>
    <row r="1982" spans="1:20" ht="16.5" thickTop="1" thickBot="1" x14ac:dyDescent="0.3">
      <c r="A1982" s="3110" t="s">
        <v>1000</v>
      </c>
      <c r="B1982" s="3111"/>
      <c r="C1982" s="3111"/>
      <c r="D1982" s="3111"/>
      <c r="E1982" s="3111"/>
      <c r="F1982" s="680">
        <f>F1975+F1978</f>
        <v>93</v>
      </c>
      <c r="G1982" s="680">
        <f>G1978+G1975</f>
        <v>11799</v>
      </c>
      <c r="H1982" s="680">
        <f>H1978+H1975</f>
        <v>11799</v>
      </c>
      <c r="I1982" s="681">
        <f t="shared" si="238"/>
        <v>100</v>
      </c>
      <c r="R1982" s="374">
        <f>F1982</f>
        <v>93</v>
      </c>
      <c r="S1982" s="374">
        <f>G1982</f>
        <v>11799</v>
      </c>
      <c r="T1982" s="374">
        <f>H1982</f>
        <v>11799</v>
      </c>
    </row>
    <row r="1983" spans="1:20" s="375" customFormat="1" ht="13.5" thickTop="1" x14ac:dyDescent="0.2">
      <c r="A1983" s="373"/>
      <c r="B1983" s="598"/>
      <c r="C1983" s="373"/>
      <c r="D1983" s="670"/>
      <c r="E1983" s="373"/>
      <c r="F1983" s="374"/>
      <c r="G1983" s="374"/>
      <c r="H1983" s="374"/>
      <c r="I1983" s="1125"/>
    </row>
    <row r="1984" spans="1:20" s="375" customFormat="1" x14ac:dyDescent="0.2">
      <c r="A1984" s="373"/>
      <c r="B1984" s="598"/>
      <c r="C1984" s="373"/>
      <c r="D1984" s="670"/>
      <c r="E1984" s="373"/>
      <c r="F1984" s="374"/>
      <c r="G1984" s="374"/>
      <c r="H1984" s="374"/>
      <c r="I1984" s="1125"/>
    </row>
    <row r="1985" spans="1:20" s="375" customFormat="1" x14ac:dyDescent="0.2">
      <c r="A1985" s="373"/>
      <c r="B1985" s="598"/>
      <c r="C1985" s="373"/>
      <c r="D1985" s="670"/>
      <c r="E1985" s="373"/>
      <c r="F1985" s="374"/>
      <c r="G1985" s="374"/>
      <c r="H1985" s="374"/>
      <c r="I1985" s="1125"/>
    </row>
    <row r="1986" spans="1:20" s="375" customFormat="1" x14ac:dyDescent="0.2">
      <c r="A1986" s="373"/>
      <c r="B1986" s="598"/>
      <c r="C1986" s="373"/>
      <c r="D1986" s="670"/>
      <c r="E1986" s="373"/>
      <c r="F1986" s="374"/>
      <c r="G1986" s="374"/>
      <c r="H1986" s="374"/>
      <c r="I1986" s="1125"/>
    </row>
    <row r="1987" spans="1:20" s="375" customFormat="1" x14ac:dyDescent="0.2">
      <c r="A1987" s="373"/>
      <c r="B1987" s="598"/>
      <c r="C1987" s="373"/>
      <c r="D1987" s="670"/>
      <c r="E1987" s="373"/>
      <c r="F1987" s="374"/>
      <c r="G1987" s="374"/>
      <c r="H1987" s="374"/>
      <c r="I1987" s="1125"/>
    </row>
    <row r="1988" spans="1:20" s="375" customFormat="1" x14ac:dyDescent="0.2">
      <c r="A1988" s="373"/>
      <c r="B1988" s="598"/>
      <c r="C1988" s="373"/>
      <c r="D1988" s="670"/>
      <c r="E1988" s="373"/>
      <c r="F1988" s="374"/>
      <c r="G1988" s="374"/>
      <c r="H1988" s="374"/>
      <c r="I1988" s="1125"/>
    </row>
    <row r="1989" spans="1:20" ht="13.5" thickBot="1" x14ac:dyDescent="0.25">
      <c r="A1989" s="421" t="s">
        <v>132</v>
      </c>
      <c r="I1989" s="1125" t="s">
        <v>148</v>
      </c>
    </row>
    <row r="1990" spans="1:20" ht="14.25" thickTop="1" thickBot="1" x14ac:dyDescent="0.25">
      <c r="A1990" s="586" t="s">
        <v>565</v>
      </c>
      <c r="B1990" s="658" t="s">
        <v>149</v>
      </c>
      <c r="C1990" s="587" t="s">
        <v>150</v>
      </c>
      <c r="D1990" s="589" t="s">
        <v>639</v>
      </c>
      <c r="E1990" s="589" t="s">
        <v>151</v>
      </c>
      <c r="F1990" s="589" t="s">
        <v>569</v>
      </c>
      <c r="G1990" s="589" t="s">
        <v>570</v>
      </c>
      <c r="H1990" s="589" t="s">
        <v>797</v>
      </c>
      <c r="I1990" s="674" t="s">
        <v>798</v>
      </c>
    </row>
    <row r="1991" spans="1:20" ht="14.25" thickTop="1" thickBot="1" x14ac:dyDescent="0.25">
      <c r="A1991" s="525">
        <v>1</v>
      </c>
      <c r="B1991" s="526">
        <v>2</v>
      </c>
      <c r="C1991" s="526">
        <v>3</v>
      </c>
      <c r="D1991" s="526">
        <v>4</v>
      </c>
      <c r="E1991" s="526">
        <v>5</v>
      </c>
      <c r="F1991" s="512">
        <v>6</v>
      </c>
      <c r="G1991" s="512">
        <v>7</v>
      </c>
      <c r="H1991" s="513">
        <v>8</v>
      </c>
      <c r="I1991" s="591" t="s">
        <v>689</v>
      </c>
    </row>
    <row r="1992" spans="1:20" ht="15.75" thickTop="1" x14ac:dyDescent="0.25">
      <c r="A1992" s="1136">
        <v>1305</v>
      </c>
      <c r="B1992" s="701">
        <v>3231</v>
      </c>
      <c r="C1992" s="701">
        <v>5331</v>
      </c>
      <c r="D1992" s="706"/>
      <c r="E1992" s="734" t="s">
        <v>858</v>
      </c>
      <c r="F1992" s="699">
        <f>F1993+F1994</f>
        <v>50</v>
      </c>
      <c r="G1992" s="699">
        <f>G1993+G1994</f>
        <v>8</v>
      </c>
      <c r="H1992" s="699">
        <f>H1993+H1994</f>
        <v>8</v>
      </c>
      <c r="I1992" s="703">
        <f t="shared" ref="I1992:I1999" si="240">(H1992/G1992)*100</f>
        <v>100</v>
      </c>
    </row>
    <row r="1993" spans="1:20" ht="14.25" x14ac:dyDescent="0.2">
      <c r="A1993" s="420"/>
      <c r="B1993" s="617"/>
      <c r="C1993" s="617"/>
      <c r="D1993" s="636" t="s">
        <v>1811</v>
      </c>
      <c r="E1993" s="1162" t="s">
        <v>717</v>
      </c>
      <c r="F1993" s="683">
        <v>5</v>
      </c>
      <c r="G1993" s="683">
        <v>0</v>
      </c>
      <c r="H1993" s="683">
        <v>0</v>
      </c>
      <c r="I1993" s="679">
        <v>0</v>
      </c>
    </row>
    <row r="1994" spans="1:20" ht="12.75" customHeight="1" x14ac:dyDescent="0.2">
      <c r="A1994" s="420"/>
      <c r="B1994" s="617"/>
      <c r="C1994" s="617"/>
      <c r="D1994" s="518" t="s">
        <v>1812</v>
      </c>
      <c r="E1994" s="442" t="s">
        <v>63</v>
      </c>
      <c r="F1994" s="683">
        <v>45</v>
      </c>
      <c r="G1994" s="683">
        <v>8</v>
      </c>
      <c r="H1994" s="683">
        <v>8</v>
      </c>
      <c r="I1994" s="679">
        <f t="shared" si="240"/>
        <v>100</v>
      </c>
    </row>
    <row r="1995" spans="1:20" ht="15" customHeight="1" x14ac:dyDescent="0.25">
      <c r="A1995" s="420">
        <v>1305</v>
      </c>
      <c r="B1995" s="617">
        <v>3231</v>
      </c>
      <c r="C1995" s="617">
        <v>5336</v>
      </c>
      <c r="D1995" s="887"/>
      <c r="E1995" s="616" t="s">
        <v>1740</v>
      </c>
      <c r="F1995" s="683"/>
      <c r="G1995" s="705">
        <f>G1996+G1997+G1998</f>
        <v>6390</v>
      </c>
      <c r="H1995" s="705">
        <f>H1996+H1997+H1998</f>
        <v>6390</v>
      </c>
      <c r="I1995" s="707">
        <f t="shared" si="240"/>
        <v>100</v>
      </c>
    </row>
    <row r="1996" spans="1:20" ht="15" customHeight="1" x14ac:dyDescent="0.2">
      <c r="A1996" s="420"/>
      <c r="B1996" s="617"/>
      <c r="C1996" s="617"/>
      <c r="D1996" s="887" t="s">
        <v>1808</v>
      </c>
      <c r="E1996" s="1676" t="s">
        <v>1739</v>
      </c>
      <c r="F1996" s="1964"/>
      <c r="G1996" s="1965">
        <v>133</v>
      </c>
      <c r="H1996" s="1965">
        <v>133</v>
      </c>
      <c r="I1996" s="368">
        <f t="shared" ref="I1996:I1997" si="241">(H1996/G1996)*100</f>
        <v>100</v>
      </c>
    </row>
    <row r="1997" spans="1:20" ht="28.5" x14ac:dyDescent="0.2">
      <c r="A1997" s="420"/>
      <c r="B1997" s="617"/>
      <c r="C1997" s="617"/>
      <c r="D1997" s="887" t="s">
        <v>1809</v>
      </c>
      <c r="E1997" s="2882" t="s">
        <v>1810</v>
      </c>
      <c r="F1997" s="1964"/>
      <c r="G1997" s="2031">
        <v>32</v>
      </c>
      <c r="H1997" s="2031">
        <v>32</v>
      </c>
      <c r="I1997" s="1234">
        <f t="shared" si="241"/>
        <v>100</v>
      </c>
    </row>
    <row r="1998" spans="1:20" ht="15" customHeight="1" thickBot="1" x14ac:dyDescent="0.25">
      <c r="A1998" s="420"/>
      <c r="B1998" s="617"/>
      <c r="C1998" s="1127"/>
      <c r="D1998" s="518" t="s">
        <v>1807</v>
      </c>
      <c r="E1998" s="442" t="s">
        <v>716</v>
      </c>
      <c r="F1998" s="683"/>
      <c r="G1998" s="683">
        <v>6225</v>
      </c>
      <c r="H1998" s="683">
        <v>6225</v>
      </c>
      <c r="I1998" s="679">
        <f t="shared" si="240"/>
        <v>100</v>
      </c>
    </row>
    <row r="1999" spans="1:20" ht="16.5" thickTop="1" thickBot="1" x14ac:dyDescent="0.3">
      <c r="A1999" s="3110" t="s">
        <v>1000</v>
      </c>
      <c r="B1999" s="3111"/>
      <c r="C1999" s="3111"/>
      <c r="D1999" s="3111"/>
      <c r="E1999" s="3111"/>
      <c r="F1999" s="680">
        <f>F1992</f>
        <v>50</v>
      </c>
      <c r="G1999" s="680">
        <f>G1992+G1995</f>
        <v>6398</v>
      </c>
      <c r="H1999" s="680">
        <f>H1992+H1995</f>
        <v>6398</v>
      </c>
      <c r="I1999" s="681">
        <f t="shared" si="240"/>
        <v>100</v>
      </c>
      <c r="R1999" s="374">
        <f>F1999</f>
        <v>50</v>
      </c>
      <c r="S1999" s="374">
        <f>G1999</f>
        <v>6398</v>
      </c>
      <c r="T1999" s="374">
        <f>H1999</f>
        <v>6398</v>
      </c>
    </row>
    <row r="2000" spans="1:20" s="375" customFormat="1" ht="13.5" thickTop="1" x14ac:dyDescent="0.2">
      <c r="A2000" s="373"/>
      <c r="B2000" s="598"/>
      <c r="C2000" s="373"/>
      <c r="D2000" s="670"/>
      <c r="E2000" s="373"/>
      <c r="F2000" s="374"/>
      <c r="G2000" s="374"/>
      <c r="H2000" s="374"/>
      <c r="I2000" s="1125"/>
    </row>
    <row r="2001" spans="1:20" ht="13.5" thickBot="1" x14ac:dyDescent="0.25">
      <c r="A2001" s="421" t="s">
        <v>975</v>
      </c>
      <c r="I2001" s="1125" t="s">
        <v>148</v>
      </c>
    </row>
    <row r="2002" spans="1:20" ht="14.25" thickTop="1" thickBot="1" x14ac:dyDescent="0.25">
      <c r="A2002" s="586" t="s">
        <v>565</v>
      </c>
      <c r="B2002" s="658" t="s">
        <v>149</v>
      </c>
      <c r="C2002" s="587" t="s">
        <v>150</v>
      </c>
      <c r="D2002" s="589" t="s">
        <v>639</v>
      </c>
      <c r="E2002" s="589" t="s">
        <v>151</v>
      </c>
      <c r="F2002" s="589" t="s">
        <v>569</v>
      </c>
      <c r="G2002" s="589" t="s">
        <v>570</v>
      </c>
      <c r="H2002" s="589" t="s">
        <v>797</v>
      </c>
      <c r="I2002" s="674" t="s">
        <v>798</v>
      </c>
    </row>
    <row r="2003" spans="1:20" ht="14.25" thickTop="1" thickBot="1" x14ac:dyDescent="0.25">
      <c r="A2003" s="525">
        <v>1</v>
      </c>
      <c r="B2003" s="526">
        <v>2</v>
      </c>
      <c r="C2003" s="526">
        <v>3</v>
      </c>
      <c r="D2003" s="526">
        <v>4</v>
      </c>
      <c r="E2003" s="526">
        <v>5</v>
      </c>
      <c r="F2003" s="512">
        <v>6</v>
      </c>
      <c r="G2003" s="512">
        <v>7</v>
      </c>
      <c r="H2003" s="513">
        <v>8</v>
      </c>
      <c r="I2003" s="591" t="s">
        <v>689</v>
      </c>
    </row>
    <row r="2004" spans="1:20" ht="15.75" thickTop="1" x14ac:dyDescent="0.25">
      <c r="A2004" s="1136">
        <v>1306</v>
      </c>
      <c r="B2004" s="701">
        <v>3231</v>
      </c>
      <c r="C2004" s="701">
        <v>5331</v>
      </c>
      <c r="D2004" s="706"/>
      <c r="E2004" s="734" t="s">
        <v>858</v>
      </c>
      <c r="F2004" s="699">
        <f>F2005</f>
        <v>77</v>
      </c>
      <c r="G2004" s="699">
        <f t="shared" ref="G2004:H2004" si="242">G2005</f>
        <v>12</v>
      </c>
      <c r="H2004" s="699">
        <f t="shared" si="242"/>
        <v>12</v>
      </c>
      <c r="I2004" s="703">
        <f t="shared" ref="I2004:I2012" si="243">(H2004/G2004)*100</f>
        <v>100</v>
      </c>
    </row>
    <row r="2005" spans="1:20" ht="14.25" x14ac:dyDescent="0.2">
      <c r="A2005" s="420"/>
      <c r="B2005" s="617"/>
      <c r="C2005" s="617"/>
      <c r="D2005" s="518" t="s">
        <v>1812</v>
      </c>
      <c r="E2005" s="442" t="s">
        <v>63</v>
      </c>
      <c r="F2005" s="683">
        <v>77</v>
      </c>
      <c r="G2005" s="683">
        <v>12</v>
      </c>
      <c r="H2005" s="683">
        <v>12</v>
      </c>
      <c r="I2005" s="679">
        <f t="shared" si="243"/>
        <v>100</v>
      </c>
    </row>
    <row r="2006" spans="1:20" ht="15" x14ac:dyDescent="0.25">
      <c r="A2006" s="420">
        <v>1306</v>
      </c>
      <c r="B2006" s="651">
        <v>3231</v>
      </c>
      <c r="C2006" s="651">
        <v>5336</v>
      </c>
      <c r="D2006" s="887"/>
      <c r="E2006" s="616" t="s">
        <v>1740</v>
      </c>
      <c r="F2006" s="689"/>
      <c r="G2006" s="700">
        <f>G2007+G2008+G2009</f>
        <v>3428</v>
      </c>
      <c r="H2006" s="700">
        <f>H2007+H2008+H2009</f>
        <v>3428</v>
      </c>
      <c r="I2006" s="707">
        <f t="shared" si="243"/>
        <v>100</v>
      </c>
    </row>
    <row r="2007" spans="1:20" ht="15" x14ac:dyDescent="0.2">
      <c r="A2007" s="420"/>
      <c r="B2007" s="651"/>
      <c r="C2007" s="651"/>
      <c r="D2007" s="887" t="s">
        <v>1808</v>
      </c>
      <c r="E2007" s="1676" t="s">
        <v>1739</v>
      </c>
      <c r="F2007" s="1964"/>
      <c r="G2007" s="1965">
        <v>97</v>
      </c>
      <c r="H2007" s="1965">
        <v>97</v>
      </c>
      <c r="I2007" s="368">
        <f t="shared" ref="I2007:I2008" si="244">(H2007/G2007)*100</f>
        <v>100</v>
      </c>
    </row>
    <row r="2008" spans="1:20" ht="28.5" x14ac:dyDescent="0.2">
      <c r="A2008" s="420"/>
      <c r="B2008" s="651"/>
      <c r="C2008" s="651"/>
      <c r="D2008" s="887" t="s">
        <v>1809</v>
      </c>
      <c r="E2008" s="2882" t="s">
        <v>1810</v>
      </c>
      <c r="F2008" s="1964"/>
      <c r="G2008" s="2031">
        <v>17</v>
      </c>
      <c r="H2008" s="2031">
        <v>17</v>
      </c>
      <c r="I2008" s="1234">
        <f t="shared" si="244"/>
        <v>100</v>
      </c>
    </row>
    <row r="2009" spans="1:20" ht="14.25" x14ac:dyDescent="0.2">
      <c r="A2009" s="420"/>
      <c r="B2009" s="651"/>
      <c r="C2009" s="1128"/>
      <c r="D2009" s="518" t="s">
        <v>1807</v>
      </c>
      <c r="E2009" s="442" t="s">
        <v>716</v>
      </c>
      <c r="F2009" s="689"/>
      <c r="G2009" s="689">
        <v>3314</v>
      </c>
      <c r="H2009" s="689">
        <v>3314</v>
      </c>
      <c r="I2009" s="684">
        <f t="shared" si="243"/>
        <v>100</v>
      </c>
    </row>
    <row r="2010" spans="1:20" ht="15" x14ac:dyDescent="0.25">
      <c r="A2010" s="420">
        <v>1306</v>
      </c>
      <c r="B2010" s="651">
        <v>3299</v>
      </c>
      <c r="C2010" s="1128">
        <v>5331</v>
      </c>
      <c r="D2010" s="518"/>
      <c r="E2010" s="664" t="s">
        <v>858</v>
      </c>
      <c r="F2010" s="689"/>
      <c r="G2010" s="700">
        <f>G2011</f>
        <v>13</v>
      </c>
      <c r="H2010" s="700">
        <f>H2011</f>
        <v>13</v>
      </c>
      <c r="I2010" s="707">
        <f t="shared" si="243"/>
        <v>100</v>
      </c>
    </row>
    <row r="2011" spans="1:20" ht="43.5" thickBot="1" x14ac:dyDescent="0.25">
      <c r="A2011" s="420"/>
      <c r="B2011" s="651"/>
      <c r="C2011" s="1128"/>
      <c r="D2011" s="1087" t="s">
        <v>1831</v>
      </c>
      <c r="E2011" s="2883" t="s">
        <v>1832</v>
      </c>
      <c r="F2011" s="689"/>
      <c r="G2011" s="1062">
        <v>13</v>
      </c>
      <c r="H2011" s="1062">
        <v>13</v>
      </c>
      <c r="I2011" s="1066">
        <f t="shared" si="243"/>
        <v>100</v>
      </c>
    </row>
    <row r="2012" spans="1:20" ht="16.5" thickTop="1" thickBot="1" x14ac:dyDescent="0.3">
      <c r="A2012" s="3110" t="s">
        <v>1000</v>
      </c>
      <c r="B2012" s="3111"/>
      <c r="C2012" s="3111"/>
      <c r="D2012" s="3111"/>
      <c r="E2012" s="3111"/>
      <c r="F2012" s="680">
        <f>F2004+F2006</f>
        <v>77</v>
      </c>
      <c r="G2012" s="680">
        <f>G2004+G2006+G2010</f>
        <v>3453</v>
      </c>
      <c r="H2012" s="680">
        <f>H2004+H2006+H2010</f>
        <v>3453</v>
      </c>
      <c r="I2012" s="681">
        <f t="shared" si="243"/>
        <v>100</v>
      </c>
      <c r="R2012" s="374">
        <f>F2012</f>
        <v>77</v>
      </c>
      <c r="S2012" s="374">
        <f>G2012</f>
        <v>3453</v>
      </c>
      <c r="T2012" s="374">
        <f>H2012</f>
        <v>3453</v>
      </c>
    </row>
    <row r="2013" spans="1:20" s="375" customFormat="1" ht="13.5" thickTop="1" x14ac:dyDescent="0.2">
      <c r="A2013" s="373"/>
      <c r="B2013" s="598"/>
      <c r="C2013" s="373"/>
      <c r="D2013" s="670"/>
      <c r="E2013" s="373"/>
      <c r="F2013" s="374"/>
      <c r="G2013" s="374"/>
      <c r="H2013" s="374"/>
      <c r="I2013" s="1125"/>
    </row>
    <row r="2014" spans="1:20" s="375" customFormat="1" x14ac:dyDescent="0.2">
      <c r="A2014" s="373"/>
      <c r="B2014" s="598"/>
      <c r="C2014" s="373"/>
      <c r="D2014" s="670"/>
      <c r="E2014" s="373"/>
      <c r="F2014" s="374"/>
      <c r="G2014" s="374"/>
      <c r="H2014" s="374"/>
      <c r="I2014" s="1125"/>
    </row>
    <row r="2015" spans="1:20" ht="13.5" thickBot="1" x14ac:dyDescent="0.25">
      <c r="A2015" s="421" t="s">
        <v>976</v>
      </c>
      <c r="I2015" s="1125" t="s">
        <v>148</v>
      </c>
    </row>
    <row r="2016" spans="1:20" ht="14.25" thickTop="1" thickBot="1" x14ac:dyDescent="0.25">
      <c r="A2016" s="586" t="s">
        <v>565</v>
      </c>
      <c r="B2016" s="658" t="s">
        <v>149</v>
      </c>
      <c r="C2016" s="587" t="s">
        <v>150</v>
      </c>
      <c r="D2016" s="589" t="s">
        <v>639</v>
      </c>
      <c r="E2016" s="589" t="s">
        <v>151</v>
      </c>
      <c r="F2016" s="589" t="s">
        <v>569</v>
      </c>
      <c r="G2016" s="589" t="s">
        <v>570</v>
      </c>
      <c r="H2016" s="589" t="s">
        <v>797</v>
      </c>
      <c r="I2016" s="674" t="s">
        <v>798</v>
      </c>
    </row>
    <row r="2017" spans="1:20" ht="14.25" thickTop="1" thickBot="1" x14ac:dyDescent="0.25">
      <c r="A2017" s="525">
        <v>1</v>
      </c>
      <c r="B2017" s="526">
        <v>2</v>
      </c>
      <c r="C2017" s="526">
        <v>3</v>
      </c>
      <c r="D2017" s="526">
        <v>4</v>
      </c>
      <c r="E2017" s="526">
        <v>5</v>
      </c>
      <c r="F2017" s="512">
        <v>6</v>
      </c>
      <c r="G2017" s="512">
        <v>7</v>
      </c>
      <c r="H2017" s="513">
        <v>8</v>
      </c>
      <c r="I2017" s="591" t="s">
        <v>689</v>
      </c>
    </row>
    <row r="2018" spans="1:20" ht="15.75" thickTop="1" x14ac:dyDescent="0.25">
      <c r="A2018" s="1136">
        <v>1307</v>
      </c>
      <c r="B2018" s="701">
        <v>3231</v>
      </c>
      <c r="C2018" s="701">
        <v>5331</v>
      </c>
      <c r="D2018" s="706"/>
      <c r="E2018" s="734" t="s">
        <v>858</v>
      </c>
      <c r="F2018" s="699">
        <f>F2019+F2020</f>
        <v>178</v>
      </c>
      <c r="G2018" s="699">
        <f>G2019+G2020</f>
        <v>30</v>
      </c>
      <c r="H2018" s="699">
        <f>H2019+H2020</f>
        <v>30</v>
      </c>
      <c r="I2018" s="703">
        <f t="shared" ref="I2018:I2026" si="245">(H2018/G2018)*100</f>
        <v>100</v>
      </c>
    </row>
    <row r="2019" spans="1:20" ht="14.25" x14ac:dyDescent="0.2">
      <c r="A2019" s="420"/>
      <c r="B2019" s="617"/>
      <c r="C2019" s="617"/>
      <c r="D2019" s="636" t="s">
        <v>1811</v>
      </c>
      <c r="E2019" s="1162" t="s">
        <v>717</v>
      </c>
      <c r="F2019" s="683">
        <v>8</v>
      </c>
      <c r="G2019" s="683">
        <v>2</v>
      </c>
      <c r="H2019" s="683">
        <v>2</v>
      </c>
      <c r="I2019" s="679">
        <f t="shared" si="245"/>
        <v>100</v>
      </c>
    </row>
    <row r="2020" spans="1:20" ht="14.25" x14ac:dyDescent="0.2">
      <c r="A2020" s="420"/>
      <c r="B2020" s="617"/>
      <c r="C2020" s="617"/>
      <c r="D2020" s="518" t="s">
        <v>1812</v>
      </c>
      <c r="E2020" s="442" t="s">
        <v>63</v>
      </c>
      <c r="F2020" s="683">
        <v>170</v>
      </c>
      <c r="G2020" s="683">
        <v>28</v>
      </c>
      <c r="H2020" s="683">
        <v>28</v>
      </c>
      <c r="I2020" s="679">
        <f t="shared" si="245"/>
        <v>100</v>
      </c>
    </row>
    <row r="2021" spans="1:20" ht="15" x14ac:dyDescent="0.25">
      <c r="A2021" s="420">
        <v>1307</v>
      </c>
      <c r="B2021" s="617">
        <v>3231</v>
      </c>
      <c r="C2021" s="617">
        <v>5336</v>
      </c>
      <c r="D2021" s="649"/>
      <c r="E2021" s="616" t="s">
        <v>1740</v>
      </c>
      <c r="F2021" s="683"/>
      <c r="G2021" s="705">
        <f>G2022+G2023+G2024+G2025</f>
        <v>14154</v>
      </c>
      <c r="H2021" s="705">
        <f>H2022+H2023+H2024+H2025</f>
        <v>14154</v>
      </c>
      <c r="I2021" s="707">
        <f t="shared" si="245"/>
        <v>100</v>
      </c>
    </row>
    <row r="2022" spans="1:20" ht="15" x14ac:dyDescent="0.2">
      <c r="A2022" s="420"/>
      <c r="B2022" s="617"/>
      <c r="C2022" s="617"/>
      <c r="D2022" s="887" t="s">
        <v>1808</v>
      </c>
      <c r="E2022" s="1676" t="s">
        <v>1739</v>
      </c>
      <c r="F2022" s="1964"/>
      <c r="G2022" s="1965">
        <v>322</v>
      </c>
      <c r="H2022" s="1965">
        <v>322</v>
      </c>
      <c r="I2022" s="368">
        <f t="shared" ref="I2022:I2023" si="246">(H2022/G2022)*100</f>
        <v>100</v>
      </c>
    </row>
    <row r="2023" spans="1:20" ht="28.5" x14ac:dyDescent="0.2">
      <c r="A2023" s="420"/>
      <c r="B2023" s="617"/>
      <c r="C2023" s="617"/>
      <c r="D2023" s="887" t="s">
        <v>1809</v>
      </c>
      <c r="E2023" s="2882" t="s">
        <v>1810</v>
      </c>
      <c r="F2023" s="1964"/>
      <c r="G2023" s="2031">
        <v>64</v>
      </c>
      <c r="H2023" s="2031">
        <v>64</v>
      </c>
      <c r="I2023" s="1234">
        <f t="shared" si="246"/>
        <v>100</v>
      </c>
    </row>
    <row r="2024" spans="1:20" ht="14.25" x14ac:dyDescent="0.2">
      <c r="A2024" s="420"/>
      <c r="B2024" s="617"/>
      <c r="C2024" s="617"/>
      <c r="D2024" s="649" t="s">
        <v>1848</v>
      </c>
      <c r="E2024" s="1200" t="s">
        <v>1755</v>
      </c>
      <c r="F2024" s="683"/>
      <c r="G2024" s="683">
        <v>202</v>
      </c>
      <c r="H2024" s="683">
        <v>202</v>
      </c>
      <c r="I2024" s="679">
        <f t="shared" ref="I2024" si="247">(H2024/G2024)*100</f>
        <v>100</v>
      </c>
    </row>
    <row r="2025" spans="1:20" ht="18" customHeight="1" thickBot="1" x14ac:dyDescent="0.25">
      <c r="A2025" s="420"/>
      <c r="B2025" s="617"/>
      <c r="C2025" s="1127"/>
      <c r="D2025" s="518" t="s">
        <v>1807</v>
      </c>
      <c r="E2025" s="442" t="s">
        <v>716</v>
      </c>
      <c r="F2025" s="683"/>
      <c r="G2025" s="683">
        <v>13566</v>
      </c>
      <c r="H2025" s="683">
        <v>13566</v>
      </c>
      <c r="I2025" s="679">
        <f t="shared" si="245"/>
        <v>100</v>
      </c>
    </row>
    <row r="2026" spans="1:20" ht="16.5" thickTop="1" thickBot="1" x14ac:dyDescent="0.3">
      <c r="A2026" s="3110" t="s">
        <v>1000</v>
      </c>
      <c r="B2026" s="3111"/>
      <c r="C2026" s="3111"/>
      <c r="D2026" s="3111"/>
      <c r="E2026" s="3111"/>
      <c r="F2026" s="680">
        <f>F2018</f>
        <v>178</v>
      </c>
      <c r="G2026" s="680">
        <f>G2018+G2021</f>
        <v>14184</v>
      </c>
      <c r="H2026" s="680">
        <f>H2018+H2021</f>
        <v>14184</v>
      </c>
      <c r="I2026" s="681">
        <f t="shared" si="245"/>
        <v>100</v>
      </c>
      <c r="R2026" s="374">
        <f>F2026</f>
        <v>178</v>
      </c>
      <c r="S2026" s="374">
        <f>G2026</f>
        <v>14184</v>
      </c>
      <c r="T2026" s="374">
        <f>H2026</f>
        <v>14184</v>
      </c>
    </row>
    <row r="2027" spans="1:20" s="375" customFormat="1" ht="13.5" thickTop="1" x14ac:dyDescent="0.2">
      <c r="A2027" s="373"/>
      <c r="B2027" s="598"/>
      <c r="C2027" s="373"/>
      <c r="D2027" s="670"/>
      <c r="E2027" s="373"/>
      <c r="F2027" s="374"/>
      <c r="G2027" s="374"/>
      <c r="H2027" s="374"/>
      <c r="I2027" s="1125"/>
    </row>
    <row r="2028" spans="1:20" s="375" customFormat="1" x14ac:dyDescent="0.2">
      <c r="A2028" s="373"/>
      <c r="B2028" s="598"/>
      <c r="C2028" s="373"/>
      <c r="D2028" s="670"/>
      <c r="E2028" s="373"/>
      <c r="F2028" s="374"/>
      <c r="G2028" s="374"/>
      <c r="H2028" s="374"/>
      <c r="I2028" s="1125"/>
    </row>
    <row r="2029" spans="1:20" ht="13.5" thickBot="1" x14ac:dyDescent="0.25">
      <c r="A2029" s="421" t="s">
        <v>977</v>
      </c>
      <c r="I2029" s="1125" t="s">
        <v>148</v>
      </c>
    </row>
    <row r="2030" spans="1:20" ht="14.25" thickTop="1" thickBot="1" x14ac:dyDescent="0.25">
      <c r="A2030" s="586" t="s">
        <v>565</v>
      </c>
      <c r="B2030" s="658" t="s">
        <v>149</v>
      </c>
      <c r="C2030" s="587" t="s">
        <v>150</v>
      </c>
      <c r="D2030" s="589" t="s">
        <v>639</v>
      </c>
      <c r="E2030" s="589" t="s">
        <v>151</v>
      </c>
      <c r="F2030" s="589" t="s">
        <v>569</v>
      </c>
      <c r="G2030" s="589" t="s">
        <v>570</v>
      </c>
      <c r="H2030" s="589" t="s">
        <v>797</v>
      </c>
      <c r="I2030" s="674" t="s">
        <v>798</v>
      </c>
    </row>
    <row r="2031" spans="1:20" ht="14.25" thickTop="1" thickBot="1" x14ac:dyDescent="0.25">
      <c r="A2031" s="525">
        <v>1</v>
      </c>
      <c r="B2031" s="526">
        <v>2</v>
      </c>
      <c r="C2031" s="526">
        <v>3</v>
      </c>
      <c r="D2031" s="526">
        <v>4</v>
      </c>
      <c r="E2031" s="526">
        <v>5</v>
      </c>
      <c r="F2031" s="512">
        <v>6</v>
      </c>
      <c r="G2031" s="512">
        <v>7</v>
      </c>
      <c r="H2031" s="513">
        <v>8</v>
      </c>
      <c r="I2031" s="591" t="s">
        <v>689</v>
      </c>
    </row>
    <row r="2032" spans="1:20" ht="15.75" thickTop="1" x14ac:dyDescent="0.25">
      <c r="A2032" s="1136">
        <v>1308</v>
      </c>
      <c r="B2032" s="701">
        <v>3231</v>
      </c>
      <c r="C2032" s="701">
        <v>5331</v>
      </c>
      <c r="D2032" s="706"/>
      <c r="E2032" s="734" t="s">
        <v>858</v>
      </c>
      <c r="F2032" s="699">
        <f>F2033</f>
        <v>23</v>
      </c>
      <c r="G2032" s="699">
        <f t="shared" ref="G2032:H2032" si="248">G2033</f>
        <v>4</v>
      </c>
      <c r="H2032" s="699">
        <f t="shared" si="248"/>
        <v>4</v>
      </c>
      <c r="I2032" s="703">
        <f>(H2032/G2032)*100</f>
        <v>100</v>
      </c>
    </row>
    <row r="2033" spans="1:20" ht="14.25" x14ac:dyDescent="0.2">
      <c r="A2033" s="420"/>
      <c r="B2033" s="617"/>
      <c r="C2033" s="617"/>
      <c r="D2033" s="518" t="s">
        <v>1812</v>
      </c>
      <c r="E2033" s="442" t="s">
        <v>63</v>
      </c>
      <c r="F2033" s="683">
        <v>23</v>
      </c>
      <c r="G2033" s="683">
        <v>4</v>
      </c>
      <c r="H2033" s="683">
        <v>4</v>
      </c>
      <c r="I2033" s="679">
        <v>100</v>
      </c>
    </row>
    <row r="2034" spans="1:20" ht="15" x14ac:dyDescent="0.25">
      <c r="A2034" s="420">
        <v>1308</v>
      </c>
      <c r="B2034" s="617">
        <v>3231</v>
      </c>
      <c r="C2034" s="617">
        <v>5336</v>
      </c>
      <c r="D2034" s="518"/>
      <c r="E2034" s="616" t="s">
        <v>1740</v>
      </c>
      <c r="F2034" s="683"/>
      <c r="G2034" s="705">
        <f>G2035+G2036+G2037</f>
        <v>5780</v>
      </c>
      <c r="H2034" s="705">
        <f>H2035+H2036+H2037</f>
        <v>5780</v>
      </c>
      <c r="I2034" s="707">
        <v>100</v>
      </c>
    </row>
    <row r="2035" spans="1:20" ht="15" x14ac:dyDescent="0.2">
      <c r="A2035" s="420"/>
      <c r="B2035" s="617"/>
      <c r="C2035" s="617"/>
      <c r="D2035" s="887" t="s">
        <v>1808</v>
      </c>
      <c r="E2035" s="1676" t="s">
        <v>1739</v>
      </c>
      <c r="F2035" s="1964"/>
      <c r="G2035" s="1965">
        <v>163</v>
      </c>
      <c r="H2035" s="1965">
        <v>163</v>
      </c>
      <c r="I2035" s="368">
        <f t="shared" ref="I2035:I2036" si="249">(H2035/G2035)*100</f>
        <v>100</v>
      </c>
    </row>
    <row r="2036" spans="1:20" ht="28.5" x14ac:dyDescent="0.2">
      <c r="A2036" s="420"/>
      <c r="B2036" s="617"/>
      <c r="C2036" s="617"/>
      <c r="D2036" s="887" t="s">
        <v>1809</v>
      </c>
      <c r="E2036" s="2882" t="s">
        <v>1810</v>
      </c>
      <c r="F2036" s="1964"/>
      <c r="G2036" s="2031">
        <v>27</v>
      </c>
      <c r="H2036" s="2031">
        <v>27</v>
      </c>
      <c r="I2036" s="1234">
        <f t="shared" si="249"/>
        <v>100</v>
      </c>
    </row>
    <row r="2037" spans="1:20" ht="15" thickBot="1" x14ac:dyDescent="0.25">
      <c r="A2037" s="420"/>
      <c r="B2037" s="617"/>
      <c r="C2037" s="617"/>
      <c r="D2037" s="518" t="s">
        <v>1807</v>
      </c>
      <c r="E2037" s="442" t="s">
        <v>716</v>
      </c>
      <c r="F2037" s="683"/>
      <c r="G2037" s="683">
        <v>5590</v>
      </c>
      <c r="H2037" s="683">
        <v>5590</v>
      </c>
      <c r="I2037" s="679">
        <f>(H2037/G2037)*100</f>
        <v>100</v>
      </c>
    </row>
    <row r="2038" spans="1:20" ht="16.5" thickTop="1" thickBot="1" x14ac:dyDescent="0.3">
      <c r="A2038" s="3110" t="s">
        <v>1000</v>
      </c>
      <c r="B2038" s="3111"/>
      <c r="C2038" s="3111"/>
      <c r="D2038" s="3111"/>
      <c r="E2038" s="3111"/>
      <c r="F2038" s="680">
        <f>SUM(F2032)</f>
        <v>23</v>
      </c>
      <c r="G2038" s="680">
        <f>G2032+G2034</f>
        <v>5784</v>
      </c>
      <c r="H2038" s="680">
        <f>H2032+H2034</f>
        <v>5784</v>
      </c>
      <c r="I2038" s="681">
        <f>(H2038/G2038)*100</f>
        <v>100</v>
      </c>
      <c r="R2038" s="374">
        <f>F2038</f>
        <v>23</v>
      </c>
      <c r="S2038" s="374">
        <f>G2038</f>
        <v>5784</v>
      </c>
      <c r="T2038" s="374">
        <f>H2038</f>
        <v>5784</v>
      </c>
    </row>
    <row r="2039" spans="1:20" ht="16.5" customHeight="1" thickTop="1" x14ac:dyDescent="0.25">
      <c r="A2039" s="361"/>
      <c r="B2039" s="361"/>
      <c r="C2039" s="361"/>
      <c r="D2039" s="361"/>
      <c r="E2039" s="361"/>
      <c r="F2039" s="178"/>
      <c r="G2039" s="178"/>
      <c r="H2039" s="178"/>
      <c r="I2039" s="207"/>
      <c r="R2039" s="374"/>
      <c r="S2039" s="374"/>
      <c r="T2039" s="374"/>
    </row>
    <row r="2040" spans="1:20" ht="15" customHeight="1" x14ac:dyDescent="0.25">
      <c r="A2040" s="361"/>
      <c r="B2040" s="361"/>
      <c r="C2040" s="361"/>
      <c r="D2040" s="361"/>
      <c r="E2040" s="361"/>
      <c r="F2040" s="178"/>
      <c r="G2040" s="178"/>
      <c r="H2040" s="178"/>
      <c r="I2040" s="207"/>
      <c r="R2040" s="374"/>
      <c r="S2040" s="374"/>
      <c r="T2040" s="374"/>
    </row>
    <row r="2041" spans="1:20" ht="13.5" thickBot="1" x14ac:dyDescent="0.25">
      <c r="A2041" s="421" t="s">
        <v>133</v>
      </c>
      <c r="I2041" s="1125" t="s">
        <v>148</v>
      </c>
    </row>
    <row r="2042" spans="1:20" ht="14.25" thickTop="1" thickBot="1" x14ac:dyDescent="0.25">
      <c r="A2042" s="586" t="s">
        <v>565</v>
      </c>
      <c r="B2042" s="658" t="s">
        <v>149</v>
      </c>
      <c r="C2042" s="587" t="s">
        <v>150</v>
      </c>
      <c r="D2042" s="589" t="s">
        <v>639</v>
      </c>
      <c r="E2042" s="589" t="s">
        <v>151</v>
      </c>
      <c r="F2042" s="589" t="s">
        <v>569</v>
      </c>
      <c r="G2042" s="589" t="s">
        <v>570</v>
      </c>
      <c r="H2042" s="589" t="s">
        <v>797</v>
      </c>
      <c r="I2042" s="674" t="s">
        <v>798</v>
      </c>
    </row>
    <row r="2043" spans="1:20" ht="14.25" thickTop="1" thickBot="1" x14ac:dyDescent="0.25">
      <c r="A2043" s="525">
        <v>1</v>
      </c>
      <c r="B2043" s="526">
        <v>2</v>
      </c>
      <c r="C2043" s="526">
        <v>3</v>
      </c>
      <c r="D2043" s="526">
        <v>4</v>
      </c>
      <c r="E2043" s="526">
        <v>5</v>
      </c>
      <c r="F2043" s="512">
        <v>6</v>
      </c>
      <c r="G2043" s="512">
        <v>7</v>
      </c>
      <c r="H2043" s="513">
        <v>8</v>
      </c>
      <c r="I2043" s="591" t="s">
        <v>689</v>
      </c>
    </row>
    <row r="2044" spans="1:20" ht="15.75" thickTop="1" x14ac:dyDescent="0.25">
      <c r="A2044" s="1136">
        <v>1309</v>
      </c>
      <c r="B2044" s="701">
        <v>3231</v>
      </c>
      <c r="C2044" s="701">
        <v>5331</v>
      </c>
      <c r="D2044" s="706"/>
      <c r="E2044" s="734" t="s">
        <v>858</v>
      </c>
      <c r="F2044" s="699">
        <f>SUM(F2045:F2050)</f>
        <v>253</v>
      </c>
      <c r="G2044" s="699">
        <f>G2045+G2046</f>
        <v>42</v>
      </c>
      <c r="H2044" s="699">
        <f>H2045+H2046</f>
        <v>42</v>
      </c>
      <c r="I2044" s="703">
        <f t="shared" ref="I2044:I2053" si="250">(H2044/G2044)*100</f>
        <v>100</v>
      </c>
    </row>
    <row r="2045" spans="1:20" ht="14.25" x14ac:dyDescent="0.2">
      <c r="A2045" s="420"/>
      <c r="B2045" s="617"/>
      <c r="C2045" s="617"/>
      <c r="D2045" s="636" t="s">
        <v>1811</v>
      </c>
      <c r="E2045" s="1162" t="s">
        <v>717</v>
      </c>
      <c r="F2045" s="683">
        <v>174</v>
      </c>
      <c r="G2045" s="683">
        <v>28</v>
      </c>
      <c r="H2045" s="683">
        <v>28</v>
      </c>
      <c r="I2045" s="679">
        <f t="shared" si="250"/>
        <v>100</v>
      </c>
      <c r="Q2045" s="374"/>
    </row>
    <row r="2046" spans="1:20" ht="14.25" x14ac:dyDescent="0.2">
      <c r="A2046" s="420"/>
      <c r="B2046" s="617"/>
      <c r="C2046" s="617"/>
      <c r="D2046" s="518" t="s">
        <v>1812</v>
      </c>
      <c r="E2046" s="442" t="s">
        <v>63</v>
      </c>
      <c r="F2046" s="683">
        <v>79</v>
      </c>
      <c r="G2046" s="683">
        <v>14</v>
      </c>
      <c r="H2046" s="683">
        <v>14</v>
      </c>
      <c r="I2046" s="679">
        <f t="shared" si="250"/>
        <v>100</v>
      </c>
    </row>
    <row r="2047" spans="1:20" ht="15" x14ac:dyDescent="0.25">
      <c r="A2047" s="420">
        <v>1309</v>
      </c>
      <c r="B2047" s="617">
        <v>3231</v>
      </c>
      <c r="C2047" s="617">
        <v>5336</v>
      </c>
      <c r="D2047" s="887"/>
      <c r="E2047" s="616" t="s">
        <v>1740</v>
      </c>
      <c r="F2047" s="683"/>
      <c r="G2047" s="705">
        <f>G2048+G2049+G2050</f>
        <v>19205</v>
      </c>
      <c r="H2047" s="705">
        <f>H2048+H2049+H2050</f>
        <v>19205</v>
      </c>
      <c r="I2047" s="707">
        <f t="shared" si="250"/>
        <v>100</v>
      </c>
    </row>
    <row r="2048" spans="1:20" ht="15" x14ac:dyDescent="0.2">
      <c r="A2048" s="420"/>
      <c r="B2048" s="617"/>
      <c r="C2048" s="617"/>
      <c r="D2048" s="887" t="s">
        <v>1808</v>
      </c>
      <c r="E2048" s="1676" t="s">
        <v>1739</v>
      </c>
      <c r="F2048" s="1964"/>
      <c r="G2048" s="1965">
        <v>568</v>
      </c>
      <c r="H2048" s="1965">
        <v>568</v>
      </c>
      <c r="I2048" s="368">
        <f t="shared" ref="I2048:I2049" si="251">(H2048/G2048)*100</f>
        <v>100</v>
      </c>
    </row>
    <row r="2049" spans="1:20" ht="28.5" x14ac:dyDescent="0.2">
      <c r="A2049" s="420"/>
      <c r="B2049" s="617"/>
      <c r="C2049" s="617"/>
      <c r="D2049" s="887" t="s">
        <v>1809</v>
      </c>
      <c r="E2049" s="2882" t="s">
        <v>1810</v>
      </c>
      <c r="F2049" s="1964"/>
      <c r="G2049" s="2031">
        <v>95</v>
      </c>
      <c r="H2049" s="2031">
        <v>95</v>
      </c>
      <c r="I2049" s="1234">
        <f t="shared" si="251"/>
        <v>100</v>
      </c>
    </row>
    <row r="2050" spans="1:20" ht="14.25" x14ac:dyDescent="0.2">
      <c r="A2050" s="420"/>
      <c r="B2050" s="617"/>
      <c r="C2050" s="1127"/>
      <c r="D2050" s="518" t="s">
        <v>1807</v>
      </c>
      <c r="E2050" s="442" t="s">
        <v>716</v>
      </c>
      <c r="F2050" s="683"/>
      <c r="G2050" s="683">
        <v>18542</v>
      </c>
      <c r="H2050" s="683">
        <v>18542</v>
      </c>
      <c r="I2050" s="679">
        <f t="shared" si="250"/>
        <v>100</v>
      </c>
    </row>
    <row r="2051" spans="1:20" ht="15" x14ac:dyDescent="0.25">
      <c r="A2051" s="420">
        <v>1309</v>
      </c>
      <c r="B2051" s="617">
        <v>3299</v>
      </c>
      <c r="C2051" s="617">
        <v>5331</v>
      </c>
      <c r="D2051" s="675"/>
      <c r="E2051" s="664" t="s">
        <v>858</v>
      </c>
      <c r="F2051" s="683"/>
      <c r="G2051" s="705">
        <f>G2052</f>
        <v>8</v>
      </c>
      <c r="H2051" s="705">
        <f>H2052</f>
        <v>8</v>
      </c>
      <c r="I2051" s="707">
        <f t="shared" si="250"/>
        <v>100</v>
      </c>
    </row>
    <row r="2052" spans="1:20" ht="15" thickBot="1" x14ac:dyDescent="0.25">
      <c r="A2052" s="420"/>
      <c r="B2052" s="617"/>
      <c r="C2052" s="1127"/>
      <c r="D2052" s="1068" t="s">
        <v>1830</v>
      </c>
      <c r="E2052" s="446" t="s">
        <v>1011</v>
      </c>
      <c r="F2052" s="683"/>
      <c r="G2052" s="683">
        <v>8</v>
      </c>
      <c r="H2052" s="683">
        <v>8</v>
      </c>
      <c r="I2052" s="679">
        <f t="shared" si="250"/>
        <v>100</v>
      </c>
    </row>
    <row r="2053" spans="1:20" s="106" customFormat="1" ht="16.5" thickTop="1" thickBot="1" x14ac:dyDescent="0.3">
      <c r="A2053" s="3110" t="s">
        <v>1000</v>
      </c>
      <c r="B2053" s="3111"/>
      <c r="C2053" s="3111"/>
      <c r="D2053" s="3111"/>
      <c r="E2053" s="3111"/>
      <c r="F2053" s="680">
        <f>F2044+F2047</f>
        <v>253</v>
      </c>
      <c r="G2053" s="680">
        <f>G2044+G2047+G2051</f>
        <v>19255</v>
      </c>
      <c r="H2053" s="680">
        <f>H2044+H2047+H2051</f>
        <v>19255</v>
      </c>
      <c r="I2053" s="681">
        <f t="shared" si="250"/>
        <v>100</v>
      </c>
      <c r="R2053" s="374">
        <f>F2053</f>
        <v>253</v>
      </c>
      <c r="S2053" s="374">
        <f>G2053</f>
        <v>19255</v>
      </c>
      <c r="T2053" s="374">
        <f>H2053</f>
        <v>19255</v>
      </c>
    </row>
    <row r="2054" spans="1:20" s="106" customFormat="1" ht="15.75" thickTop="1" x14ac:dyDescent="0.25">
      <c r="A2054" s="361"/>
      <c r="B2054" s="361"/>
      <c r="C2054" s="361"/>
      <c r="D2054" s="361"/>
      <c r="E2054" s="361"/>
      <c r="F2054" s="178"/>
      <c r="G2054" s="178"/>
      <c r="H2054" s="178"/>
      <c r="I2054" s="207"/>
      <c r="R2054" s="374"/>
      <c r="S2054" s="374"/>
      <c r="T2054" s="374"/>
    </row>
    <row r="2055" spans="1:20" s="106" customFormat="1" ht="15" x14ac:dyDescent="0.25">
      <c r="A2055" s="361"/>
      <c r="B2055" s="361"/>
      <c r="C2055" s="361"/>
      <c r="D2055" s="361"/>
      <c r="E2055" s="361"/>
      <c r="F2055" s="178"/>
      <c r="G2055" s="178"/>
      <c r="H2055" s="178"/>
      <c r="I2055" s="207"/>
      <c r="R2055" s="374"/>
      <c r="S2055" s="374"/>
      <c r="T2055" s="374"/>
    </row>
    <row r="2056" spans="1:20" s="106" customFormat="1" ht="15" x14ac:dyDescent="0.25">
      <c r="A2056" s="361"/>
      <c r="B2056" s="361"/>
      <c r="C2056" s="361"/>
      <c r="D2056" s="361"/>
      <c r="E2056" s="361"/>
      <c r="F2056" s="178"/>
      <c r="G2056" s="178"/>
      <c r="H2056" s="178"/>
      <c r="I2056" s="207"/>
      <c r="R2056" s="374"/>
      <c r="S2056" s="374"/>
      <c r="T2056" s="374"/>
    </row>
    <row r="2057" spans="1:20" ht="13.5" thickBot="1" x14ac:dyDescent="0.25">
      <c r="A2057" s="421" t="s">
        <v>182</v>
      </c>
      <c r="I2057" s="1125" t="s">
        <v>148</v>
      </c>
    </row>
    <row r="2058" spans="1:20" ht="14.25" thickTop="1" thickBot="1" x14ac:dyDescent="0.25">
      <c r="A2058" s="586" t="s">
        <v>565</v>
      </c>
      <c r="B2058" s="658" t="s">
        <v>149</v>
      </c>
      <c r="C2058" s="587" t="s">
        <v>150</v>
      </c>
      <c r="D2058" s="589" t="s">
        <v>639</v>
      </c>
      <c r="E2058" s="589" t="s">
        <v>151</v>
      </c>
      <c r="F2058" s="589" t="s">
        <v>569</v>
      </c>
      <c r="G2058" s="589" t="s">
        <v>570</v>
      </c>
      <c r="H2058" s="589" t="s">
        <v>797</v>
      </c>
      <c r="I2058" s="674" t="s">
        <v>798</v>
      </c>
    </row>
    <row r="2059" spans="1:20" ht="14.25" thickTop="1" thickBot="1" x14ac:dyDescent="0.25">
      <c r="A2059" s="525">
        <v>1</v>
      </c>
      <c r="B2059" s="526">
        <v>2</v>
      </c>
      <c r="C2059" s="526">
        <v>3</v>
      </c>
      <c r="D2059" s="526">
        <v>4</v>
      </c>
      <c r="E2059" s="526">
        <v>5</v>
      </c>
      <c r="F2059" s="512">
        <v>6</v>
      </c>
      <c r="G2059" s="512">
        <v>7</v>
      </c>
      <c r="H2059" s="513">
        <v>8</v>
      </c>
      <c r="I2059" s="591" t="s">
        <v>689</v>
      </c>
    </row>
    <row r="2060" spans="1:20" ht="15.75" thickTop="1" x14ac:dyDescent="0.25">
      <c r="A2060" s="1136">
        <v>1310</v>
      </c>
      <c r="B2060" s="701">
        <v>3231</v>
      </c>
      <c r="C2060" s="701">
        <v>5331</v>
      </c>
      <c r="D2060" s="706"/>
      <c r="E2060" s="734" t="s">
        <v>858</v>
      </c>
      <c r="F2060" s="699">
        <f>SUM(F2061:F2066)</f>
        <v>56</v>
      </c>
      <c r="G2060" s="699">
        <f>G2061+G2062</f>
        <v>10</v>
      </c>
      <c r="H2060" s="699">
        <f>H2061+H2062</f>
        <v>10</v>
      </c>
      <c r="I2060" s="703">
        <f t="shared" ref="I2060:I2069" si="252">(H2060/G2060)*100</f>
        <v>100</v>
      </c>
    </row>
    <row r="2061" spans="1:20" ht="14.25" x14ac:dyDescent="0.2">
      <c r="A2061" s="420"/>
      <c r="B2061" s="617"/>
      <c r="C2061" s="617"/>
      <c r="D2061" s="636" t="s">
        <v>1811</v>
      </c>
      <c r="E2061" s="1162" t="s">
        <v>717</v>
      </c>
      <c r="F2061" s="683">
        <v>12</v>
      </c>
      <c r="G2061" s="683">
        <v>2</v>
      </c>
      <c r="H2061" s="683">
        <v>2</v>
      </c>
      <c r="I2061" s="679">
        <f t="shared" si="252"/>
        <v>100</v>
      </c>
    </row>
    <row r="2062" spans="1:20" ht="14.25" x14ac:dyDescent="0.2">
      <c r="A2062" s="420"/>
      <c r="B2062" s="617"/>
      <c r="C2062" s="617"/>
      <c r="D2062" s="518" t="s">
        <v>1812</v>
      </c>
      <c r="E2062" s="442" t="s">
        <v>63</v>
      </c>
      <c r="F2062" s="683">
        <v>44</v>
      </c>
      <c r="G2062" s="683">
        <v>8</v>
      </c>
      <c r="H2062" s="683">
        <v>8</v>
      </c>
      <c r="I2062" s="679">
        <f t="shared" si="252"/>
        <v>100</v>
      </c>
    </row>
    <row r="2063" spans="1:20" ht="15" x14ac:dyDescent="0.25">
      <c r="A2063" s="420">
        <v>1310</v>
      </c>
      <c r="B2063" s="617">
        <v>3231</v>
      </c>
      <c r="C2063" s="617">
        <v>5336</v>
      </c>
      <c r="D2063" s="887"/>
      <c r="E2063" s="616" t="s">
        <v>1740</v>
      </c>
      <c r="F2063" s="683"/>
      <c r="G2063" s="705">
        <f>G2064+G2065+G2066</f>
        <v>5826</v>
      </c>
      <c r="H2063" s="705">
        <f>H2064+H2065+H2066</f>
        <v>5826</v>
      </c>
      <c r="I2063" s="707">
        <f t="shared" si="252"/>
        <v>100</v>
      </c>
    </row>
    <row r="2064" spans="1:20" ht="15" x14ac:dyDescent="0.2">
      <c r="A2064" s="420"/>
      <c r="B2064" s="617"/>
      <c r="C2064" s="617"/>
      <c r="D2064" s="887" t="s">
        <v>1808</v>
      </c>
      <c r="E2064" s="1676" t="s">
        <v>1739</v>
      </c>
      <c r="F2064" s="1964"/>
      <c r="G2064" s="1965">
        <v>203</v>
      </c>
      <c r="H2064" s="1965">
        <v>203</v>
      </c>
      <c r="I2064" s="368">
        <f t="shared" ref="I2064:I2065" si="253">(H2064/G2064)*100</f>
        <v>100</v>
      </c>
    </row>
    <row r="2065" spans="1:20" ht="28.5" x14ac:dyDescent="0.2">
      <c r="A2065" s="420"/>
      <c r="B2065" s="617"/>
      <c r="C2065" s="617"/>
      <c r="D2065" s="887" t="s">
        <v>1809</v>
      </c>
      <c r="E2065" s="2882" t="s">
        <v>1810</v>
      </c>
      <c r="F2065" s="1964"/>
      <c r="G2065" s="2031">
        <v>29</v>
      </c>
      <c r="H2065" s="2031">
        <v>29</v>
      </c>
      <c r="I2065" s="1234">
        <f t="shared" si="253"/>
        <v>100</v>
      </c>
    </row>
    <row r="2066" spans="1:20" ht="14.25" x14ac:dyDescent="0.2">
      <c r="A2066" s="420"/>
      <c r="B2066" s="617"/>
      <c r="C2066" s="1127"/>
      <c r="D2066" s="518" t="s">
        <v>1807</v>
      </c>
      <c r="E2066" s="442" t="s">
        <v>716</v>
      </c>
      <c r="F2066" s="683"/>
      <c r="G2066" s="683">
        <v>5594</v>
      </c>
      <c r="H2066" s="683">
        <v>5594</v>
      </c>
      <c r="I2066" s="679">
        <f t="shared" si="252"/>
        <v>100</v>
      </c>
    </row>
    <row r="2067" spans="1:20" ht="15" x14ac:dyDescent="0.25">
      <c r="A2067" s="420">
        <v>1310</v>
      </c>
      <c r="B2067" s="617">
        <v>3231</v>
      </c>
      <c r="C2067" s="617">
        <v>5331</v>
      </c>
      <c r="D2067" s="675"/>
      <c r="E2067" s="664" t="s">
        <v>858</v>
      </c>
      <c r="F2067" s="683"/>
      <c r="G2067" s="705">
        <f>G2068</f>
        <v>15</v>
      </c>
      <c r="H2067" s="705">
        <f>H2068</f>
        <v>15</v>
      </c>
      <c r="I2067" s="707">
        <f t="shared" si="252"/>
        <v>100</v>
      </c>
    </row>
    <row r="2068" spans="1:20" ht="43.5" thickBot="1" x14ac:dyDescent="0.25">
      <c r="A2068" s="420"/>
      <c r="B2068" s="617"/>
      <c r="C2068" s="1127"/>
      <c r="D2068" s="1087" t="s">
        <v>1831</v>
      </c>
      <c r="E2068" s="2883" t="s">
        <v>1832</v>
      </c>
      <c r="F2068" s="683"/>
      <c r="G2068" s="1067">
        <v>15</v>
      </c>
      <c r="H2068" s="1067">
        <v>15</v>
      </c>
      <c r="I2068" s="1063">
        <f t="shared" si="252"/>
        <v>100</v>
      </c>
    </row>
    <row r="2069" spans="1:20" ht="16.5" thickTop="1" thickBot="1" x14ac:dyDescent="0.3">
      <c r="A2069" s="3110" t="s">
        <v>1000</v>
      </c>
      <c r="B2069" s="3111"/>
      <c r="C2069" s="3111"/>
      <c r="D2069" s="3111"/>
      <c r="E2069" s="3111"/>
      <c r="F2069" s="680">
        <f>SUM(F2060)</f>
        <v>56</v>
      </c>
      <c r="G2069" s="680">
        <f>G2060+G2063+G2067</f>
        <v>5851</v>
      </c>
      <c r="H2069" s="680">
        <f>H2060+H2063+H2067</f>
        <v>5851</v>
      </c>
      <c r="I2069" s="681">
        <f t="shared" si="252"/>
        <v>100</v>
      </c>
      <c r="R2069" s="374">
        <f>F2069</f>
        <v>56</v>
      </c>
      <c r="S2069" s="374">
        <f>G2069</f>
        <v>5851</v>
      </c>
      <c r="T2069" s="374">
        <f>H2069</f>
        <v>5851</v>
      </c>
    </row>
    <row r="2070" spans="1:20" s="106" customFormat="1" ht="18" customHeight="1" thickTop="1" x14ac:dyDescent="0.2">
      <c r="A2070" s="373"/>
      <c r="B2070" s="598"/>
      <c r="C2070" s="373"/>
      <c r="D2070" s="670"/>
      <c r="E2070" s="373"/>
      <c r="F2070" s="374"/>
      <c r="G2070" s="374"/>
      <c r="H2070" s="374"/>
      <c r="I2070" s="1125"/>
    </row>
    <row r="2071" spans="1:20" ht="13.5" thickBot="1" x14ac:dyDescent="0.25">
      <c r="A2071" s="421" t="s">
        <v>978</v>
      </c>
      <c r="I2071" s="1125" t="s">
        <v>148</v>
      </c>
    </row>
    <row r="2072" spans="1:20" ht="14.25" thickTop="1" thickBot="1" x14ac:dyDescent="0.25">
      <c r="A2072" s="586" t="s">
        <v>565</v>
      </c>
      <c r="B2072" s="658" t="s">
        <v>149</v>
      </c>
      <c r="C2072" s="587" t="s">
        <v>150</v>
      </c>
      <c r="D2072" s="589" t="s">
        <v>639</v>
      </c>
      <c r="E2072" s="589" t="s">
        <v>151</v>
      </c>
      <c r="F2072" s="589" t="s">
        <v>569</v>
      </c>
      <c r="G2072" s="589" t="s">
        <v>570</v>
      </c>
      <c r="H2072" s="589" t="s">
        <v>797</v>
      </c>
      <c r="I2072" s="674" t="s">
        <v>798</v>
      </c>
    </row>
    <row r="2073" spans="1:20" s="1165" customFormat="1" ht="14.25" thickTop="1" thickBot="1" x14ac:dyDescent="0.25">
      <c r="A2073" s="525">
        <v>1</v>
      </c>
      <c r="B2073" s="526">
        <v>2</v>
      </c>
      <c r="C2073" s="526">
        <v>3</v>
      </c>
      <c r="D2073" s="526">
        <v>4</v>
      </c>
      <c r="E2073" s="526">
        <v>5</v>
      </c>
      <c r="F2073" s="512">
        <v>6</v>
      </c>
      <c r="G2073" s="512">
        <v>7</v>
      </c>
      <c r="H2073" s="513">
        <v>8</v>
      </c>
      <c r="I2073" s="591" t="s">
        <v>689</v>
      </c>
    </row>
    <row r="2074" spans="1:20" ht="15.75" thickTop="1" x14ac:dyDescent="0.25">
      <c r="A2074" s="1136">
        <v>1311</v>
      </c>
      <c r="B2074" s="701">
        <v>3231</v>
      </c>
      <c r="C2074" s="701">
        <v>5331</v>
      </c>
      <c r="D2074" s="706"/>
      <c r="E2074" s="734" t="s">
        <v>858</v>
      </c>
      <c r="F2074" s="699">
        <f>F2075</f>
        <v>85</v>
      </c>
      <c r="G2074" s="699">
        <f t="shared" ref="G2074:H2074" si="254">G2075</f>
        <v>14</v>
      </c>
      <c r="H2074" s="699">
        <f t="shared" si="254"/>
        <v>14</v>
      </c>
      <c r="I2074" s="703">
        <f>(H2074/G2074)*100</f>
        <v>100</v>
      </c>
    </row>
    <row r="2075" spans="1:20" ht="14.25" x14ac:dyDescent="0.2">
      <c r="A2075" s="420"/>
      <c r="B2075" s="617"/>
      <c r="C2075" s="617"/>
      <c r="D2075" s="636" t="s">
        <v>1811</v>
      </c>
      <c r="E2075" s="1162" t="s">
        <v>717</v>
      </c>
      <c r="F2075" s="683">
        <v>85</v>
      </c>
      <c r="G2075" s="683">
        <v>14</v>
      </c>
      <c r="H2075" s="683">
        <v>14</v>
      </c>
      <c r="I2075" s="679">
        <f>(H2075/G2075)*100</f>
        <v>100</v>
      </c>
    </row>
    <row r="2076" spans="1:20" ht="15" x14ac:dyDescent="0.25">
      <c r="A2076" s="420">
        <v>1311</v>
      </c>
      <c r="B2076" s="617">
        <v>3231</v>
      </c>
      <c r="C2076" s="617">
        <v>5336</v>
      </c>
      <c r="D2076" s="887"/>
      <c r="E2076" s="616" t="s">
        <v>1740</v>
      </c>
      <c r="F2076" s="683"/>
      <c r="G2076" s="705">
        <f>G2077+G2078+G2079</f>
        <v>7459</v>
      </c>
      <c r="H2076" s="705">
        <f>H2077+H2078+H2079</f>
        <v>7459</v>
      </c>
      <c r="I2076" s="707">
        <f>(H2076/G2076)*100</f>
        <v>100</v>
      </c>
    </row>
    <row r="2077" spans="1:20" ht="15" x14ac:dyDescent="0.2">
      <c r="A2077" s="420"/>
      <c r="B2077" s="617"/>
      <c r="C2077" s="617"/>
      <c r="D2077" s="887" t="s">
        <v>1808</v>
      </c>
      <c r="E2077" s="1676" t="s">
        <v>1739</v>
      </c>
      <c r="F2077" s="1964"/>
      <c r="G2077" s="1965">
        <v>225</v>
      </c>
      <c r="H2077" s="1965">
        <v>225</v>
      </c>
      <c r="I2077" s="368">
        <f t="shared" ref="I2077:I2078" si="255">(H2077/G2077)*100</f>
        <v>100</v>
      </c>
    </row>
    <row r="2078" spans="1:20" ht="28.5" x14ac:dyDescent="0.2">
      <c r="A2078" s="420"/>
      <c r="B2078" s="617"/>
      <c r="C2078" s="617"/>
      <c r="D2078" s="887" t="s">
        <v>1809</v>
      </c>
      <c r="E2078" s="2882" t="s">
        <v>1810</v>
      </c>
      <c r="F2078" s="1964"/>
      <c r="G2078" s="2031">
        <v>37</v>
      </c>
      <c r="H2078" s="2031">
        <v>37</v>
      </c>
      <c r="I2078" s="1234">
        <f t="shared" si="255"/>
        <v>100</v>
      </c>
    </row>
    <row r="2079" spans="1:20" ht="15" thickBot="1" x14ac:dyDescent="0.25">
      <c r="A2079" s="420"/>
      <c r="B2079" s="617"/>
      <c r="C2079" s="1127"/>
      <c r="D2079" s="518" t="s">
        <v>1807</v>
      </c>
      <c r="E2079" s="442" t="s">
        <v>716</v>
      </c>
      <c r="F2079" s="683"/>
      <c r="G2079" s="683">
        <v>7197</v>
      </c>
      <c r="H2079" s="683">
        <v>7197</v>
      </c>
      <c r="I2079" s="679">
        <f>(H2079/G2079)*100</f>
        <v>100</v>
      </c>
    </row>
    <row r="2080" spans="1:20" ht="16.5" thickTop="1" thickBot="1" x14ac:dyDescent="0.3">
      <c r="A2080" s="3110" t="s">
        <v>1000</v>
      </c>
      <c r="B2080" s="3111"/>
      <c r="C2080" s="3111"/>
      <c r="D2080" s="3111"/>
      <c r="E2080" s="3111"/>
      <c r="F2080" s="680">
        <f>SUM(F2074)</f>
        <v>85</v>
      </c>
      <c r="G2080" s="680">
        <f>G2074+G2076</f>
        <v>7473</v>
      </c>
      <c r="H2080" s="680">
        <f>H2074+H2076</f>
        <v>7473</v>
      </c>
      <c r="I2080" s="681">
        <f>(H2080/G2080)*100</f>
        <v>100</v>
      </c>
      <c r="R2080" s="374">
        <f>F2080</f>
        <v>85</v>
      </c>
      <c r="S2080" s="374">
        <f>G2080</f>
        <v>7473</v>
      </c>
      <c r="T2080" s="374">
        <f>H2080</f>
        <v>7473</v>
      </c>
    </row>
    <row r="2081" spans="1:20" s="106" customFormat="1" ht="13.5" thickTop="1" x14ac:dyDescent="0.2">
      <c r="A2081" s="373"/>
      <c r="B2081" s="598"/>
      <c r="C2081" s="373"/>
      <c r="D2081" s="670"/>
      <c r="E2081" s="373"/>
      <c r="F2081" s="374"/>
      <c r="G2081" s="374"/>
      <c r="H2081" s="374"/>
      <c r="I2081" s="1125"/>
    </row>
    <row r="2082" spans="1:20" s="106" customFormat="1" x14ac:dyDescent="0.2">
      <c r="A2082" s="373"/>
      <c r="B2082" s="598"/>
      <c r="C2082" s="373"/>
      <c r="D2082" s="670"/>
      <c r="E2082" s="373"/>
      <c r="F2082" s="374"/>
      <c r="G2082" s="374"/>
      <c r="H2082" s="374"/>
      <c r="I2082" s="1125"/>
    </row>
    <row r="2083" spans="1:20" ht="13.5" thickBot="1" x14ac:dyDescent="0.25">
      <c r="A2083" s="421" t="s">
        <v>979</v>
      </c>
      <c r="I2083" s="1125" t="s">
        <v>148</v>
      </c>
    </row>
    <row r="2084" spans="1:20" ht="14.25" thickTop="1" thickBot="1" x14ac:dyDescent="0.25">
      <c r="A2084" s="586" t="s">
        <v>565</v>
      </c>
      <c r="B2084" s="658" t="s">
        <v>149</v>
      </c>
      <c r="C2084" s="587" t="s">
        <v>150</v>
      </c>
      <c r="D2084" s="589" t="s">
        <v>639</v>
      </c>
      <c r="E2084" s="589" t="s">
        <v>151</v>
      </c>
      <c r="F2084" s="589" t="s">
        <v>569</v>
      </c>
      <c r="G2084" s="589" t="s">
        <v>570</v>
      </c>
      <c r="H2084" s="589" t="s">
        <v>797</v>
      </c>
      <c r="I2084" s="674" t="s">
        <v>798</v>
      </c>
    </row>
    <row r="2085" spans="1:20" ht="14.25" thickTop="1" thickBot="1" x14ac:dyDescent="0.25">
      <c r="A2085" s="525">
        <v>1</v>
      </c>
      <c r="B2085" s="526">
        <v>2</v>
      </c>
      <c r="C2085" s="526">
        <v>3</v>
      </c>
      <c r="D2085" s="526">
        <v>4</v>
      </c>
      <c r="E2085" s="526">
        <v>5</v>
      </c>
      <c r="F2085" s="512">
        <v>6</v>
      </c>
      <c r="G2085" s="512">
        <v>7</v>
      </c>
      <c r="H2085" s="513">
        <v>8</v>
      </c>
      <c r="I2085" s="591" t="s">
        <v>689</v>
      </c>
    </row>
    <row r="2086" spans="1:20" ht="15.75" thickTop="1" x14ac:dyDescent="0.25">
      <c r="A2086" s="1136">
        <v>1312</v>
      </c>
      <c r="B2086" s="701">
        <v>3231</v>
      </c>
      <c r="C2086" s="701">
        <v>5331</v>
      </c>
      <c r="D2086" s="706"/>
      <c r="E2086" s="734" t="s">
        <v>858</v>
      </c>
      <c r="F2086" s="752">
        <f>F2087+F2088</f>
        <v>141</v>
      </c>
      <c r="G2086" s="752">
        <f>G2087+G2088</f>
        <v>24</v>
      </c>
      <c r="H2086" s="752">
        <f>H2087+H2088</f>
        <v>24</v>
      </c>
      <c r="I2086" s="753">
        <f t="shared" ref="I2086:I2093" si="256">(H2086/G2086)*100</f>
        <v>100</v>
      </c>
    </row>
    <row r="2087" spans="1:20" ht="14.25" x14ac:dyDescent="0.2">
      <c r="A2087" s="420"/>
      <c r="B2087" s="617"/>
      <c r="C2087" s="617"/>
      <c r="D2087" s="636" t="s">
        <v>1811</v>
      </c>
      <c r="E2087" s="1162" t="s">
        <v>717</v>
      </c>
      <c r="F2087" s="352">
        <v>31</v>
      </c>
      <c r="G2087" s="352">
        <v>6</v>
      </c>
      <c r="H2087" s="352">
        <v>6</v>
      </c>
      <c r="I2087" s="708">
        <f t="shared" si="256"/>
        <v>100</v>
      </c>
    </row>
    <row r="2088" spans="1:20" ht="14.25" x14ac:dyDescent="0.2">
      <c r="A2088" s="420"/>
      <c r="B2088" s="617"/>
      <c r="C2088" s="617"/>
      <c r="D2088" s="518" t="s">
        <v>1812</v>
      </c>
      <c r="E2088" s="442" t="s">
        <v>63</v>
      </c>
      <c r="F2088" s="352">
        <v>110</v>
      </c>
      <c r="G2088" s="352">
        <v>18</v>
      </c>
      <c r="H2088" s="352">
        <v>18</v>
      </c>
      <c r="I2088" s="708">
        <f t="shared" si="256"/>
        <v>100</v>
      </c>
    </row>
    <row r="2089" spans="1:20" ht="15" x14ac:dyDescent="0.25">
      <c r="A2089" s="420">
        <v>1312</v>
      </c>
      <c r="B2089" s="651">
        <v>3231</v>
      </c>
      <c r="C2089" s="651">
        <v>5336</v>
      </c>
      <c r="D2089" s="887"/>
      <c r="E2089" s="616" t="s">
        <v>1740</v>
      </c>
      <c r="F2089" s="692"/>
      <c r="G2089" s="700">
        <f>G2090+G2091+G2092</f>
        <v>12306</v>
      </c>
      <c r="H2089" s="700">
        <f>H2090+H2091+H2092</f>
        <v>12306</v>
      </c>
      <c r="I2089" s="707">
        <f t="shared" si="256"/>
        <v>100</v>
      </c>
    </row>
    <row r="2090" spans="1:20" ht="15" x14ac:dyDescent="0.2">
      <c r="A2090" s="420"/>
      <c r="B2090" s="651"/>
      <c r="C2090" s="651"/>
      <c r="D2090" s="887" t="s">
        <v>1808</v>
      </c>
      <c r="E2090" s="1676" t="s">
        <v>1739</v>
      </c>
      <c r="F2090" s="1964"/>
      <c r="G2090" s="1965">
        <v>381</v>
      </c>
      <c r="H2090" s="1965">
        <v>381</v>
      </c>
      <c r="I2090" s="368">
        <f t="shared" ref="I2090:I2091" si="257">(H2090/G2090)*100</f>
        <v>100</v>
      </c>
    </row>
    <row r="2091" spans="1:20" ht="28.5" x14ac:dyDescent="0.2">
      <c r="A2091" s="420"/>
      <c r="B2091" s="651"/>
      <c r="C2091" s="651"/>
      <c r="D2091" s="887" t="s">
        <v>1809</v>
      </c>
      <c r="E2091" s="2890" t="s">
        <v>1810</v>
      </c>
      <c r="F2091" s="1964"/>
      <c r="G2091" s="2031">
        <v>61</v>
      </c>
      <c r="H2091" s="2031">
        <v>61</v>
      </c>
      <c r="I2091" s="1234">
        <f t="shared" si="257"/>
        <v>100</v>
      </c>
    </row>
    <row r="2092" spans="1:20" ht="15.75" thickBot="1" x14ac:dyDescent="0.3">
      <c r="A2092" s="420"/>
      <c r="B2092" s="651"/>
      <c r="C2092" s="651"/>
      <c r="D2092" s="518" t="s">
        <v>1807</v>
      </c>
      <c r="E2092" s="442" t="s">
        <v>716</v>
      </c>
      <c r="F2092" s="700"/>
      <c r="G2092" s="692">
        <v>11864</v>
      </c>
      <c r="H2092" s="692">
        <v>11864</v>
      </c>
      <c r="I2092" s="368">
        <f t="shared" si="256"/>
        <v>100</v>
      </c>
    </row>
    <row r="2093" spans="1:20" ht="16.5" thickTop="1" thickBot="1" x14ac:dyDescent="0.3">
      <c r="A2093" s="3110" t="s">
        <v>1000</v>
      </c>
      <c r="B2093" s="3111"/>
      <c r="C2093" s="3111"/>
      <c r="D2093" s="3111"/>
      <c r="E2093" s="3111"/>
      <c r="F2093" s="736">
        <f>SUM(F2086)</f>
        <v>141</v>
      </c>
      <c r="G2093" s="736">
        <f>G2086+G2089</f>
        <v>12330</v>
      </c>
      <c r="H2093" s="736">
        <f>H2086+H2089</f>
        <v>12330</v>
      </c>
      <c r="I2093" s="737">
        <f t="shared" si="256"/>
        <v>100</v>
      </c>
      <c r="R2093" s="374">
        <f>F2093</f>
        <v>141</v>
      </c>
      <c r="S2093" s="374">
        <f>G2093</f>
        <v>12330</v>
      </c>
      <c r="T2093" s="374">
        <f>H2093</f>
        <v>12330</v>
      </c>
    </row>
    <row r="2094" spans="1:20" s="375" customFormat="1" ht="13.5" thickTop="1" x14ac:dyDescent="0.2">
      <c r="A2094" s="373"/>
      <c r="B2094" s="598"/>
      <c r="C2094" s="373"/>
      <c r="D2094" s="670"/>
      <c r="E2094" s="373"/>
      <c r="F2094" s="374"/>
      <c r="G2094" s="374"/>
      <c r="H2094" s="374"/>
      <c r="I2094" s="1125"/>
    </row>
    <row r="2095" spans="1:20" s="375" customFormat="1" x14ac:dyDescent="0.2">
      <c r="A2095" s="373"/>
      <c r="B2095" s="598"/>
      <c r="C2095" s="373"/>
      <c r="D2095" s="670"/>
      <c r="E2095" s="373"/>
      <c r="F2095" s="374"/>
      <c r="G2095" s="374"/>
      <c r="H2095" s="374"/>
      <c r="I2095" s="1125"/>
    </row>
    <row r="2096" spans="1:20" ht="13.5" thickBot="1" x14ac:dyDescent="0.25">
      <c r="A2096" s="421" t="s">
        <v>2154</v>
      </c>
      <c r="I2096" s="1125" t="s">
        <v>148</v>
      </c>
    </row>
    <row r="2097" spans="1:20" ht="14.25" thickTop="1" thickBot="1" x14ac:dyDescent="0.25">
      <c r="A2097" s="586" t="s">
        <v>565</v>
      </c>
      <c r="B2097" s="658" t="s">
        <v>149</v>
      </c>
      <c r="C2097" s="587" t="s">
        <v>150</v>
      </c>
      <c r="D2097" s="589" t="s">
        <v>639</v>
      </c>
      <c r="E2097" s="589" t="s">
        <v>151</v>
      </c>
      <c r="F2097" s="589" t="s">
        <v>569</v>
      </c>
      <c r="G2097" s="589" t="s">
        <v>570</v>
      </c>
      <c r="H2097" s="589" t="s">
        <v>797</v>
      </c>
      <c r="I2097" s="674" t="s">
        <v>798</v>
      </c>
    </row>
    <row r="2098" spans="1:20" ht="14.25" thickTop="1" thickBot="1" x14ac:dyDescent="0.25">
      <c r="A2098" s="525">
        <v>1</v>
      </c>
      <c r="B2098" s="526">
        <v>2</v>
      </c>
      <c r="C2098" s="526">
        <v>3</v>
      </c>
      <c r="D2098" s="526">
        <v>4</v>
      </c>
      <c r="E2098" s="526">
        <v>5</v>
      </c>
      <c r="F2098" s="512">
        <v>6</v>
      </c>
      <c r="G2098" s="512">
        <v>7</v>
      </c>
      <c r="H2098" s="513">
        <v>8</v>
      </c>
      <c r="I2098" s="591" t="s">
        <v>689</v>
      </c>
    </row>
    <row r="2099" spans="1:20" ht="15.75" thickTop="1" x14ac:dyDescent="0.25">
      <c r="A2099" s="1136">
        <v>1313</v>
      </c>
      <c r="B2099" s="701">
        <v>3231</v>
      </c>
      <c r="C2099" s="701">
        <v>5331</v>
      </c>
      <c r="D2099" s="706"/>
      <c r="E2099" s="734" t="s">
        <v>858</v>
      </c>
      <c r="F2099" s="699">
        <f>SUM(F2100:F2105)</f>
        <v>360</v>
      </c>
      <c r="G2099" s="699">
        <f>G2100+G2101</f>
        <v>62</v>
      </c>
      <c r="H2099" s="699">
        <f>H2100+H2101</f>
        <v>62</v>
      </c>
      <c r="I2099" s="703">
        <f t="shared" ref="I2099:I2108" si="258">(H2099/G2099)*100</f>
        <v>100</v>
      </c>
    </row>
    <row r="2100" spans="1:20" ht="14.25" x14ac:dyDescent="0.2">
      <c r="A2100" s="420"/>
      <c r="B2100" s="617"/>
      <c r="C2100" s="617"/>
      <c r="D2100" s="636" t="s">
        <v>1811</v>
      </c>
      <c r="E2100" s="1162" t="s">
        <v>717</v>
      </c>
      <c r="F2100" s="683">
        <v>66</v>
      </c>
      <c r="G2100" s="683">
        <v>12</v>
      </c>
      <c r="H2100" s="683">
        <v>12</v>
      </c>
      <c r="I2100" s="679">
        <f t="shared" si="258"/>
        <v>100</v>
      </c>
    </row>
    <row r="2101" spans="1:20" ht="14.25" x14ac:dyDescent="0.2">
      <c r="A2101" s="420"/>
      <c r="B2101" s="617"/>
      <c r="C2101" s="617"/>
      <c r="D2101" s="518" t="s">
        <v>1812</v>
      </c>
      <c r="E2101" s="442" t="s">
        <v>63</v>
      </c>
      <c r="F2101" s="683">
        <v>294</v>
      </c>
      <c r="G2101" s="683">
        <v>50</v>
      </c>
      <c r="H2101" s="683">
        <v>50</v>
      </c>
      <c r="I2101" s="679">
        <f t="shared" si="258"/>
        <v>100</v>
      </c>
    </row>
    <row r="2102" spans="1:20" ht="18" customHeight="1" x14ac:dyDescent="0.25">
      <c r="A2102" s="420">
        <v>1313</v>
      </c>
      <c r="B2102" s="617">
        <v>3231</v>
      </c>
      <c r="C2102" s="617">
        <v>5336</v>
      </c>
      <c r="D2102" s="887"/>
      <c r="E2102" s="616" t="s">
        <v>1740</v>
      </c>
      <c r="F2102" s="683"/>
      <c r="G2102" s="705">
        <f>G2103+G2104+G2105</f>
        <v>15487</v>
      </c>
      <c r="H2102" s="705">
        <f>H2103+H2104+H2105</f>
        <v>15487</v>
      </c>
      <c r="I2102" s="707">
        <f t="shared" si="258"/>
        <v>100</v>
      </c>
    </row>
    <row r="2103" spans="1:20" ht="14.25" customHeight="1" x14ac:dyDescent="0.2">
      <c r="A2103" s="420"/>
      <c r="B2103" s="617"/>
      <c r="C2103" s="617"/>
      <c r="D2103" s="887" t="s">
        <v>1808</v>
      </c>
      <c r="E2103" s="1676" t="s">
        <v>1739</v>
      </c>
      <c r="F2103" s="1964"/>
      <c r="G2103" s="1965">
        <v>416</v>
      </c>
      <c r="H2103" s="1965">
        <v>416</v>
      </c>
      <c r="I2103" s="368">
        <f t="shared" ref="I2103:I2104" si="259">(H2103/G2103)*100</f>
        <v>100</v>
      </c>
    </row>
    <row r="2104" spans="1:20" ht="28.5" x14ac:dyDescent="0.2">
      <c r="A2104" s="420"/>
      <c r="B2104" s="617"/>
      <c r="C2104" s="617"/>
      <c r="D2104" s="887" t="s">
        <v>1809</v>
      </c>
      <c r="E2104" s="2890" t="s">
        <v>1810</v>
      </c>
      <c r="F2104" s="1964"/>
      <c r="G2104" s="2031">
        <v>77</v>
      </c>
      <c r="H2104" s="2031">
        <v>77</v>
      </c>
      <c r="I2104" s="1234">
        <f t="shared" si="259"/>
        <v>100</v>
      </c>
    </row>
    <row r="2105" spans="1:20" ht="14.25" x14ac:dyDescent="0.2">
      <c r="A2105" s="420"/>
      <c r="B2105" s="617"/>
      <c r="C2105" s="1127"/>
      <c r="D2105" s="518" t="s">
        <v>1807</v>
      </c>
      <c r="E2105" s="442" t="s">
        <v>716</v>
      </c>
      <c r="F2105" s="683"/>
      <c r="G2105" s="683">
        <v>14994</v>
      </c>
      <c r="H2105" s="683">
        <v>14994</v>
      </c>
      <c r="I2105" s="679">
        <f t="shared" si="258"/>
        <v>100</v>
      </c>
    </row>
    <row r="2106" spans="1:20" ht="15" x14ac:dyDescent="0.25">
      <c r="A2106" s="420">
        <v>1313</v>
      </c>
      <c r="B2106" s="617">
        <v>3299</v>
      </c>
      <c r="C2106" s="617">
        <v>5331</v>
      </c>
      <c r="D2106" s="675"/>
      <c r="E2106" s="664" t="s">
        <v>858</v>
      </c>
      <c r="F2106" s="683"/>
      <c r="G2106" s="705">
        <f>G2107</f>
        <v>5</v>
      </c>
      <c r="H2106" s="705">
        <f>H2107</f>
        <v>5</v>
      </c>
      <c r="I2106" s="707">
        <f t="shared" si="258"/>
        <v>100</v>
      </c>
    </row>
    <row r="2107" spans="1:20" ht="15" thickBot="1" x14ac:dyDescent="0.25">
      <c r="A2107" s="420"/>
      <c r="B2107" s="617"/>
      <c r="C2107" s="1127"/>
      <c r="D2107" s="1068" t="s">
        <v>1830</v>
      </c>
      <c r="E2107" s="446" t="s">
        <v>1011</v>
      </c>
      <c r="F2107" s="683"/>
      <c r="G2107" s="683">
        <v>5</v>
      </c>
      <c r="H2107" s="683">
        <v>5</v>
      </c>
      <c r="I2107" s="679">
        <f t="shared" si="258"/>
        <v>100</v>
      </c>
    </row>
    <row r="2108" spans="1:20" ht="16.5" thickTop="1" thickBot="1" x14ac:dyDescent="0.3">
      <c r="A2108" s="3110" t="s">
        <v>1000</v>
      </c>
      <c r="B2108" s="3111"/>
      <c r="C2108" s="3111"/>
      <c r="D2108" s="3111"/>
      <c r="E2108" s="3111"/>
      <c r="F2108" s="680">
        <f>SUM(F2099)</f>
        <v>360</v>
      </c>
      <c r="G2108" s="680">
        <f>G2099+G2102+G2106</f>
        <v>15554</v>
      </c>
      <c r="H2108" s="680">
        <f>H2099+H2102+H2106</f>
        <v>15554</v>
      </c>
      <c r="I2108" s="681">
        <f t="shared" si="258"/>
        <v>100</v>
      </c>
      <c r="R2108" s="374">
        <f>F2108</f>
        <v>360</v>
      </c>
      <c r="S2108" s="374">
        <f>G2108</f>
        <v>15554</v>
      </c>
      <c r="T2108" s="374">
        <f>H2108</f>
        <v>15554</v>
      </c>
    </row>
    <row r="2109" spans="1:20" s="106" customFormat="1" ht="13.5" thickTop="1" x14ac:dyDescent="0.2">
      <c r="A2109" s="373"/>
      <c r="B2109" s="598"/>
      <c r="C2109" s="373"/>
      <c r="D2109" s="670"/>
      <c r="E2109" s="373"/>
      <c r="F2109" s="374"/>
      <c r="G2109" s="374"/>
      <c r="H2109" s="374"/>
      <c r="I2109" s="1125"/>
    </row>
    <row r="2110" spans="1:20" s="106" customFormat="1" x14ac:dyDescent="0.2">
      <c r="A2110" s="373"/>
      <c r="B2110" s="598"/>
      <c r="C2110" s="373"/>
      <c r="D2110" s="670"/>
      <c r="E2110" s="373"/>
      <c r="F2110" s="374"/>
      <c r="G2110" s="374"/>
      <c r="H2110" s="374"/>
      <c r="I2110" s="1125"/>
    </row>
    <row r="2111" spans="1:20" ht="13.5" thickBot="1" x14ac:dyDescent="0.25">
      <c r="A2111" s="421" t="s">
        <v>134</v>
      </c>
      <c r="I2111" s="1125" t="s">
        <v>148</v>
      </c>
    </row>
    <row r="2112" spans="1:20" ht="14.25" thickTop="1" thickBot="1" x14ac:dyDescent="0.25">
      <c r="A2112" s="586" t="s">
        <v>565</v>
      </c>
      <c r="B2112" s="658" t="s">
        <v>149</v>
      </c>
      <c r="C2112" s="587" t="s">
        <v>150</v>
      </c>
      <c r="D2112" s="589" t="s">
        <v>639</v>
      </c>
      <c r="E2112" s="589" t="s">
        <v>151</v>
      </c>
      <c r="F2112" s="589" t="s">
        <v>569</v>
      </c>
      <c r="G2112" s="589" t="s">
        <v>570</v>
      </c>
      <c r="H2112" s="589" t="s">
        <v>797</v>
      </c>
      <c r="I2112" s="674" t="s">
        <v>798</v>
      </c>
    </row>
    <row r="2113" spans="1:20" ht="14.25" thickTop="1" thickBot="1" x14ac:dyDescent="0.25">
      <c r="A2113" s="525">
        <v>1</v>
      </c>
      <c r="B2113" s="526">
        <v>2</v>
      </c>
      <c r="C2113" s="526">
        <v>3</v>
      </c>
      <c r="D2113" s="526">
        <v>4</v>
      </c>
      <c r="E2113" s="526">
        <v>5</v>
      </c>
      <c r="F2113" s="512">
        <v>6</v>
      </c>
      <c r="G2113" s="512">
        <v>7</v>
      </c>
      <c r="H2113" s="513">
        <v>8</v>
      </c>
      <c r="I2113" s="591" t="s">
        <v>689</v>
      </c>
    </row>
    <row r="2114" spans="1:20" ht="15.75" thickTop="1" x14ac:dyDescent="0.25">
      <c r="A2114" s="1136">
        <v>1314</v>
      </c>
      <c r="B2114" s="701">
        <v>3231</v>
      </c>
      <c r="C2114" s="701">
        <v>5331</v>
      </c>
      <c r="D2114" s="706"/>
      <c r="E2114" s="734" t="s">
        <v>858</v>
      </c>
      <c r="F2114" s="699">
        <f>SUM(F2115:F2120)</f>
        <v>166</v>
      </c>
      <c r="G2114" s="699">
        <f>G2115+G2116</f>
        <v>28</v>
      </c>
      <c r="H2114" s="699">
        <f>H2115+H2116</f>
        <v>28</v>
      </c>
      <c r="I2114" s="703">
        <f t="shared" ref="I2114:I2121" si="260">(H2114/G2114)*100</f>
        <v>100</v>
      </c>
    </row>
    <row r="2115" spans="1:20" ht="14.25" x14ac:dyDescent="0.2">
      <c r="A2115" s="420"/>
      <c r="B2115" s="617"/>
      <c r="C2115" s="617"/>
      <c r="D2115" s="636" t="s">
        <v>1811</v>
      </c>
      <c r="E2115" s="1162" t="s">
        <v>717</v>
      </c>
      <c r="F2115" s="683">
        <v>25</v>
      </c>
      <c r="G2115" s="683">
        <v>4</v>
      </c>
      <c r="H2115" s="683">
        <v>4</v>
      </c>
      <c r="I2115" s="679">
        <f t="shared" si="260"/>
        <v>100</v>
      </c>
    </row>
    <row r="2116" spans="1:20" ht="14.25" x14ac:dyDescent="0.2">
      <c r="A2116" s="420"/>
      <c r="B2116" s="617"/>
      <c r="C2116" s="617"/>
      <c r="D2116" s="518" t="s">
        <v>1812</v>
      </c>
      <c r="E2116" s="442" t="s">
        <v>63</v>
      </c>
      <c r="F2116" s="683">
        <v>141</v>
      </c>
      <c r="G2116" s="683">
        <v>24</v>
      </c>
      <c r="H2116" s="683">
        <v>24</v>
      </c>
      <c r="I2116" s="679">
        <f t="shared" si="260"/>
        <v>100</v>
      </c>
    </row>
    <row r="2117" spans="1:20" ht="15" x14ac:dyDescent="0.25">
      <c r="A2117" s="420">
        <v>1314</v>
      </c>
      <c r="B2117" s="617">
        <v>3231</v>
      </c>
      <c r="C2117" s="617">
        <v>5336</v>
      </c>
      <c r="D2117" s="887"/>
      <c r="E2117" s="616" t="s">
        <v>1740</v>
      </c>
      <c r="F2117" s="683"/>
      <c r="G2117" s="705">
        <f>G2118+G2119+G2120</f>
        <v>4424</v>
      </c>
      <c r="H2117" s="705">
        <f>H2118+H2119+H2120</f>
        <v>4424</v>
      </c>
      <c r="I2117" s="707">
        <f t="shared" si="260"/>
        <v>100</v>
      </c>
    </row>
    <row r="2118" spans="1:20" ht="15" x14ac:dyDescent="0.2">
      <c r="A2118" s="420"/>
      <c r="B2118" s="617"/>
      <c r="C2118" s="617"/>
      <c r="D2118" s="887" t="s">
        <v>1808</v>
      </c>
      <c r="E2118" s="1676" t="s">
        <v>1739</v>
      </c>
      <c r="F2118" s="1964"/>
      <c r="G2118" s="1965">
        <v>131</v>
      </c>
      <c r="H2118" s="1965">
        <v>131</v>
      </c>
      <c r="I2118" s="368">
        <f t="shared" ref="I2118:I2119" si="261">(H2118/G2118)*100</f>
        <v>100</v>
      </c>
    </row>
    <row r="2119" spans="1:20" ht="28.5" x14ac:dyDescent="0.2">
      <c r="A2119" s="420"/>
      <c r="B2119" s="617"/>
      <c r="C2119" s="617"/>
      <c r="D2119" s="887" t="s">
        <v>1809</v>
      </c>
      <c r="E2119" s="2890" t="s">
        <v>1810</v>
      </c>
      <c r="F2119" s="1964"/>
      <c r="G2119" s="2031">
        <v>22</v>
      </c>
      <c r="H2119" s="2031">
        <v>22</v>
      </c>
      <c r="I2119" s="1234">
        <f t="shared" si="261"/>
        <v>100</v>
      </c>
    </row>
    <row r="2120" spans="1:20" ht="15" thickBot="1" x14ac:dyDescent="0.25">
      <c r="A2120" s="420"/>
      <c r="B2120" s="617"/>
      <c r="C2120" s="1127"/>
      <c r="D2120" s="518" t="s">
        <v>1807</v>
      </c>
      <c r="E2120" s="442" t="s">
        <v>716</v>
      </c>
      <c r="F2120" s="683"/>
      <c r="G2120" s="683">
        <v>4271</v>
      </c>
      <c r="H2120" s="683">
        <v>4271</v>
      </c>
      <c r="I2120" s="679">
        <f t="shared" si="260"/>
        <v>100</v>
      </c>
    </row>
    <row r="2121" spans="1:20" ht="16.5" thickTop="1" thickBot="1" x14ac:dyDescent="0.3">
      <c r="A2121" s="3110" t="s">
        <v>1000</v>
      </c>
      <c r="B2121" s="3111"/>
      <c r="C2121" s="3111"/>
      <c r="D2121" s="3111"/>
      <c r="E2121" s="3111"/>
      <c r="F2121" s="680">
        <f>SUM(F2114)</f>
        <v>166</v>
      </c>
      <c r="G2121" s="680">
        <f>G2114+G2117</f>
        <v>4452</v>
      </c>
      <c r="H2121" s="680">
        <f>H2114+H2117</f>
        <v>4452</v>
      </c>
      <c r="I2121" s="681">
        <f t="shared" si="260"/>
        <v>100</v>
      </c>
      <c r="R2121" s="374">
        <f>F2121</f>
        <v>166</v>
      </c>
      <c r="S2121" s="374">
        <f>G2121</f>
        <v>4452</v>
      </c>
      <c r="T2121" s="374">
        <f>H2121</f>
        <v>4452</v>
      </c>
    </row>
    <row r="2122" spans="1:20" ht="13.5" thickTop="1" x14ac:dyDescent="0.2"/>
    <row r="2126" spans="1:20" ht="13.5" thickBot="1" x14ac:dyDescent="0.25">
      <c r="A2126" s="421" t="s">
        <v>1048</v>
      </c>
      <c r="I2126" s="1125" t="s">
        <v>148</v>
      </c>
    </row>
    <row r="2127" spans="1:20" ht="14.25" thickTop="1" thickBot="1" x14ac:dyDescent="0.25">
      <c r="A2127" s="586" t="s">
        <v>565</v>
      </c>
      <c r="B2127" s="658" t="s">
        <v>149</v>
      </c>
      <c r="C2127" s="587" t="s">
        <v>150</v>
      </c>
      <c r="D2127" s="589" t="s">
        <v>639</v>
      </c>
      <c r="E2127" s="589" t="s">
        <v>151</v>
      </c>
      <c r="F2127" s="589" t="s">
        <v>569</v>
      </c>
      <c r="G2127" s="589" t="s">
        <v>570</v>
      </c>
      <c r="H2127" s="589" t="s">
        <v>797</v>
      </c>
      <c r="I2127" s="674" t="s">
        <v>798</v>
      </c>
    </row>
    <row r="2128" spans="1:20" ht="14.25" thickTop="1" thickBot="1" x14ac:dyDescent="0.25">
      <c r="A2128" s="525">
        <v>1</v>
      </c>
      <c r="B2128" s="526">
        <v>2</v>
      </c>
      <c r="C2128" s="526">
        <v>3</v>
      </c>
      <c r="D2128" s="526">
        <v>4</v>
      </c>
      <c r="E2128" s="526">
        <v>5</v>
      </c>
      <c r="F2128" s="512">
        <v>6</v>
      </c>
      <c r="G2128" s="512">
        <v>7</v>
      </c>
      <c r="H2128" s="513">
        <v>8</v>
      </c>
      <c r="I2128" s="591" t="s">
        <v>689</v>
      </c>
    </row>
    <row r="2129" spans="1:20" ht="15.75" thickTop="1" x14ac:dyDescent="0.25">
      <c r="A2129" s="1136">
        <v>1315</v>
      </c>
      <c r="B2129" s="701">
        <v>3231</v>
      </c>
      <c r="C2129" s="701">
        <v>5331</v>
      </c>
      <c r="D2129" s="706"/>
      <c r="E2129" s="734" t="s">
        <v>858</v>
      </c>
      <c r="F2129" s="699">
        <f>SUM(F2130:F2135)</f>
        <v>133</v>
      </c>
      <c r="G2129" s="699">
        <f>G2130+G2131</f>
        <v>24</v>
      </c>
      <c r="H2129" s="699">
        <f>H2130+H2131</f>
        <v>24</v>
      </c>
      <c r="I2129" s="703">
        <f t="shared" ref="I2129:I2136" si="262">(H2129/G2129)*100</f>
        <v>100</v>
      </c>
    </row>
    <row r="2130" spans="1:20" ht="14.25" x14ac:dyDescent="0.2">
      <c r="A2130" s="420"/>
      <c r="B2130" s="617"/>
      <c r="C2130" s="617"/>
      <c r="D2130" s="636" t="s">
        <v>1811</v>
      </c>
      <c r="E2130" s="1162" t="s">
        <v>717</v>
      </c>
      <c r="F2130" s="683">
        <v>43</v>
      </c>
      <c r="G2130" s="683">
        <v>8</v>
      </c>
      <c r="H2130" s="683">
        <v>8</v>
      </c>
      <c r="I2130" s="679">
        <f t="shared" si="262"/>
        <v>100</v>
      </c>
    </row>
    <row r="2131" spans="1:20" ht="14.25" x14ac:dyDescent="0.2">
      <c r="A2131" s="420"/>
      <c r="B2131" s="617"/>
      <c r="C2131" s="617"/>
      <c r="D2131" s="518" t="s">
        <v>1812</v>
      </c>
      <c r="E2131" s="442" t="s">
        <v>63</v>
      </c>
      <c r="F2131" s="683">
        <v>90</v>
      </c>
      <c r="G2131" s="683">
        <v>16</v>
      </c>
      <c r="H2131" s="683">
        <v>16</v>
      </c>
      <c r="I2131" s="679">
        <f t="shared" si="262"/>
        <v>100</v>
      </c>
    </row>
    <row r="2132" spans="1:20" ht="15" x14ac:dyDescent="0.25">
      <c r="A2132" s="420">
        <v>1315</v>
      </c>
      <c r="B2132" s="617">
        <v>3231</v>
      </c>
      <c r="C2132" s="617">
        <v>5336</v>
      </c>
      <c r="D2132" s="887"/>
      <c r="E2132" s="616" t="s">
        <v>1740</v>
      </c>
      <c r="F2132" s="683"/>
      <c r="G2132" s="705">
        <f>G2133+G2134+G2135</f>
        <v>2185</v>
      </c>
      <c r="H2132" s="705">
        <f>H2133+H2134+H2135</f>
        <v>2185</v>
      </c>
      <c r="I2132" s="707">
        <f t="shared" si="262"/>
        <v>100</v>
      </c>
    </row>
    <row r="2133" spans="1:20" ht="15" x14ac:dyDescent="0.2">
      <c r="A2133" s="420"/>
      <c r="B2133" s="617"/>
      <c r="C2133" s="617"/>
      <c r="D2133" s="887" t="s">
        <v>1808</v>
      </c>
      <c r="E2133" s="1676" t="s">
        <v>1739</v>
      </c>
      <c r="F2133" s="1964"/>
      <c r="G2133" s="1965">
        <v>64</v>
      </c>
      <c r="H2133" s="1965">
        <v>64</v>
      </c>
      <c r="I2133" s="368">
        <f t="shared" ref="I2133:I2134" si="263">(H2133/G2133)*100</f>
        <v>100</v>
      </c>
    </row>
    <row r="2134" spans="1:20" ht="28.5" x14ac:dyDescent="0.2">
      <c r="A2134" s="420"/>
      <c r="B2134" s="617"/>
      <c r="C2134" s="617"/>
      <c r="D2134" s="887" t="s">
        <v>1809</v>
      </c>
      <c r="E2134" s="2890" t="s">
        <v>1810</v>
      </c>
      <c r="F2134" s="1964"/>
      <c r="G2134" s="2031">
        <v>10</v>
      </c>
      <c r="H2134" s="2031">
        <v>10</v>
      </c>
      <c r="I2134" s="1234">
        <f t="shared" si="263"/>
        <v>100</v>
      </c>
    </row>
    <row r="2135" spans="1:20" ht="15" thickBot="1" x14ac:dyDescent="0.25">
      <c r="A2135" s="420"/>
      <c r="B2135" s="617"/>
      <c r="C2135" s="1127"/>
      <c r="D2135" s="518" t="s">
        <v>1807</v>
      </c>
      <c r="E2135" s="442" t="s">
        <v>716</v>
      </c>
      <c r="F2135" s="683"/>
      <c r="G2135" s="683">
        <v>2111</v>
      </c>
      <c r="H2135" s="683">
        <v>2111</v>
      </c>
      <c r="I2135" s="679">
        <f t="shared" si="262"/>
        <v>100</v>
      </c>
    </row>
    <row r="2136" spans="1:20" ht="16.5" thickTop="1" thickBot="1" x14ac:dyDescent="0.3">
      <c r="A2136" s="3110" t="s">
        <v>1000</v>
      </c>
      <c r="B2136" s="3111"/>
      <c r="C2136" s="3111"/>
      <c r="D2136" s="3111"/>
      <c r="E2136" s="3111"/>
      <c r="F2136" s="680">
        <f>SUM(F2129)</f>
        <v>133</v>
      </c>
      <c r="G2136" s="680">
        <f>G2132+G2129</f>
        <v>2209</v>
      </c>
      <c r="H2136" s="680">
        <f>H2132+H2129</f>
        <v>2209</v>
      </c>
      <c r="I2136" s="681">
        <f t="shared" si="262"/>
        <v>100</v>
      </c>
      <c r="R2136" s="374">
        <f>F2136</f>
        <v>133</v>
      </c>
      <c r="S2136" s="374">
        <f>G2136</f>
        <v>2209</v>
      </c>
      <c r="T2136" s="374">
        <f>H2136</f>
        <v>2209</v>
      </c>
    </row>
    <row r="2137" spans="1:20" ht="13.5" thickTop="1" x14ac:dyDescent="0.2"/>
    <row r="2138" spans="1:20" ht="13.5" thickBot="1" x14ac:dyDescent="0.25">
      <c r="A2138" s="421" t="s">
        <v>187</v>
      </c>
      <c r="I2138" s="1125" t="s">
        <v>148</v>
      </c>
    </row>
    <row r="2139" spans="1:20" ht="14.25" thickTop="1" thickBot="1" x14ac:dyDescent="0.25">
      <c r="A2139" s="586" t="s">
        <v>565</v>
      </c>
      <c r="B2139" s="658" t="s">
        <v>149</v>
      </c>
      <c r="C2139" s="587" t="s">
        <v>150</v>
      </c>
      <c r="D2139" s="589" t="s">
        <v>639</v>
      </c>
      <c r="E2139" s="589" t="s">
        <v>151</v>
      </c>
      <c r="F2139" s="589" t="s">
        <v>569</v>
      </c>
      <c r="G2139" s="589" t="s">
        <v>570</v>
      </c>
      <c r="H2139" s="589" t="s">
        <v>797</v>
      </c>
      <c r="I2139" s="674" t="s">
        <v>798</v>
      </c>
    </row>
    <row r="2140" spans="1:20" ht="14.25" thickTop="1" thickBot="1" x14ac:dyDescent="0.25">
      <c r="A2140" s="525">
        <v>1</v>
      </c>
      <c r="B2140" s="526">
        <v>2</v>
      </c>
      <c r="C2140" s="526">
        <v>3</v>
      </c>
      <c r="D2140" s="526">
        <v>4</v>
      </c>
      <c r="E2140" s="526">
        <v>5</v>
      </c>
      <c r="F2140" s="512">
        <v>6</v>
      </c>
      <c r="G2140" s="512">
        <v>7</v>
      </c>
      <c r="H2140" s="513">
        <v>8</v>
      </c>
      <c r="I2140" s="591" t="s">
        <v>689</v>
      </c>
    </row>
    <row r="2141" spans="1:20" ht="15.75" thickTop="1" x14ac:dyDescent="0.25">
      <c r="A2141" s="420">
        <v>1350</v>
      </c>
      <c r="B2141" s="651">
        <v>3233</v>
      </c>
      <c r="C2141" s="1128">
        <v>5331</v>
      </c>
      <c r="D2141" s="697"/>
      <c r="E2141" s="616" t="s">
        <v>858</v>
      </c>
      <c r="F2141" s="705">
        <f>F2142+F2143+F2144+F2145</f>
        <v>1324</v>
      </c>
      <c r="G2141" s="705">
        <f>G2142+G2143+G2144+G2145</f>
        <v>236</v>
      </c>
      <c r="H2141" s="705">
        <f>H2142+H2143+H2144+H2145</f>
        <v>236</v>
      </c>
      <c r="I2141" s="707">
        <v>100</v>
      </c>
    </row>
    <row r="2142" spans="1:20" ht="18" customHeight="1" x14ac:dyDescent="0.2">
      <c r="A2142" s="420"/>
      <c r="B2142" s="617"/>
      <c r="C2142" s="617"/>
      <c r="D2142" s="636" t="s">
        <v>1811</v>
      </c>
      <c r="E2142" s="1162" t="s">
        <v>717</v>
      </c>
      <c r="F2142" s="683">
        <v>275</v>
      </c>
      <c r="G2142" s="683">
        <v>46</v>
      </c>
      <c r="H2142" s="683">
        <v>46</v>
      </c>
      <c r="I2142" s="679">
        <f t="shared" ref="I2142:I2146" si="264">(H2142/G2142)*100</f>
        <v>100</v>
      </c>
    </row>
    <row r="2143" spans="1:20" ht="14.25" x14ac:dyDescent="0.2">
      <c r="A2143" s="420"/>
      <c r="B2143" s="617"/>
      <c r="C2143" s="617"/>
      <c r="D2143" s="636" t="s">
        <v>1761</v>
      </c>
      <c r="E2143" s="1162" t="s">
        <v>753</v>
      </c>
      <c r="F2143" s="683"/>
      <c r="G2143" s="683">
        <v>34</v>
      </c>
      <c r="H2143" s="683">
        <v>34</v>
      </c>
      <c r="I2143" s="679">
        <f t="shared" si="264"/>
        <v>100</v>
      </c>
    </row>
    <row r="2144" spans="1:20" ht="14.25" x14ac:dyDescent="0.2">
      <c r="A2144" s="420"/>
      <c r="B2144" s="617"/>
      <c r="C2144" s="695"/>
      <c r="D2144" s="518" t="s">
        <v>1812</v>
      </c>
      <c r="E2144" s="442" t="s">
        <v>63</v>
      </c>
      <c r="F2144" s="683">
        <v>941</v>
      </c>
      <c r="G2144" s="683">
        <v>156</v>
      </c>
      <c r="H2144" s="683">
        <v>156</v>
      </c>
      <c r="I2144" s="679">
        <f t="shared" si="264"/>
        <v>100</v>
      </c>
    </row>
    <row r="2145" spans="1:20" ht="14.25" x14ac:dyDescent="0.2">
      <c r="A2145" s="420"/>
      <c r="B2145" s="617"/>
      <c r="C2145" s="695"/>
      <c r="D2145" s="518" t="s">
        <v>1841</v>
      </c>
      <c r="E2145" s="442" t="s">
        <v>23</v>
      </c>
      <c r="F2145" s="683">
        <v>108</v>
      </c>
      <c r="G2145" s="683">
        <v>0</v>
      </c>
      <c r="H2145" s="683">
        <v>0</v>
      </c>
      <c r="I2145" s="679">
        <v>0</v>
      </c>
    </row>
    <row r="2146" spans="1:20" ht="15" x14ac:dyDescent="0.25">
      <c r="A2146" s="420">
        <v>1350</v>
      </c>
      <c r="B2146" s="617">
        <v>3233</v>
      </c>
      <c r="C2146" s="695">
        <v>5336</v>
      </c>
      <c r="D2146" s="649"/>
      <c r="E2146" s="616" t="s">
        <v>1740</v>
      </c>
      <c r="F2146" s="683"/>
      <c r="G2146" s="705">
        <f>G2147+G2148+G2149+G2150</f>
        <v>12679</v>
      </c>
      <c r="H2146" s="705">
        <f>H2147+H2148+H2149+H2150</f>
        <v>12679</v>
      </c>
      <c r="I2146" s="707">
        <f t="shared" si="264"/>
        <v>100</v>
      </c>
    </row>
    <row r="2147" spans="1:20" ht="15" x14ac:dyDescent="0.2">
      <c r="A2147" s="420"/>
      <c r="B2147" s="617"/>
      <c r="C2147" s="695"/>
      <c r="D2147" s="887" t="s">
        <v>1808</v>
      </c>
      <c r="E2147" s="1676" t="s">
        <v>1739</v>
      </c>
      <c r="F2147" s="1964"/>
      <c r="G2147" s="1965">
        <v>219</v>
      </c>
      <c r="H2147" s="1965">
        <v>219</v>
      </c>
      <c r="I2147" s="368">
        <f t="shared" ref="I2147:I2148" si="265">(H2147/G2147)*100</f>
        <v>100</v>
      </c>
    </row>
    <row r="2148" spans="1:20" ht="28.5" x14ac:dyDescent="0.2">
      <c r="A2148" s="420"/>
      <c r="B2148" s="617"/>
      <c r="C2148" s="695"/>
      <c r="D2148" s="887" t="s">
        <v>1809</v>
      </c>
      <c r="E2148" s="2890" t="s">
        <v>1810</v>
      </c>
      <c r="F2148" s="1964"/>
      <c r="G2148" s="2031">
        <v>57</v>
      </c>
      <c r="H2148" s="2031">
        <v>57</v>
      </c>
      <c r="I2148" s="1234">
        <f t="shared" si="265"/>
        <v>100</v>
      </c>
    </row>
    <row r="2149" spans="1:20" ht="14.25" x14ac:dyDescent="0.2">
      <c r="A2149" s="420"/>
      <c r="B2149" s="617"/>
      <c r="C2149" s="695"/>
      <c r="D2149" s="649" t="s">
        <v>1848</v>
      </c>
      <c r="E2149" s="1201" t="s">
        <v>1752</v>
      </c>
      <c r="F2149" s="683"/>
      <c r="G2149" s="683">
        <v>412</v>
      </c>
      <c r="H2149" s="683">
        <v>412</v>
      </c>
      <c r="I2149" s="679">
        <f t="shared" ref="I2149" si="266">(H2149/G2149)*100</f>
        <v>100</v>
      </c>
    </row>
    <row r="2150" spans="1:20" ht="14.25" x14ac:dyDescent="0.2">
      <c r="A2150" s="420"/>
      <c r="B2150" s="617"/>
      <c r="C2150" s="695"/>
      <c r="D2150" s="518" t="s">
        <v>1807</v>
      </c>
      <c r="E2150" s="442" t="s">
        <v>716</v>
      </c>
      <c r="F2150" s="683"/>
      <c r="G2150" s="683">
        <v>11991</v>
      </c>
      <c r="H2150" s="683">
        <v>11991</v>
      </c>
      <c r="I2150" s="679">
        <v>100</v>
      </c>
    </row>
    <row r="2151" spans="1:20" ht="15" x14ac:dyDescent="0.25">
      <c r="A2151" s="420">
        <v>1350</v>
      </c>
      <c r="B2151" s="651">
        <v>3429</v>
      </c>
      <c r="C2151" s="1128">
        <v>5331</v>
      </c>
      <c r="D2151" s="697"/>
      <c r="E2151" s="616" t="s">
        <v>858</v>
      </c>
      <c r="F2151" s="690">
        <f>F2152</f>
        <v>200</v>
      </c>
      <c r="G2151" s="690">
        <v>200</v>
      </c>
      <c r="H2151" s="690">
        <v>200</v>
      </c>
      <c r="I2151" s="707">
        <v>100</v>
      </c>
    </row>
    <row r="2152" spans="1:20" ht="15" thickBot="1" x14ac:dyDescent="0.25">
      <c r="A2152" s="420"/>
      <c r="B2152" s="617"/>
      <c r="C2152" s="1127"/>
      <c r="D2152" s="636" t="s">
        <v>1787</v>
      </c>
      <c r="E2152" s="698" t="s">
        <v>183</v>
      </c>
      <c r="F2152" s="683">
        <v>200</v>
      </c>
      <c r="G2152" s="683">
        <v>200</v>
      </c>
      <c r="H2152" s="683">
        <v>200</v>
      </c>
      <c r="I2152" s="679">
        <v>100</v>
      </c>
    </row>
    <row r="2153" spans="1:20" ht="16.5" thickTop="1" thickBot="1" x14ac:dyDescent="0.3">
      <c r="A2153" s="3110" t="s">
        <v>1000</v>
      </c>
      <c r="B2153" s="3111"/>
      <c r="C2153" s="3111"/>
      <c r="D2153" s="3111"/>
      <c r="E2153" s="3111"/>
      <c r="F2153" s="680">
        <f>F2141+F2151</f>
        <v>1524</v>
      </c>
      <c r="G2153" s="680">
        <f>G2151+G2146+G2141</f>
        <v>13115</v>
      </c>
      <c r="H2153" s="680">
        <f>H2151+H2146+H2141</f>
        <v>13115</v>
      </c>
      <c r="I2153" s="681">
        <f>(H2153/G2153)*100</f>
        <v>100</v>
      </c>
      <c r="R2153" s="374">
        <f>F2153</f>
        <v>1524</v>
      </c>
      <c r="S2153" s="374">
        <f>G2153</f>
        <v>13115</v>
      </c>
      <c r="T2153" s="374">
        <f>H2153</f>
        <v>13115</v>
      </c>
    </row>
    <row r="2154" spans="1:20" s="375" customFormat="1" ht="13.5" thickTop="1" x14ac:dyDescent="0.2">
      <c r="A2154" s="373"/>
      <c r="B2154" s="598"/>
      <c r="C2154" s="373"/>
      <c r="D2154" s="670"/>
      <c r="E2154" s="373"/>
      <c r="F2154" s="374"/>
      <c r="G2154" s="374"/>
      <c r="H2154" s="374"/>
      <c r="I2154" s="1125"/>
    </row>
    <row r="2155" spans="1:20" ht="13.5" thickBot="1" x14ac:dyDescent="0.25">
      <c r="A2155" s="421" t="s">
        <v>330</v>
      </c>
      <c r="I2155" s="1125" t="s">
        <v>148</v>
      </c>
    </row>
    <row r="2156" spans="1:20" ht="14.25" thickTop="1" thickBot="1" x14ac:dyDescent="0.25">
      <c r="A2156" s="586" t="s">
        <v>565</v>
      </c>
      <c r="B2156" s="658" t="s">
        <v>149</v>
      </c>
      <c r="C2156" s="587" t="s">
        <v>150</v>
      </c>
      <c r="D2156" s="589" t="s">
        <v>639</v>
      </c>
      <c r="E2156" s="589" t="s">
        <v>151</v>
      </c>
      <c r="F2156" s="589" t="s">
        <v>569</v>
      </c>
      <c r="G2156" s="589" t="s">
        <v>570</v>
      </c>
      <c r="H2156" s="589" t="s">
        <v>797</v>
      </c>
      <c r="I2156" s="674" t="s">
        <v>798</v>
      </c>
    </row>
    <row r="2157" spans="1:20" ht="18" customHeight="1" thickTop="1" thickBot="1" x14ac:dyDescent="0.25">
      <c r="A2157" s="525">
        <v>1</v>
      </c>
      <c r="B2157" s="526">
        <v>2</v>
      </c>
      <c r="C2157" s="526">
        <v>3</v>
      </c>
      <c r="D2157" s="526">
        <v>4</v>
      </c>
      <c r="E2157" s="526">
        <v>5</v>
      </c>
      <c r="F2157" s="512">
        <v>6</v>
      </c>
      <c r="G2157" s="512">
        <v>7</v>
      </c>
      <c r="H2157" s="513">
        <v>8</v>
      </c>
      <c r="I2157" s="591" t="s">
        <v>689</v>
      </c>
    </row>
    <row r="2158" spans="1:20" ht="18" customHeight="1" thickTop="1" x14ac:dyDescent="0.25">
      <c r="A2158" s="420">
        <v>1351</v>
      </c>
      <c r="B2158" s="617">
        <v>3233</v>
      </c>
      <c r="C2158" s="617">
        <v>5331</v>
      </c>
      <c r="D2158" s="675"/>
      <c r="E2158" s="664" t="s">
        <v>858</v>
      </c>
      <c r="F2158" s="676">
        <f>F2159+F2160</f>
        <v>242</v>
      </c>
      <c r="G2158" s="676">
        <f>G2159+G2160</f>
        <v>40</v>
      </c>
      <c r="H2158" s="676">
        <f>H2159+H2160</f>
        <v>40</v>
      </c>
      <c r="I2158" s="677">
        <v>100</v>
      </c>
    </row>
    <row r="2159" spans="1:20" ht="14.25" x14ac:dyDescent="0.2">
      <c r="A2159" s="420"/>
      <c r="B2159" s="617"/>
      <c r="C2159" s="617"/>
      <c r="D2159" s="636" t="s">
        <v>1811</v>
      </c>
      <c r="E2159" s="1162" t="s">
        <v>717</v>
      </c>
      <c r="F2159" s="683">
        <v>3</v>
      </c>
      <c r="G2159" s="683">
        <v>0</v>
      </c>
      <c r="H2159" s="683">
        <v>0</v>
      </c>
      <c r="I2159" s="679">
        <v>0</v>
      </c>
    </row>
    <row r="2160" spans="1:20" ht="14.25" x14ac:dyDescent="0.2">
      <c r="A2160" s="420"/>
      <c r="B2160" s="617"/>
      <c r="C2160" s="617"/>
      <c r="D2160" s="518" t="s">
        <v>1812</v>
      </c>
      <c r="E2160" s="442" t="s">
        <v>63</v>
      </c>
      <c r="F2160" s="683">
        <v>239</v>
      </c>
      <c r="G2160" s="683">
        <v>40</v>
      </c>
      <c r="H2160" s="683">
        <v>40</v>
      </c>
      <c r="I2160" s="679">
        <f t="shared" ref="I2160:I2165" si="267">(H2160/G2160)*100</f>
        <v>100</v>
      </c>
    </row>
    <row r="2161" spans="1:20" ht="15" x14ac:dyDescent="0.25">
      <c r="A2161" s="420">
        <v>1351</v>
      </c>
      <c r="B2161" s="617">
        <v>3233</v>
      </c>
      <c r="C2161" s="617">
        <v>5336</v>
      </c>
      <c r="D2161" s="887"/>
      <c r="E2161" s="616" t="s">
        <v>1740</v>
      </c>
      <c r="F2161" s="683"/>
      <c r="G2161" s="705">
        <f>G2162+G2163+G2164</f>
        <v>4588</v>
      </c>
      <c r="H2161" s="705">
        <f>H2162+H2163+H2164</f>
        <v>4588</v>
      </c>
      <c r="I2161" s="707">
        <f t="shared" si="267"/>
        <v>100</v>
      </c>
    </row>
    <row r="2162" spans="1:20" ht="15" x14ac:dyDescent="0.2">
      <c r="A2162" s="420"/>
      <c r="B2162" s="617"/>
      <c r="C2162" s="617"/>
      <c r="D2162" s="887" t="s">
        <v>1808</v>
      </c>
      <c r="E2162" s="1676" t="s">
        <v>1739</v>
      </c>
      <c r="F2162" s="1964"/>
      <c r="G2162" s="1965">
        <v>83</v>
      </c>
      <c r="H2162" s="1965">
        <v>83</v>
      </c>
      <c r="I2162" s="368">
        <f t="shared" ref="I2162:I2163" si="268">(H2162/G2162)*100</f>
        <v>100</v>
      </c>
    </row>
    <row r="2163" spans="1:20" ht="28.5" x14ac:dyDescent="0.2">
      <c r="A2163" s="420"/>
      <c r="B2163" s="617"/>
      <c r="C2163" s="617"/>
      <c r="D2163" s="887" t="s">
        <v>1809</v>
      </c>
      <c r="E2163" s="2890" t="s">
        <v>1810</v>
      </c>
      <c r="F2163" s="1964"/>
      <c r="G2163" s="2031">
        <v>22</v>
      </c>
      <c r="H2163" s="2031">
        <v>22</v>
      </c>
      <c r="I2163" s="1234">
        <f t="shared" si="268"/>
        <v>100</v>
      </c>
    </row>
    <row r="2164" spans="1:20" ht="15" thickBot="1" x14ac:dyDescent="0.25">
      <c r="A2164" s="420"/>
      <c r="B2164" s="617"/>
      <c r="C2164" s="1127"/>
      <c r="D2164" s="518" t="s">
        <v>1807</v>
      </c>
      <c r="E2164" s="442" t="s">
        <v>716</v>
      </c>
      <c r="F2164" s="683"/>
      <c r="G2164" s="683">
        <v>4483</v>
      </c>
      <c r="H2164" s="683">
        <v>4483</v>
      </c>
      <c r="I2164" s="679">
        <f t="shared" si="267"/>
        <v>100</v>
      </c>
    </row>
    <row r="2165" spans="1:20" ht="16.5" thickTop="1" thickBot="1" x14ac:dyDescent="0.3">
      <c r="A2165" s="3110" t="s">
        <v>1000</v>
      </c>
      <c r="B2165" s="3111"/>
      <c r="C2165" s="3111"/>
      <c r="D2165" s="3111"/>
      <c r="E2165" s="3111"/>
      <c r="F2165" s="680">
        <f>F2158</f>
        <v>242</v>
      </c>
      <c r="G2165" s="680">
        <f>G2158+G2161</f>
        <v>4628</v>
      </c>
      <c r="H2165" s="680">
        <f>H2158+H2161</f>
        <v>4628</v>
      </c>
      <c r="I2165" s="681">
        <f t="shared" si="267"/>
        <v>100</v>
      </c>
      <c r="R2165" s="374">
        <f>F2165</f>
        <v>242</v>
      </c>
      <c r="S2165" s="374">
        <f>G2165</f>
        <v>4628</v>
      </c>
      <c r="T2165" s="374">
        <f>H2165</f>
        <v>4628</v>
      </c>
    </row>
    <row r="2166" spans="1:20" s="106" customFormat="1" ht="13.5" thickTop="1" x14ac:dyDescent="0.2">
      <c r="A2166" s="373"/>
      <c r="B2166" s="598"/>
      <c r="C2166" s="373"/>
      <c r="D2166" s="670"/>
      <c r="E2166" s="373"/>
      <c r="F2166" s="374"/>
      <c r="G2166" s="374"/>
      <c r="H2166" s="374"/>
      <c r="I2166" s="1125"/>
    </row>
    <row r="2167" spans="1:20" ht="13.5" thickBot="1" x14ac:dyDescent="0.25">
      <c r="A2167" s="421" t="s">
        <v>111</v>
      </c>
      <c r="I2167" s="1125" t="s">
        <v>148</v>
      </c>
    </row>
    <row r="2168" spans="1:20" ht="14.25" thickTop="1" thickBot="1" x14ac:dyDescent="0.25">
      <c r="A2168" s="586" t="s">
        <v>565</v>
      </c>
      <c r="B2168" s="658" t="s">
        <v>149</v>
      </c>
      <c r="C2168" s="587" t="s">
        <v>150</v>
      </c>
      <c r="D2168" s="589" t="s">
        <v>639</v>
      </c>
      <c r="E2168" s="589" t="s">
        <v>151</v>
      </c>
      <c r="F2168" s="589" t="s">
        <v>569</v>
      </c>
      <c r="G2168" s="589" t="s">
        <v>570</v>
      </c>
      <c r="H2168" s="589" t="s">
        <v>797</v>
      </c>
      <c r="I2168" s="674" t="s">
        <v>798</v>
      </c>
    </row>
    <row r="2169" spans="1:20" ht="14.25" thickTop="1" thickBot="1" x14ac:dyDescent="0.25">
      <c r="A2169" s="525">
        <v>1</v>
      </c>
      <c r="B2169" s="526">
        <v>2</v>
      </c>
      <c r="C2169" s="526">
        <v>3</v>
      </c>
      <c r="D2169" s="526">
        <v>4</v>
      </c>
      <c r="E2169" s="526">
        <v>5</v>
      </c>
      <c r="F2169" s="512">
        <v>6</v>
      </c>
      <c r="G2169" s="512">
        <v>7</v>
      </c>
      <c r="H2169" s="513">
        <v>8</v>
      </c>
      <c r="I2169" s="591" t="s">
        <v>689</v>
      </c>
    </row>
    <row r="2170" spans="1:20" ht="15.75" thickTop="1" x14ac:dyDescent="0.25">
      <c r="A2170" s="420">
        <v>1352</v>
      </c>
      <c r="B2170" s="617">
        <v>3233</v>
      </c>
      <c r="C2170" s="617">
        <v>5331</v>
      </c>
      <c r="D2170" s="675"/>
      <c r="E2170" s="664" t="s">
        <v>858</v>
      </c>
      <c r="F2170" s="676">
        <f>SUM(F2171:F2176)</f>
        <v>418</v>
      </c>
      <c r="G2170" s="676">
        <f>G2171+G2172</f>
        <v>70</v>
      </c>
      <c r="H2170" s="676">
        <f>H2171+H2172</f>
        <v>70</v>
      </c>
      <c r="I2170" s="677">
        <v>100</v>
      </c>
    </row>
    <row r="2171" spans="1:20" ht="14.25" x14ac:dyDescent="0.2">
      <c r="A2171" s="420"/>
      <c r="B2171" s="617"/>
      <c r="C2171" s="617"/>
      <c r="D2171" s="636" t="s">
        <v>1811</v>
      </c>
      <c r="E2171" s="1162" t="s">
        <v>717</v>
      </c>
      <c r="F2171" s="352">
        <v>50</v>
      </c>
      <c r="G2171" s="683">
        <v>8</v>
      </c>
      <c r="H2171" s="683">
        <v>8</v>
      </c>
      <c r="I2171" s="679">
        <f t="shared" ref="I2171:I2177" si="269">(H2171/G2171)*100</f>
        <v>100</v>
      </c>
    </row>
    <row r="2172" spans="1:20" ht="14.25" x14ac:dyDescent="0.2">
      <c r="A2172" s="420"/>
      <c r="B2172" s="617"/>
      <c r="C2172" s="617"/>
      <c r="D2172" s="518" t="s">
        <v>1812</v>
      </c>
      <c r="E2172" s="442" t="s">
        <v>63</v>
      </c>
      <c r="F2172" s="683">
        <v>368</v>
      </c>
      <c r="G2172" s="683">
        <v>62</v>
      </c>
      <c r="H2172" s="683">
        <v>62</v>
      </c>
      <c r="I2172" s="679">
        <f t="shared" si="269"/>
        <v>100</v>
      </c>
    </row>
    <row r="2173" spans="1:20" ht="15" x14ac:dyDescent="0.25">
      <c r="A2173" s="420">
        <v>1352</v>
      </c>
      <c r="B2173" s="617">
        <v>3233</v>
      </c>
      <c r="C2173" s="617">
        <v>5336</v>
      </c>
      <c r="D2173" s="887"/>
      <c r="E2173" s="616" t="s">
        <v>1740</v>
      </c>
      <c r="F2173" s="683"/>
      <c r="G2173" s="705">
        <f>G2174+G2175+G2176</f>
        <v>3180</v>
      </c>
      <c r="H2173" s="705">
        <f>H2174+H2175+H2176</f>
        <v>3180</v>
      </c>
      <c r="I2173" s="707">
        <f t="shared" si="269"/>
        <v>100</v>
      </c>
    </row>
    <row r="2174" spans="1:20" ht="15" x14ac:dyDescent="0.2">
      <c r="A2174" s="420"/>
      <c r="B2174" s="617"/>
      <c r="C2174" s="617"/>
      <c r="D2174" s="887" t="s">
        <v>1808</v>
      </c>
      <c r="E2174" s="1676" t="s">
        <v>1739</v>
      </c>
      <c r="F2174" s="1964"/>
      <c r="G2174" s="1965">
        <v>73</v>
      </c>
      <c r="H2174" s="1965">
        <v>73</v>
      </c>
      <c r="I2174" s="368">
        <f t="shared" ref="I2174:I2175" si="270">(H2174/G2174)*100</f>
        <v>100</v>
      </c>
    </row>
    <row r="2175" spans="1:20" ht="28.5" x14ac:dyDescent="0.2">
      <c r="A2175" s="420"/>
      <c r="B2175" s="617"/>
      <c r="C2175" s="617"/>
      <c r="D2175" s="887" t="s">
        <v>1809</v>
      </c>
      <c r="E2175" s="2890" t="s">
        <v>1810</v>
      </c>
      <c r="F2175" s="1964"/>
      <c r="G2175" s="2031">
        <v>14</v>
      </c>
      <c r="H2175" s="2031">
        <v>14</v>
      </c>
      <c r="I2175" s="1234">
        <f t="shared" si="270"/>
        <v>100</v>
      </c>
    </row>
    <row r="2176" spans="1:20" ht="15" thickBot="1" x14ac:dyDescent="0.25">
      <c r="A2176" s="420"/>
      <c r="B2176" s="617"/>
      <c r="C2176" s="617"/>
      <c r="D2176" s="518" t="s">
        <v>1807</v>
      </c>
      <c r="E2176" s="442" t="s">
        <v>716</v>
      </c>
      <c r="F2176" s="683"/>
      <c r="G2176" s="683">
        <v>3093</v>
      </c>
      <c r="H2176" s="683">
        <v>3093</v>
      </c>
      <c r="I2176" s="679">
        <f t="shared" si="269"/>
        <v>100</v>
      </c>
    </row>
    <row r="2177" spans="1:20" ht="16.5" thickTop="1" thickBot="1" x14ac:dyDescent="0.3">
      <c r="A2177" s="3110" t="s">
        <v>1000</v>
      </c>
      <c r="B2177" s="3111"/>
      <c r="C2177" s="3111"/>
      <c r="D2177" s="3111"/>
      <c r="E2177" s="3111"/>
      <c r="F2177" s="680">
        <f>F2170</f>
        <v>418</v>
      </c>
      <c r="G2177" s="680">
        <f>G2170+G2173</f>
        <v>3250</v>
      </c>
      <c r="H2177" s="680">
        <f>H2170+H2173</f>
        <v>3250</v>
      </c>
      <c r="I2177" s="681">
        <f t="shared" si="269"/>
        <v>100</v>
      </c>
      <c r="R2177" s="374">
        <f>F2177</f>
        <v>418</v>
      </c>
      <c r="S2177" s="374">
        <f>G2177</f>
        <v>3250</v>
      </c>
      <c r="T2177" s="374">
        <f>H2177</f>
        <v>3250</v>
      </c>
    </row>
    <row r="2178" spans="1:20" s="375" customFormat="1" ht="13.5" thickTop="1" x14ac:dyDescent="0.2">
      <c r="A2178" s="373"/>
      <c r="B2178" s="598"/>
      <c r="C2178" s="373"/>
      <c r="D2178" s="670"/>
      <c r="E2178" s="373"/>
      <c r="F2178" s="374"/>
      <c r="G2178" s="374"/>
      <c r="H2178" s="374"/>
      <c r="I2178" s="1125"/>
    </row>
    <row r="2179" spans="1:20" ht="13.5" thickBot="1" x14ac:dyDescent="0.25">
      <c r="A2179" s="421" t="s">
        <v>602</v>
      </c>
      <c r="I2179" s="1125" t="s">
        <v>148</v>
      </c>
    </row>
    <row r="2180" spans="1:20" ht="14.25" thickTop="1" thickBot="1" x14ac:dyDescent="0.25">
      <c r="A2180" s="586" t="s">
        <v>565</v>
      </c>
      <c r="B2180" s="658" t="s">
        <v>149</v>
      </c>
      <c r="C2180" s="587" t="s">
        <v>150</v>
      </c>
      <c r="D2180" s="589" t="s">
        <v>639</v>
      </c>
      <c r="E2180" s="589" t="s">
        <v>151</v>
      </c>
      <c r="F2180" s="589" t="s">
        <v>569</v>
      </c>
      <c r="G2180" s="589" t="s">
        <v>570</v>
      </c>
      <c r="H2180" s="589" t="s">
        <v>797</v>
      </c>
      <c r="I2180" s="674" t="s">
        <v>798</v>
      </c>
    </row>
    <row r="2181" spans="1:20" ht="14.25" thickTop="1" thickBot="1" x14ac:dyDescent="0.25">
      <c r="A2181" s="525">
        <v>1</v>
      </c>
      <c r="B2181" s="526">
        <v>2</v>
      </c>
      <c r="C2181" s="526">
        <v>3</v>
      </c>
      <c r="D2181" s="526">
        <v>4</v>
      </c>
      <c r="E2181" s="526">
        <v>5</v>
      </c>
      <c r="F2181" s="512">
        <v>6</v>
      </c>
      <c r="G2181" s="512">
        <v>7</v>
      </c>
      <c r="H2181" s="513">
        <v>8</v>
      </c>
      <c r="I2181" s="591" t="s">
        <v>689</v>
      </c>
    </row>
    <row r="2182" spans="1:20" ht="15.75" thickTop="1" x14ac:dyDescent="0.25">
      <c r="A2182" s="420">
        <v>1353</v>
      </c>
      <c r="B2182" s="617">
        <v>3233</v>
      </c>
      <c r="C2182" s="617">
        <v>5331</v>
      </c>
      <c r="D2182" s="675"/>
      <c r="E2182" s="664" t="s">
        <v>858</v>
      </c>
      <c r="F2182" s="676">
        <f>F2183+F2184+F2185</f>
        <v>704</v>
      </c>
      <c r="G2182" s="676">
        <f>G2183+G2184+G2185</f>
        <v>148</v>
      </c>
      <c r="H2182" s="676">
        <f>H2183+H2184+H2185</f>
        <v>148</v>
      </c>
      <c r="I2182" s="677">
        <v>100</v>
      </c>
    </row>
    <row r="2183" spans="1:20" ht="14.25" x14ac:dyDescent="0.2">
      <c r="A2183" s="420"/>
      <c r="B2183" s="617"/>
      <c r="C2183" s="617"/>
      <c r="D2183" s="636" t="s">
        <v>1811</v>
      </c>
      <c r="E2183" s="1162" t="s">
        <v>717</v>
      </c>
      <c r="F2183" s="683">
        <v>55</v>
      </c>
      <c r="G2183" s="683">
        <v>10</v>
      </c>
      <c r="H2183" s="683">
        <v>10</v>
      </c>
      <c r="I2183" s="679">
        <f t="shared" ref="I2183:I2194" si="271">(H2183/G2183)*100</f>
        <v>100</v>
      </c>
    </row>
    <row r="2184" spans="1:20" ht="14.25" x14ac:dyDescent="0.2">
      <c r="A2184" s="420"/>
      <c r="B2184" s="617"/>
      <c r="C2184" s="617"/>
      <c r="D2184" s="636" t="s">
        <v>1761</v>
      </c>
      <c r="E2184" s="1162" t="s">
        <v>753</v>
      </c>
      <c r="F2184" s="683"/>
      <c r="G2184" s="683">
        <v>30</v>
      </c>
      <c r="H2184" s="683">
        <v>30</v>
      </c>
      <c r="I2184" s="679">
        <f t="shared" si="271"/>
        <v>100</v>
      </c>
    </row>
    <row r="2185" spans="1:20" ht="14.25" x14ac:dyDescent="0.2">
      <c r="A2185" s="420"/>
      <c r="B2185" s="617"/>
      <c r="C2185" s="617"/>
      <c r="D2185" s="518" t="s">
        <v>1812</v>
      </c>
      <c r="E2185" s="442" t="s">
        <v>63</v>
      </c>
      <c r="F2185" s="683">
        <v>649</v>
      </c>
      <c r="G2185" s="683">
        <v>108</v>
      </c>
      <c r="H2185" s="683">
        <v>108</v>
      </c>
      <c r="I2185" s="679">
        <f t="shared" si="271"/>
        <v>100</v>
      </c>
    </row>
    <row r="2186" spans="1:20" ht="15" x14ac:dyDescent="0.25">
      <c r="A2186" s="420">
        <v>1353</v>
      </c>
      <c r="B2186" s="617">
        <v>3233</v>
      </c>
      <c r="C2186" s="617">
        <v>5336</v>
      </c>
      <c r="D2186" s="649"/>
      <c r="E2186" s="616" t="s">
        <v>1740</v>
      </c>
      <c r="F2186" s="683"/>
      <c r="G2186" s="705">
        <f>G2187+G2188+G2189+G2190+G2191</f>
        <v>7253</v>
      </c>
      <c r="H2186" s="705">
        <f>H2187+H2188+H2189+H2190+H2191</f>
        <v>7253</v>
      </c>
      <c r="I2186" s="707">
        <f t="shared" si="271"/>
        <v>100</v>
      </c>
    </row>
    <row r="2187" spans="1:20" ht="15" x14ac:dyDescent="0.2">
      <c r="A2187" s="420"/>
      <c r="B2187" s="617"/>
      <c r="C2187" s="617"/>
      <c r="D2187" s="887" t="s">
        <v>1808</v>
      </c>
      <c r="E2187" s="1676" t="s">
        <v>1739</v>
      </c>
      <c r="F2187" s="1964"/>
      <c r="G2187" s="1965">
        <v>131</v>
      </c>
      <c r="H2187" s="1965">
        <v>131</v>
      </c>
      <c r="I2187" s="368">
        <f t="shared" ref="I2187:I2189" si="272">(H2187/G2187)*100</f>
        <v>100</v>
      </c>
    </row>
    <row r="2188" spans="1:20" ht="15" x14ac:dyDescent="0.2">
      <c r="A2188" s="420"/>
      <c r="B2188" s="617"/>
      <c r="C2188" s="617"/>
      <c r="D2188" s="887" t="s">
        <v>1845</v>
      </c>
      <c r="E2188" s="1676" t="s">
        <v>1846</v>
      </c>
      <c r="F2188" s="1964"/>
      <c r="G2188" s="1965">
        <v>50</v>
      </c>
      <c r="H2188" s="1965">
        <v>50</v>
      </c>
      <c r="I2188" s="368">
        <f t="shared" si="272"/>
        <v>100</v>
      </c>
    </row>
    <row r="2189" spans="1:20" ht="28.5" x14ac:dyDescent="0.2">
      <c r="A2189" s="420"/>
      <c r="B2189" s="617"/>
      <c r="C2189" s="617"/>
      <c r="D2189" s="887" t="s">
        <v>1809</v>
      </c>
      <c r="E2189" s="2890" t="s">
        <v>1810</v>
      </c>
      <c r="F2189" s="1964"/>
      <c r="G2189" s="2031">
        <v>31</v>
      </c>
      <c r="H2189" s="2031">
        <v>31</v>
      </c>
      <c r="I2189" s="1234">
        <f t="shared" si="272"/>
        <v>100</v>
      </c>
    </row>
    <row r="2190" spans="1:20" ht="14.25" x14ac:dyDescent="0.2">
      <c r="A2190" s="420"/>
      <c r="B2190" s="617"/>
      <c r="C2190" s="617"/>
      <c r="D2190" s="649" t="s">
        <v>1848</v>
      </c>
      <c r="E2190" s="1201" t="s">
        <v>1752</v>
      </c>
      <c r="F2190" s="683"/>
      <c r="G2190" s="683">
        <v>223</v>
      </c>
      <c r="H2190" s="683">
        <v>223</v>
      </c>
      <c r="I2190" s="679">
        <f t="shared" ref="I2190" si="273">(H2190/G2190)*100</f>
        <v>100</v>
      </c>
    </row>
    <row r="2191" spans="1:20" ht="14.25" x14ac:dyDescent="0.2">
      <c r="A2191" s="420"/>
      <c r="B2191" s="617"/>
      <c r="C2191" s="617"/>
      <c r="D2191" s="518" t="s">
        <v>1807</v>
      </c>
      <c r="E2191" s="442" t="s">
        <v>716</v>
      </c>
      <c r="F2191" s="683"/>
      <c r="G2191" s="683">
        <v>6818</v>
      </c>
      <c r="H2191" s="683">
        <v>6818</v>
      </c>
      <c r="I2191" s="679">
        <f t="shared" si="271"/>
        <v>100</v>
      </c>
    </row>
    <row r="2192" spans="1:20" ht="15" x14ac:dyDescent="0.25">
      <c r="A2192" s="420">
        <v>1353</v>
      </c>
      <c r="B2192" s="617">
        <v>3792</v>
      </c>
      <c r="C2192" s="617">
        <v>5331</v>
      </c>
      <c r="D2192" s="675"/>
      <c r="E2192" s="664" t="s">
        <v>858</v>
      </c>
      <c r="F2192" s="683"/>
      <c r="G2192" s="705">
        <f>G2193</f>
        <v>13</v>
      </c>
      <c r="H2192" s="705">
        <f>H2193</f>
        <v>13</v>
      </c>
      <c r="I2192" s="707">
        <f t="shared" si="271"/>
        <v>100</v>
      </c>
    </row>
    <row r="2193" spans="1:20" ht="15" thickBot="1" x14ac:dyDescent="0.25">
      <c r="A2193" s="420"/>
      <c r="B2193" s="617"/>
      <c r="C2193" s="617"/>
      <c r="D2193" s="878" t="s">
        <v>1824</v>
      </c>
      <c r="E2193" s="956" t="s">
        <v>338</v>
      </c>
      <c r="F2193" s="683"/>
      <c r="G2193" s="683">
        <v>13</v>
      </c>
      <c r="H2193" s="683">
        <v>13</v>
      </c>
      <c r="I2193" s="679">
        <f t="shared" si="271"/>
        <v>100</v>
      </c>
    </row>
    <row r="2194" spans="1:20" s="106" customFormat="1" ht="16.5" thickTop="1" thickBot="1" x14ac:dyDescent="0.3">
      <c r="A2194" s="3110" t="s">
        <v>1000</v>
      </c>
      <c r="B2194" s="3111"/>
      <c r="C2194" s="3111"/>
      <c r="D2194" s="3111"/>
      <c r="E2194" s="3111"/>
      <c r="F2194" s="680">
        <f>F2182+F2186</f>
        <v>704</v>
      </c>
      <c r="G2194" s="680">
        <f>G2182+G2186+G2192</f>
        <v>7414</v>
      </c>
      <c r="H2194" s="680">
        <f>H2182+H2186+H2192</f>
        <v>7414</v>
      </c>
      <c r="I2194" s="681">
        <f t="shared" si="271"/>
        <v>100</v>
      </c>
      <c r="R2194" s="374">
        <f>F2194</f>
        <v>704</v>
      </c>
      <c r="S2194" s="374">
        <f>G2194</f>
        <v>7414</v>
      </c>
      <c r="T2194" s="374">
        <f>H2194</f>
        <v>7414</v>
      </c>
    </row>
    <row r="2195" spans="1:20" s="375" customFormat="1" ht="13.5" thickTop="1" x14ac:dyDescent="0.2">
      <c r="A2195" s="373"/>
      <c r="B2195" s="598"/>
      <c r="C2195" s="373"/>
      <c r="D2195" s="670"/>
      <c r="E2195" s="373"/>
      <c r="F2195" s="374"/>
      <c r="G2195" s="374"/>
      <c r="H2195" s="374"/>
      <c r="I2195" s="1125"/>
    </row>
    <row r="2196" spans="1:20" ht="13.5" thickBot="1" x14ac:dyDescent="0.25">
      <c r="A2196" s="421" t="s">
        <v>112</v>
      </c>
      <c r="I2196" s="1125" t="s">
        <v>148</v>
      </c>
    </row>
    <row r="2197" spans="1:20" ht="14.25" thickTop="1" thickBot="1" x14ac:dyDescent="0.25">
      <c r="A2197" s="586" t="s">
        <v>565</v>
      </c>
      <c r="B2197" s="658" t="s">
        <v>149</v>
      </c>
      <c r="C2197" s="587" t="s">
        <v>150</v>
      </c>
      <c r="D2197" s="589" t="s">
        <v>639</v>
      </c>
      <c r="E2197" s="589" t="s">
        <v>151</v>
      </c>
      <c r="F2197" s="589" t="s">
        <v>569</v>
      </c>
      <c r="G2197" s="589" t="s">
        <v>570</v>
      </c>
      <c r="H2197" s="589" t="s">
        <v>797</v>
      </c>
      <c r="I2197" s="674" t="s">
        <v>798</v>
      </c>
    </row>
    <row r="2198" spans="1:20" ht="14.25" thickTop="1" thickBot="1" x14ac:dyDescent="0.25">
      <c r="A2198" s="525">
        <v>1</v>
      </c>
      <c r="B2198" s="526">
        <v>2</v>
      </c>
      <c r="C2198" s="526">
        <v>3</v>
      </c>
      <c r="D2198" s="526">
        <v>4</v>
      </c>
      <c r="E2198" s="526">
        <v>5</v>
      </c>
      <c r="F2198" s="512">
        <v>6</v>
      </c>
      <c r="G2198" s="512">
        <v>7</v>
      </c>
      <c r="H2198" s="513">
        <v>8</v>
      </c>
      <c r="I2198" s="591" t="s">
        <v>689</v>
      </c>
    </row>
    <row r="2199" spans="1:20" ht="15.75" thickTop="1" x14ac:dyDescent="0.25">
      <c r="A2199" s="420">
        <v>1354</v>
      </c>
      <c r="B2199" s="617">
        <v>3233</v>
      </c>
      <c r="C2199" s="617">
        <v>5331</v>
      </c>
      <c r="D2199" s="675"/>
      <c r="E2199" s="664" t="s">
        <v>858</v>
      </c>
      <c r="F2199" s="676">
        <f>F2200+F2201</f>
        <v>469</v>
      </c>
      <c r="G2199" s="676">
        <f>G2200+G2201</f>
        <v>78</v>
      </c>
      <c r="H2199" s="676">
        <f>H2200+H2201</f>
        <v>78</v>
      </c>
      <c r="I2199" s="677">
        <v>100</v>
      </c>
    </row>
    <row r="2200" spans="1:20" ht="14.25" x14ac:dyDescent="0.2">
      <c r="A2200" s="420"/>
      <c r="B2200" s="617"/>
      <c r="C2200" s="617"/>
      <c r="D2200" s="636" t="s">
        <v>1811</v>
      </c>
      <c r="E2200" s="1162" t="s">
        <v>717</v>
      </c>
      <c r="F2200" s="683">
        <v>8</v>
      </c>
      <c r="G2200" s="683">
        <v>2</v>
      </c>
      <c r="H2200" s="683">
        <v>2</v>
      </c>
      <c r="I2200" s="679">
        <f>(H2200/G2200)*100</f>
        <v>100</v>
      </c>
    </row>
    <row r="2201" spans="1:20" ht="14.25" x14ac:dyDescent="0.2">
      <c r="A2201" s="420"/>
      <c r="B2201" s="617"/>
      <c r="C2201" s="617"/>
      <c r="D2201" s="518" t="s">
        <v>1812</v>
      </c>
      <c r="E2201" s="442" t="s">
        <v>63</v>
      </c>
      <c r="F2201" s="683">
        <v>461</v>
      </c>
      <c r="G2201" s="683">
        <v>76</v>
      </c>
      <c r="H2201" s="683">
        <v>76</v>
      </c>
      <c r="I2201" s="679">
        <f>(H2201/G2201)*100</f>
        <v>100</v>
      </c>
    </row>
    <row r="2202" spans="1:20" ht="15" x14ac:dyDescent="0.25">
      <c r="A2202" s="420">
        <v>1354</v>
      </c>
      <c r="B2202" s="617">
        <v>3233</v>
      </c>
      <c r="C2202" s="617">
        <v>5336</v>
      </c>
      <c r="D2202" s="887"/>
      <c r="E2202" s="616" t="s">
        <v>1740</v>
      </c>
      <c r="F2202" s="683"/>
      <c r="G2202" s="705">
        <f>G2203+G2204+G2205</f>
        <v>3706</v>
      </c>
      <c r="H2202" s="705">
        <f>H2203+H2204+H2205</f>
        <v>3706</v>
      </c>
      <c r="I2202" s="707">
        <f>(H2202/G2202)*100</f>
        <v>100</v>
      </c>
    </row>
    <row r="2203" spans="1:20" ht="15" x14ac:dyDescent="0.2">
      <c r="A2203" s="420"/>
      <c r="B2203" s="617"/>
      <c r="C2203" s="617"/>
      <c r="D2203" s="887" t="s">
        <v>1808</v>
      </c>
      <c r="E2203" s="1676" t="s">
        <v>1739</v>
      </c>
      <c r="F2203" s="1964"/>
      <c r="G2203" s="1965">
        <v>80</v>
      </c>
      <c r="H2203" s="1965">
        <v>80</v>
      </c>
      <c r="I2203" s="368">
        <f t="shared" ref="I2203:I2204" si="274">(H2203/G2203)*100</f>
        <v>100</v>
      </c>
    </row>
    <row r="2204" spans="1:20" ht="28.5" x14ac:dyDescent="0.2">
      <c r="A2204" s="420"/>
      <c r="B2204" s="617"/>
      <c r="C2204" s="617"/>
      <c r="D2204" s="887" t="s">
        <v>1809</v>
      </c>
      <c r="E2204" s="2890" t="s">
        <v>1810</v>
      </c>
      <c r="F2204" s="1964"/>
      <c r="G2204" s="2031">
        <v>16</v>
      </c>
      <c r="H2204" s="2031">
        <v>16</v>
      </c>
      <c r="I2204" s="1234">
        <f t="shared" si="274"/>
        <v>100</v>
      </c>
    </row>
    <row r="2205" spans="1:20" ht="15" thickBot="1" x14ac:dyDescent="0.25">
      <c r="A2205" s="420"/>
      <c r="B2205" s="617"/>
      <c r="C2205" s="1127"/>
      <c r="D2205" s="518" t="s">
        <v>1807</v>
      </c>
      <c r="E2205" s="442" t="s">
        <v>716</v>
      </c>
      <c r="F2205" s="683"/>
      <c r="G2205" s="683">
        <v>3610</v>
      </c>
      <c r="H2205" s="683">
        <v>3610</v>
      </c>
      <c r="I2205" s="679">
        <f>(H2205/G2205)*100</f>
        <v>100</v>
      </c>
    </row>
    <row r="2206" spans="1:20" s="106" customFormat="1" ht="16.5" thickTop="1" thickBot="1" x14ac:dyDescent="0.3">
      <c r="A2206" s="3110" t="s">
        <v>1000</v>
      </c>
      <c r="B2206" s="3111"/>
      <c r="C2206" s="3111"/>
      <c r="D2206" s="3111"/>
      <c r="E2206" s="3111"/>
      <c r="F2206" s="680">
        <f>F2199</f>
        <v>469</v>
      </c>
      <c r="G2206" s="680">
        <f>G2199+G2202</f>
        <v>3784</v>
      </c>
      <c r="H2206" s="680">
        <f>H2199+H2202</f>
        <v>3784</v>
      </c>
      <c r="I2206" s="681">
        <f>(H2206/G2206)*100</f>
        <v>100</v>
      </c>
      <c r="R2206" s="374">
        <f>F2206</f>
        <v>469</v>
      </c>
      <c r="S2206" s="374">
        <f>G2206</f>
        <v>3784</v>
      </c>
      <c r="T2206" s="374">
        <f>H2206</f>
        <v>3784</v>
      </c>
    </row>
    <row r="2207" spans="1:20" s="375" customFormat="1" ht="13.5" thickTop="1" x14ac:dyDescent="0.2">
      <c r="A2207" s="373"/>
      <c r="B2207" s="598"/>
      <c r="C2207" s="373"/>
      <c r="D2207" s="670"/>
      <c r="E2207" s="373"/>
      <c r="F2207" s="374"/>
      <c r="G2207" s="374"/>
      <c r="H2207" s="374"/>
      <c r="I2207" s="1125"/>
    </row>
    <row r="2208" spans="1:20" s="375" customFormat="1" x14ac:dyDescent="0.2">
      <c r="A2208" s="373"/>
      <c r="B2208" s="598"/>
      <c r="C2208" s="373"/>
      <c r="D2208" s="670"/>
      <c r="E2208" s="373"/>
      <c r="F2208" s="374"/>
      <c r="G2208" s="374"/>
      <c r="H2208" s="374"/>
      <c r="I2208" s="1125"/>
    </row>
    <row r="2209" spans="1:20" ht="13.5" thickBot="1" x14ac:dyDescent="0.25">
      <c r="A2209" s="421" t="s">
        <v>615</v>
      </c>
      <c r="I2209" s="1125" t="s">
        <v>148</v>
      </c>
    </row>
    <row r="2210" spans="1:20" ht="14.25" thickTop="1" thickBot="1" x14ac:dyDescent="0.25">
      <c r="A2210" s="586" t="s">
        <v>565</v>
      </c>
      <c r="B2210" s="658" t="s">
        <v>149</v>
      </c>
      <c r="C2210" s="587" t="s">
        <v>150</v>
      </c>
      <c r="D2210" s="589" t="s">
        <v>639</v>
      </c>
      <c r="E2210" s="589" t="s">
        <v>151</v>
      </c>
      <c r="F2210" s="589" t="s">
        <v>569</v>
      </c>
      <c r="G2210" s="589" t="s">
        <v>570</v>
      </c>
      <c r="H2210" s="589" t="s">
        <v>797</v>
      </c>
      <c r="I2210" s="674" t="s">
        <v>798</v>
      </c>
    </row>
    <row r="2211" spans="1:20" ht="14.25" thickTop="1" thickBot="1" x14ac:dyDescent="0.25">
      <c r="A2211" s="525">
        <v>1</v>
      </c>
      <c r="B2211" s="526">
        <v>2</v>
      </c>
      <c r="C2211" s="526">
        <v>3</v>
      </c>
      <c r="D2211" s="526">
        <v>4</v>
      </c>
      <c r="E2211" s="526">
        <v>5</v>
      </c>
      <c r="F2211" s="512">
        <v>6</v>
      </c>
      <c r="G2211" s="512">
        <v>7</v>
      </c>
      <c r="H2211" s="513">
        <v>8</v>
      </c>
      <c r="I2211" s="591" t="s">
        <v>689</v>
      </c>
    </row>
    <row r="2212" spans="1:20" ht="15.75" thickTop="1" x14ac:dyDescent="0.25">
      <c r="A2212" s="1136">
        <v>1400</v>
      </c>
      <c r="B2212" s="701">
        <v>3133</v>
      </c>
      <c r="C2212" s="701">
        <v>5331</v>
      </c>
      <c r="D2212" s="706"/>
      <c r="E2212" s="734" t="s">
        <v>858</v>
      </c>
      <c r="F2212" s="699">
        <f>F2213+F2214</f>
        <v>3629</v>
      </c>
      <c r="G2212" s="699">
        <f t="shared" ref="G2212:H2212" si="275">G2213+G2214</f>
        <v>606</v>
      </c>
      <c r="H2212" s="699">
        <f t="shared" si="275"/>
        <v>606</v>
      </c>
      <c r="I2212" s="703">
        <f>(H2212/G2212)*100</f>
        <v>100</v>
      </c>
    </row>
    <row r="2213" spans="1:20" ht="14.25" x14ac:dyDescent="0.2">
      <c r="A2213" s="420"/>
      <c r="B2213" s="617"/>
      <c r="C2213" s="617"/>
      <c r="D2213" s="636" t="s">
        <v>1811</v>
      </c>
      <c r="E2213" s="1162" t="s">
        <v>717</v>
      </c>
      <c r="F2213" s="683">
        <v>354</v>
      </c>
      <c r="G2213" s="683">
        <v>60</v>
      </c>
      <c r="H2213" s="683">
        <v>60</v>
      </c>
      <c r="I2213" s="893">
        <f t="shared" ref="I2213:I2214" si="276">(H2213/G2213)*100</f>
        <v>100</v>
      </c>
    </row>
    <row r="2214" spans="1:20" ht="14.25" x14ac:dyDescent="0.2">
      <c r="A2214" s="420"/>
      <c r="B2214" s="617"/>
      <c r="C2214" s="617"/>
      <c r="D2214" s="518" t="s">
        <v>1812</v>
      </c>
      <c r="E2214" s="442" t="s">
        <v>63</v>
      </c>
      <c r="F2214" s="683">
        <v>3275</v>
      </c>
      <c r="G2214" s="683">
        <v>546</v>
      </c>
      <c r="H2214" s="683">
        <v>546</v>
      </c>
      <c r="I2214" s="893">
        <f t="shared" si="276"/>
        <v>100</v>
      </c>
    </row>
    <row r="2215" spans="1:20" ht="15" x14ac:dyDescent="0.25">
      <c r="A2215" s="420">
        <v>1400</v>
      </c>
      <c r="B2215" s="617">
        <v>3133</v>
      </c>
      <c r="C2215" s="617">
        <v>5336</v>
      </c>
      <c r="D2215" s="887"/>
      <c r="E2215" s="616" t="s">
        <v>1740</v>
      </c>
      <c r="F2215" s="683"/>
      <c r="G2215" s="705">
        <f>G2216+G2217+G2218</f>
        <v>13269</v>
      </c>
      <c r="H2215" s="705">
        <f>H2216+H2217+H2218</f>
        <v>13269</v>
      </c>
      <c r="I2215" s="707">
        <f>(H2215/G2215)*100</f>
        <v>100</v>
      </c>
    </row>
    <row r="2216" spans="1:20" ht="15" x14ac:dyDescent="0.2">
      <c r="A2216" s="420"/>
      <c r="B2216" s="617"/>
      <c r="C2216" s="617"/>
      <c r="D2216" s="887" t="s">
        <v>1808</v>
      </c>
      <c r="E2216" s="1676" t="s">
        <v>1739</v>
      </c>
      <c r="F2216" s="1964"/>
      <c r="G2216" s="1965">
        <v>228</v>
      </c>
      <c r="H2216" s="1965">
        <v>228</v>
      </c>
      <c r="I2216" s="368">
        <f t="shared" ref="I2216:I2217" si="277">(H2216/G2216)*100</f>
        <v>100</v>
      </c>
    </row>
    <row r="2217" spans="1:20" ht="28.5" x14ac:dyDescent="0.2">
      <c r="A2217" s="420"/>
      <c r="B2217" s="617"/>
      <c r="C2217" s="617"/>
      <c r="D2217" s="887" t="s">
        <v>1809</v>
      </c>
      <c r="E2217" s="2890" t="s">
        <v>1810</v>
      </c>
      <c r="F2217" s="1964"/>
      <c r="G2217" s="2031">
        <v>65</v>
      </c>
      <c r="H2217" s="2031">
        <v>65</v>
      </c>
      <c r="I2217" s="1234">
        <f t="shared" si="277"/>
        <v>100</v>
      </c>
    </row>
    <row r="2218" spans="1:20" ht="14.25" x14ac:dyDescent="0.2">
      <c r="A2218" s="420"/>
      <c r="B2218" s="617"/>
      <c r="C2218" s="617"/>
      <c r="D2218" s="518" t="s">
        <v>1807</v>
      </c>
      <c r="E2218" s="442" t="s">
        <v>716</v>
      </c>
      <c r="F2218" s="683"/>
      <c r="G2218" s="683">
        <v>12976</v>
      </c>
      <c r="H2218" s="683">
        <v>12976</v>
      </c>
      <c r="I2218" s="679">
        <f>(H2218/G2218)*100</f>
        <v>100</v>
      </c>
    </row>
    <row r="2219" spans="1:20" ht="15" x14ac:dyDescent="0.25">
      <c r="A2219" s="420">
        <v>1400</v>
      </c>
      <c r="B2219" s="617">
        <v>3299</v>
      </c>
      <c r="C2219" s="617">
        <v>5331</v>
      </c>
      <c r="D2219" s="675"/>
      <c r="E2219" s="664" t="s">
        <v>858</v>
      </c>
      <c r="F2219" s="683"/>
      <c r="G2219" s="705">
        <f>G2220</f>
        <v>8</v>
      </c>
      <c r="H2219" s="705">
        <f>H2220</f>
        <v>8</v>
      </c>
      <c r="I2219" s="707">
        <f t="shared" ref="I2219:I2220" si="278">(H2219/G2219)*100</f>
        <v>100</v>
      </c>
    </row>
    <row r="2220" spans="1:20" ht="43.5" thickBot="1" x14ac:dyDescent="0.25">
      <c r="A2220" s="420"/>
      <c r="B2220" s="617"/>
      <c r="C2220" s="617"/>
      <c r="D2220" s="1087" t="s">
        <v>1831</v>
      </c>
      <c r="E2220" s="2889" t="s">
        <v>1832</v>
      </c>
      <c r="F2220" s="683"/>
      <c r="G2220" s="1067">
        <v>8</v>
      </c>
      <c r="H2220" s="1067">
        <v>8</v>
      </c>
      <c r="I2220" s="1063">
        <f t="shared" si="278"/>
        <v>100</v>
      </c>
    </row>
    <row r="2221" spans="1:20" ht="16.5" thickTop="1" thickBot="1" x14ac:dyDescent="0.3">
      <c r="A2221" s="3110" t="s">
        <v>1000</v>
      </c>
      <c r="B2221" s="3111"/>
      <c r="C2221" s="3111"/>
      <c r="D2221" s="3111"/>
      <c r="E2221" s="3111"/>
      <c r="F2221" s="680">
        <f>F2212</f>
        <v>3629</v>
      </c>
      <c r="G2221" s="680">
        <f>G2215+G2212+G2219</f>
        <v>13883</v>
      </c>
      <c r="H2221" s="680">
        <f>H2215+H2212+H2219</f>
        <v>13883</v>
      </c>
      <c r="I2221" s="681">
        <f>(H2221/G2221)*100</f>
        <v>100</v>
      </c>
      <c r="R2221" s="374">
        <f>F2221</f>
        <v>3629</v>
      </c>
      <c r="S2221" s="374">
        <f>G2221</f>
        <v>13883</v>
      </c>
      <c r="T2221" s="374">
        <f>H2221</f>
        <v>13883</v>
      </c>
    </row>
    <row r="2222" spans="1:20" ht="13.5" thickTop="1" x14ac:dyDescent="0.2"/>
    <row r="2224" spans="1:20" ht="13.5" thickBot="1" x14ac:dyDescent="0.25">
      <c r="A2224" s="421" t="s">
        <v>616</v>
      </c>
      <c r="B2224" s="754"/>
      <c r="C2224" s="421"/>
      <c r="D2224" s="1202"/>
      <c r="E2224" s="421"/>
      <c r="I2224" s="1125" t="s">
        <v>148</v>
      </c>
    </row>
    <row r="2225" spans="1:20" ht="14.25" thickTop="1" thickBot="1" x14ac:dyDescent="0.25">
      <c r="A2225" s="586" t="s">
        <v>565</v>
      </c>
      <c r="B2225" s="658" t="s">
        <v>149</v>
      </c>
      <c r="C2225" s="587" t="s">
        <v>150</v>
      </c>
      <c r="D2225" s="589" t="s">
        <v>639</v>
      </c>
      <c r="E2225" s="589" t="s">
        <v>151</v>
      </c>
      <c r="F2225" s="589" t="s">
        <v>569</v>
      </c>
      <c r="G2225" s="589" t="s">
        <v>570</v>
      </c>
      <c r="H2225" s="589" t="s">
        <v>797</v>
      </c>
      <c r="I2225" s="674" t="s">
        <v>798</v>
      </c>
    </row>
    <row r="2226" spans="1:20" ht="14.25" thickTop="1" thickBot="1" x14ac:dyDescent="0.25">
      <c r="A2226" s="525">
        <v>1</v>
      </c>
      <c r="B2226" s="526">
        <v>2</v>
      </c>
      <c r="C2226" s="526">
        <v>3</v>
      </c>
      <c r="D2226" s="526">
        <v>4</v>
      </c>
      <c r="E2226" s="526">
        <v>5</v>
      </c>
      <c r="F2226" s="512">
        <v>6</v>
      </c>
      <c r="G2226" s="512">
        <v>7</v>
      </c>
      <c r="H2226" s="513">
        <v>8</v>
      </c>
      <c r="I2226" s="591" t="s">
        <v>689</v>
      </c>
    </row>
    <row r="2227" spans="1:20" ht="15.75" thickTop="1" x14ac:dyDescent="0.25">
      <c r="A2227" s="420">
        <v>1401</v>
      </c>
      <c r="B2227" s="617">
        <v>3133</v>
      </c>
      <c r="C2227" s="617">
        <v>5331</v>
      </c>
      <c r="D2227" s="675"/>
      <c r="E2227" s="664" t="s">
        <v>858</v>
      </c>
      <c r="F2227" s="676">
        <f>SUM(F2228:F2233)</f>
        <v>1309</v>
      </c>
      <c r="G2227" s="676">
        <f>G2228+G2229</f>
        <v>220</v>
      </c>
      <c r="H2227" s="676">
        <f>H2228+H2229</f>
        <v>220</v>
      </c>
      <c r="I2227" s="677">
        <v>100</v>
      </c>
    </row>
    <row r="2228" spans="1:20" ht="14.25" x14ac:dyDescent="0.2">
      <c r="A2228" s="420"/>
      <c r="B2228" s="617"/>
      <c r="C2228" s="617"/>
      <c r="D2228" s="636" t="s">
        <v>1811</v>
      </c>
      <c r="E2228" s="1162" t="s">
        <v>717</v>
      </c>
      <c r="F2228" s="683">
        <v>211</v>
      </c>
      <c r="G2228" s="683">
        <v>36</v>
      </c>
      <c r="H2228" s="683">
        <v>36</v>
      </c>
      <c r="I2228" s="679">
        <f>(H2228/G2228)*100</f>
        <v>100</v>
      </c>
    </row>
    <row r="2229" spans="1:20" ht="14.25" x14ac:dyDescent="0.2">
      <c r="A2229" s="420"/>
      <c r="B2229" s="617"/>
      <c r="C2229" s="617"/>
      <c r="D2229" s="518" t="s">
        <v>1812</v>
      </c>
      <c r="E2229" s="442" t="s">
        <v>63</v>
      </c>
      <c r="F2229" s="683">
        <v>1098</v>
      </c>
      <c r="G2229" s="683">
        <v>184</v>
      </c>
      <c r="H2229" s="683">
        <v>184</v>
      </c>
      <c r="I2229" s="679">
        <f>(H2229/G2229)*100</f>
        <v>100</v>
      </c>
    </row>
    <row r="2230" spans="1:20" ht="15" x14ac:dyDescent="0.25">
      <c r="A2230" s="420">
        <v>1401</v>
      </c>
      <c r="B2230" s="617">
        <v>3133</v>
      </c>
      <c r="C2230" s="617">
        <v>5336</v>
      </c>
      <c r="D2230" s="887"/>
      <c r="E2230" s="616" t="s">
        <v>1740</v>
      </c>
      <c r="F2230" s="683"/>
      <c r="G2230" s="705">
        <f>G2231+G2232+G2233</f>
        <v>4541</v>
      </c>
      <c r="H2230" s="705">
        <f>H2231+H2232+H2233</f>
        <v>4541</v>
      </c>
      <c r="I2230" s="707">
        <f>(H2230/G2230)*100</f>
        <v>100</v>
      </c>
    </row>
    <row r="2231" spans="1:20" ht="15" x14ac:dyDescent="0.2">
      <c r="A2231" s="420"/>
      <c r="B2231" s="617"/>
      <c r="C2231" s="617"/>
      <c r="D2231" s="887" t="s">
        <v>1808</v>
      </c>
      <c r="E2231" s="1676" t="s">
        <v>1739</v>
      </c>
      <c r="F2231" s="1964"/>
      <c r="G2231" s="1965">
        <v>88</v>
      </c>
      <c r="H2231" s="1965">
        <v>88</v>
      </c>
      <c r="I2231" s="368">
        <f t="shared" ref="I2231:I2232" si="279">(H2231/G2231)*100</f>
        <v>100</v>
      </c>
    </row>
    <row r="2232" spans="1:20" ht="28.5" x14ac:dyDescent="0.2">
      <c r="A2232" s="420"/>
      <c r="B2232" s="617"/>
      <c r="C2232" s="617"/>
      <c r="D2232" s="887" t="s">
        <v>1809</v>
      </c>
      <c r="E2232" s="2890" t="s">
        <v>1810</v>
      </c>
      <c r="F2232" s="1964"/>
      <c r="G2232" s="2031">
        <v>23</v>
      </c>
      <c r="H2232" s="2031">
        <v>23</v>
      </c>
      <c r="I2232" s="1234">
        <f t="shared" si="279"/>
        <v>100</v>
      </c>
    </row>
    <row r="2233" spans="1:20" ht="15" thickBot="1" x14ac:dyDescent="0.25">
      <c r="A2233" s="420"/>
      <c r="B2233" s="617"/>
      <c r="C2233" s="1127"/>
      <c r="D2233" s="518" t="s">
        <v>1807</v>
      </c>
      <c r="E2233" s="442" t="s">
        <v>716</v>
      </c>
      <c r="F2233" s="683"/>
      <c r="G2233" s="683">
        <v>4430</v>
      </c>
      <c r="H2233" s="683">
        <v>4430</v>
      </c>
      <c r="I2233" s="679">
        <f>(H2233/G2233)*100</f>
        <v>100</v>
      </c>
    </row>
    <row r="2234" spans="1:20" ht="16.5" thickTop="1" thickBot="1" x14ac:dyDescent="0.3">
      <c r="A2234" s="3110" t="s">
        <v>1000</v>
      </c>
      <c r="B2234" s="3111"/>
      <c r="C2234" s="3111"/>
      <c r="D2234" s="3111"/>
      <c r="E2234" s="3111"/>
      <c r="F2234" s="680">
        <f>F2227</f>
        <v>1309</v>
      </c>
      <c r="G2234" s="680">
        <f>G2227+G2230</f>
        <v>4761</v>
      </c>
      <c r="H2234" s="680">
        <f>H2227+H2230</f>
        <v>4761</v>
      </c>
      <c r="I2234" s="681">
        <f>(H2234/G2234)*100</f>
        <v>100</v>
      </c>
      <c r="R2234" s="374">
        <f>F2234</f>
        <v>1309</v>
      </c>
      <c r="S2234" s="374">
        <f>G2234</f>
        <v>4761</v>
      </c>
      <c r="T2234" s="374">
        <f>H2234</f>
        <v>4761</v>
      </c>
    </row>
    <row r="2235" spans="1:20" ht="13.5" thickTop="1" x14ac:dyDescent="0.2"/>
    <row r="2237" spans="1:20" ht="13.5" thickBot="1" x14ac:dyDescent="0.25">
      <c r="A2237" s="421" t="s">
        <v>617</v>
      </c>
      <c r="I2237" s="1125" t="s">
        <v>148</v>
      </c>
    </row>
    <row r="2238" spans="1:20" ht="14.25" thickTop="1" thickBot="1" x14ac:dyDescent="0.25">
      <c r="A2238" s="586" t="s">
        <v>565</v>
      </c>
      <c r="B2238" s="658" t="s">
        <v>149</v>
      </c>
      <c r="C2238" s="587" t="s">
        <v>150</v>
      </c>
      <c r="D2238" s="589" t="s">
        <v>639</v>
      </c>
      <c r="E2238" s="589" t="s">
        <v>151</v>
      </c>
      <c r="F2238" s="589" t="s">
        <v>569</v>
      </c>
      <c r="G2238" s="589" t="s">
        <v>570</v>
      </c>
      <c r="H2238" s="589" t="s">
        <v>797</v>
      </c>
      <c r="I2238" s="674" t="s">
        <v>798</v>
      </c>
    </row>
    <row r="2239" spans="1:20" ht="14.25" thickTop="1" thickBot="1" x14ac:dyDescent="0.25">
      <c r="A2239" s="525">
        <v>1</v>
      </c>
      <c r="B2239" s="526">
        <v>2</v>
      </c>
      <c r="C2239" s="526">
        <v>3</v>
      </c>
      <c r="D2239" s="526">
        <v>4</v>
      </c>
      <c r="E2239" s="526">
        <v>5</v>
      </c>
      <c r="F2239" s="512">
        <v>6</v>
      </c>
      <c r="G2239" s="512">
        <v>7</v>
      </c>
      <c r="H2239" s="513">
        <v>8</v>
      </c>
      <c r="I2239" s="591" t="s">
        <v>689</v>
      </c>
    </row>
    <row r="2240" spans="1:20" ht="15.75" thickTop="1" x14ac:dyDescent="0.25">
      <c r="A2240" s="420">
        <v>1402</v>
      </c>
      <c r="B2240" s="617">
        <v>3133</v>
      </c>
      <c r="C2240" s="617">
        <v>5331</v>
      </c>
      <c r="D2240" s="675"/>
      <c r="E2240" s="664" t="s">
        <v>858</v>
      </c>
      <c r="F2240" s="676">
        <f>F2241+F2242</f>
        <v>1533</v>
      </c>
      <c r="G2240" s="676">
        <f>G2241+G2242</f>
        <v>254</v>
      </c>
      <c r="H2240" s="676">
        <f>H2241+H2242</f>
        <v>254</v>
      </c>
      <c r="I2240" s="677">
        <v>100</v>
      </c>
    </row>
    <row r="2241" spans="1:20" ht="14.25" x14ac:dyDescent="0.2">
      <c r="A2241" s="420"/>
      <c r="B2241" s="617"/>
      <c r="C2241" s="617"/>
      <c r="D2241" s="636" t="s">
        <v>1811</v>
      </c>
      <c r="E2241" s="1162" t="s">
        <v>717</v>
      </c>
      <c r="F2241" s="683">
        <v>29</v>
      </c>
      <c r="G2241" s="683">
        <v>4</v>
      </c>
      <c r="H2241" s="683">
        <v>4</v>
      </c>
      <c r="I2241" s="679">
        <f t="shared" ref="I2241:I2247" si="280">(H2241/G2241)*100</f>
        <v>100</v>
      </c>
    </row>
    <row r="2242" spans="1:20" ht="14.25" x14ac:dyDescent="0.2">
      <c r="A2242" s="420"/>
      <c r="B2242" s="617"/>
      <c r="C2242" s="617"/>
      <c r="D2242" s="518" t="s">
        <v>1812</v>
      </c>
      <c r="E2242" s="442" t="s">
        <v>63</v>
      </c>
      <c r="F2242" s="683">
        <v>1504</v>
      </c>
      <c r="G2242" s="683">
        <v>250</v>
      </c>
      <c r="H2242" s="683">
        <v>250</v>
      </c>
      <c r="I2242" s="679">
        <f t="shared" si="280"/>
        <v>100</v>
      </c>
    </row>
    <row r="2243" spans="1:20" ht="15" x14ac:dyDescent="0.25">
      <c r="A2243" s="420">
        <v>1402</v>
      </c>
      <c r="B2243" s="617">
        <v>3133</v>
      </c>
      <c r="C2243" s="695">
        <v>5336</v>
      </c>
      <c r="D2243" s="888"/>
      <c r="E2243" s="616" t="s">
        <v>1740</v>
      </c>
      <c r="F2243" s="683"/>
      <c r="G2243" s="705">
        <f>G2244+G2245+G2246</f>
        <v>6642</v>
      </c>
      <c r="H2243" s="705">
        <f>H2244+H2245+H2246</f>
        <v>6642</v>
      </c>
      <c r="I2243" s="707">
        <f t="shared" si="280"/>
        <v>100</v>
      </c>
    </row>
    <row r="2244" spans="1:20" ht="15" x14ac:dyDescent="0.2">
      <c r="A2244" s="420"/>
      <c r="B2244" s="617"/>
      <c r="C2244" s="695"/>
      <c r="D2244" s="887" t="s">
        <v>1808</v>
      </c>
      <c r="E2244" s="1676" t="s">
        <v>1739</v>
      </c>
      <c r="F2244" s="1964"/>
      <c r="G2244" s="1965">
        <v>119</v>
      </c>
      <c r="H2244" s="1965">
        <v>119</v>
      </c>
      <c r="I2244" s="368">
        <f t="shared" ref="I2244:I2245" si="281">(H2244/G2244)*100</f>
        <v>100</v>
      </c>
    </row>
    <row r="2245" spans="1:20" ht="28.5" x14ac:dyDescent="0.2">
      <c r="A2245" s="420"/>
      <c r="B2245" s="617"/>
      <c r="C2245" s="695"/>
      <c r="D2245" s="887" t="s">
        <v>1809</v>
      </c>
      <c r="E2245" s="2890" t="s">
        <v>1810</v>
      </c>
      <c r="F2245" s="1964"/>
      <c r="G2245" s="2031">
        <v>33</v>
      </c>
      <c r="H2245" s="2031">
        <v>33</v>
      </c>
      <c r="I2245" s="1234">
        <f t="shared" si="281"/>
        <v>100</v>
      </c>
    </row>
    <row r="2246" spans="1:20" ht="15" thickBot="1" x14ac:dyDescent="0.25">
      <c r="A2246" s="420"/>
      <c r="B2246" s="617"/>
      <c r="C2246" s="695"/>
      <c r="D2246" s="518" t="s">
        <v>1807</v>
      </c>
      <c r="E2246" s="442" t="s">
        <v>716</v>
      </c>
      <c r="F2246" s="683"/>
      <c r="G2246" s="683">
        <v>6490</v>
      </c>
      <c r="H2246" s="683">
        <v>6490</v>
      </c>
      <c r="I2246" s="679">
        <f>(H2246/G2246)*100</f>
        <v>100</v>
      </c>
    </row>
    <row r="2247" spans="1:20" ht="16.5" thickTop="1" thickBot="1" x14ac:dyDescent="0.3">
      <c r="A2247" s="3110" t="s">
        <v>1000</v>
      </c>
      <c r="B2247" s="3111"/>
      <c r="C2247" s="3111"/>
      <c r="D2247" s="3111"/>
      <c r="E2247" s="3111"/>
      <c r="F2247" s="680">
        <f>F2240</f>
        <v>1533</v>
      </c>
      <c r="G2247" s="680">
        <f>G2240+G2243</f>
        <v>6896</v>
      </c>
      <c r="H2247" s="680">
        <f>H2240+H2243</f>
        <v>6896</v>
      </c>
      <c r="I2247" s="681">
        <f t="shared" si="280"/>
        <v>100</v>
      </c>
      <c r="R2247" s="374">
        <f>F2247</f>
        <v>1533</v>
      </c>
      <c r="S2247" s="374">
        <f>G2247</f>
        <v>6896</v>
      </c>
      <c r="T2247" s="374">
        <f>H2247</f>
        <v>6896</v>
      </c>
    </row>
    <row r="2248" spans="1:20" ht="13.5" thickTop="1" x14ac:dyDescent="0.2"/>
    <row r="2250" spans="1:20" ht="13.5" thickBot="1" x14ac:dyDescent="0.25">
      <c r="A2250" s="421" t="s">
        <v>618</v>
      </c>
      <c r="I2250" s="1125" t="s">
        <v>148</v>
      </c>
    </row>
    <row r="2251" spans="1:20" ht="14.25" thickTop="1" thickBot="1" x14ac:dyDescent="0.25">
      <c r="A2251" s="586" t="s">
        <v>565</v>
      </c>
      <c r="B2251" s="658" t="s">
        <v>149</v>
      </c>
      <c r="C2251" s="587" t="s">
        <v>150</v>
      </c>
      <c r="D2251" s="589" t="s">
        <v>639</v>
      </c>
      <c r="E2251" s="589" t="s">
        <v>151</v>
      </c>
      <c r="F2251" s="589" t="s">
        <v>569</v>
      </c>
      <c r="G2251" s="589" t="s">
        <v>570</v>
      </c>
      <c r="H2251" s="589" t="s">
        <v>797</v>
      </c>
      <c r="I2251" s="674" t="s">
        <v>798</v>
      </c>
    </row>
    <row r="2252" spans="1:20" ht="14.25" thickTop="1" thickBot="1" x14ac:dyDescent="0.25">
      <c r="A2252" s="525">
        <v>1</v>
      </c>
      <c r="B2252" s="526">
        <v>2</v>
      </c>
      <c r="C2252" s="526">
        <v>3</v>
      </c>
      <c r="D2252" s="526">
        <v>4</v>
      </c>
      <c r="E2252" s="526">
        <v>5</v>
      </c>
      <c r="F2252" s="512">
        <v>6</v>
      </c>
      <c r="G2252" s="512">
        <v>7</v>
      </c>
      <c r="H2252" s="513">
        <v>8</v>
      </c>
      <c r="I2252" s="591" t="s">
        <v>689</v>
      </c>
    </row>
    <row r="2253" spans="1:20" ht="15.75" thickTop="1" x14ac:dyDescent="0.25">
      <c r="A2253" s="420">
        <v>1403</v>
      </c>
      <c r="B2253" s="617">
        <v>3133</v>
      </c>
      <c r="C2253" s="617">
        <v>5331</v>
      </c>
      <c r="D2253" s="675"/>
      <c r="E2253" s="664" t="s">
        <v>858</v>
      </c>
      <c r="F2253" s="676">
        <f>F2254+F2255</f>
        <v>1704</v>
      </c>
      <c r="G2253" s="676">
        <f>G2254+G2255</f>
        <v>282</v>
      </c>
      <c r="H2253" s="676">
        <f>H2254+H2255</f>
        <v>282</v>
      </c>
      <c r="I2253" s="677">
        <v>100</v>
      </c>
    </row>
    <row r="2254" spans="1:20" ht="14.25" x14ac:dyDescent="0.2">
      <c r="A2254" s="420"/>
      <c r="B2254" s="617"/>
      <c r="C2254" s="617"/>
      <c r="D2254" s="636" t="s">
        <v>1811</v>
      </c>
      <c r="E2254" s="1162" t="s">
        <v>717</v>
      </c>
      <c r="F2254" s="683">
        <v>79</v>
      </c>
      <c r="G2254" s="683">
        <v>12</v>
      </c>
      <c r="H2254" s="683">
        <v>12</v>
      </c>
      <c r="I2254" s="679">
        <f>(H2254/G2254)*100</f>
        <v>100</v>
      </c>
    </row>
    <row r="2255" spans="1:20" ht="14.25" x14ac:dyDescent="0.2">
      <c r="A2255" s="420"/>
      <c r="B2255" s="617"/>
      <c r="C2255" s="617"/>
      <c r="D2255" s="518" t="s">
        <v>1812</v>
      </c>
      <c r="E2255" s="442" t="s">
        <v>63</v>
      </c>
      <c r="F2255" s="683">
        <v>1625</v>
      </c>
      <c r="G2255" s="683">
        <v>270</v>
      </c>
      <c r="H2255" s="683">
        <v>270</v>
      </c>
      <c r="I2255" s="679">
        <f>(H2255/G2255)*100</f>
        <v>100</v>
      </c>
    </row>
    <row r="2256" spans="1:20" ht="15" x14ac:dyDescent="0.25">
      <c r="A2256" s="420">
        <v>1403</v>
      </c>
      <c r="B2256" s="617">
        <v>3133</v>
      </c>
      <c r="C2256" s="617">
        <v>5336</v>
      </c>
      <c r="D2256" s="887"/>
      <c r="E2256" s="616" t="s">
        <v>1740</v>
      </c>
      <c r="F2256" s="683"/>
      <c r="G2256" s="705">
        <f>G2257+G2258+G2259</f>
        <v>8847</v>
      </c>
      <c r="H2256" s="705">
        <f>H2257+H2258+H2259</f>
        <v>8847</v>
      </c>
      <c r="I2256" s="707">
        <f>(H2256/G2256)*100</f>
        <v>100</v>
      </c>
    </row>
    <row r="2257" spans="1:20" ht="15" x14ac:dyDescent="0.2">
      <c r="A2257" s="420"/>
      <c r="B2257" s="617"/>
      <c r="C2257" s="617"/>
      <c r="D2257" s="887" t="s">
        <v>1808</v>
      </c>
      <c r="E2257" s="1676" t="s">
        <v>1739</v>
      </c>
      <c r="F2257" s="1964"/>
      <c r="G2257" s="1965">
        <v>156</v>
      </c>
      <c r="H2257" s="1965">
        <v>156</v>
      </c>
      <c r="I2257" s="368">
        <f t="shared" ref="I2257:I2258" si="282">(H2257/G2257)*100</f>
        <v>100</v>
      </c>
    </row>
    <row r="2258" spans="1:20" ht="28.5" x14ac:dyDescent="0.2">
      <c r="A2258" s="420"/>
      <c r="B2258" s="617"/>
      <c r="C2258" s="617"/>
      <c r="D2258" s="887" t="s">
        <v>1809</v>
      </c>
      <c r="E2258" s="2890" t="s">
        <v>1810</v>
      </c>
      <c r="F2258" s="1964"/>
      <c r="G2258" s="2031">
        <v>44</v>
      </c>
      <c r="H2258" s="2031">
        <v>44</v>
      </c>
      <c r="I2258" s="1234">
        <f t="shared" si="282"/>
        <v>100</v>
      </c>
    </row>
    <row r="2259" spans="1:20" ht="15" thickBot="1" x14ac:dyDescent="0.25">
      <c r="A2259" s="420"/>
      <c r="B2259" s="617"/>
      <c r="C2259" s="1127"/>
      <c r="D2259" s="518" t="s">
        <v>1807</v>
      </c>
      <c r="E2259" s="442" t="s">
        <v>716</v>
      </c>
      <c r="F2259" s="683"/>
      <c r="G2259" s="683">
        <v>8647</v>
      </c>
      <c r="H2259" s="683">
        <v>8647</v>
      </c>
      <c r="I2259" s="679">
        <f>(H2259/G2259)*100</f>
        <v>100</v>
      </c>
    </row>
    <row r="2260" spans="1:20" ht="16.5" thickTop="1" thickBot="1" x14ac:dyDescent="0.3">
      <c r="A2260" s="3110" t="s">
        <v>1000</v>
      </c>
      <c r="B2260" s="3111"/>
      <c r="C2260" s="3111"/>
      <c r="D2260" s="3111"/>
      <c r="E2260" s="3111"/>
      <c r="F2260" s="680">
        <f>F2253</f>
        <v>1704</v>
      </c>
      <c r="G2260" s="680">
        <f>G2253+G2256</f>
        <v>9129</v>
      </c>
      <c r="H2260" s="680">
        <f>H2253+H2256</f>
        <v>9129</v>
      </c>
      <c r="I2260" s="681">
        <f>(H2260/G2260)*100</f>
        <v>100</v>
      </c>
      <c r="R2260" s="374">
        <f>F2260</f>
        <v>1704</v>
      </c>
      <c r="S2260" s="374">
        <f>G2260</f>
        <v>9129</v>
      </c>
      <c r="T2260" s="374">
        <f>H2260</f>
        <v>9129</v>
      </c>
    </row>
    <row r="2261" spans="1:20" ht="13.5" thickTop="1" x14ac:dyDescent="0.2"/>
    <row r="2265" spans="1:20" ht="13.5" thickBot="1" x14ac:dyDescent="0.25">
      <c r="A2265" s="421" t="s">
        <v>686</v>
      </c>
      <c r="I2265" s="1125" t="s">
        <v>148</v>
      </c>
    </row>
    <row r="2266" spans="1:20" ht="14.25" thickTop="1" thickBot="1" x14ac:dyDescent="0.25">
      <c r="A2266" s="586" t="s">
        <v>565</v>
      </c>
      <c r="B2266" s="658" t="s">
        <v>149</v>
      </c>
      <c r="C2266" s="587" t="s">
        <v>150</v>
      </c>
      <c r="D2266" s="589" t="s">
        <v>639</v>
      </c>
      <c r="E2266" s="589" t="s">
        <v>151</v>
      </c>
      <c r="F2266" s="589" t="s">
        <v>569</v>
      </c>
      <c r="G2266" s="589" t="s">
        <v>570</v>
      </c>
      <c r="H2266" s="589" t="s">
        <v>797</v>
      </c>
      <c r="I2266" s="674" t="s">
        <v>798</v>
      </c>
    </row>
    <row r="2267" spans="1:20" ht="14.25" thickTop="1" thickBot="1" x14ac:dyDescent="0.25">
      <c r="A2267" s="525">
        <v>1</v>
      </c>
      <c r="B2267" s="526">
        <v>2</v>
      </c>
      <c r="C2267" s="526">
        <v>3</v>
      </c>
      <c r="D2267" s="526">
        <v>4</v>
      </c>
      <c r="E2267" s="526">
        <v>5</v>
      </c>
      <c r="F2267" s="512">
        <v>6</v>
      </c>
      <c r="G2267" s="512">
        <v>7</v>
      </c>
      <c r="H2267" s="513">
        <v>8</v>
      </c>
      <c r="I2267" s="591" t="s">
        <v>689</v>
      </c>
    </row>
    <row r="2268" spans="1:20" ht="15.75" thickTop="1" x14ac:dyDescent="0.25">
      <c r="A2268" s="420">
        <v>1404</v>
      </c>
      <c r="B2268" s="617">
        <v>3133</v>
      </c>
      <c r="C2268" s="617">
        <v>5331</v>
      </c>
      <c r="D2268" s="675"/>
      <c r="E2268" s="664" t="s">
        <v>858</v>
      </c>
      <c r="F2268" s="676">
        <f>F2269+F2270</f>
        <v>1403</v>
      </c>
      <c r="G2268" s="676">
        <f>G2269+G2270</f>
        <v>234</v>
      </c>
      <c r="H2268" s="676">
        <f>H2269+H2270</f>
        <v>234</v>
      </c>
      <c r="I2268" s="677">
        <v>100</v>
      </c>
    </row>
    <row r="2269" spans="1:20" ht="14.25" x14ac:dyDescent="0.2">
      <c r="A2269" s="420"/>
      <c r="B2269" s="617"/>
      <c r="C2269" s="617"/>
      <c r="D2269" s="636" t="s">
        <v>1811</v>
      </c>
      <c r="E2269" s="1162" t="s">
        <v>717</v>
      </c>
      <c r="F2269" s="683">
        <v>193</v>
      </c>
      <c r="G2269" s="683">
        <v>32</v>
      </c>
      <c r="H2269" s="683">
        <v>32</v>
      </c>
      <c r="I2269" s="679">
        <f t="shared" ref="I2269:I2276" si="283">(H2269/G2269)*100</f>
        <v>100</v>
      </c>
    </row>
    <row r="2270" spans="1:20" ht="14.25" x14ac:dyDescent="0.2">
      <c r="A2270" s="420"/>
      <c r="B2270" s="617"/>
      <c r="C2270" s="617"/>
      <c r="D2270" s="518" t="s">
        <v>1812</v>
      </c>
      <c r="E2270" s="442" t="s">
        <v>63</v>
      </c>
      <c r="F2270" s="683">
        <v>1210</v>
      </c>
      <c r="G2270" s="683">
        <v>202</v>
      </c>
      <c r="H2270" s="683">
        <v>202</v>
      </c>
      <c r="I2270" s="679">
        <f t="shared" si="283"/>
        <v>100</v>
      </c>
    </row>
    <row r="2271" spans="1:20" ht="15" x14ac:dyDescent="0.25">
      <c r="A2271" s="420">
        <v>1404</v>
      </c>
      <c r="B2271" s="617">
        <v>3133</v>
      </c>
      <c r="C2271" s="617">
        <v>5336</v>
      </c>
      <c r="D2271" s="887"/>
      <c r="E2271" s="616" t="s">
        <v>1740</v>
      </c>
      <c r="F2271" s="683"/>
      <c r="G2271" s="705">
        <f>G2272+G2273+G2274</f>
        <v>6635</v>
      </c>
      <c r="H2271" s="705">
        <f>H2272+H2273+H2274</f>
        <v>6635</v>
      </c>
      <c r="I2271" s="707">
        <f t="shared" si="283"/>
        <v>100</v>
      </c>
    </row>
    <row r="2272" spans="1:20" ht="15" x14ac:dyDescent="0.2">
      <c r="A2272" s="420"/>
      <c r="B2272" s="617"/>
      <c r="C2272" s="617"/>
      <c r="D2272" s="887" t="s">
        <v>1808</v>
      </c>
      <c r="E2272" s="1676" t="s">
        <v>1739</v>
      </c>
      <c r="F2272" s="1964"/>
      <c r="G2272" s="1965">
        <v>112</v>
      </c>
      <c r="H2272" s="1965">
        <v>112</v>
      </c>
      <c r="I2272" s="368">
        <f t="shared" ref="I2272:I2273" si="284">(H2272/G2272)*100</f>
        <v>100</v>
      </c>
    </row>
    <row r="2273" spans="1:20" ht="28.5" x14ac:dyDescent="0.2">
      <c r="A2273" s="420"/>
      <c r="B2273" s="617"/>
      <c r="C2273" s="617"/>
      <c r="D2273" s="887" t="s">
        <v>1809</v>
      </c>
      <c r="E2273" s="2890" t="s">
        <v>1810</v>
      </c>
      <c r="F2273" s="1964"/>
      <c r="G2273" s="2031">
        <v>33</v>
      </c>
      <c r="H2273" s="2031">
        <v>33</v>
      </c>
      <c r="I2273" s="1234">
        <f t="shared" si="284"/>
        <v>100</v>
      </c>
    </row>
    <row r="2274" spans="1:20" ht="14.25" x14ac:dyDescent="0.2">
      <c r="A2274" s="420"/>
      <c r="B2274" s="617"/>
      <c r="C2274" s="1127"/>
      <c r="D2274" s="518" t="s">
        <v>1807</v>
      </c>
      <c r="E2274" s="442" t="s">
        <v>716</v>
      </c>
      <c r="F2274" s="683"/>
      <c r="G2274" s="683">
        <v>6490</v>
      </c>
      <c r="H2274" s="683">
        <v>6490</v>
      </c>
      <c r="I2274" s="679">
        <f t="shared" si="283"/>
        <v>100</v>
      </c>
    </row>
    <row r="2275" spans="1:20" ht="15" x14ac:dyDescent="0.25">
      <c r="A2275" s="420">
        <v>1404</v>
      </c>
      <c r="B2275" s="617">
        <v>4324</v>
      </c>
      <c r="C2275" s="1127">
        <v>5336</v>
      </c>
      <c r="D2275" s="518"/>
      <c r="E2275" s="616" t="s">
        <v>1740</v>
      </c>
      <c r="F2275" s="683"/>
      <c r="G2275" s="705">
        <f>G2276</f>
        <v>477</v>
      </c>
      <c r="H2275" s="705">
        <f>H2276</f>
        <v>477</v>
      </c>
      <c r="I2275" s="707">
        <f t="shared" si="283"/>
        <v>100</v>
      </c>
    </row>
    <row r="2276" spans="1:20" ht="14.25" x14ac:dyDescent="0.2">
      <c r="A2276" s="420"/>
      <c r="B2276" s="617"/>
      <c r="C2276" s="1127"/>
      <c r="D2276" s="518" t="s">
        <v>1784</v>
      </c>
      <c r="E2276" s="3115" t="s">
        <v>1599</v>
      </c>
      <c r="F2276" s="683"/>
      <c r="G2276" s="683">
        <v>477</v>
      </c>
      <c r="H2276" s="683">
        <v>477</v>
      </c>
      <c r="I2276" s="679">
        <f t="shared" si="283"/>
        <v>100</v>
      </c>
    </row>
    <row r="2277" spans="1:20" ht="15" thickBot="1" x14ac:dyDescent="0.25">
      <c r="A2277" s="420"/>
      <c r="B2277" s="617"/>
      <c r="C2277" s="1127"/>
      <c r="D2277" s="518"/>
      <c r="E2277" s="3115"/>
      <c r="F2277" s="683"/>
      <c r="G2277" s="683"/>
      <c r="H2277" s="683"/>
      <c r="I2277" s="679"/>
    </row>
    <row r="2278" spans="1:20" ht="16.5" thickTop="1" thickBot="1" x14ac:dyDescent="0.3">
      <c r="A2278" s="3110" t="s">
        <v>1000</v>
      </c>
      <c r="B2278" s="3111"/>
      <c r="C2278" s="3111"/>
      <c r="D2278" s="3111"/>
      <c r="E2278" s="3111"/>
      <c r="F2278" s="680">
        <f>F2268</f>
        <v>1403</v>
      </c>
      <c r="G2278" s="680">
        <f>G2268+G2271+G2275</f>
        <v>7346</v>
      </c>
      <c r="H2278" s="680">
        <f>H2268+H2271+H2275</f>
        <v>7346</v>
      </c>
      <c r="I2278" s="681">
        <f>(H2278/G2278)*100</f>
        <v>100</v>
      </c>
      <c r="R2278" s="374">
        <f>F2278</f>
        <v>1403</v>
      </c>
      <c r="S2278" s="374">
        <f>G2278</f>
        <v>7346</v>
      </c>
      <c r="T2278" s="374">
        <f>H2278</f>
        <v>7346</v>
      </c>
    </row>
    <row r="2279" spans="1:20" ht="13.5" thickTop="1" x14ac:dyDescent="0.2"/>
    <row r="2281" spans="1:20" ht="13.5" thickBot="1" x14ac:dyDescent="0.25">
      <c r="A2281" s="421" t="s">
        <v>813</v>
      </c>
      <c r="I2281" s="1125" t="s">
        <v>148</v>
      </c>
    </row>
    <row r="2282" spans="1:20" ht="14.25" thickTop="1" thickBot="1" x14ac:dyDescent="0.25">
      <c r="A2282" s="586" t="s">
        <v>565</v>
      </c>
      <c r="B2282" s="658" t="s">
        <v>149</v>
      </c>
      <c r="C2282" s="587" t="s">
        <v>150</v>
      </c>
      <c r="D2282" s="589" t="s">
        <v>639</v>
      </c>
      <c r="E2282" s="589" t="s">
        <v>151</v>
      </c>
      <c r="F2282" s="589" t="s">
        <v>569</v>
      </c>
      <c r="G2282" s="589" t="s">
        <v>570</v>
      </c>
      <c r="H2282" s="589" t="s">
        <v>797</v>
      </c>
      <c r="I2282" s="674" t="s">
        <v>798</v>
      </c>
    </row>
    <row r="2283" spans="1:20" ht="14.25" thickTop="1" thickBot="1" x14ac:dyDescent="0.25">
      <c r="A2283" s="525">
        <v>1</v>
      </c>
      <c r="B2283" s="526">
        <v>2</v>
      </c>
      <c r="C2283" s="526">
        <v>3</v>
      </c>
      <c r="D2283" s="526">
        <v>4</v>
      </c>
      <c r="E2283" s="526">
        <v>5</v>
      </c>
      <c r="F2283" s="512">
        <v>6</v>
      </c>
      <c r="G2283" s="512">
        <v>7</v>
      </c>
      <c r="H2283" s="513">
        <v>8</v>
      </c>
      <c r="I2283" s="591" t="s">
        <v>689</v>
      </c>
    </row>
    <row r="2284" spans="1:20" ht="15.75" thickTop="1" x14ac:dyDescent="0.25">
      <c r="A2284" s="420">
        <v>1405</v>
      </c>
      <c r="B2284" s="617">
        <v>3133</v>
      </c>
      <c r="C2284" s="617">
        <v>5331</v>
      </c>
      <c r="D2284" s="675"/>
      <c r="E2284" s="734" t="s">
        <v>858</v>
      </c>
      <c r="F2284" s="676">
        <f>F2285+F2286</f>
        <v>1539</v>
      </c>
      <c r="G2284" s="676">
        <f>G2285+G2286</f>
        <v>256</v>
      </c>
      <c r="H2284" s="676">
        <f>H2285+H2286</f>
        <v>256</v>
      </c>
      <c r="I2284" s="677">
        <f t="shared" ref="I2284:I2291" si="285">(H2284/G2284)*100</f>
        <v>100</v>
      </c>
    </row>
    <row r="2285" spans="1:20" ht="14.25" x14ac:dyDescent="0.2">
      <c r="A2285" s="420"/>
      <c r="B2285" s="617"/>
      <c r="C2285" s="617"/>
      <c r="D2285" s="636" t="s">
        <v>1811</v>
      </c>
      <c r="E2285" s="1162" t="s">
        <v>717</v>
      </c>
      <c r="F2285" s="683">
        <v>15</v>
      </c>
      <c r="G2285" s="683">
        <v>2</v>
      </c>
      <c r="H2285" s="683">
        <v>2</v>
      </c>
      <c r="I2285" s="679">
        <f t="shared" si="285"/>
        <v>100</v>
      </c>
    </row>
    <row r="2286" spans="1:20" ht="14.25" x14ac:dyDescent="0.2">
      <c r="A2286" s="420"/>
      <c r="B2286" s="617"/>
      <c r="C2286" s="617"/>
      <c r="D2286" s="518" t="s">
        <v>1812</v>
      </c>
      <c r="E2286" s="442" t="s">
        <v>63</v>
      </c>
      <c r="F2286" s="683">
        <v>1524</v>
      </c>
      <c r="G2286" s="683">
        <v>254</v>
      </c>
      <c r="H2286" s="683">
        <v>254</v>
      </c>
      <c r="I2286" s="679">
        <f t="shared" si="285"/>
        <v>100</v>
      </c>
    </row>
    <row r="2287" spans="1:20" ht="15" x14ac:dyDescent="0.25">
      <c r="A2287" s="420">
        <v>1405</v>
      </c>
      <c r="B2287" s="617">
        <v>3133</v>
      </c>
      <c r="C2287" s="617">
        <v>5336</v>
      </c>
      <c r="D2287" s="887"/>
      <c r="E2287" s="616" t="s">
        <v>1740</v>
      </c>
      <c r="F2287" s="683"/>
      <c r="G2287" s="705">
        <f>G2288+G2289+G2290</f>
        <v>6752</v>
      </c>
      <c r="H2287" s="705">
        <f>H2288+H2289+H2290</f>
        <v>6752</v>
      </c>
      <c r="I2287" s="707">
        <f t="shared" si="285"/>
        <v>100</v>
      </c>
    </row>
    <row r="2288" spans="1:20" ht="15" x14ac:dyDescent="0.2">
      <c r="A2288" s="420"/>
      <c r="B2288" s="617"/>
      <c r="C2288" s="617"/>
      <c r="D2288" s="887" t="s">
        <v>1808</v>
      </c>
      <c r="E2288" s="1676" t="s">
        <v>1739</v>
      </c>
      <c r="F2288" s="1964"/>
      <c r="G2288" s="1965">
        <v>130</v>
      </c>
      <c r="H2288" s="1965">
        <v>130</v>
      </c>
      <c r="I2288" s="368">
        <f t="shared" ref="I2288:I2289" si="286">(H2288/G2288)*100</f>
        <v>100</v>
      </c>
    </row>
    <row r="2289" spans="1:20" ht="28.5" x14ac:dyDescent="0.2">
      <c r="A2289" s="420"/>
      <c r="B2289" s="617"/>
      <c r="C2289" s="617"/>
      <c r="D2289" s="887" t="s">
        <v>1809</v>
      </c>
      <c r="E2289" s="2890" t="s">
        <v>1810</v>
      </c>
      <c r="F2289" s="1964"/>
      <c r="G2289" s="2031">
        <v>34</v>
      </c>
      <c r="H2289" s="2031">
        <v>34</v>
      </c>
      <c r="I2289" s="1234">
        <f t="shared" si="286"/>
        <v>100</v>
      </c>
    </row>
    <row r="2290" spans="1:20" ht="15" thickBot="1" x14ac:dyDescent="0.25">
      <c r="A2290" s="420"/>
      <c r="B2290" s="617"/>
      <c r="C2290" s="1127"/>
      <c r="D2290" s="518" t="s">
        <v>1807</v>
      </c>
      <c r="E2290" s="442" t="s">
        <v>716</v>
      </c>
      <c r="F2290" s="683"/>
      <c r="G2290" s="683">
        <v>6588</v>
      </c>
      <c r="H2290" s="683">
        <v>6588</v>
      </c>
      <c r="I2290" s="679">
        <f t="shared" si="285"/>
        <v>100</v>
      </c>
    </row>
    <row r="2291" spans="1:20" ht="16.5" thickTop="1" thickBot="1" x14ac:dyDescent="0.3">
      <c r="A2291" s="3110" t="s">
        <v>1000</v>
      </c>
      <c r="B2291" s="3111"/>
      <c r="C2291" s="3111"/>
      <c r="D2291" s="3111"/>
      <c r="E2291" s="3111"/>
      <c r="F2291" s="680">
        <f>F2284</f>
        <v>1539</v>
      </c>
      <c r="G2291" s="680">
        <f>G2284+G2287</f>
        <v>7008</v>
      </c>
      <c r="H2291" s="680">
        <f>H2284+H2287</f>
        <v>7008</v>
      </c>
      <c r="I2291" s="681">
        <f t="shared" si="285"/>
        <v>100</v>
      </c>
      <c r="R2291" s="374">
        <f>F2291</f>
        <v>1539</v>
      </c>
      <c r="S2291" s="374">
        <f>G2291</f>
        <v>7008</v>
      </c>
      <c r="T2291" s="374">
        <f>H2291</f>
        <v>7008</v>
      </c>
    </row>
    <row r="2292" spans="1:20" ht="15.75" thickTop="1" x14ac:dyDescent="0.25">
      <c r="A2292" s="361"/>
      <c r="B2292" s="361"/>
      <c r="C2292" s="361"/>
      <c r="D2292" s="361"/>
      <c r="E2292" s="361"/>
      <c r="F2292" s="178"/>
      <c r="G2292" s="178"/>
      <c r="H2292" s="178"/>
      <c r="I2292" s="207"/>
      <c r="R2292" s="374"/>
      <c r="S2292" s="374"/>
      <c r="T2292" s="374"/>
    </row>
    <row r="2293" spans="1:20" ht="13.5" thickBot="1" x14ac:dyDescent="0.25">
      <c r="A2293" s="421" t="s">
        <v>814</v>
      </c>
      <c r="I2293" s="1125" t="s">
        <v>148</v>
      </c>
      <c r="S2293" s="374"/>
    </row>
    <row r="2294" spans="1:20" ht="14.25" thickTop="1" thickBot="1" x14ac:dyDescent="0.25">
      <c r="A2294" s="586" t="s">
        <v>565</v>
      </c>
      <c r="B2294" s="658" t="s">
        <v>149</v>
      </c>
      <c r="C2294" s="587" t="s">
        <v>150</v>
      </c>
      <c r="D2294" s="589" t="s">
        <v>639</v>
      </c>
      <c r="E2294" s="589" t="s">
        <v>151</v>
      </c>
      <c r="F2294" s="589" t="s">
        <v>569</v>
      </c>
      <c r="G2294" s="589" t="s">
        <v>570</v>
      </c>
      <c r="H2294" s="589" t="s">
        <v>797</v>
      </c>
      <c r="I2294" s="674" t="s">
        <v>798</v>
      </c>
    </row>
    <row r="2295" spans="1:20" ht="14.25" thickTop="1" thickBot="1" x14ac:dyDescent="0.25">
      <c r="A2295" s="525">
        <v>1</v>
      </c>
      <c r="B2295" s="526">
        <v>2</v>
      </c>
      <c r="C2295" s="526">
        <v>3</v>
      </c>
      <c r="D2295" s="526">
        <v>4</v>
      </c>
      <c r="E2295" s="526">
        <v>5</v>
      </c>
      <c r="F2295" s="512">
        <v>6</v>
      </c>
      <c r="G2295" s="512">
        <v>7</v>
      </c>
      <c r="H2295" s="513">
        <v>8</v>
      </c>
      <c r="I2295" s="591" t="s">
        <v>689</v>
      </c>
    </row>
    <row r="2296" spans="1:20" ht="15.75" thickTop="1" x14ac:dyDescent="0.25">
      <c r="A2296" s="420">
        <v>1407</v>
      </c>
      <c r="B2296" s="617">
        <v>3133</v>
      </c>
      <c r="C2296" s="617">
        <v>5331</v>
      </c>
      <c r="D2296" s="675"/>
      <c r="E2296" s="734" t="s">
        <v>858</v>
      </c>
      <c r="F2296" s="676">
        <f>F2297+F2298</f>
        <v>1484</v>
      </c>
      <c r="G2296" s="676">
        <f>G2297+G2298</f>
        <v>248</v>
      </c>
      <c r="H2296" s="676">
        <f>H2297+H2298</f>
        <v>248</v>
      </c>
      <c r="I2296" s="677">
        <f t="shared" ref="I2296:I2303" si="287">(H2296/G2296)*100</f>
        <v>100</v>
      </c>
    </row>
    <row r="2297" spans="1:20" ht="14.25" x14ac:dyDescent="0.2">
      <c r="A2297" s="420"/>
      <c r="B2297" s="617"/>
      <c r="C2297" s="617"/>
      <c r="D2297" s="636" t="s">
        <v>1811</v>
      </c>
      <c r="E2297" s="1162" t="s">
        <v>717</v>
      </c>
      <c r="F2297" s="683">
        <v>60</v>
      </c>
      <c r="G2297" s="683">
        <v>10</v>
      </c>
      <c r="H2297" s="683">
        <v>10</v>
      </c>
      <c r="I2297" s="679">
        <f t="shared" si="287"/>
        <v>100</v>
      </c>
    </row>
    <row r="2298" spans="1:20" ht="14.25" x14ac:dyDescent="0.2">
      <c r="A2298" s="420"/>
      <c r="B2298" s="617"/>
      <c r="C2298" s="617"/>
      <c r="D2298" s="518" t="s">
        <v>1812</v>
      </c>
      <c r="E2298" s="442" t="s">
        <v>63</v>
      </c>
      <c r="F2298" s="683">
        <v>1424</v>
      </c>
      <c r="G2298" s="683">
        <v>238</v>
      </c>
      <c r="H2298" s="683">
        <v>238</v>
      </c>
      <c r="I2298" s="679">
        <f t="shared" si="287"/>
        <v>100</v>
      </c>
    </row>
    <row r="2299" spans="1:20" ht="15" x14ac:dyDescent="0.25">
      <c r="A2299" s="420">
        <v>1407</v>
      </c>
      <c r="B2299" s="617">
        <v>3133</v>
      </c>
      <c r="C2299" s="617">
        <v>5336</v>
      </c>
      <c r="D2299" s="887"/>
      <c r="E2299" s="616" t="s">
        <v>1740</v>
      </c>
      <c r="F2299" s="683"/>
      <c r="G2299" s="705">
        <f>G2300+G2301+G2302</f>
        <v>6645</v>
      </c>
      <c r="H2299" s="705">
        <f>H2300+H2301+H2302</f>
        <v>6645</v>
      </c>
      <c r="I2299" s="707">
        <f t="shared" si="287"/>
        <v>100</v>
      </c>
    </row>
    <row r="2300" spans="1:20" ht="15" x14ac:dyDescent="0.2">
      <c r="A2300" s="420"/>
      <c r="B2300" s="617"/>
      <c r="C2300" s="617"/>
      <c r="D2300" s="887" t="s">
        <v>1808</v>
      </c>
      <c r="E2300" s="1676" t="s">
        <v>1739</v>
      </c>
      <c r="F2300" s="1964"/>
      <c r="G2300" s="1965">
        <v>122</v>
      </c>
      <c r="H2300" s="1965">
        <v>122</v>
      </c>
      <c r="I2300" s="368">
        <f t="shared" ref="I2300:I2301" si="288">(H2300/G2300)*100</f>
        <v>100</v>
      </c>
    </row>
    <row r="2301" spans="1:20" ht="28.5" x14ac:dyDescent="0.2">
      <c r="A2301" s="420"/>
      <c r="B2301" s="617"/>
      <c r="C2301" s="617"/>
      <c r="D2301" s="887" t="s">
        <v>1809</v>
      </c>
      <c r="E2301" s="2890" t="s">
        <v>1810</v>
      </c>
      <c r="F2301" s="1964"/>
      <c r="G2301" s="2031">
        <v>33</v>
      </c>
      <c r="H2301" s="2031">
        <v>33</v>
      </c>
      <c r="I2301" s="1234">
        <f t="shared" si="288"/>
        <v>100</v>
      </c>
    </row>
    <row r="2302" spans="1:20" ht="15" thickBot="1" x14ac:dyDescent="0.25">
      <c r="A2302" s="420"/>
      <c r="B2302" s="617"/>
      <c r="C2302" s="617"/>
      <c r="D2302" s="518" t="s">
        <v>1807</v>
      </c>
      <c r="E2302" s="442" t="s">
        <v>716</v>
      </c>
      <c r="F2302" s="683"/>
      <c r="G2302" s="683">
        <v>6490</v>
      </c>
      <c r="H2302" s="683">
        <v>6490</v>
      </c>
      <c r="I2302" s="679">
        <f t="shared" si="287"/>
        <v>100</v>
      </c>
    </row>
    <row r="2303" spans="1:20" ht="16.5" thickTop="1" thickBot="1" x14ac:dyDescent="0.3">
      <c r="A2303" s="3110" t="s">
        <v>1000</v>
      </c>
      <c r="B2303" s="3111"/>
      <c r="C2303" s="3111"/>
      <c r="D2303" s="3111"/>
      <c r="E2303" s="3111"/>
      <c r="F2303" s="680">
        <f>SUM(F2296)</f>
        <v>1484</v>
      </c>
      <c r="G2303" s="680">
        <f>G2296+G2299</f>
        <v>6893</v>
      </c>
      <c r="H2303" s="680">
        <f>H2296+H2299</f>
        <v>6893</v>
      </c>
      <c r="I2303" s="681">
        <f t="shared" si="287"/>
        <v>100</v>
      </c>
      <c r="R2303" s="374">
        <f>F2303</f>
        <v>1484</v>
      </c>
      <c r="S2303" s="374">
        <f>G2303</f>
        <v>6893</v>
      </c>
      <c r="T2303" s="374">
        <f>H2303</f>
        <v>6893</v>
      </c>
    </row>
    <row r="2304" spans="1:20" ht="13.5" thickTop="1" x14ac:dyDescent="0.2"/>
    <row r="2306" spans="1:20" ht="13.5" thickBot="1" x14ac:dyDescent="0.25">
      <c r="A2306" s="421" t="s">
        <v>815</v>
      </c>
      <c r="I2306" s="1125" t="s">
        <v>148</v>
      </c>
    </row>
    <row r="2307" spans="1:20" ht="14.25" thickTop="1" thickBot="1" x14ac:dyDescent="0.25">
      <c r="A2307" s="586" t="s">
        <v>565</v>
      </c>
      <c r="B2307" s="658" t="s">
        <v>149</v>
      </c>
      <c r="C2307" s="587" t="s">
        <v>150</v>
      </c>
      <c r="D2307" s="589" t="s">
        <v>639</v>
      </c>
      <c r="E2307" s="589" t="s">
        <v>151</v>
      </c>
      <c r="F2307" s="589" t="s">
        <v>569</v>
      </c>
      <c r="G2307" s="589" t="s">
        <v>570</v>
      </c>
      <c r="H2307" s="589" t="s">
        <v>797</v>
      </c>
      <c r="I2307" s="674" t="s">
        <v>798</v>
      </c>
    </row>
    <row r="2308" spans="1:20" ht="14.25" thickTop="1" thickBot="1" x14ac:dyDescent="0.25">
      <c r="A2308" s="525">
        <v>1</v>
      </c>
      <c r="B2308" s="526">
        <v>2</v>
      </c>
      <c r="C2308" s="526">
        <v>3</v>
      </c>
      <c r="D2308" s="526">
        <v>4</v>
      </c>
      <c r="E2308" s="526">
        <v>5</v>
      </c>
      <c r="F2308" s="512">
        <v>6</v>
      </c>
      <c r="G2308" s="512">
        <v>7</v>
      </c>
      <c r="H2308" s="513">
        <v>8</v>
      </c>
      <c r="I2308" s="591" t="s">
        <v>689</v>
      </c>
    </row>
    <row r="2309" spans="1:20" ht="15.75" thickTop="1" x14ac:dyDescent="0.25">
      <c r="A2309" s="420">
        <v>1408</v>
      </c>
      <c r="B2309" s="617">
        <v>3133</v>
      </c>
      <c r="C2309" s="617">
        <v>5331</v>
      </c>
      <c r="D2309" s="675"/>
      <c r="E2309" s="664" t="s">
        <v>858</v>
      </c>
      <c r="F2309" s="676">
        <f>F2310</f>
        <v>1655</v>
      </c>
      <c r="G2309" s="676">
        <f t="shared" ref="G2309:H2309" si="289">G2310</f>
        <v>276</v>
      </c>
      <c r="H2309" s="676">
        <f t="shared" si="289"/>
        <v>276</v>
      </c>
      <c r="I2309" s="677">
        <v>100</v>
      </c>
    </row>
    <row r="2310" spans="1:20" ht="14.25" x14ac:dyDescent="0.2">
      <c r="A2310" s="420"/>
      <c r="B2310" s="617"/>
      <c r="C2310" s="617"/>
      <c r="D2310" s="518" t="s">
        <v>1812</v>
      </c>
      <c r="E2310" s="442" t="s">
        <v>63</v>
      </c>
      <c r="F2310" s="683">
        <v>1655</v>
      </c>
      <c r="G2310" s="683">
        <v>276</v>
      </c>
      <c r="H2310" s="683">
        <v>276</v>
      </c>
      <c r="I2310" s="679">
        <f>(H2310/G2310)*100</f>
        <v>100</v>
      </c>
    </row>
    <row r="2311" spans="1:20" ht="15" x14ac:dyDescent="0.25">
      <c r="A2311" s="420">
        <v>1408</v>
      </c>
      <c r="B2311" s="617">
        <v>3133</v>
      </c>
      <c r="C2311" s="617">
        <v>5336</v>
      </c>
      <c r="D2311" s="887"/>
      <c r="E2311" s="616" t="s">
        <v>1740</v>
      </c>
      <c r="F2311" s="683"/>
      <c r="G2311" s="705">
        <f>G2312+G2313+G2314</f>
        <v>8841</v>
      </c>
      <c r="H2311" s="705">
        <f>H2312+H2313+H2314</f>
        <v>8841</v>
      </c>
      <c r="I2311" s="707">
        <f>(H2311/G2311)*100</f>
        <v>100</v>
      </c>
    </row>
    <row r="2312" spans="1:20" ht="15" x14ac:dyDescent="0.2">
      <c r="A2312" s="420"/>
      <c r="B2312" s="617"/>
      <c r="C2312" s="617"/>
      <c r="D2312" s="887" t="s">
        <v>1808</v>
      </c>
      <c r="E2312" s="1676" t="s">
        <v>1739</v>
      </c>
      <c r="F2312" s="1964"/>
      <c r="G2312" s="1965">
        <v>145</v>
      </c>
      <c r="H2312" s="1965">
        <v>145</v>
      </c>
      <c r="I2312" s="368">
        <f t="shared" ref="I2312:I2313" si="290">(H2312/G2312)*100</f>
        <v>100</v>
      </c>
    </row>
    <row r="2313" spans="1:20" ht="28.5" x14ac:dyDescent="0.2">
      <c r="A2313" s="420"/>
      <c r="B2313" s="617"/>
      <c r="C2313" s="617"/>
      <c r="D2313" s="887" t="s">
        <v>1809</v>
      </c>
      <c r="E2313" s="2890" t="s">
        <v>1810</v>
      </c>
      <c r="F2313" s="1964"/>
      <c r="G2313" s="2031">
        <v>44</v>
      </c>
      <c r="H2313" s="2031">
        <v>44</v>
      </c>
      <c r="I2313" s="1234">
        <f t="shared" si="290"/>
        <v>100</v>
      </c>
    </row>
    <row r="2314" spans="1:20" ht="15" thickBot="1" x14ac:dyDescent="0.25">
      <c r="A2314" s="420"/>
      <c r="B2314" s="617"/>
      <c r="C2314" s="617"/>
      <c r="D2314" s="518" t="s">
        <v>1807</v>
      </c>
      <c r="E2314" s="442" t="s">
        <v>716</v>
      </c>
      <c r="F2314" s="683"/>
      <c r="G2314" s="683">
        <v>8652</v>
      </c>
      <c r="H2314" s="683">
        <v>8652</v>
      </c>
      <c r="I2314" s="679">
        <f>(H2314/G2314)*100</f>
        <v>100</v>
      </c>
    </row>
    <row r="2315" spans="1:20" ht="16.5" thickTop="1" thickBot="1" x14ac:dyDescent="0.3">
      <c r="A2315" s="3110" t="s">
        <v>1000</v>
      </c>
      <c r="B2315" s="3111"/>
      <c r="C2315" s="3111"/>
      <c r="D2315" s="3111"/>
      <c r="E2315" s="3111"/>
      <c r="F2315" s="680">
        <f>F2309</f>
        <v>1655</v>
      </c>
      <c r="G2315" s="680">
        <f>G2309+G2311</f>
        <v>9117</v>
      </c>
      <c r="H2315" s="680">
        <f>H2309+H2311</f>
        <v>9117</v>
      </c>
      <c r="I2315" s="681">
        <f>(H2315/G2315)*100</f>
        <v>100</v>
      </c>
      <c r="R2315" s="374">
        <f>F2315</f>
        <v>1655</v>
      </c>
      <c r="S2315" s="374">
        <f>G2315</f>
        <v>9117</v>
      </c>
      <c r="T2315" s="374">
        <f>H2315</f>
        <v>9117</v>
      </c>
    </row>
    <row r="2316" spans="1:20" ht="13.5" thickTop="1" x14ac:dyDescent="0.2"/>
    <row r="2317" spans="1:20" ht="13.5" thickBot="1" x14ac:dyDescent="0.25">
      <c r="A2317" s="421" t="s">
        <v>1292</v>
      </c>
      <c r="I2317" s="1125" t="s">
        <v>148</v>
      </c>
    </row>
    <row r="2318" spans="1:20" ht="14.25" thickTop="1" thickBot="1" x14ac:dyDescent="0.25">
      <c r="A2318" s="586" t="s">
        <v>565</v>
      </c>
      <c r="B2318" s="658" t="s">
        <v>149</v>
      </c>
      <c r="C2318" s="587" t="s">
        <v>150</v>
      </c>
      <c r="D2318" s="589" t="s">
        <v>639</v>
      </c>
      <c r="E2318" s="589" t="s">
        <v>151</v>
      </c>
      <c r="F2318" s="589" t="s">
        <v>569</v>
      </c>
      <c r="G2318" s="589" t="s">
        <v>570</v>
      </c>
      <c r="H2318" s="589" t="s">
        <v>797</v>
      </c>
      <c r="I2318" s="674" t="s">
        <v>798</v>
      </c>
    </row>
    <row r="2319" spans="1:20" ht="14.25" thickTop="1" thickBot="1" x14ac:dyDescent="0.25">
      <c r="A2319" s="525">
        <v>1</v>
      </c>
      <c r="B2319" s="526">
        <v>2</v>
      </c>
      <c r="C2319" s="526">
        <v>3</v>
      </c>
      <c r="D2319" s="526">
        <v>4</v>
      </c>
      <c r="E2319" s="526">
        <v>5</v>
      </c>
      <c r="F2319" s="512">
        <v>6</v>
      </c>
      <c r="G2319" s="512">
        <v>7</v>
      </c>
      <c r="H2319" s="513">
        <v>8</v>
      </c>
      <c r="I2319" s="591" t="s">
        <v>689</v>
      </c>
    </row>
    <row r="2320" spans="1:20" ht="15.75" thickTop="1" x14ac:dyDescent="0.25">
      <c r="A2320" s="420">
        <v>1420</v>
      </c>
      <c r="B2320" s="617">
        <v>3141</v>
      </c>
      <c r="C2320" s="617">
        <v>5331</v>
      </c>
      <c r="D2320" s="858"/>
      <c r="E2320" s="664" t="s">
        <v>858</v>
      </c>
      <c r="F2320" s="676">
        <f>F2321+F2322+F2323</f>
        <v>6077</v>
      </c>
      <c r="G2320" s="676">
        <f>G2321+G2322+G2323</f>
        <v>1014</v>
      </c>
      <c r="H2320" s="676">
        <f>H2321+H2322+H2323</f>
        <v>1014</v>
      </c>
      <c r="I2320" s="707">
        <f t="shared" ref="I2320:I2328" si="291">(H2320/G2320)*100</f>
        <v>100</v>
      </c>
    </row>
    <row r="2321" spans="1:20" ht="14.25" x14ac:dyDescent="0.2">
      <c r="A2321" s="420"/>
      <c r="B2321" s="617"/>
      <c r="C2321" s="617"/>
      <c r="D2321" s="636" t="s">
        <v>1811</v>
      </c>
      <c r="E2321" s="1162" t="s">
        <v>717</v>
      </c>
      <c r="F2321" s="683">
        <v>3577</v>
      </c>
      <c r="G2321" s="683">
        <v>596</v>
      </c>
      <c r="H2321" s="683">
        <v>596</v>
      </c>
      <c r="I2321" s="679">
        <f t="shared" si="291"/>
        <v>100</v>
      </c>
    </row>
    <row r="2322" spans="1:20" ht="14.25" x14ac:dyDescent="0.2">
      <c r="A2322" s="420"/>
      <c r="B2322" s="617"/>
      <c r="C2322" s="617"/>
      <c r="D2322" s="518" t="s">
        <v>1812</v>
      </c>
      <c r="E2322" s="442" t="s">
        <v>63</v>
      </c>
      <c r="F2322" s="683">
        <v>2372</v>
      </c>
      <c r="G2322" s="683">
        <v>396</v>
      </c>
      <c r="H2322" s="683">
        <v>396</v>
      </c>
      <c r="I2322" s="679">
        <f t="shared" si="291"/>
        <v>100</v>
      </c>
    </row>
    <row r="2323" spans="1:20" ht="14.25" x14ac:dyDescent="0.2">
      <c r="A2323" s="420"/>
      <c r="B2323" s="617"/>
      <c r="C2323" s="617"/>
      <c r="D2323" s="878" t="s">
        <v>1817</v>
      </c>
      <c r="E2323" s="1051" t="s">
        <v>1160</v>
      </c>
      <c r="F2323" s="1074">
        <v>128</v>
      </c>
      <c r="G2323" s="438">
        <v>22</v>
      </c>
      <c r="H2323" s="312">
        <v>22</v>
      </c>
      <c r="I2323" s="893">
        <f t="shared" si="291"/>
        <v>100</v>
      </c>
    </row>
    <row r="2324" spans="1:20" ht="15" x14ac:dyDescent="0.25">
      <c r="A2324" s="420">
        <v>1420</v>
      </c>
      <c r="B2324" s="617">
        <v>3141</v>
      </c>
      <c r="C2324" s="617">
        <v>5336</v>
      </c>
      <c r="D2324" s="518"/>
      <c r="E2324" s="616" t="s">
        <v>1740</v>
      </c>
      <c r="F2324" s="683"/>
      <c r="G2324" s="705">
        <f>G2325+G2327+G2326</f>
        <v>4837</v>
      </c>
      <c r="H2324" s="705">
        <f>H2325+H2327+H2326</f>
        <v>4837</v>
      </c>
      <c r="I2324" s="707">
        <f t="shared" si="291"/>
        <v>100</v>
      </c>
    </row>
    <row r="2325" spans="1:20" ht="15" x14ac:dyDescent="0.2">
      <c r="A2325" s="420"/>
      <c r="B2325" s="617"/>
      <c r="C2325" s="617"/>
      <c r="D2325" s="887" t="s">
        <v>1808</v>
      </c>
      <c r="E2325" s="1676" t="s">
        <v>1739</v>
      </c>
      <c r="F2325" s="1964"/>
      <c r="G2325" s="1965">
        <v>157</v>
      </c>
      <c r="H2325" s="1965">
        <v>157</v>
      </c>
      <c r="I2325" s="368">
        <f t="shared" si="291"/>
        <v>100</v>
      </c>
    </row>
    <row r="2326" spans="1:20" ht="28.5" x14ac:dyDescent="0.2">
      <c r="A2326" s="420"/>
      <c r="B2326" s="617"/>
      <c r="C2326" s="617"/>
      <c r="D2326" s="887" t="s">
        <v>1809</v>
      </c>
      <c r="E2326" s="2890" t="s">
        <v>1810</v>
      </c>
      <c r="F2326" s="1964"/>
      <c r="G2326" s="2031">
        <v>23</v>
      </c>
      <c r="H2326" s="2031">
        <v>23</v>
      </c>
      <c r="I2326" s="1234">
        <f t="shared" si="291"/>
        <v>100</v>
      </c>
    </row>
    <row r="2327" spans="1:20" ht="15" thickBot="1" x14ac:dyDescent="0.25">
      <c r="A2327" s="420"/>
      <c r="B2327" s="617"/>
      <c r="C2327" s="617"/>
      <c r="D2327" s="518" t="s">
        <v>1807</v>
      </c>
      <c r="E2327" s="442" t="s">
        <v>716</v>
      </c>
      <c r="F2327" s="683"/>
      <c r="G2327" s="683">
        <v>4657</v>
      </c>
      <c r="H2327" s="683">
        <v>4657</v>
      </c>
      <c r="I2327" s="679">
        <f t="shared" si="291"/>
        <v>100</v>
      </c>
    </row>
    <row r="2328" spans="1:20" ht="16.5" thickTop="1" thickBot="1" x14ac:dyDescent="0.3">
      <c r="A2328" s="3110" t="s">
        <v>1000</v>
      </c>
      <c r="B2328" s="3111"/>
      <c r="C2328" s="3111"/>
      <c r="D2328" s="3111"/>
      <c r="E2328" s="3111"/>
      <c r="F2328" s="680">
        <f>F2320</f>
        <v>6077</v>
      </c>
      <c r="G2328" s="680">
        <f>G2320+G2324</f>
        <v>5851</v>
      </c>
      <c r="H2328" s="680">
        <f>H2320+H2324</f>
        <v>5851</v>
      </c>
      <c r="I2328" s="681">
        <f t="shared" si="291"/>
        <v>100</v>
      </c>
      <c r="R2328" s="374">
        <f>F2328</f>
        <v>6077</v>
      </c>
      <c r="S2328" s="374">
        <f>G2328</f>
        <v>5851</v>
      </c>
      <c r="T2328" s="374">
        <f>H2328</f>
        <v>5851</v>
      </c>
    </row>
    <row r="2329" spans="1:20" ht="13.5" thickTop="1" x14ac:dyDescent="0.2"/>
    <row r="2336" spans="1:20" ht="13.5" thickBot="1" x14ac:dyDescent="0.25">
      <c r="A2336" s="421" t="s">
        <v>1013</v>
      </c>
      <c r="I2336" s="1125" t="s">
        <v>148</v>
      </c>
    </row>
    <row r="2337" spans="1:20" ht="14.25" thickTop="1" thickBot="1" x14ac:dyDescent="0.25">
      <c r="A2337" s="586" t="s">
        <v>565</v>
      </c>
      <c r="B2337" s="658" t="s">
        <v>149</v>
      </c>
      <c r="C2337" s="587" t="s">
        <v>150</v>
      </c>
      <c r="D2337" s="589" t="s">
        <v>639</v>
      </c>
      <c r="E2337" s="589" t="s">
        <v>151</v>
      </c>
      <c r="F2337" s="589" t="s">
        <v>569</v>
      </c>
      <c r="G2337" s="589" t="s">
        <v>570</v>
      </c>
      <c r="H2337" s="589" t="s">
        <v>797</v>
      </c>
      <c r="I2337" s="674" t="s">
        <v>798</v>
      </c>
    </row>
    <row r="2338" spans="1:20" ht="14.25" thickTop="1" thickBot="1" x14ac:dyDescent="0.25">
      <c r="A2338" s="525">
        <v>1</v>
      </c>
      <c r="B2338" s="526">
        <v>2</v>
      </c>
      <c r="C2338" s="526">
        <v>3</v>
      </c>
      <c r="D2338" s="526">
        <v>4</v>
      </c>
      <c r="E2338" s="526">
        <v>5</v>
      </c>
      <c r="F2338" s="512">
        <v>6</v>
      </c>
      <c r="G2338" s="512">
        <v>7</v>
      </c>
      <c r="H2338" s="513">
        <v>8</v>
      </c>
      <c r="I2338" s="591" t="s">
        <v>689</v>
      </c>
    </row>
    <row r="2339" spans="1:20" ht="15.75" thickTop="1" x14ac:dyDescent="0.25">
      <c r="A2339" s="1136">
        <v>1450</v>
      </c>
      <c r="B2339" s="701">
        <v>3146</v>
      </c>
      <c r="C2339" s="701">
        <v>5331</v>
      </c>
      <c r="D2339" s="706"/>
      <c r="E2339" s="734" t="s">
        <v>858</v>
      </c>
      <c r="F2339" s="699">
        <f>F2340+F2341</f>
        <v>3200</v>
      </c>
      <c r="G2339" s="699">
        <f>G2340+G2341</f>
        <v>532</v>
      </c>
      <c r="H2339" s="699">
        <f>H2340+H2341</f>
        <v>532</v>
      </c>
      <c r="I2339" s="703">
        <f t="shared" ref="I2339:I2350" si="292">(H2339/G2339)*100</f>
        <v>100</v>
      </c>
    </row>
    <row r="2340" spans="1:20" ht="14.25" x14ac:dyDescent="0.2">
      <c r="A2340" s="420"/>
      <c r="B2340" s="617"/>
      <c r="C2340" s="617"/>
      <c r="D2340" s="636" t="s">
        <v>1811</v>
      </c>
      <c r="E2340" s="1162" t="s">
        <v>717</v>
      </c>
      <c r="F2340" s="683">
        <v>41</v>
      </c>
      <c r="G2340" s="683">
        <v>6</v>
      </c>
      <c r="H2340" s="683">
        <v>6</v>
      </c>
      <c r="I2340" s="679">
        <f t="shared" si="292"/>
        <v>100</v>
      </c>
    </row>
    <row r="2341" spans="1:20" ht="14.25" x14ac:dyDescent="0.2">
      <c r="A2341" s="420"/>
      <c r="B2341" s="651"/>
      <c r="C2341" s="1128"/>
      <c r="D2341" s="518" t="s">
        <v>1812</v>
      </c>
      <c r="E2341" s="442" t="s">
        <v>63</v>
      </c>
      <c r="F2341" s="689">
        <v>3159</v>
      </c>
      <c r="G2341" s="689">
        <v>526</v>
      </c>
      <c r="H2341" s="689">
        <v>526</v>
      </c>
      <c r="I2341" s="684">
        <f t="shared" si="292"/>
        <v>100</v>
      </c>
    </row>
    <row r="2342" spans="1:20" ht="15" x14ac:dyDescent="0.25">
      <c r="A2342" s="420">
        <v>1450</v>
      </c>
      <c r="B2342" s="651">
        <v>3146</v>
      </c>
      <c r="C2342" s="1128">
        <v>5336</v>
      </c>
      <c r="D2342" s="887"/>
      <c r="E2342" s="616" t="s">
        <v>1740</v>
      </c>
      <c r="F2342" s="689"/>
      <c r="G2342" s="700">
        <f>G2343+G2344+G2345+G2346</f>
        <v>32453</v>
      </c>
      <c r="H2342" s="700">
        <f>H2343+H2344+H2345+H2346</f>
        <v>32453</v>
      </c>
      <c r="I2342" s="693">
        <f t="shared" si="292"/>
        <v>100</v>
      </c>
    </row>
    <row r="2343" spans="1:20" ht="14.25" x14ac:dyDescent="0.2">
      <c r="A2343" s="420"/>
      <c r="B2343" s="651"/>
      <c r="C2343" s="1128"/>
      <c r="D2343" s="887" t="s">
        <v>1816</v>
      </c>
      <c r="E2343" s="1676" t="s">
        <v>1598</v>
      </c>
      <c r="F2343" s="689"/>
      <c r="G2343" s="1965">
        <v>51</v>
      </c>
      <c r="H2343" s="1965">
        <v>51</v>
      </c>
      <c r="I2343" s="368">
        <f t="shared" si="292"/>
        <v>100</v>
      </c>
    </row>
    <row r="2344" spans="1:20" ht="15" x14ac:dyDescent="0.2">
      <c r="A2344" s="420"/>
      <c r="B2344" s="651"/>
      <c r="C2344" s="1128"/>
      <c r="D2344" s="887" t="s">
        <v>1808</v>
      </c>
      <c r="E2344" s="1676" t="s">
        <v>1739</v>
      </c>
      <c r="F2344" s="1964"/>
      <c r="G2344" s="1965">
        <v>883</v>
      </c>
      <c r="H2344" s="1965">
        <v>883</v>
      </c>
      <c r="I2344" s="368">
        <f t="shared" ref="I2344:I2345" si="293">(H2344/G2344)*100</f>
        <v>100</v>
      </c>
    </row>
    <row r="2345" spans="1:20" ht="28.5" x14ac:dyDescent="0.2">
      <c r="A2345" s="420"/>
      <c r="B2345" s="651"/>
      <c r="C2345" s="1128"/>
      <c r="D2345" s="887" t="s">
        <v>1809</v>
      </c>
      <c r="E2345" s="2890" t="s">
        <v>1810</v>
      </c>
      <c r="F2345" s="1964"/>
      <c r="G2345" s="2031">
        <v>158</v>
      </c>
      <c r="H2345" s="2031">
        <v>158</v>
      </c>
      <c r="I2345" s="1234">
        <f t="shared" si="293"/>
        <v>100</v>
      </c>
    </row>
    <row r="2346" spans="1:20" ht="14.25" x14ac:dyDescent="0.2">
      <c r="A2346" s="420"/>
      <c r="B2346" s="651"/>
      <c r="C2346" s="1128"/>
      <c r="D2346" s="518" t="s">
        <v>1807</v>
      </c>
      <c r="E2346" s="442" t="s">
        <v>716</v>
      </c>
      <c r="F2346" s="689"/>
      <c r="G2346" s="689">
        <v>31361</v>
      </c>
      <c r="H2346" s="689">
        <v>31361</v>
      </c>
      <c r="I2346" s="684">
        <f t="shared" si="292"/>
        <v>100</v>
      </c>
    </row>
    <row r="2347" spans="1:20" ht="15" x14ac:dyDescent="0.25">
      <c r="A2347" s="420">
        <v>1450</v>
      </c>
      <c r="B2347" s="651">
        <v>3541</v>
      </c>
      <c r="C2347" s="1128">
        <v>5331</v>
      </c>
      <c r="D2347" s="518"/>
      <c r="E2347" s="664" t="s">
        <v>858</v>
      </c>
      <c r="F2347" s="689"/>
      <c r="G2347" s="700">
        <v>150</v>
      </c>
      <c r="H2347" s="700">
        <v>150</v>
      </c>
      <c r="I2347" s="693">
        <f t="shared" si="292"/>
        <v>100</v>
      </c>
    </row>
    <row r="2348" spans="1:20" ht="14.25" x14ac:dyDescent="0.2">
      <c r="A2348" s="420"/>
      <c r="B2348" s="651"/>
      <c r="C2348" s="1128"/>
      <c r="D2348" s="878" t="s">
        <v>1761</v>
      </c>
      <c r="E2348" s="956" t="s">
        <v>806</v>
      </c>
      <c r="F2348" s="689"/>
      <c r="G2348" s="689">
        <v>150</v>
      </c>
      <c r="H2348" s="689">
        <v>150</v>
      </c>
      <c r="I2348" s="684">
        <f t="shared" si="292"/>
        <v>100</v>
      </c>
    </row>
    <row r="2349" spans="1:20" ht="15" x14ac:dyDescent="0.25">
      <c r="A2349" s="420">
        <v>1450</v>
      </c>
      <c r="B2349" s="617">
        <v>5399</v>
      </c>
      <c r="C2349" s="1128">
        <v>5336</v>
      </c>
      <c r="D2349" s="887"/>
      <c r="E2349" s="616" t="s">
        <v>1740</v>
      </c>
      <c r="F2349" s="690"/>
      <c r="G2349" s="700">
        <f>G2350</f>
        <v>142</v>
      </c>
      <c r="H2349" s="700">
        <f>H2350</f>
        <v>142</v>
      </c>
      <c r="I2349" s="707">
        <f t="shared" si="292"/>
        <v>100</v>
      </c>
    </row>
    <row r="2350" spans="1:20" ht="15" thickBot="1" x14ac:dyDescent="0.25">
      <c r="A2350" s="420"/>
      <c r="B2350" s="617"/>
      <c r="C2350" s="1127"/>
      <c r="D2350" s="1069" t="s">
        <v>1847</v>
      </c>
      <c r="E2350" s="1070" t="s">
        <v>198</v>
      </c>
      <c r="F2350" s="683"/>
      <c r="G2350" s="683">
        <v>142</v>
      </c>
      <c r="H2350" s="683">
        <v>142</v>
      </c>
      <c r="I2350" s="688">
        <f t="shared" si="292"/>
        <v>100</v>
      </c>
    </row>
    <row r="2351" spans="1:20" ht="16.5" thickTop="1" thickBot="1" x14ac:dyDescent="0.3">
      <c r="A2351" s="3110" t="s">
        <v>1000</v>
      </c>
      <c r="B2351" s="3111"/>
      <c r="C2351" s="3111"/>
      <c r="D2351" s="3111"/>
      <c r="E2351" s="3111"/>
      <c r="F2351" s="680">
        <f>F2339</f>
        <v>3200</v>
      </c>
      <c r="G2351" s="680">
        <f>G2339+G2342+G2347+G2349</f>
        <v>33277</v>
      </c>
      <c r="H2351" s="680">
        <f>H2339+H2342+H2347+H2349</f>
        <v>33277</v>
      </c>
      <c r="I2351" s="681">
        <f>(H2351/G2351)*100</f>
        <v>100</v>
      </c>
      <c r="R2351" s="374">
        <f>F2351</f>
        <v>3200</v>
      </c>
      <c r="S2351" s="374">
        <f>G2351</f>
        <v>33277</v>
      </c>
      <c r="T2351" s="374">
        <f>H2351</f>
        <v>33277</v>
      </c>
    </row>
    <row r="2352" spans="1:20" ht="15.75" thickTop="1" x14ac:dyDescent="0.25">
      <c r="A2352" s="361"/>
      <c r="B2352" s="361"/>
      <c r="C2352" s="361"/>
      <c r="D2352" s="361"/>
      <c r="E2352" s="361"/>
      <c r="F2352" s="178"/>
      <c r="G2352" s="178"/>
      <c r="H2352" s="178"/>
      <c r="I2352" s="207"/>
      <c r="R2352" s="374"/>
      <c r="S2352" s="374"/>
      <c r="T2352" s="374"/>
    </row>
    <row r="2353" spans="1:23" ht="13.5" thickBot="1" x14ac:dyDescent="0.25">
      <c r="A2353" s="421" t="s">
        <v>1293</v>
      </c>
      <c r="I2353" s="1125" t="s">
        <v>148</v>
      </c>
    </row>
    <row r="2354" spans="1:23" ht="14.25" thickTop="1" thickBot="1" x14ac:dyDescent="0.25">
      <c r="A2354" s="586" t="s">
        <v>565</v>
      </c>
      <c r="B2354" s="658" t="s">
        <v>149</v>
      </c>
      <c r="C2354" s="587" t="s">
        <v>150</v>
      </c>
      <c r="D2354" s="589" t="s">
        <v>639</v>
      </c>
      <c r="E2354" s="589" t="s">
        <v>151</v>
      </c>
      <c r="F2354" s="589" t="s">
        <v>569</v>
      </c>
      <c r="G2354" s="589" t="s">
        <v>570</v>
      </c>
      <c r="H2354" s="589" t="s">
        <v>797</v>
      </c>
      <c r="I2354" s="674" t="s">
        <v>798</v>
      </c>
    </row>
    <row r="2355" spans="1:23" ht="14.25" thickTop="1" thickBot="1" x14ac:dyDescent="0.25">
      <c r="A2355" s="525">
        <v>1</v>
      </c>
      <c r="B2355" s="526">
        <v>2</v>
      </c>
      <c r="C2355" s="526">
        <v>3</v>
      </c>
      <c r="D2355" s="526">
        <v>4</v>
      </c>
      <c r="E2355" s="526">
        <v>5</v>
      </c>
      <c r="F2355" s="512">
        <v>6</v>
      </c>
      <c r="G2355" s="512">
        <v>7</v>
      </c>
      <c r="H2355" s="513">
        <v>8</v>
      </c>
      <c r="I2355" s="591" t="s">
        <v>689</v>
      </c>
    </row>
    <row r="2356" spans="1:23" ht="15.75" thickTop="1" x14ac:dyDescent="0.25">
      <c r="A2356" s="1136">
        <v>1465</v>
      </c>
      <c r="B2356" s="701">
        <v>3294</v>
      </c>
      <c r="C2356" s="701">
        <v>5331</v>
      </c>
      <c r="D2356" s="706"/>
      <c r="E2356" s="734" t="s">
        <v>858</v>
      </c>
      <c r="F2356" s="699">
        <f>F2357+F2358</f>
        <v>1395</v>
      </c>
      <c r="G2356" s="699">
        <f t="shared" ref="G2356:H2356" si="294">G2357+G2358</f>
        <v>234</v>
      </c>
      <c r="H2356" s="699">
        <f t="shared" si="294"/>
        <v>234</v>
      </c>
      <c r="I2356" s="703">
        <f t="shared" ref="I2356:I2358" si="295">(H2356/G2356)*100</f>
        <v>100</v>
      </c>
    </row>
    <row r="2357" spans="1:23" ht="14.25" x14ac:dyDescent="0.2">
      <c r="A2357" s="420"/>
      <c r="B2357" s="617"/>
      <c r="C2357" s="617"/>
      <c r="D2357" s="636" t="s">
        <v>1811</v>
      </c>
      <c r="E2357" s="1162" t="s">
        <v>717</v>
      </c>
      <c r="F2357" s="352">
        <v>402</v>
      </c>
      <c r="G2357" s="352">
        <v>68</v>
      </c>
      <c r="H2357" s="352">
        <v>68</v>
      </c>
      <c r="I2357" s="679">
        <f t="shared" si="295"/>
        <v>100</v>
      </c>
    </row>
    <row r="2358" spans="1:23" ht="15" thickBot="1" x14ac:dyDescent="0.25">
      <c r="A2358" s="420"/>
      <c r="B2358" s="617"/>
      <c r="C2358" s="617"/>
      <c r="D2358" s="518" t="s">
        <v>1812</v>
      </c>
      <c r="E2358" s="442" t="s">
        <v>63</v>
      </c>
      <c r="F2358" s="683">
        <v>993</v>
      </c>
      <c r="G2358" s="683">
        <v>166</v>
      </c>
      <c r="H2358" s="683">
        <v>166</v>
      </c>
      <c r="I2358" s="679">
        <f t="shared" si="295"/>
        <v>100</v>
      </c>
    </row>
    <row r="2359" spans="1:23" ht="16.5" thickTop="1" thickBot="1" x14ac:dyDescent="0.3">
      <c r="A2359" s="3110" t="s">
        <v>1000</v>
      </c>
      <c r="B2359" s="3111"/>
      <c r="C2359" s="3111"/>
      <c r="D2359" s="3111"/>
      <c r="E2359" s="3111"/>
      <c r="F2359" s="680">
        <f>F2356</f>
        <v>1395</v>
      </c>
      <c r="G2359" s="680">
        <f>G2356</f>
        <v>234</v>
      </c>
      <c r="H2359" s="680">
        <f>H2356</f>
        <v>234</v>
      </c>
      <c r="I2359" s="681">
        <f>(H2359/G2359)*100</f>
        <v>100</v>
      </c>
      <c r="J2359" s="374">
        <f>F2359</f>
        <v>1395</v>
      </c>
      <c r="K2359" s="374" t="e">
        <f>G2359+#REF!</f>
        <v>#REF!</v>
      </c>
      <c r="L2359" s="374" t="e">
        <f>H2359+#REF!</f>
        <v>#REF!</v>
      </c>
      <c r="R2359" s="374">
        <f>F2359</f>
        <v>1395</v>
      </c>
      <c r="S2359" s="374">
        <f>G2359</f>
        <v>234</v>
      </c>
      <c r="T2359" s="374">
        <f>H2359</f>
        <v>234</v>
      </c>
      <c r="U2359" s="374"/>
      <c r="V2359" s="374"/>
      <c r="W2359" s="374"/>
    </row>
    <row r="2360" spans="1:23" ht="13.5" thickTop="1" x14ac:dyDescent="0.2">
      <c r="R2360" s="755">
        <f t="shared" ref="R2360:W2360" si="296">SUM(R25:R2359)</f>
        <v>356698</v>
      </c>
      <c r="S2360" s="755">
        <f t="shared" si="296"/>
        <v>2075237</v>
      </c>
      <c r="T2360" s="755">
        <f t="shared" si="296"/>
        <v>2075237</v>
      </c>
      <c r="U2360" s="755">
        <f t="shared" si="296"/>
        <v>0</v>
      </c>
      <c r="V2360" s="755">
        <f t="shared" si="296"/>
        <v>0</v>
      </c>
      <c r="W2360" s="755">
        <f t="shared" si="296"/>
        <v>0</v>
      </c>
    </row>
    <row r="2361" spans="1:23" x14ac:dyDescent="0.2">
      <c r="R2361" s="755"/>
      <c r="S2361" s="755"/>
      <c r="T2361" s="755"/>
      <c r="U2361" s="755"/>
      <c r="V2361" s="755"/>
      <c r="W2361" s="755"/>
    </row>
    <row r="2362" spans="1:23" ht="13.5" thickBot="1" x14ac:dyDescent="0.25">
      <c r="A2362" s="421" t="s">
        <v>924</v>
      </c>
      <c r="I2362" s="1125" t="s">
        <v>148</v>
      </c>
      <c r="R2362" s="755"/>
      <c r="S2362" s="755"/>
      <c r="T2362" s="755"/>
      <c r="U2362" s="755"/>
      <c r="V2362" s="755"/>
      <c r="W2362" s="755"/>
    </row>
    <row r="2363" spans="1:23" ht="14.25" thickTop="1" thickBot="1" x14ac:dyDescent="0.25">
      <c r="A2363" s="586" t="s">
        <v>565</v>
      </c>
      <c r="B2363" s="658" t="s">
        <v>149</v>
      </c>
      <c r="C2363" s="587" t="s">
        <v>150</v>
      </c>
      <c r="D2363" s="589" t="s">
        <v>639</v>
      </c>
      <c r="E2363" s="589" t="s">
        <v>151</v>
      </c>
      <c r="F2363" s="589" t="s">
        <v>569</v>
      </c>
      <c r="G2363" s="589" t="s">
        <v>570</v>
      </c>
      <c r="H2363" s="589" t="s">
        <v>797</v>
      </c>
      <c r="I2363" s="674" t="s">
        <v>798</v>
      </c>
      <c r="R2363" s="755">
        <f>R2360+U2360</f>
        <v>356698</v>
      </c>
      <c r="S2363" s="755">
        <f>S2360+V2360</f>
        <v>2075237</v>
      </c>
      <c r="T2363" s="755">
        <f>T2360+W2360</f>
        <v>2075237</v>
      </c>
      <c r="U2363" s="755"/>
      <c r="V2363" s="755" t="s">
        <v>1294</v>
      </c>
      <c r="W2363" s="755"/>
    </row>
    <row r="2364" spans="1:23" ht="14.25" thickTop="1" thickBot="1" x14ac:dyDescent="0.25">
      <c r="A2364" s="525">
        <v>1</v>
      </c>
      <c r="B2364" s="526">
        <v>2</v>
      </c>
      <c r="C2364" s="526">
        <v>3</v>
      </c>
      <c r="D2364" s="526">
        <v>4</v>
      </c>
      <c r="E2364" s="526">
        <v>5</v>
      </c>
      <c r="F2364" s="512">
        <v>6</v>
      </c>
      <c r="G2364" s="512">
        <v>7</v>
      </c>
      <c r="H2364" s="513">
        <v>8</v>
      </c>
      <c r="I2364" s="591" t="s">
        <v>689</v>
      </c>
      <c r="R2364" s="755"/>
      <c r="S2364" s="755"/>
      <c r="T2364" s="755"/>
      <c r="U2364" s="755"/>
      <c r="V2364" s="755"/>
      <c r="W2364" s="755"/>
    </row>
    <row r="2365" spans="1:23" ht="15.75" thickTop="1" x14ac:dyDescent="0.25">
      <c r="A2365" s="1126"/>
      <c r="B2365" s="152">
        <v>3299</v>
      </c>
      <c r="C2365" s="85">
        <v>5331</v>
      </c>
      <c r="D2365" s="888"/>
      <c r="E2365" s="876" t="s">
        <v>923</v>
      </c>
      <c r="F2365" s="71">
        <f>F2366+F2367+F2368+F2369</f>
        <v>8083</v>
      </c>
      <c r="G2365" s="71">
        <f>G2366+G2367+G2368+G2369</f>
        <v>6894</v>
      </c>
      <c r="H2365" s="676">
        <v>0</v>
      </c>
      <c r="I2365" s="677">
        <v>0</v>
      </c>
      <c r="R2365" s="755"/>
      <c r="S2365" s="755"/>
      <c r="T2365" s="755"/>
      <c r="U2365" s="755"/>
      <c r="V2365" s="755"/>
      <c r="W2365" s="755"/>
    </row>
    <row r="2366" spans="1:23" ht="15" x14ac:dyDescent="0.25">
      <c r="A2366" s="420"/>
      <c r="B2366" s="152"/>
      <c r="C2366" s="899"/>
      <c r="D2366" s="888" t="s">
        <v>1812</v>
      </c>
      <c r="E2366" s="1356" t="s">
        <v>22</v>
      </c>
      <c r="F2366" s="931">
        <v>433</v>
      </c>
      <c r="G2366" s="435">
        <v>0</v>
      </c>
      <c r="H2366" s="683">
        <v>0</v>
      </c>
      <c r="I2366" s="679">
        <v>0</v>
      </c>
      <c r="R2366" s="755"/>
      <c r="S2366" s="755"/>
      <c r="T2366" s="755"/>
      <c r="U2366" s="755"/>
      <c r="V2366" s="755"/>
      <c r="W2366" s="755"/>
    </row>
    <row r="2367" spans="1:23" ht="14.25" x14ac:dyDescent="0.2">
      <c r="A2367" s="420"/>
      <c r="B2367" s="152"/>
      <c r="C2367" s="905"/>
      <c r="D2367" s="888" t="s">
        <v>1840</v>
      </c>
      <c r="E2367" s="961" t="s">
        <v>838</v>
      </c>
      <c r="F2367" s="931">
        <v>5600</v>
      </c>
      <c r="G2367" s="435">
        <v>5591</v>
      </c>
      <c r="H2367" s="683">
        <v>0</v>
      </c>
      <c r="I2367" s="679">
        <v>0</v>
      </c>
      <c r="R2367" s="755"/>
      <c r="S2367" s="755"/>
      <c r="T2367" s="755"/>
      <c r="U2367" s="755"/>
      <c r="V2367" s="755"/>
      <c r="W2367" s="755"/>
    </row>
    <row r="2368" spans="1:23" ht="14.25" x14ac:dyDescent="0.2">
      <c r="A2368" s="420"/>
      <c r="B2368" s="152"/>
      <c r="C2368" s="19"/>
      <c r="D2368" s="878" t="s">
        <v>1837</v>
      </c>
      <c r="E2368" s="1983" t="s">
        <v>1644</v>
      </c>
      <c r="F2368" s="1074">
        <v>1700</v>
      </c>
      <c r="G2368" s="438">
        <v>1214</v>
      </c>
      <c r="H2368" s="312">
        <v>0</v>
      </c>
      <c r="I2368" s="893">
        <v>0</v>
      </c>
      <c r="R2368" s="755"/>
      <c r="S2368" s="755"/>
      <c r="T2368" s="755"/>
      <c r="U2368" s="755"/>
      <c r="V2368" s="755"/>
      <c r="W2368" s="755"/>
    </row>
    <row r="2369" spans="1:23" ht="42.75" x14ac:dyDescent="0.2">
      <c r="A2369" s="420"/>
      <c r="B2369" s="152"/>
      <c r="C2369" s="19"/>
      <c r="D2369" s="1087" t="s">
        <v>1831</v>
      </c>
      <c r="E2369" s="2889" t="s">
        <v>1832</v>
      </c>
      <c r="F2369" s="2891">
        <v>350</v>
      </c>
      <c r="G2369" s="2035">
        <v>89</v>
      </c>
      <c r="H2369" s="1089">
        <v>0</v>
      </c>
      <c r="I2369" s="1105">
        <v>0</v>
      </c>
      <c r="R2369" s="755"/>
      <c r="S2369" s="755"/>
      <c r="T2369" s="755"/>
      <c r="U2369" s="755"/>
      <c r="V2369" s="755"/>
      <c r="W2369" s="755"/>
    </row>
    <row r="2370" spans="1:23" ht="15" x14ac:dyDescent="0.25">
      <c r="A2370" s="420"/>
      <c r="B2370" s="19">
        <v>3792</v>
      </c>
      <c r="C2370" s="19">
        <v>5331</v>
      </c>
      <c r="D2370" s="888"/>
      <c r="E2370" s="876" t="s">
        <v>923</v>
      </c>
      <c r="F2370" s="71">
        <v>340</v>
      </c>
      <c r="G2370" s="309">
        <v>3</v>
      </c>
      <c r="H2370" s="705">
        <v>0</v>
      </c>
      <c r="I2370" s="707">
        <v>0</v>
      </c>
      <c r="R2370" s="755"/>
      <c r="S2370" s="755"/>
      <c r="T2370" s="755"/>
      <c r="U2370" s="755"/>
      <c r="V2370" s="755"/>
      <c r="W2370" s="755"/>
    </row>
    <row r="2371" spans="1:23" ht="15" thickBot="1" x14ac:dyDescent="0.25">
      <c r="A2371" s="1129"/>
      <c r="B2371" s="901"/>
      <c r="C2371" s="905"/>
      <c r="D2371" s="518" t="s">
        <v>1824</v>
      </c>
      <c r="E2371" s="444" t="s">
        <v>1010</v>
      </c>
      <c r="F2371" s="931">
        <v>340</v>
      </c>
      <c r="G2371" s="435">
        <v>3</v>
      </c>
      <c r="H2371" s="683">
        <v>0</v>
      </c>
      <c r="I2371" s="679">
        <v>0</v>
      </c>
      <c r="R2371" s="755"/>
      <c r="S2371" s="755"/>
      <c r="T2371" s="755"/>
      <c r="U2371" s="755"/>
      <c r="V2371" s="755"/>
      <c r="W2371" s="755"/>
    </row>
    <row r="2372" spans="1:23" ht="16.5" thickTop="1" thickBot="1" x14ac:dyDescent="0.3">
      <c r="A2372" s="1978" t="s">
        <v>1000</v>
      </c>
      <c r="B2372" s="1144"/>
      <c r="C2372" s="1144"/>
      <c r="D2372" s="1144"/>
      <c r="E2372" s="1145"/>
      <c r="F2372" s="680">
        <f>F2365+F2370</f>
        <v>8423</v>
      </c>
      <c r="G2372" s="680">
        <f>G2365+G2370</f>
        <v>6897</v>
      </c>
      <c r="H2372" s="680">
        <f>H2365</f>
        <v>0</v>
      </c>
      <c r="I2372" s="681">
        <v>0</v>
      </c>
      <c r="R2372" s="755">
        <f>F2372</f>
        <v>8423</v>
      </c>
      <c r="S2372" s="755">
        <f>G2372</f>
        <v>6897</v>
      </c>
      <c r="T2372" s="755">
        <f>H2372</f>
        <v>0</v>
      </c>
      <c r="U2372" s="755"/>
      <c r="V2372" s="755" t="s">
        <v>1089</v>
      </c>
      <c r="W2372" s="755"/>
    </row>
    <row r="2373" spans="1:23" ht="13.5" thickTop="1" x14ac:dyDescent="0.2">
      <c r="A2373" s="864"/>
      <c r="B2373" s="864"/>
      <c r="C2373" s="864"/>
      <c r="D2373" s="864"/>
      <c r="E2373" s="864"/>
      <c r="F2373" s="1086"/>
      <c r="G2373" s="1086"/>
      <c r="H2373" s="1086"/>
      <c r="I2373" s="1086"/>
      <c r="R2373" s="755">
        <f>R2363+R2372</f>
        <v>365121</v>
      </c>
      <c r="S2373" s="755">
        <f>S2363+S2372</f>
        <v>2082134</v>
      </c>
      <c r="T2373" s="755">
        <f>T2363+T2372</f>
        <v>2075237</v>
      </c>
      <c r="V2373" s="421" t="s">
        <v>1295</v>
      </c>
    </row>
    <row r="2374" spans="1:23" ht="15" x14ac:dyDescent="0.25">
      <c r="A2374" s="1131"/>
      <c r="B2374" s="905"/>
      <c r="C2374" s="85"/>
      <c r="D2374" s="878"/>
      <c r="E2374" s="876"/>
      <c r="F2374" s="93"/>
      <c r="G2374" s="93"/>
      <c r="H2374" s="178"/>
      <c r="I2374" s="207"/>
    </row>
    <row r="2375" spans="1:23" ht="14.25" x14ac:dyDescent="0.2">
      <c r="A2375" s="1131"/>
      <c r="B2375" s="905"/>
      <c r="C2375" s="85"/>
      <c r="D2375" s="878"/>
      <c r="E2375" s="85"/>
      <c r="F2375" s="1074"/>
      <c r="G2375" s="435"/>
      <c r="H2375" s="696"/>
      <c r="I2375" s="739"/>
      <c r="R2375" s="374"/>
      <c r="S2375" s="374"/>
      <c r="T2375" s="374"/>
    </row>
    <row r="2376" spans="1:23" ht="14.25" x14ac:dyDescent="0.2">
      <c r="A2376" s="1131"/>
      <c r="B2376" s="905"/>
      <c r="C2376" s="85"/>
      <c r="D2376" s="878"/>
      <c r="E2376" s="883"/>
      <c r="F2376" s="1074"/>
      <c r="G2376" s="435"/>
      <c r="H2376" s="696"/>
      <c r="I2376" s="739"/>
      <c r="R2376" s="1131"/>
      <c r="S2376" s="1131"/>
      <c r="T2376" s="1131"/>
    </row>
    <row r="2377" spans="1:23" ht="15" x14ac:dyDescent="0.25">
      <c r="A2377" s="1131"/>
      <c r="B2377" s="905"/>
      <c r="C2377" s="899"/>
      <c r="D2377" s="878"/>
      <c r="E2377" s="85"/>
      <c r="F2377" s="1074"/>
      <c r="G2377" s="435"/>
      <c r="H2377" s="696"/>
      <c r="I2377" s="739"/>
    </row>
    <row r="2378" spans="1:23" ht="15" x14ac:dyDescent="0.25">
      <c r="A2378" s="1131"/>
      <c r="B2378" s="905"/>
      <c r="C2378" s="899"/>
      <c r="D2378" s="878"/>
      <c r="E2378" s="85"/>
      <c r="F2378" s="1074"/>
      <c r="G2378" s="435"/>
      <c r="H2378" s="696"/>
      <c r="I2378" s="739"/>
      <c r="R2378" s="374"/>
      <c r="S2378" s="374"/>
      <c r="T2378" s="374"/>
    </row>
    <row r="2379" spans="1:23" ht="14.25" x14ac:dyDescent="0.2">
      <c r="A2379" s="1131"/>
      <c r="B2379" s="905"/>
      <c r="C2379" s="905"/>
      <c r="D2379" s="878"/>
      <c r="E2379" s="882"/>
      <c r="F2379" s="1074"/>
      <c r="G2379" s="435"/>
      <c r="H2379" s="696"/>
      <c r="I2379" s="739"/>
    </row>
    <row r="2380" spans="1:23" ht="14.25" x14ac:dyDescent="0.2">
      <c r="A2380" s="1131"/>
      <c r="B2380" s="905"/>
      <c r="C2380" s="905"/>
      <c r="D2380" s="878"/>
      <c r="E2380" s="882"/>
      <c r="F2380" s="1074"/>
      <c r="G2380" s="435"/>
      <c r="H2380" s="696"/>
      <c r="I2380" s="739"/>
      <c r="T2380" s="374">
        <f>'10'!G304-'10 - PO'!T2363</f>
        <v>3</v>
      </c>
    </row>
    <row r="2381" spans="1:23" ht="14.25" x14ac:dyDescent="0.2">
      <c r="A2381" s="1131"/>
      <c r="B2381" s="905"/>
      <c r="C2381" s="905"/>
      <c r="D2381" s="878"/>
      <c r="E2381" s="882"/>
      <c r="F2381" s="1074"/>
      <c r="G2381" s="435"/>
      <c r="H2381" s="696"/>
      <c r="I2381" s="739"/>
    </row>
    <row r="2382" spans="1:23" ht="14.25" x14ac:dyDescent="0.2">
      <c r="A2382" s="1131"/>
      <c r="B2382" s="905"/>
      <c r="C2382" s="905"/>
      <c r="D2382" s="1087"/>
      <c r="E2382" s="972"/>
      <c r="F2382" s="1074"/>
      <c r="G2382" s="435"/>
      <c r="H2382" s="696"/>
      <c r="I2382" s="739"/>
    </row>
    <row r="2383" spans="1:23" ht="14.25" x14ac:dyDescent="0.2">
      <c r="A2383" s="1131"/>
      <c r="B2383" s="905"/>
      <c r="C2383" s="905"/>
      <c r="D2383" s="1087"/>
      <c r="E2383" s="1046"/>
      <c r="F2383" s="1074"/>
      <c r="G2383" s="435"/>
      <c r="H2383" s="696"/>
      <c r="I2383" s="739"/>
    </row>
    <row r="2384" spans="1:23" ht="15" x14ac:dyDescent="0.25">
      <c r="A2384" s="361"/>
      <c r="B2384" s="1146"/>
      <c r="C2384" s="1146"/>
      <c r="D2384" s="1146"/>
      <c r="E2384" s="1146"/>
      <c r="F2384" s="178"/>
      <c r="G2384" s="178"/>
      <c r="H2384" s="178"/>
      <c r="I2384" s="207"/>
      <c r="R2384" s="374"/>
      <c r="S2384" s="374"/>
      <c r="T2384" s="374"/>
    </row>
    <row r="2395" spans="2:20" x14ac:dyDescent="0.2">
      <c r="B2395" s="373"/>
      <c r="D2395" s="373"/>
      <c r="F2395" s="373"/>
      <c r="G2395" s="373"/>
      <c r="H2395" s="373"/>
      <c r="I2395" s="373"/>
      <c r="R2395" s="755"/>
      <c r="S2395" s="755"/>
      <c r="T2395" s="755"/>
    </row>
  </sheetData>
  <mergeCells count="137">
    <mergeCell ref="A582:E582"/>
    <mergeCell ref="A602:E602"/>
    <mergeCell ref="A617:E617"/>
    <mergeCell ref="A630:E630"/>
    <mergeCell ref="A651:E651"/>
    <mergeCell ref="A225:E225"/>
    <mergeCell ref="A238:E238"/>
    <mergeCell ref="A261:E261"/>
    <mergeCell ref="A1100:E1100"/>
    <mergeCell ref="A345:E345"/>
    <mergeCell ref="A388:E388"/>
    <mergeCell ref="A292:E292"/>
    <mergeCell ref="E513:E514"/>
    <mergeCell ref="E547:E549"/>
    <mergeCell ref="E552:E553"/>
    <mergeCell ref="A277:E277"/>
    <mergeCell ref="A309:E309"/>
    <mergeCell ref="A328:E328"/>
    <mergeCell ref="E382:E383"/>
    <mergeCell ref="E431:E432"/>
    <mergeCell ref="E434:E435"/>
    <mergeCell ref="A409:E409"/>
    <mergeCell ref="A446:E446"/>
    <mergeCell ref="A471:E471"/>
    <mergeCell ref="A25:E25"/>
    <mergeCell ref="A40:E40"/>
    <mergeCell ref="A54:E54"/>
    <mergeCell ref="A95:E95"/>
    <mergeCell ref="A113:E113"/>
    <mergeCell ref="A208:E208"/>
    <mergeCell ref="A135:E135"/>
    <mergeCell ref="A169:E169"/>
    <mergeCell ref="A193:E193"/>
    <mergeCell ref="A2359:E2359"/>
    <mergeCell ref="A2153:E2153"/>
    <mergeCell ref="A2165:E2165"/>
    <mergeCell ref="A2177:E2177"/>
    <mergeCell ref="A2194:E2194"/>
    <mergeCell ref="A2206:E2206"/>
    <mergeCell ref="A2221:E2221"/>
    <mergeCell ref="A2234:E2234"/>
    <mergeCell ref="E2276:E2277"/>
    <mergeCell ref="A2247:E2247"/>
    <mergeCell ref="A2260:E2260"/>
    <mergeCell ref="A2278:E2278"/>
    <mergeCell ref="A2291:E2291"/>
    <mergeCell ref="A2303:E2303"/>
    <mergeCell ref="A2315:E2315"/>
    <mergeCell ref="A2328:E2328"/>
    <mergeCell ref="A2351:E2351"/>
    <mergeCell ref="A2108:E2108"/>
    <mergeCell ref="A2121:E2121"/>
    <mergeCell ref="A2136:E2136"/>
    <mergeCell ref="A2012:E2012"/>
    <mergeCell ref="A2026:E2026"/>
    <mergeCell ref="A2038:E2038"/>
    <mergeCell ref="A2053:E2053"/>
    <mergeCell ref="A2069:E2069"/>
    <mergeCell ref="A2080:E2080"/>
    <mergeCell ref="A2093:E2093"/>
    <mergeCell ref="A1448:E1448"/>
    <mergeCell ref="A1336:E1336"/>
    <mergeCell ref="A1349:E1349"/>
    <mergeCell ref="A1426:E1426"/>
    <mergeCell ref="A1373:E1373"/>
    <mergeCell ref="A1389:E1389"/>
    <mergeCell ref="A1407:E1407"/>
    <mergeCell ref="A1753:E1753"/>
    <mergeCell ref="D1519:D1521"/>
    <mergeCell ref="A1508:E1508"/>
    <mergeCell ref="A1531:E1531"/>
    <mergeCell ref="A1474:E1474"/>
    <mergeCell ref="E1465:E1467"/>
    <mergeCell ref="A1552:E1552"/>
    <mergeCell ref="A1575:E1575"/>
    <mergeCell ref="A1726:E1726"/>
    <mergeCell ref="D1584:D1586"/>
    <mergeCell ref="E1644:E1646"/>
    <mergeCell ref="A500:E500"/>
    <mergeCell ref="A521:E521"/>
    <mergeCell ref="A537:E537"/>
    <mergeCell ref="A1606:E1606"/>
    <mergeCell ref="A562:E562"/>
    <mergeCell ref="A684:E684"/>
    <mergeCell ref="A700:E700"/>
    <mergeCell ref="A720:E720"/>
    <mergeCell ref="A826:E826"/>
    <mergeCell ref="A757:E757"/>
    <mergeCell ref="A905:E905"/>
    <mergeCell ref="A958:E958"/>
    <mergeCell ref="A784:E784"/>
    <mergeCell ref="A801:E801"/>
    <mergeCell ref="A862:E862"/>
    <mergeCell ref="A883:E883"/>
    <mergeCell ref="A934:E934"/>
    <mergeCell ref="A978:E978"/>
    <mergeCell ref="A998:E998"/>
    <mergeCell ref="A1241:E1241"/>
    <mergeCell ref="A669:E669"/>
    <mergeCell ref="E1029:E1030"/>
    <mergeCell ref="E1519:E1521"/>
    <mergeCell ref="A1282:E1282"/>
    <mergeCell ref="A738:E738"/>
    <mergeCell ref="A1316:E1316"/>
    <mergeCell ref="A1268:E1268"/>
    <mergeCell ref="E1031:E1032"/>
    <mergeCell ref="D1058:D1060"/>
    <mergeCell ref="E1058:E1060"/>
    <mergeCell ref="D1135:D1137"/>
    <mergeCell ref="E1135:E1137"/>
    <mergeCell ref="A1151:E1151"/>
    <mergeCell ref="A1177:E1177"/>
    <mergeCell ref="A1195:E1195"/>
    <mergeCell ref="A1219:E1219"/>
    <mergeCell ref="A1023:E1023"/>
    <mergeCell ref="A1050:E1050"/>
    <mergeCell ref="A1075:E1075"/>
    <mergeCell ref="A1298:E1298"/>
    <mergeCell ref="A1893:E1893"/>
    <mergeCell ref="A1830:E1830"/>
    <mergeCell ref="A1982:E1982"/>
    <mergeCell ref="A1999:E1999"/>
    <mergeCell ref="A1919:E1919"/>
    <mergeCell ref="A1655:E1655"/>
    <mergeCell ref="A1677:E1677"/>
    <mergeCell ref="A1700:E1700"/>
    <mergeCell ref="E1584:E1586"/>
    <mergeCell ref="D1713:D1715"/>
    <mergeCell ref="E1713:E1715"/>
    <mergeCell ref="A1871:E1871"/>
    <mergeCell ref="A1773:E1773"/>
    <mergeCell ref="A1794:E1794"/>
    <mergeCell ref="A1813:E1813"/>
    <mergeCell ref="A1930:E1930"/>
    <mergeCell ref="A1946:E1946"/>
    <mergeCell ref="A1970:E1970"/>
    <mergeCell ref="A1958:E1958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5" firstPageNumber="42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  <colBreaks count="1" manualBreakCount="1">
    <brk id="9" max="230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 enableFormatConditionsCalculation="0">
    <tabColor rgb="FF00B0F0"/>
  </sheetPr>
  <dimension ref="A1:IV586"/>
  <sheetViews>
    <sheetView showGridLines="0" view="pageBreakPreview" topLeftCell="A202" zoomScaleNormal="100" zoomScaleSheetLayoutView="100" workbookViewId="0">
      <selection activeCell="B65" sqref="B65"/>
    </sheetView>
  </sheetViews>
  <sheetFormatPr defaultRowHeight="14.25" x14ac:dyDescent="0.2"/>
  <cols>
    <col min="1" max="1" width="5.140625" style="373" customWidth="1"/>
    <col min="2" max="2" width="5.42578125" style="598" customWidth="1"/>
    <col min="3" max="3" width="5.42578125" style="373" customWidth="1"/>
    <col min="4" max="4" width="9.5703125" style="670" customWidth="1"/>
    <col min="5" max="5" width="48.85546875" style="373" customWidth="1"/>
    <col min="6" max="6" width="14.85546875" style="497" customWidth="1"/>
    <col min="7" max="7" width="13.85546875" style="497" customWidth="1"/>
    <col min="8" max="8" width="10.85546875" style="497" customWidth="1"/>
    <col min="9" max="9" width="6.7109375" style="1203" customWidth="1"/>
    <col min="10" max="10" width="9.28515625" style="373" bestFit="1" customWidth="1"/>
    <col min="11" max="12" width="10.140625" style="373" bestFit="1" customWidth="1"/>
    <col min="13" max="256" width="9.140625" style="373"/>
    <col min="257" max="259" width="4.7109375" style="373" customWidth="1"/>
    <col min="260" max="260" width="8.85546875" style="373" customWidth="1"/>
    <col min="261" max="261" width="48.85546875" style="373" customWidth="1"/>
    <col min="262" max="262" width="11.42578125" style="373" customWidth="1"/>
    <col min="263" max="263" width="12.42578125" style="373" customWidth="1"/>
    <col min="264" max="264" width="10.85546875" style="373" customWidth="1"/>
    <col min="265" max="265" width="6.7109375" style="373" customWidth="1"/>
    <col min="266" max="512" width="9.140625" style="373"/>
    <col min="513" max="515" width="4.7109375" style="373" customWidth="1"/>
    <col min="516" max="516" width="8.85546875" style="373" customWidth="1"/>
    <col min="517" max="517" width="48.85546875" style="373" customWidth="1"/>
    <col min="518" max="518" width="11.42578125" style="373" customWidth="1"/>
    <col min="519" max="519" width="12.42578125" style="373" customWidth="1"/>
    <col min="520" max="520" width="10.85546875" style="373" customWidth="1"/>
    <col min="521" max="521" width="6.7109375" style="373" customWidth="1"/>
    <col min="522" max="768" width="9.140625" style="373"/>
    <col min="769" max="771" width="4.7109375" style="373" customWidth="1"/>
    <col min="772" max="772" width="8.85546875" style="373" customWidth="1"/>
    <col min="773" max="773" width="48.85546875" style="373" customWidth="1"/>
    <col min="774" max="774" width="11.42578125" style="373" customWidth="1"/>
    <col min="775" max="775" width="12.42578125" style="373" customWidth="1"/>
    <col min="776" max="776" width="10.85546875" style="373" customWidth="1"/>
    <col min="777" max="777" width="6.7109375" style="373" customWidth="1"/>
    <col min="778" max="1024" width="9.140625" style="373"/>
    <col min="1025" max="1027" width="4.7109375" style="373" customWidth="1"/>
    <col min="1028" max="1028" width="8.85546875" style="373" customWidth="1"/>
    <col min="1029" max="1029" width="48.85546875" style="373" customWidth="1"/>
    <col min="1030" max="1030" width="11.42578125" style="373" customWidth="1"/>
    <col min="1031" max="1031" width="12.42578125" style="373" customWidth="1"/>
    <col min="1032" max="1032" width="10.85546875" style="373" customWidth="1"/>
    <col min="1033" max="1033" width="6.7109375" style="373" customWidth="1"/>
    <col min="1034" max="1280" width="9.140625" style="373"/>
    <col min="1281" max="1283" width="4.7109375" style="373" customWidth="1"/>
    <col min="1284" max="1284" width="8.85546875" style="373" customWidth="1"/>
    <col min="1285" max="1285" width="48.85546875" style="373" customWidth="1"/>
    <col min="1286" max="1286" width="11.42578125" style="373" customWidth="1"/>
    <col min="1287" max="1287" width="12.42578125" style="373" customWidth="1"/>
    <col min="1288" max="1288" width="10.85546875" style="373" customWidth="1"/>
    <col min="1289" max="1289" width="6.7109375" style="373" customWidth="1"/>
    <col min="1290" max="1536" width="9.140625" style="373"/>
    <col min="1537" max="1539" width="4.7109375" style="373" customWidth="1"/>
    <col min="1540" max="1540" width="8.85546875" style="373" customWidth="1"/>
    <col min="1541" max="1541" width="48.85546875" style="373" customWidth="1"/>
    <col min="1542" max="1542" width="11.42578125" style="373" customWidth="1"/>
    <col min="1543" max="1543" width="12.42578125" style="373" customWidth="1"/>
    <col min="1544" max="1544" width="10.85546875" style="373" customWidth="1"/>
    <col min="1545" max="1545" width="6.7109375" style="373" customWidth="1"/>
    <col min="1546" max="1792" width="9.140625" style="373"/>
    <col min="1793" max="1795" width="4.7109375" style="373" customWidth="1"/>
    <col min="1796" max="1796" width="8.85546875" style="373" customWidth="1"/>
    <col min="1797" max="1797" width="48.85546875" style="373" customWidth="1"/>
    <col min="1798" max="1798" width="11.42578125" style="373" customWidth="1"/>
    <col min="1799" max="1799" width="12.42578125" style="373" customWidth="1"/>
    <col min="1800" max="1800" width="10.85546875" style="373" customWidth="1"/>
    <col min="1801" max="1801" width="6.7109375" style="373" customWidth="1"/>
    <col min="1802" max="2048" width="9.140625" style="373"/>
    <col min="2049" max="2051" width="4.7109375" style="373" customWidth="1"/>
    <col min="2052" max="2052" width="8.85546875" style="373" customWidth="1"/>
    <col min="2053" max="2053" width="48.85546875" style="373" customWidth="1"/>
    <col min="2054" max="2054" width="11.42578125" style="373" customWidth="1"/>
    <col min="2055" max="2055" width="12.42578125" style="373" customWidth="1"/>
    <col min="2056" max="2056" width="10.85546875" style="373" customWidth="1"/>
    <col min="2057" max="2057" width="6.7109375" style="373" customWidth="1"/>
    <col min="2058" max="2304" width="9.140625" style="373"/>
    <col min="2305" max="2307" width="4.7109375" style="373" customWidth="1"/>
    <col min="2308" max="2308" width="8.85546875" style="373" customWidth="1"/>
    <col min="2309" max="2309" width="48.85546875" style="373" customWidth="1"/>
    <col min="2310" max="2310" width="11.42578125" style="373" customWidth="1"/>
    <col min="2311" max="2311" width="12.42578125" style="373" customWidth="1"/>
    <col min="2312" max="2312" width="10.85546875" style="373" customWidth="1"/>
    <col min="2313" max="2313" width="6.7109375" style="373" customWidth="1"/>
    <col min="2314" max="2560" width="9.140625" style="373"/>
    <col min="2561" max="2563" width="4.7109375" style="373" customWidth="1"/>
    <col min="2564" max="2564" width="8.85546875" style="373" customWidth="1"/>
    <col min="2565" max="2565" width="48.85546875" style="373" customWidth="1"/>
    <col min="2566" max="2566" width="11.42578125" style="373" customWidth="1"/>
    <col min="2567" max="2567" width="12.42578125" style="373" customWidth="1"/>
    <col min="2568" max="2568" width="10.85546875" style="373" customWidth="1"/>
    <col min="2569" max="2569" width="6.7109375" style="373" customWidth="1"/>
    <col min="2570" max="2816" width="9.140625" style="373"/>
    <col min="2817" max="2819" width="4.7109375" style="373" customWidth="1"/>
    <col min="2820" max="2820" width="8.85546875" style="373" customWidth="1"/>
    <col min="2821" max="2821" width="48.85546875" style="373" customWidth="1"/>
    <col min="2822" max="2822" width="11.42578125" style="373" customWidth="1"/>
    <col min="2823" max="2823" width="12.42578125" style="373" customWidth="1"/>
    <col min="2824" max="2824" width="10.85546875" style="373" customWidth="1"/>
    <col min="2825" max="2825" width="6.7109375" style="373" customWidth="1"/>
    <col min="2826" max="3072" width="9.140625" style="373"/>
    <col min="3073" max="3075" width="4.7109375" style="373" customWidth="1"/>
    <col min="3076" max="3076" width="8.85546875" style="373" customWidth="1"/>
    <col min="3077" max="3077" width="48.85546875" style="373" customWidth="1"/>
    <col min="3078" max="3078" width="11.42578125" style="373" customWidth="1"/>
    <col min="3079" max="3079" width="12.42578125" style="373" customWidth="1"/>
    <col min="3080" max="3080" width="10.85546875" style="373" customWidth="1"/>
    <col min="3081" max="3081" width="6.7109375" style="373" customWidth="1"/>
    <col min="3082" max="3328" width="9.140625" style="373"/>
    <col min="3329" max="3331" width="4.7109375" style="373" customWidth="1"/>
    <col min="3332" max="3332" width="8.85546875" style="373" customWidth="1"/>
    <col min="3333" max="3333" width="48.85546875" style="373" customWidth="1"/>
    <col min="3334" max="3334" width="11.42578125" style="373" customWidth="1"/>
    <col min="3335" max="3335" width="12.42578125" style="373" customWidth="1"/>
    <col min="3336" max="3336" width="10.85546875" style="373" customWidth="1"/>
    <col min="3337" max="3337" width="6.7109375" style="373" customWidth="1"/>
    <col min="3338" max="3584" width="9.140625" style="373"/>
    <col min="3585" max="3587" width="4.7109375" style="373" customWidth="1"/>
    <col min="3588" max="3588" width="8.85546875" style="373" customWidth="1"/>
    <col min="3589" max="3589" width="48.85546875" style="373" customWidth="1"/>
    <col min="3590" max="3590" width="11.42578125" style="373" customWidth="1"/>
    <col min="3591" max="3591" width="12.42578125" style="373" customWidth="1"/>
    <col min="3592" max="3592" width="10.85546875" style="373" customWidth="1"/>
    <col min="3593" max="3593" width="6.7109375" style="373" customWidth="1"/>
    <col min="3594" max="3840" width="9.140625" style="373"/>
    <col min="3841" max="3843" width="4.7109375" style="373" customWidth="1"/>
    <col min="3844" max="3844" width="8.85546875" style="373" customWidth="1"/>
    <col min="3845" max="3845" width="48.85546875" style="373" customWidth="1"/>
    <col min="3846" max="3846" width="11.42578125" style="373" customWidth="1"/>
    <col min="3847" max="3847" width="12.42578125" style="373" customWidth="1"/>
    <col min="3848" max="3848" width="10.85546875" style="373" customWidth="1"/>
    <col min="3849" max="3849" width="6.7109375" style="373" customWidth="1"/>
    <col min="3850" max="4096" width="9.140625" style="373"/>
    <col min="4097" max="4099" width="4.7109375" style="373" customWidth="1"/>
    <col min="4100" max="4100" width="8.85546875" style="373" customWidth="1"/>
    <col min="4101" max="4101" width="48.85546875" style="373" customWidth="1"/>
    <col min="4102" max="4102" width="11.42578125" style="373" customWidth="1"/>
    <col min="4103" max="4103" width="12.42578125" style="373" customWidth="1"/>
    <col min="4104" max="4104" width="10.85546875" style="373" customWidth="1"/>
    <col min="4105" max="4105" width="6.7109375" style="373" customWidth="1"/>
    <col min="4106" max="4352" width="9.140625" style="373"/>
    <col min="4353" max="4355" width="4.7109375" style="373" customWidth="1"/>
    <col min="4356" max="4356" width="8.85546875" style="373" customWidth="1"/>
    <col min="4357" max="4357" width="48.85546875" style="373" customWidth="1"/>
    <col min="4358" max="4358" width="11.42578125" style="373" customWidth="1"/>
    <col min="4359" max="4359" width="12.42578125" style="373" customWidth="1"/>
    <col min="4360" max="4360" width="10.85546875" style="373" customWidth="1"/>
    <col min="4361" max="4361" width="6.7109375" style="373" customWidth="1"/>
    <col min="4362" max="4608" width="9.140625" style="373"/>
    <col min="4609" max="4611" width="4.7109375" style="373" customWidth="1"/>
    <col min="4612" max="4612" width="8.85546875" style="373" customWidth="1"/>
    <col min="4613" max="4613" width="48.85546875" style="373" customWidth="1"/>
    <col min="4614" max="4614" width="11.42578125" style="373" customWidth="1"/>
    <col min="4615" max="4615" width="12.42578125" style="373" customWidth="1"/>
    <col min="4616" max="4616" width="10.85546875" style="373" customWidth="1"/>
    <col min="4617" max="4617" width="6.7109375" style="373" customWidth="1"/>
    <col min="4618" max="4864" width="9.140625" style="373"/>
    <col min="4865" max="4867" width="4.7109375" style="373" customWidth="1"/>
    <col min="4868" max="4868" width="8.85546875" style="373" customWidth="1"/>
    <col min="4869" max="4869" width="48.85546875" style="373" customWidth="1"/>
    <col min="4870" max="4870" width="11.42578125" style="373" customWidth="1"/>
    <col min="4871" max="4871" width="12.42578125" style="373" customWidth="1"/>
    <col min="4872" max="4872" width="10.85546875" style="373" customWidth="1"/>
    <col min="4873" max="4873" width="6.7109375" style="373" customWidth="1"/>
    <col min="4874" max="5120" width="9.140625" style="373"/>
    <col min="5121" max="5123" width="4.7109375" style="373" customWidth="1"/>
    <col min="5124" max="5124" width="8.85546875" style="373" customWidth="1"/>
    <col min="5125" max="5125" width="48.85546875" style="373" customWidth="1"/>
    <col min="5126" max="5126" width="11.42578125" style="373" customWidth="1"/>
    <col min="5127" max="5127" width="12.42578125" style="373" customWidth="1"/>
    <col min="5128" max="5128" width="10.85546875" style="373" customWidth="1"/>
    <col min="5129" max="5129" width="6.7109375" style="373" customWidth="1"/>
    <col min="5130" max="5376" width="9.140625" style="373"/>
    <col min="5377" max="5379" width="4.7109375" style="373" customWidth="1"/>
    <col min="5380" max="5380" width="8.85546875" style="373" customWidth="1"/>
    <col min="5381" max="5381" width="48.85546875" style="373" customWidth="1"/>
    <col min="5382" max="5382" width="11.42578125" style="373" customWidth="1"/>
    <col min="5383" max="5383" width="12.42578125" style="373" customWidth="1"/>
    <col min="5384" max="5384" width="10.85546875" style="373" customWidth="1"/>
    <col min="5385" max="5385" width="6.7109375" style="373" customWidth="1"/>
    <col min="5386" max="5632" width="9.140625" style="373"/>
    <col min="5633" max="5635" width="4.7109375" style="373" customWidth="1"/>
    <col min="5636" max="5636" width="8.85546875" style="373" customWidth="1"/>
    <col min="5637" max="5637" width="48.85546875" style="373" customWidth="1"/>
    <col min="5638" max="5638" width="11.42578125" style="373" customWidth="1"/>
    <col min="5639" max="5639" width="12.42578125" style="373" customWidth="1"/>
    <col min="5640" max="5640" width="10.85546875" style="373" customWidth="1"/>
    <col min="5641" max="5641" width="6.7109375" style="373" customWidth="1"/>
    <col min="5642" max="5888" width="9.140625" style="373"/>
    <col min="5889" max="5891" width="4.7109375" style="373" customWidth="1"/>
    <col min="5892" max="5892" width="8.85546875" style="373" customWidth="1"/>
    <col min="5893" max="5893" width="48.85546875" style="373" customWidth="1"/>
    <col min="5894" max="5894" width="11.42578125" style="373" customWidth="1"/>
    <col min="5895" max="5895" width="12.42578125" style="373" customWidth="1"/>
    <col min="5896" max="5896" width="10.85546875" style="373" customWidth="1"/>
    <col min="5897" max="5897" width="6.7109375" style="373" customWidth="1"/>
    <col min="5898" max="6144" width="9.140625" style="373"/>
    <col min="6145" max="6147" width="4.7109375" style="373" customWidth="1"/>
    <col min="6148" max="6148" width="8.85546875" style="373" customWidth="1"/>
    <col min="6149" max="6149" width="48.85546875" style="373" customWidth="1"/>
    <col min="6150" max="6150" width="11.42578125" style="373" customWidth="1"/>
    <col min="6151" max="6151" width="12.42578125" style="373" customWidth="1"/>
    <col min="6152" max="6152" width="10.85546875" style="373" customWidth="1"/>
    <col min="6153" max="6153" width="6.7109375" style="373" customWidth="1"/>
    <col min="6154" max="6400" width="9.140625" style="373"/>
    <col min="6401" max="6403" width="4.7109375" style="373" customWidth="1"/>
    <col min="6404" max="6404" width="8.85546875" style="373" customWidth="1"/>
    <col min="6405" max="6405" width="48.85546875" style="373" customWidth="1"/>
    <col min="6406" max="6406" width="11.42578125" style="373" customWidth="1"/>
    <col min="6407" max="6407" width="12.42578125" style="373" customWidth="1"/>
    <col min="6408" max="6408" width="10.85546875" style="373" customWidth="1"/>
    <col min="6409" max="6409" width="6.7109375" style="373" customWidth="1"/>
    <col min="6410" max="6656" width="9.140625" style="373"/>
    <col min="6657" max="6659" width="4.7109375" style="373" customWidth="1"/>
    <col min="6660" max="6660" width="8.85546875" style="373" customWidth="1"/>
    <col min="6661" max="6661" width="48.85546875" style="373" customWidth="1"/>
    <col min="6662" max="6662" width="11.42578125" style="373" customWidth="1"/>
    <col min="6663" max="6663" width="12.42578125" style="373" customWidth="1"/>
    <col min="6664" max="6664" width="10.85546875" style="373" customWidth="1"/>
    <col min="6665" max="6665" width="6.7109375" style="373" customWidth="1"/>
    <col min="6666" max="6912" width="9.140625" style="373"/>
    <col min="6913" max="6915" width="4.7109375" style="373" customWidth="1"/>
    <col min="6916" max="6916" width="8.85546875" style="373" customWidth="1"/>
    <col min="6917" max="6917" width="48.85546875" style="373" customWidth="1"/>
    <col min="6918" max="6918" width="11.42578125" style="373" customWidth="1"/>
    <col min="6919" max="6919" width="12.42578125" style="373" customWidth="1"/>
    <col min="6920" max="6920" width="10.85546875" style="373" customWidth="1"/>
    <col min="6921" max="6921" width="6.7109375" style="373" customWidth="1"/>
    <col min="6922" max="7168" width="9.140625" style="373"/>
    <col min="7169" max="7171" width="4.7109375" style="373" customWidth="1"/>
    <col min="7172" max="7172" width="8.85546875" style="373" customWidth="1"/>
    <col min="7173" max="7173" width="48.85546875" style="373" customWidth="1"/>
    <col min="7174" max="7174" width="11.42578125" style="373" customWidth="1"/>
    <col min="7175" max="7175" width="12.42578125" style="373" customWidth="1"/>
    <col min="7176" max="7176" width="10.85546875" style="373" customWidth="1"/>
    <col min="7177" max="7177" width="6.7109375" style="373" customWidth="1"/>
    <col min="7178" max="7424" width="9.140625" style="373"/>
    <col min="7425" max="7427" width="4.7109375" style="373" customWidth="1"/>
    <col min="7428" max="7428" width="8.85546875" style="373" customWidth="1"/>
    <col min="7429" max="7429" width="48.85546875" style="373" customWidth="1"/>
    <col min="7430" max="7430" width="11.42578125" style="373" customWidth="1"/>
    <col min="7431" max="7431" width="12.42578125" style="373" customWidth="1"/>
    <col min="7432" max="7432" width="10.85546875" style="373" customWidth="1"/>
    <col min="7433" max="7433" width="6.7109375" style="373" customWidth="1"/>
    <col min="7434" max="7680" width="9.140625" style="373"/>
    <col min="7681" max="7683" width="4.7109375" style="373" customWidth="1"/>
    <col min="7684" max="7684" width="8.85546875" style="373" customWidth="1"/>
    <col min="7685" max="7685" width="48.85546875" style="373" customWidth="1"/>
    <col min="7686" max="7686" width="11.42578125" style="373" customWidth="1"/>
    <col min="7687" max="7687" width="12.42578125" style="373" customWidth="1"/>
    <col min="7688" max="7688" width="10.85546875" style="373" customWidth="1"/>
    <col min="7689" max="7689" width="6.7109375" style="373" customWidth="1"/>
    <col min="7690" max="7936" width="9.140625" style="373"/>
    <col min="7937" max="7939" width="4.7109375" style="373" customWidth="1"/>
    <col min="7940" max="7940" width="8.85546875" style="373" customWidth="1"/>
    <col min="7941" max="7941" width="48.85546875" style="373" customWidth="1"/>
    <col min="7942" max="7942" width="11.42578125" style="373" customWidth="1"/>
    <col min="7943" max="7943" width="12.42578125" style="373" customWidth="1"/>
    <col min="7944" max="7944" width="10.85546875" style="373" customWidth="1"/>
    <col min="7945" max="7945" width="6.7109375" style="373" customWidth="1"/>
    <col min="7946" max="8192" width="9.140625" style="373"/>
    <col min="8193" max="8195" width="4.7109375" style="373" customWidth="1"/>
    <col min="8196" max="8196" width="8.85546875" style="373" customWidth="1"/>
    <col min="8197" max="8197" width="48.85546875" style="373" customWidth="1"/>
    <col min="8198" max="8198" width="11.42578125" style="373" customWidth="1"/>
    <col min="8199" max="8199" width="12.42578125" style="373" customWidth="1"/>
    <col min="8200" max="8200" width="10.85546875" style="373" customWidth="1"/>
    <col min="8201" max="8201" width="6.7109375" style="373" customWidth="1"/>
    <col min="8202" max="8448" width="9.140625" style="373"/>
    <col min="8449" max="8451" width="4.7109375" style="373" customWidth="1"/>
    <col min="8452" max="8452" width="8.85546875" style="373" customWidth="1"/>
    <col min="8453" max="8453" width="48.85546875" style="373" customWidth="1"/>
    <col min="8454" max="8454" width="11.42578125" style="373" customWidth="1"/>
    <col min="8455" max="8455" width="12.42578125" style="373" customWidth="1"/>
    <col min="8456" max="8456" width="10.85546875" style="373" customWidth="1"/>
    <col min="8457" max="8457" width="6.7109375" style="373" customWidth="1"/>
    <col min="8458" max="8704" width="9.140625" style="373"/>
    <col min="8705" max="8707" width="4.7109375" style="373" customWidth="1"/>
    <col min="8708" max="8708" width="8.85546875" style="373" customWidth="1"/>
    <col min="8709" max="8709" width="48.85546875" style="373" customWidth="1"/>
    <col min="8710" max="8710" width="11.42578125" style="373" customWidth="1"/>
    <col min="8711" max="8711" width="12.42578125" style="373" customWidth="1"/>
    <col min="8712" max="8712" width="10.85546875" style="373" customWidth="1"/>
    <col min="8713" max="8713" width="6.7109375" style="373" customWidth="1"/>
    <col min="8714" max="8960" width="9.140625" style="373"/>
    <col min="8961" max="8963" width="4.7109375" style="373" customWidth="1"/>
    <col min="8964" max="8964" width="8.85546875" style="373" customWidth="1"/>
    <col min="8965" max="8965" width="48.85546875" style="373" customWidth="1"/>
    <col min="8966" max="8966" width="11.42578125" style="373" customWidth="1"/>
    <col min="8967" max="8967" width="12.42578125" style="373" customWidth="1"/>
    <col min="8968" max="8968" width="10.85546875" style="373" customWidth="1"/>
    <col min="8969" max="8969" width="6.7109375" style="373" customWidth="1"/>
    <col min="8970" max="9216" width="9.140625" style="373"/>
    <col min="9217" max="9219" width="4.7109375" style="373" customWidth="1"/>
    <col min="9220" max="9220" width="8.85546875" style="373" customWidth="1"/>
    <col min="9221" max="9221" width="48.85546875" style="373" customWidth="1"/>
    <col min="9222" max="9222" width="11.42578125" style="373" customWidth="1"/>
    <col min="9223" max="9223" width="12.42578125" style="373" customWidth="1"/>
    <col min="9224" max="9224" width="10.85546875" style="373" customWidth="1"/>
    <col min="9225" max="9225" width="6.7109375" style="373" customWidth="1"/>
    <col min="9226" max="9472" width="9.140625" style="373"/>
    <col min="9473" max="9475" width="4.7109375" style="373" customWidth="1"/>
    <col min="9476" max="9476" width="8.85546875" style="373" customWidth="1"/>
    <col min="9477" max="9477" width="48.85546875" style="373" customWidth="1"/>
    <col min="9478" max="9478" width="11.42578125" style="373" customWidth="1"/>
    <col min="9479" max="9479" width="12.42578125" style="373" customWidth="1"/>
    <col min="9480" max="9480" width="10.85546875" style="373" customWidth="1"/>
    <col min="9481" max="9481" width="6.7109375" style="373" customWidth="1"/>
    <col min="9482" max="9728" width="9.140625" style="373"/>
    <col min="9729" max="9731" width="4.7109375" style="373" customWidth="1"/>
    <col min="9732" max="9732" width="8.85546875" style="373" customWidth="1"/>
    <col min="9733" max="9733" width="48.85546875" style="373" customWidth="1"/>
    <col min="9734" max="9734" width="11.42578125" style="373" customWidth="1"/>
    <col min="9735" max="9735" width="12.42578125" style="373" customWidth="1"/>
    <col min="9736" max="9736" width="10.85546875" style="373" customWidth="1"/>
    <col min="9737" max="9737" width="6.7109375" style="373" customWidth="1"/>
    <col min="9738" max="9984" width="9.140625" style="373"/>
    <col min="9985" max="9987" width="4.7109375" style="373" customWidth="1"/>
    <col min="9988" max="9988" width="8.85546875" style="373" customWidth="1"/>
    <col min="9989" max="9989" width="48.85546875" style="373" customWidth="1"/>
    <col min="9990" max="9990" width="11.42578125" style="373" customWidth="1"/>
    <col min="9991" max="9991" width="12.42578125" style="373" customWidth="1"/>
    <col min="9992" max="9992" width="10.85546875" style="373" customWidth="1"/>
    <col min="9993" max="9993" width="6.7109375" style="373" customWidth="1"/>
    <col min="9994" max="10240" width="9.140625" style="373"/>
    <col min="10241" max="10243" width="4.7109375" style="373" customWidth="1"/>
    <col min="10244" max="10244" width="8.85546875" style="373" customWidth="1"/>
    <col min="10245" max="10245" width="48.85546875" style="373" customWidth="1"/>
    <col min="10246" max="10246" width="11.42578125" style="373" customWidth="1"/>
    <col min="10247" max="10247" width="12.42578125" style="373" customWidth="1"/>
    <col min="10248" max="10248" width="10.85546875" style="373" customWidth="1"/>
    <col min="10249" max="10249" width="6.7109375" style="373" customWidth="1"/>
    <col min="10250" max="10496" width="9.140625" style="373"/>
    <col min="10497" max="10499" width="4.7109375" style="373" customWidth="1"/>
    <col min="10500" max="10500" width="8.85546875" style="373" customWidth="1"/>
    <col min="10501" max="10501" width="48.85546875" style="373" customWidth="1"/>
    <col min="10502" max="10502" width="11.42578125" style="373" customWidth="1"/>
    <col min="10503" max="10503" width="12.42578125" style="373" customWidth="1"/>
    <col min="10504" max="10504" width="10.85546875" style="373" customWidth="1"/>
    <col min="10505" max="10505" width="6.7109375" style="373" customWidth="1"/>
    <col min="10506" max="10752" width="9.140625" style="373"/>
    <col min="10753" max="10755" width="4.7109375" style="373" customWidth="1"/>
    <col min="10756" max="10756" width="8.85546875" style="373" customWidth="1"/>
    <col min="10757" max="10757" width="48.85546875" style="373" customWidth="1"/>
    <col min="10758" max="10758" width="11.42578125" style="373" customWidth="1"/>
    <col min="10759" max="10759" width="12.42578125" style="373" customWidth="1"/>
    <col min="10760" max="10760" width="10.85546875" style="373" customWidth="1"/>
    <col min="10761" max="10761" width="6.7109375" style="373" customWidth="1"/>
    <col min="10762" max="11008" width="9.140625" style="373"/>
    <col min="11009" max="11011" width="4.7109375" style="373" customWidth="1"/>
    <col min="11012" max="11012" width="8.85546875" style="373" customWidth="1"/>
    <col min="11013" max="11013" width="48.85546875" style="373" customWidth="1"/>
    <col min="11014" max="11014" width="11.42578125" style="373" customWidth="1"/>
    <col min="11015" max="11015" width="12.42578125" style="373" customWidth="1"/>
    <col min="11016" max="11016" width="10.85546875" style="373" customWidth="1"/>
    <col min="11017" max="11017" width="6.7109375" style="373" customWidth="1"/>
    <col min="11018" max="11264" width="9.140625" style="373"/>
    <col min="11265" max="11267" width="4.7109375" style="373" customWidth="1"/>
    <col min="11268" max="11268" width="8.85546875" style="373" customWidth="1"/>
    <col min="11269" max="11269" width="48.85546875" style="373" customWidth="1"/>
    <col min="11270" max="11270" width="11.42578125" style="373" customWidth="1"/>
    <col min="11271" max="11271" width="12.42578125" style="373" customWidth="1"/>
    <col min="11272" max="11272" width="10.85546875" style="373" customWidth="1"/>
    <col min="11273" max="11273" width="6.7109375" style="373" customWidth="1"/>
    <col min="11274" max="11520" width="9.140625" style="373"/>
    <col min="11521" max="11523" width="4.7109375" style="373" customWidth="1"/>
    <col min="11524" max="11524" width="8.85546875" style="373" customWidth="1"/>
    <col min="11525" max="11525" width="48.85546875" style="373" customWidth="1"/>
    <col min="11526" max="11526" width="11.42578125" style="373" customWidth="1"/>
    <col min="11527" max="11527" width="12.42578125" style="373" customWidth="1"/>
    <col min="11528" max="11528" width="10.85546875" style="373" customWidth="1"/>
    <col min="11529" max="11529" width="6.7109375" style="373" customWidth="1"/>
    <col min="11530" max="11776" width="9.140625" style="373"/>
    <col min="11777" max="11779" width="4.7109375" style="373" customWidth="1"/>
    <col min="11780" max="11780" width="8.85546875" style="373" customWidth="1"/>
    <col min="11781" max="11781" width="48.85546875" style="373" customWidth="1"/>
    <col min="11782" max="11782" width="11.42578125" style="373" customWidth="1"/>
    <col min="11783" max="11783" width="12.42578125" style="373" customWidth="1"/>
    <col min="11784" max="11784" width="10.85546875" style="373" customWidth="1"/>
    <col min="11785" max="11785" width="6.7109375" style="373" customWidth="1"/>
    <col min="11786" max="12032" width="9.140625" style="373"/>
    <col min="12033" max="12035" width="4.7109375" style="373" customWidth="1"/>
    <col min="12036" max="12036" width="8.85546875" style="373" customWidth="1"/>
    <col min="12037" max="12037" width="48.85546875" style="373" customWidth="1"/>
    <col min="12038" max="12038" width="11.42578125" style="373" customWidth="1"/>
    <col min="12039" max="12039" width="12.42578125" style="373" customWidth="1"/>
    <col min="12040" max="12040" width="10.85546875" style="373" customWidth="1"/>
    <col min="12041" max="12041" width="6.7109375" style="373" customWidth="1"/>
    <col min="12042" max="12288" width="9.140625" style="373"/>
    <col min="12289" max="12291" width="4.7109375" style="373" customWidth="1"/>
    <col min="12292" max="12292" width="8.85546875" style="373" customWidth="1"/>
    <col min="12293" max="12293" width="48.85546875" style="373" customWidth="1"/>
    <col min="12294" max="12294" width="11.42578125" style="373" customWidth="1"/>
    <col min="12295" max="12295" width="12.42578125" style="373" customWidth="1"/>
    <col min="12296" max="12296" width="10.85546875" style="373" customWidth="1"/>
    <col min="12297" max="12297" width="6.7109375" style="373" customWidth="1"/>
    <col min="12298" max="12544" width="9.140625" style="373"/>
    <col min="12545" max="12547" width="4.7109375" style="373" customWidth="1"/>
    <col min="12548" max="12548" width="8.85546875" style="373" customWidth="1"/>
    <col min="12549" max="12549" width="48.85546875" style="373" customWidth="1"/>
    <col min="12550" max="12550" width="11.42578125" style="373" customWidth="1"/>
    <col min="12551" max="12551" width="12.42578125" style="373" customWidth="1"/>
    <col min="12552" max="12552" width="10.85546875" style="373" customWidth="1"/>
    <col min="12553" max="12553" width="6.7109375" style="373" customWidth="1"/>
    <col min="12554" max="12800" width="9.140625" style="373"/>
    <col min="12801" max="12803" width="4.7109375" style="373" customWidth="1"/>
    <col min="12804" max="12804" width="8.85546875" style="373" customWidth="1"/>
    <col min="12805" max="12805" width="48.85546875" style="373" customWidth="1"/>
    <col min="12806" max="12806" width="11.42578125" style="373" customWidth="1"/>
    <col min="12807" max="12807" width="12.42578125" style="373" customWidth="1"/>
    <col min="12808" max="12808" width="10.85546875" style="373" customWidth="1"/>
    <col min="12809" max="12809" width="6.7109375" style="373" customWidth="1"/>
    <col min="12810" max="13056" width="9.140625" style="373"/>
    <col min="13057" max="13059" width="4.7109375" style="373" customWidth="1"/>
    <col min="13060" max="13060" width="8.85546875" style="373" customWidth="1"/>
    <col min="13061" max="13061" width="48.85546875" style="373" customWidth="1"/>
    <col min="13062" max="13062" width="11.42578125" style="373" customWidth="1"/>
    <col min="13063" max="13063" width="12.42578125" style="373" customWidth="1"/>
    <col min="13064" max="13064" width="10.85546875" style="373" customWidth="1"/>
    <col min="13065" max="13065" width="6.7109375" style="373" customWidth="1"/>
    <col min="13066" max="13312" width="9.140625" style="373"/>
    <col min="13313" max="13315" width="4.7109375" style="373" customWidth="1"/>
    <col min="13316" max="13316" width="8.85546875" style="373" customWidth="1"/>
    <col min="13317" max="13317" width="48.85546875" style="373" customWidth="1"/>
    <col min="13318" max="13318" width="11.42578125" style="373" customWidth="1"/>
    <col min="13319" max="13319" width="12.42578125" style="373" customWidth="1"/>
    <col min="13320" max="13320" width="10.85546875" style="373" customWidth="1"/>
    <col min="13321" max="13321" width="6.7109375" style="373" customWidth="1"/>
    <col min="13322" max="13568" width="9.140625" style="373"/>
    <col min="13569" max="13571" width="4.7109375" style="373" customWidth="1"/>
    <col min="13572" max="13572" width="8.85546875" style="373" customWidth="1"/>
    <col min="13573" max="13573" width="48.85546875" style="373" customWidth="1"/>
    <col min="13574" max="13574" width="11.42578125" style="373" customWidth="1"/>
    <col min="13575" max="13575" width="12.42578125" style="373" customWidth="1"/>
    <col min="13576" max="13576" width="10.85546875" style="373" customWidth="1"/>
    <col min="13577" max="13577" width="6.7109375" style="373" customWidth="1"/>
    <col min="13578" max="13824" width="9.140625" style="373"/>
    <col min="13825" max="13827" width="4.7109375" style="373" customWidth="1"/>
    <col min="13828" max="13828" width="8.85546875" style="373" customWidth="1"/>
    <col min="13829" max="13829" width="48.85546875" style="373" customWidth="1"/>
    <col min="13830" max="13830" width="11.42578125" style="373" customWidth="1"/>
    <col min="13831" max="13831" width="12.42578125" style="373" customWidth="1"/>
    <col min="13832" max="13832" width="10.85546875" style="373" customWidth="1"/>
    <col min="13833" max="13833" width="6.7109375" style="373" customWidth="1"/>
    <col min="13834" max="14080" width="9.140625" style="373"/>
    <col min="14081" max="14083" width="4.7109375" style="373" customWidth="1"/>
    <col min="14084" max="14084" width="8.85546875" style="373" customWidth="1"/>
    <col min="14085" max="14085" width="48.85546875" style="373" customWidth="1"/>
    <col min="14086" max="14086" width="11.42578125" style="373" customWidth="1"/>
    <col min="14087" max="14087" width="12.42578125" style="373" customWidth="1"/>
    <col min="14088" max="14088" width="10.85546875" style="373" customWidth="1"/>
    <col min="14089" max="14089" width="6.7109375" style="373" customWidth="1"/>
    <col min="14090" max="14336" width="9.140625" style="373"/>
    <col min="14337" max="14339" width="4.7109375" style="373" customWidth="1"/>
    <col min="14340" max="14340" width="8.85546875" style="373" customWidth="1"/>
    <col min="14341" max="14341" width="48.85546875" style="373" customWidth="1"/>
    <col min="14342" max="14342" width="11.42578125" style="373" customWidth="1"/>
    <col min="14343" max="14343" width="12.42578125" style="373" customWidth="1"/>
    <col min="14344" max="14344" width="10.85546875" style="373" customWidth="1"/>
    <col min="14345" max="14345" width="6.7109375" style="373" customWidth="1"/>
    <col min="14346" max="14592" width="9.140625" style="373"/>
    <col min="14593" max="14595" width="4.7109375" style="373" customWidth="1"/>
    <col min="14596" max="14596" width="8.85546875" style="373" customWidth="1"/>
    <col min="14597" max="14597" width="48.85546875" style="373" customWidth="1"/>
    <col min="14598" max="14598" width="11.42578125" style="373" customWidth="1"/>
    <col min="14599" max="14599" width="12.42578125" style="373" customWidth="1"/>
    <col min="14600" max="14600" width="10.85546875" style="373" customWidth="1"/>
    <col min="14601" max="14601" width="6.7109375" style="373" customWidth="1"/>
    <col min="14602" max="14848" width="9.140625" style="373"/>
    <col min="14849" max="14851" width="4.7109375" style="373" customWidth="1"/>
    <col min="14852" max="14852" width="8.85546875" style="373" customWidth="1"/>
    <col min="14853" max="14853" width="48.85546875" style="373" customWidth="1"/>
    <col min="14854" max="14854" width="11.42578125" style="373" customWidth="1"/>
    <col min="14855" max="14855" width="12.42578125" style="373" customWidth="1"/>
    <col min="14856" max="14856" width="10.85546875" style="373" customWidth="1"/>
    <col min="14857" max="14857" width="6.7109375" style="373" customWidth="1"/>
    <col min="14858" max="15104" width="9.140625" style="373"/>
    <col min="15105" max="15107" width="4.7109375" style="373" customWidth="1"/>
    <col min="15108" max="15108" width="8.85546875" style="373" customWidth="1"/>
    <col min="15109" max="15109" width="48.85546875" style="373" customWidth="1"/>
    <col min="15110" max="15110" width="11.42578125" style="373" customWidth="1"/>
    <col min="15111" max="15111" width="12.42578125" style="373" customWidth="1"/>
    <col min="15112" max="15112" width="10.85546875" style="373" customWidth="1"/>
    <col min="15113" max="15113" width="6.7109375" style="373" customWidth="1"/>
    <col min="15114" max="15360" width="9.140625" style="373"/>
    <col min="15361" max="15363" width="4.7109375" style="373" customWidth="1"/>
    <col min="15364" max="15364" width="8.85546875" style="373" customWidth="1"/>
    <col min="15365" max="15365" width="48.85546875" style="373" customWidth="1"/>
    <col min="15366" max="15366" width="11.42578125" style="373" customWidth="1"/>
    <col min="15367" max="15367" width="12.42578125" style="373" customWidth="1"/>
    <col min="15368" max="15368" width="10.85546875" style="373" customWidth="1"/>
    <col min="15369" max="15369" width="6.7109375" style="373" customWidth="1"/>
    <col min="15370" max="15616" width="9.140625" style="373"/>
    <col min="15617" max="15619" width="4.7109375" style="373" customWidth="1"/>
    <col min="15620" max="15620" width="8.85546875" style="373" customWidth="1"/>
    <col min="15621" max="15621" width="48.85546875" style="373" customWidth="1"/>
    <col min="15622" max="15622" width="11.42578125" style="373" customWidth="1"/>
    <col min="15623" max="15623" width="12.42578125" style="373" customWidth="1"/>
    <col min="15624" max="15624" width="10.85546875" style="373" customWidth="1"/>
    <col min="15625" max="15625" width="6.7109375" style="373" customWidth="1"/>
    <col min="15626" max="15872" width="9.140625" style="373"/>
    <col min="15873" max="15875" width="4.7109375" style="373" customWidth="1"/>
    <col min="15876" max="15876" width="8.85546875" style="373" customWidth="1"/>
    <col min="15877" max="15877" width="48.85546875" style="373" customWidth="1"/>
    <col min="15878" max="15878" width="11.42578125" style="373" customWidth="1"/>
    <col min="15879" max="15879" width="12.42578125" style="373" customWidth="1"/>
    <col min="15880" max="15880" width="10.85546875" style="373" customWidth="1"/>
    <col min="15881" max="15881" width="6.7109375" style="373" customWidth="1"/>
    <col min="15882" max="16128" width="9.140625" style="373"/>
    <col min="16129" max="16131" width="4.7109375" style="373" customWidth="1"/>
    <col min="16132" max="16132" width="8.85546875" style="373" customWidth="1"/>
    <col min="16133" max="16133" width="48.85546875" style="373" customWidth="1"/>
    <col min="16134" max="16134" width="11.42578125" style="373" customWidth="1"/>
    <col min="16135" max="16135" width="12.42578125" style="373" customWidth="1"/>
    <col min="16136" max="16136" width="10.85546875" style="373" customWidth="1"/>
    <col min="16137" max="16137" width="6.7109375" style="373" customWidth="1"/>
    <col min="16138" max="16384" width="9.140625" style="373"/>
  </cols>
  <sheetData>
    <row r="1" spans="1:10" ht="18.75" thickBot="1" x14ac:dyDescent="0.3">
      <c r="A1" s="448" t="s">
        <v>643</v>
      </c>
      <c r="B1" s="449"/>
      <c r="C1" s="462"/>
      <c r="D1" s="463"/>
      <c r="E1" s="1124"/>
      <c r="F1" s="1158"/>
      <c r="G1" s="452" t="s">
        <v>644</v>
      </c>
      <c r="J1" s="17"/>
    </row>
    <row r="2" spans="1:10" ht="12.75" customHeight="1" x14ac:dyDescent="0.25">
      <c r="B2" s="6"/>
      <c r="C2" s="28"/>
      <c r="D2" s="63"/>
      <c r="E2" s="10"/>
      <c r="F2" s="447"/>
      <c r="G2" s="447"/>
      <c r="H2" s="166"/>
      <c r="I2" s="207"/>
      <c r="J2" s="17"/>
    </row>
    <row r="3" spans="1:10" ht="12.75" customHeight="1" x14ac:dyDescent="0.25">
      <c r="A3" s="67" t="s">
        <v>336</v>
      </c>
      <c r="B3" s="28"/>
      <c r="C3" s="496" t="s">
        <v>197</v>
      </c>
      <c r="D3" s="669"/>
      <c r="E3" s="303"/>
      <c r="F3" s="166"/>
      <c r="G3" s="178"/>
      <c r="H3" s="178"/>
    </row>
    <row r="4" spans="1:10" ht="12.75" customHeight="1" x14ac:dyDescent="0.25">
      <c r="A4" s="6"/>
      <c r="B4" s="28"/>
      <c r="C4" s="1948" t="s">
        <v>422</v>
      </c>
      <c r="E4" s="303"/>
      <c r="F4" s="166"/>
      <c r="G4" s="178"/>
      <c r="H4" s="178"/>
    </row>
    <row r="5" spans="1:10" ht="6.75" customHeight="1" x14ac:dyDescent="0.25">
      <c r="B5" s="6"/>
      <c r="C5" s="28"/>
      <c r="D5" s="63"/>
      <c r="E5" s="10"/>
      <c r="F5" s="447"/>
      <c r="G5" s="447"/>
      <c r="H5" s="166"/>
      <c r="I5" s="207"/>
      <c r="J5" s="17"/>
    </row>
    <row r="6" spans="1:10" ht="18" x14ac:dyDescent="0.25">
      <c r="A6" s="33" t="s">
        <v>324</v>
      </c>
      <c r="B6" s="33"/>
      <c r="C6" s="28"/>
      <c r="D6" s="63"/>
      <c r="E6" s="10"/>
      <c r="F6" s="447"/>
      <c r="G6" s="447"/>
      <c r="H6" s="166"/>
      <c r="I6" s="207"/>
      <c r="J6" s="17"/>
    </row>
    <row r="7" spans="1:10" ht="15" thickBot="1" x14ac:dyDescent="0.25">
      <c r="A7" s="421" t="s">
        <v>719</v>
      </c>
      <c r="B7" s="584"/>
      <c r="C7" s="584"/>
      <c r="D7" s="671"/>
      <c r="E7" s="585"/>
      <c r="H7" s="1204"/>
      <c r="I7" s="673" t="s">
        <v>148</v>
      </c>
    </row>
    <row r="8" spans="1:10" s="106" customFormat="1" ht="20.25" customHeight="1" thickTop="1" thickBot="1" x14ac:dyDescent="0.25">
      <c r="A8" s="586" t="s">
        <v>565</v>
      </c>
      <c r="B8" s="658" t="s">
        <v>149</v>
      </c>
      <c r="C8" s="587" t="s">
        <v>150</v>
      </c>
      <c r="D8" s="589" t="s">
        <v>639</v>
      </c>
      <c r="E8" s="589" t="s">
        <v>151</v>
      </c>
      <c r="F8" s="589" t="s">
        <v>569</v>
      </c>
      <c r="G8" s="589" t="s">
        <v>570</v>
      </c>
      <c r="H8" s="589" t="s">
        <v>797</v>
      </c>
      <c r="I8" s="674" t="s">
        <v>798</v>
      </c>
    </row>
    <row r="9" spans="1:10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26">
        <v>5</v>
      </c>
      <c r="F9" s="512">
        <v>6</v>
      </c>
      <c r="G9" s="512">
        <v>7</v>
      </c>
      <c r="H9" s="513">
        <v>8</v>
      </c>
      <c r="I9" s="591" t="s">
        <v>689</v>
      </c>
    </row>
    <row r="10" spans="1:10" ht="15.75" thickTop="1" x14ac:dyDescent="0.25">
      <c r="A10" s="1126">
        <v>1500</v>
      </c>
      <c r="B10" s="617">
        <v>3111</v>
      </c>
      <c r="C10" s="617">
        <v>5213</v>
      </c>
      <c r="D10" s="675"/>
      <c r="E10" s="664" t="s">
        <v>1054</v>
      </c>
      <c r="F10" s="676"/>
      <c r="G10" s="676">
        <f>SUM(G11:G12)</f>
        <v>1415</v>
      </c>
      <c r="H10" s="676">
        <f>SUM(H11:H12)</f>
        <v>1415</v>
      </c>
      <c r="I10" s="677">
        <f>(H10/G10)*100</f>
        <v>100</v>
      </c>
    </row>
    <row r="11" spans="1:10" ht="29.25" x14ac:dyDescent="0.25">
      <c r="A11" s="420"/>
      <c r="B11" s="617"/>
      <c r="C11" s="617"/>
      <c r="D11" s="649" t="s">
        <v>1851</v>
      </c>
      <c r="E11" s="2900" t="s">
        <v>1852</v>
      </c>
      <c r="F11" s="676"/>
      <c r="G11" s="1117">
        <v>16</v>
      </c>
      <c r="H11" s="2892">
        <v>16</v>
      </c>
      <c r="I11" s="1063">
        <f>(H11/G11)*100</f>
        <v>100</v>
      </c>
    </row>
    <row r="12" spans="1:10" ht="15.75" thickBot="1" x14ac:dyDescent="0.3">
      <c r="A12" s="420"/>
      <c r="B12" s="617"/>
      <c r="C12" s="617"/>
      <c r="D12" s="518" t="s">
        <v>1853</v>
      </c>
      <c r="E12" s="441" t="s">
        <v>2</v>
      </c>
      <c r="F12" s="676"/>
      <c r="G12" s="352">
        <v>1399</v>
      </c>
      <c r="H12" s="678">
        <v>1399</v>
      </c>
      <c r="I12" s="679">
        <f>(H12/G12)*100</f>
        <v>100</v>
      </c>
    </row>
    <row r="13" spans="1:10" ht="18" customHeight="1" thickTop="1" thickBot="1" x14ac:dyDescent="0.3">
      <c r="A13" s="3110" t="s">
        <v>1000</v>
      </c>
      <c r="B13" s="3111"/>
      <c r="C13" s="3111"/>
      <c r="D13" s="3111"/>
      <c r="E13" s="3111"/>
      <c r="F13" s="680">
        <f>SUM(F10)</f>
        <v>0</v>
      </c>
      <c r="G13" s="680">
        <f>SUM(G10)</f>
        <v>1415</v>
      </c>
      <c r="H13" s="680">
        <f>SUM(H10)</f>
        <v>1415</v>
      </c>
      <c r="I13" s="681">
        <f>(H13/G13)*100</f>
        <v>100</v>
      </c>
    </row>
    <row r="14" spans="1:10" ht="15" thickTop="1" x14ac:dyDescent="0.2"/>
    <row r="16" spans="1:10" ht="13.5" customHeight="1" thickBot="1" x14ac:dyDescent="0.25">
      <c r="A16" s="421" t="s">
        <v>1729</v>
      </c>
      <c r="I16" s="673" t="s">
        <v>148</v>
      </c>
    </row>
    <row r="17" spans="1:9" s="106" customFormat="1" ht="20.25" customHeight="1" thickTop="1" thickBot="1" x14ac:dyDescent="0.25">
      <c r="A17" s="586" t="s">
        <v>565</v>
      </c>
      <c r="B17" s="658" t="s">
        <v>149</v>
      </c>
      <c r="C17" s="587" t="s">
        <v>150</v>
      </c>
      <c r="D17" s="589" t="s">
        <v>639</v>
      </c>
      <c r="E17" s="589" t="s">
        <v>151</v>
      </c>
      <c r="F17" s="589" t="s">
        <v>569</v>
      </c>
      <c r="G17" s="589" t="s">
        <v>570</v>
      </c>
      <c r="H17" s="589" t="s">
        <v>797</v>
      </c>
      <c r="I17" s="674" t="s">
        <v>798</v>
      </c>
    </row>
    <row r="18" spans="1:9" s="375" customFormat="1" ht="13.5" thickTop="1" thickBot="1" x14ac:dyDescent="0.25">
      <c r="A18" s="525">
        <v>1</v>
      </c>
      <c r="B18" s="526">
        <v>2</v>
      </c>
      <c r="C18" s="526">
        <v>3</v>
      </c>
      <c r="D18" s="526">
        <v>4</v>
      </c>
      <c r="E18" s="526">
        <v>5</v>
      </c>
      <c r="F18" s="512">
        <v>6</v>
      </c>
      <c r="G18" s="512">
        <v>7</v>
      </c>
      <c r="H18" s="513">
        <v>8</v>
      </c>
      <c r="I18" s="591" t="s">
        <v>689</v>
      </c>
    </row>
    <row r="19" spans="1:9" ht="15.75" thickTop="1" x14ac:dyDescent="0.25">
      <c r="A19" s="420">
        <v>1502</v>
      </c>
      <c r="B19" s="617">
        <v>3111</v>
      </c>
      <c r="C19" s="617">
        <v>5213</v>
      </c>
      <c r="D19" s="675"/>
      <c r="E19" s="664" t="s">
        <v>1054</v>
      </c>
      <c r="F19" s="676"/>
      <c r="G19" s="676">
        <f>SUM(G20:G21)</f>
        <v>1575</v>
      </c>
      <c r="H19" s="676">
        <f>SUM(H20:H21)</f>
        <v>1575</v>
      </c>
      <c r="I19" s="682">
        <f t="shared" ref="I19:I24" si="0">(H19/G19)*100</f>
        <v>100</v>
      </c>
    </row>
    <row r="20" spans="1:9" ht="28.5" x14ac:dyDescent="0.2">
      <c r="A20" s="420"/>
      <c r="B20" s="617"/>
      <c r="C20" s="617"/>
      <c r="D20" s="649" t="s">
        <v>1851</v>
      </c>
      <c r="E20" s="2900" t="s">
        <v>1852</v>
      </c>
      <c r="F20" s="683"/>
      <c r="G20" s="1067">
        <v>27</v>
      </c>
      <c r="H20" s="1067">
        <v>27</v>
      </c>
      <c r="I20" s="1066">
        <f t="shared" si="0"/>
        <v>100</v>
      </c>
    </row>
    <row r="21" spans="1:9" ht="15.75" customHeight="1" x14ac:dyDescent="0.2">
      <c r="A21" s="420"/>
      <c r="B21" s="617"/>
      <c r="C21" s="617"/>
      <c r="D21" s="518" t="s">
        <v>1853</v>
      </c>
      <c r="E21" s="441" t="s">
        <v>2</v>
      </c>
      <c r="F21" s="683"/>
      <c r="G21" s="683">
        <v>1548</v>
      </c>
      <c r="H21" s="683">
        <v>1548</v>
      </c>
      <c r="I21" s="684">
        <f t="shared" si="0"/>
        <v>100</v>
      </c>
    </row>
    <row r="22" spans="1:9" ht="15" x14ac:dyDescent="0.25">
      <c r="A22" s="420">
        <v>1502</v>
      </c>
      <c r="B22" s="617">
        <v>3141</v>
      </c>
      <c r="C22" s="1127">
        <v>5213</v>
      </c>
      <c r="D22" s="685"/>
      <c r="E22" s="664" t="s">
        <v>1054</v>
      </c>
      <c r="F22" s="676"/>
      <c r="G22" s="676">
        <f>G23</f>
        <v>252</v>
      </c>
      <c r="H22" s="676">
        <f>H23</f>
        <v>252</v>
      </c>
      <c r="I22" s="677">
        <f t="shared" si="0"/>
        <v>100</v>
      </c>
    </row>
    <row r="23" spans="1:9" ht="18" customHeight="1" thickBot="1" x14ac:dyDescent="0.25">
      <c r="A23" s="1143"/>
      <c r="B23" s="686"/>
      <c r="C23" s="686"/>
      <c r="D23" s="518" t="s">
        <v>1853</v>
      </c>
      <c r="E23" s="441" t="s">
        <v>2</v>
      </c>
      <c r="F23" s="687"/>
      <c r="G23" s="687">
        <v>252</v>
      </c>
      <c r="H23" s="687">
        <v>252</v>
      </c>
      <c r="I23" s="688">
        <f t="shared" si="0"/>
        <v>100</v>
      </c>
    </row>
    <row r="24" spans="1:9" ht="16.5" thickTop="1" thickBot="1" x14ac:dyDescent="0.3">
      <c r="A24" s="3110" t="s">
        <v>1000</v>
      </c>
      <c r="B24" s="3111"/>
      <c r="C24" s="3111"/>
      <c r="D24" s="3111"/>
      <c r="E24" s="3111"/>
      <c r="F24" s="680">
        <f>SUM(F19,F22)</f>
        <v>0</v>
      </c>
      <c r="G24" s="680">
        <f>SUM(G19,G22)</f>
        <v>1827</v>
      </c>
      <c r="H24" s="680">
        <f>SUM(H19,H22)</f>
        <v>1827</v>
      </c>
      <c r="I24" s="681">
        <f t="shared" si="0"/>
        <v>100</v>
      </c>
    </row>
    <row r="25" spans="1:9" ht="15" thickTop="1" x14ac:dyDescent="0.2"/>
    <row r="27" spans="1:9" ht="20.25" customHeight="1" thickBot="1" x14ac:dyDescent="0.25">
      <c r="A27" s="421" t="s">
        <v>720</v>
      </c>
      <c r="I27" s="673" t="s">
        <v>148</v>
      </c>
    </row>
    <row r="28" spans="1:9" s="106" customFormat="1" ht="12.75" thickTop="1" thickBot="1" x14ac:dyDescent="0.25">
      <c r="A28" s="586" t="s">
        <v>565</v>
      </c>
      <c r="B28" s="658" t="s">
        <v>149</v>
      </c>
      <c r="C28" s="587" t="s">
        <v>150</v>
      </c>
      <c r="D28" s="589" t="s">
        <v>639</v>
      </c>
      <c r="E28" s="589" t="s">
        <v>151</v>
      </c>
      <c r="F28" s="589" t="s">
        <v>569</v>
      </c>
      <c r="G28" s="589" t="s">
        <v>570</v>
      </c>
      <c r="H28" s="589" t="s">
        <v>797</v>
      </c>
      <c r="I28" s="674" t="s">
        <v>798</v>
      </c>
    </row>
    <row r="29" spans="1:9" s="375" customFormat="1" ht="15" customHeight="1" thickTop="1" thickBot="1" x14ac:dyDescent="0.25">
      <c r="A29" s="525">
        <v>1</v>
      </c>
      <c r="B29" s="526">
        <v>2</v>
      </c>
      <c r="C29" s="526">
        <v>3</v>
      </c>
      <c r="D29" s="526">
        <v>4</v>
      </c>
      <c r="E29" s="526">
        <v>5</v>
      </c>
      <c r="F29" s="512">
        <v>6</v>
      </c>
      <c r="G29" s="512">
        <v>7</v>
      </c>
      <c r="H29" s="513">
        <v>8</v>
      </c>
      <c r="I29" s="591" t="s">
        <v>689</v>
      </c>
    </row>
    <row r="30" spans="1:9" s="106" customFormat="1" ht="15.75" thickTop="1" x14ac:dyDescent="0.25">
      <c r="A30" s="420">
        <v>1503</v>
      </c>
      <c r="B30" s="617">
        <v>3112</v>
      </c>
      <c r="C30" s="617">
        <v>5213</v>
      </c>
      <c r="D30" s="675"/>
      <c r="E30" s="664" t="s">
        <v>1054</v>
      </c>
      <c r="F30" s="676"/>
      <c r="G30" s="676">
        <f>SUM(G31:G33)</f>
        <v>3290</v>
      </c>
      <c r="H30" s="676">
        <f>SUM(H31:H33)</f>
        <v>3290</v>
      </c>
      <c r="I30" s="677">
        <f t="shared" ref="I30:I36" si="1">(H30/G30)*100</f>
        <v>100</v>
      </c>
    </row>
    <row r="31" spans="1:9" s="106" customFormat="1" ht="29.25" x14ac:dyDescent="0.25">
      <c r="A31" s="420"/>
      <c r="B31" s="651"/>
      <c r="C31" s="651"/>
      <c r="D31" s="649" t="s">
        <v>1851</v>
      </c>
      <c r="E31" s="2900" t="s">
        <v>1852</v>
      </c>
      <c r="F31" s="690"/>
      <c r="G31" s="689">
        <v>36</v>
      </c>
      <c r="H31" s="689">
        <v>36</v>
      </c>
      <c r="I31" s="1066">
        <f t="shared" si="1"/>
        <v>100</v>
      </c>
    </row>
    <row r="32" spans="1:9" ht="15.75" customHeight="1" x14ac:dyDescent="0.2">
      <c r="A32" s="420"/>
      <c r="B32" s="651"/>
      <c r="C32" s="651"/>
      <c r="D32" s="518" t="s">
        <v>1853</v>
      </c>
      <c r="E32" s="441" t="s">
        <v>2</v>
      </c>
      <c r="F32" s="689"/>
      <c r="G32" s="689">
        <v>3196</v>
      </c>
      <c r="H32" s="689">
        <v>3196</v>
      </c>
      <c r="I32" s="684">
        <f t="shared" si="1"/>
        <v>100</v>
      </c>
    </row>
    <row r="33" spans="1:9" x14ac:dyDescent="0.2">
      <c r="A33" s="420"/>
      <c r="B33" s="651"/>
      <c r="C33" s="651"/>
      <c r="D33" s="649" t="s">
        <v>1854</v>
      </c>
      <c r="E33" s="1189" t="s">
        <v>1</v>
      </c>
      <c r="F33" s="689"/>
      <c r="G33" s="689">
        <v>58</v>
      </c>
      <c r="H33" s="689">
        <v>58</v>
      </c>
      <c r="I33" s="684">
        <f t="shared" si="1"/>
        <v>100</v>
      </c>
    </row>
    <row r="34" spans="1:9" ht="18" customHeight="1" x14ac:dyDescent="0.25">
      <c r="A34" s="420">
        <v>1503</v>
      </c>
      <c r="B34" s="617">
        <v>3141</v>
      </c>
      <c r="C34" s="1127">
        <v>5213</v>
      </c>
      <c r="D34" s="685"/>
      <c r="E34" s="664" t="s">
        <v>1054</v>
      </c>
      <c r="F34" s="676"/>
      <c r="G34" s="676">
        <f>SUM(G35:G35)</f>
        <v>119</v>
      </c>
      <c r="H34" s="676">
        <f>SUM(H35:H35)</f>
        <v>119</v>
      </c>
      <c r="I34" s="677">
        <f t="shared" si="1"/>
        <v>100</v>
      </c>
    </row>
    <row r="35" spans="1:9" ht="15" thickBot="1" x14ac:dyDescent="0.25">
      <c r="A35" s="1143"/>
      <c r="B35" s="686"/>
      <c r="C35" s="686"/>
      <c r="D35" s="518" t="s">
        <v>1853</v>
      </c>
      <c r="E35" s="441" t="s">
        <v>2</v>
      </c>
      <c r="F35" s="687"/>
      <c r="G35" s="687">
        <v>119</v>
      </c>
      <c r="H35" s="687">
        <v>119</v>
      </c>
      <c r="I35" s="688">
        <f t="shared" si="1"/>
        <v>100</v>
      </c>
    </row>
    <row r="36" spans="1:9" ht="16.5" thickTop="1" thickBot="1" x14ac:dyDescent="0.3">
      <c r="A36" s="3110" t="s">
        <v>1000</v>
      </c>
      <c r="B36" s="3111"/>
      <c r="C36" s="3111"/>
      <c r="D36" s="3111"/>
      <c r="E36" s="3111"/>
      <c r="F36" s="680">
        <v>0</v>
      </c>
      <c r="G36" s="680">
        <f>SUM(G30,G34)</f>
        <v>3409</v>
      </c>
      <c r="H36" s="680">
        <f>SUM(H30,H34)</f>
        <v>3409</v>
      </c>
      <c r="I36" s="681">
        <f t="shared" si="1"/>
        <v>100</v>
      </c>
    </row>
    <row r="37" spans="1:9" ht="20.25" customHeight="1" thickTop="1" x14ac:dyDescent="0.2"/>
    <row r="38" spans="1:9" ht="20.25" customHeight="1" x14ac:dyDescent="0.2"/>
    <row r="39" spans="1:9" ht="15" thickBot="1" x14ac:dyDescent="0.25">
      <c r="A39" s="421" t="s">
        <v>407</v>
      </c>
      <c r="I39" s="673" t="s">
        <v>148</v>
      </c>
    </row>
    <row r="40" spans="1:9" s="106" customFormat="1" ht="12.75" thickTop="1" thickBot="1" x14ac:dyDescent="0.25">
      <c r="A40" s="586" t="s">
        <v>565</v>
      </c>
      <c r="B40" s="658" t="s">
        <v>149</v>
      </c>
      <c r="C40" s="587" t="s">
        <v>150</v>
      </c>
      <c r="D40" s="589" t="s">
        <v>639</v>
      </c>
      <c r="E40" s="589" t="s">
        <v>151</v>
      </c>
      <c r="F40" s="589" t="s">
        <v>569</v>
      </c>
      <c r="G40" s="589" t="s">
        <v>570</v>
      </c>
      <c r="H40" s="589" t="s">
        <v>797</v>
      </c>
      <c r="I40" s="674" t="s">
        <v>798</v>
      </c>
    </row>
    <row r="41" spans="1:9" s="375" customFormat="1" ht="13.5" thickTop="1" thickBot="1" x14ac:dyDescent="0.25">
      <c r="A41" s="525">
        <v>1</v>
      </c>
      <c r="B41" s="526">
        <v>2</v>
      </c>
      <c r="C41" s="526">
        <v>3</v>
      </c>
      <c r="D41" s="526">
        <v>4</v>
      </c>
      <c r="E41" s="526">
        <v>5</v>
      </c>
      <c r="F41" s="512">
        <v>6</v>
      </c>
      <c r="G41" s="512">
        <v>7</v>
      </c>
      <c r="H41" s="513">
        <v>8</v>
      </c>
      <c r="I41" s="591" t="s">
        <v>689</v>
      </c>
    </row>
    <row r="42" spans="1:9" ht="15.75" thickTop="1" x14ac:dyDescent="0.25">
      <c r="A42" s="420">
        <v>1504</v>
      </c>
      <c r="B42" s="617">
        <v>3111</v>
      </c>
      <c r="C42" s="617">
        <v>5221</v>
      </c>
      <c r="D42" s="675"/>
      <c r="E42" s="664" t="s">
        <v>1055</v>
      </c>
      <c r="F42" s="676"/>
      <c r="G42" s="676">
        <f>G44+G45+G43</f>
        <v>1006</v>
      </c>
      <c r="H42" s="676">
        <f>H44+H45+H43</f>
        <v>1006</v>
      </c>
      <c r="I42" s="682">
        <f t="shared" ref="I42:I48" si="2">(H42/G42)*100</f>
        <v>100</v>
      </c>
    </row>
    <row r="43" spans="1:9" ht="29.25" x14ac:dyDescent="0.25">
      <c r="A43" s="420"/>
      <c r="B43" s="651"/>
      <c r="C43" s="651"/>
      <c r="D43" s="649" t="s">
        <v>1851</v>
      </c>
      <c r="E43" s="2900" t="s">
        <v>1852</v>
      </c>
      <c r="F43" s="690"/>
      <c r="G43" s="1062">
        <v>16</v>
      </c>
      <c r="H43" s="1062">
        <v>16</v>
      </c>
      <c r="I43" s="1066">
        <f t="shared" si="2"/>
        <v>100</v>
      </c>
    </row>
    <row r="44" spans="1:9" ht="15.75" customHeight="1" x14ac:dyDescent="0.2">
      <c r="A44" s="420"/>
      <c r="B44" s="651"/>
      <c r="C44" s="651"/>
      <c r="D44" s="518" t="s">
        <v>1853</v>
      </c>
      <c r="E44" s="441" t="s">
        <v>2</v>
      </c>
      <c r="F44" s="689"/>
      <c r="G44" s="689">
        <v>911</v>
      </c>
      <c r="H44" s="689">
        <v>911</v>
      </c>
      <c r="I44" s="684">
        <f t="shared" si="2"/>
        <v>100</v>
      </c>
    </row>
    <row r="45" spans="1:9" x14ac:dyDescent="0.2">
      <c r="A45" s="420"/>
      <c r="B45" s="651"/>
      <c r="C45" s="651"/>
      <c r="D45" s="649" t="s">
        <v>1854</v>
      </c>
      <c r="E45" s="1189" t="s">
        <v>1</v>
      </c>
      <c r="F45" s="689"/>
      <c r="G45" s="689">
        <v>79</v>
      </c>
      <c r="H45" s="689">
        <v>79</v>
      </c>
      <c r="I45" s="684">
        <f t="shared" si="2"/>
        <v>100</v>
      </c>
    </row>
    <row r="46" spans="1:9" ht="18" customHeight="1" x14ac:dyDescent="0.25">
      <c r="A46" s="420">
        <v>1504</v>
      </c>
      <c r="B46" s="617">
        <v>3141</v>
      </c>
      <c r="C46" s="1127">
        <v>5221</v>
      </c>
      <c r="D46" s="685"/>
      <c r="E46" s="616" t="s">
        <v>1055</v>
      </c>
      <c r="F46" s="676"/>
      <c r="G46" s="676">
        <f>G47</f>
        <v>42</v>
      </c>
      <c r="H46" s="676">
        <f>H47</f>
        <v>42</v>
      </c>
      <c r="I46" s="677">
        <f t="shared" si="2"/>
        <v>100</v>
      </c>
    </row>
    <row r="47" spans="1:9" ht="15" thickBot="1" x14ac:dyDescent="0.25">
      <c r="A47" s="1143"/>
      <c r="B47" s="686"/>
      <c r="C47" s="686"/>
      <c r="D47" s="518" t="s">
        <v>1853</v>
      </c>
      <c r="E47" s="441" t="s">
        <v>2</v>
      </c>
      <c r="F47" s="687"/>
      <c r="G47" s="687">
        <v>42</v>
      </c>
      <c r="H47" s="687">
        <v>42</v>
      </c>
      <c r="I47" s="688">
        <f t="shared" si="2"/>
        <v>100</v>
      </c>
    </row>
    <row r="48" spans="1:9" ht="16.5" thickTop="1" thickBot="1" x14ac:dyDescent="0.3">
      <c r="A48" s="3110" t="s">
        <v>1000</v>
      </c>
      <c r="B48" s="3111"/>
      <c r="C48" s="3111"/>
      <c r="D48" s="3111"/>
      <c r="E48" s="3111"/>
      <c r="F48" s="680">
        <f>SUM(F42,F46)</f>
        <v>0</v>
      </c>
      <c r="G48" s="680">
        <f>G42+G46</f>
        <v>1048</v>
      </c>
      <c r="H48" s="680">
        <f>H42+H46</f>
        <v>1048</v>
      </c>
      <c r="I48" s="681">
        <f t="shared" si="2"/>
        <v>100</v>
      </c>
    </row>
    <row r="49" spans="1:9" ht="15" thickTop="1" x14ac:dyDescent="0.2"/>
    <row r="51" spans="1:9" ht="15" thickBot="1" x14ac:dyDescent="0.25">
      <c r="A51" s="421" t="s">
        <v>1090</v>
      </c>
      <c r="I51" s="673" t="s">
        <v>148</v>
      </c>
    </row>
    <row r="52" spans="1:9" thickTop="1" thickBot="1" x14ac:dyDescent="0.25">
      <c r="A52" s="586" t="s">
        <v>565</v>
      </c>
      <c r="B52" s="658" t="s">
        <v>149</v>
      </c>
      <c r="C52" s="587" t="s">
        <v>150</v>
      </c>
      <c r="D52" s="589" t="s">
        <v>639</v>
      </c>
      <c r="E52" s="589" t="s">
        <v>151</v>
      </c>
      <c r="F52" s="589" t="s">
        <v>569</v>
      </c>
      <c r="G52" s="589" t="s">
        <v>570</v>
      </c>
      <c r="H52" s="589" t="s">
        <v>797</v>
      </c>
      <c r="I52" s="674" t="s">
        <v>798</v>
      </c>
    </row>
    <row r="53" spans="1:9" thickTop="1" thickBot="1" x14ac:dyDescent="0.25">
      <c r="A53" s="525">
        <v>1</v>
      </c>
      <c r="B53" s="526">
        <v>2</v>
      </c>
      <c r="C53" s="526">
        <v>3</v>
      </c>
      <c r="D53" s="526">
        <v>4</v>
      </c>
      <c r="E53" s="526">
        <v>5</v>
      </c>
      <c r="F53" s="512">
        <v>6</v>
      </c>
      <c r="G53" s="512">
        <v>7</v>
      </c>
      <c r="H53" s="513">
        <v>8</v>
      </c>
      <c r="I53" s="591" t="s">
        <v>689</v>
      </c>
    </row>
    <row r="54" spans="1:9" ht="15.75" thickTop="1" x14ac:dyDescent="0.25">
      <c r="A54" s="420">
        <v>1506</v>
      </c>
      <c r="B54" s="617">
        <v>3111</v>
      </c>
      <c r="C54" s="617">
        <v>5213</v>
      </c>
      <c r="D54" s="675"/>
      <c r="E54" s="664" t="s">
        <v>1054</v>
      </c>
      <c r="F54" s="676"/>
      <c r="G54" s="676">
        <f>SUM(G55:G56)</f>
        <v>708</v>
      </c>
      <c r="H54" s="676">
        <f>SUM(H55:H56)</f>
        <v>708</v>
      </c>
      <c r="I54" s="682">
        <f t="shared" ref="I54:I59" si="3">(H54/G54)*100</f>
        <v>100</v>
      </c>
    </row>
    <row r="55" spans="1:9" ht="29.25" x14ac:dyDescent="0.25">
      <c r="A55" s="420"/>
      <c r="B55" s="651"/>
      <c r="C55" s="651"/>
      <c r="D55" s="649" t="s">
        <v>1851</v>
      </c>
      <c r="E55" s="2900" t="s">
        <v>1852</v>
      </c>
      <c r="F55" s="690"/>
      <c r="G55" s="1062">
        <v>27</v>
      </c>
      <c r="H55" s="1062">
        <v>27</v>
      </c>
      <c r="I55" s="1066">
        <f t="shared" si="3"/>
        <v>100</v>
      </c>
    </row>
    <row r="56" spans="1:9" x14ac:dyDescent="0.2">
      <c r="A56" s="420"/>
      <c r="B56" s="651"/>
      <c r="C56" s="651"/>
      <c r="D56" s="518" t="s">
        <v>1853</v>
      </c>
      <c r="E56" s="441" t="s">
        <v>2</v>
      </c>
      <c r="F56" s="689"/>
      <c r="G56" s="689">
        <v>681</v>
      </c>
      <c r="H56" s="689">
        <v>681</v>
      </c>
      <c r="I56" s="684">
        <f t="shared" si="3"/>
        <v>100</v>
      </c>
    </row>
    <row r="57" spans="1:9" ht="15" x14ac:dyDescent="0.25">
      <c r="A57" s="420">
        <v>1506</v>
      </c>
      <c r="B57" s="651">
        <v>3141</v>
      </c>
      <c r="C57" s="651">
        <v>5213</v>
      </c>
      <c r="D57" s="518"/>
      <c r="E57" s="664" t="s">
        <v>1054</v>
      </c>
      <c r="F57" s="689"/>
      <c r="G57" s="700">
        <f>G58</f>
        <v>33</v>
      </c>
      <c r="H57" s="700">
        <f>H58</f>
        <v>33</v>
      </c>
      <c r="I57" s="677">
        <f t="shared" si="3"/>
        <v>100</v>
      </c>
    </row>
    <row r="58" spans="1:9" ht="15" thickBot="1" x14ac:dyDescent="0.25">
      <c r="A58" s="420"/>
      <c r="B58" s="651"/>
      <c r="C58" s="651"/>
      <c r="D58" s="518" t="s">
        <v>1853</v>
      </c>
      <c r="E58" s="441" t="s">
        <v>2</v>
      </c>
      <c r="F58" s="689"/>
      <c r="G58" s="689">
        <v>33</v>
      </c>
      <c r="H58" s="689">
        <v>33</v>
      </c>
      <c r="I58" s="684">
        <f t="shared" si="3"/>
        <v>100</v>
      </c>
    </row>
    <row r="59" spans="1:9" ht="16.5" thickTop="1" thickBot="1" x14ac:dyDescent="0.3">
      <c r="A59" s="3110" t="s">
        <v>1000</v>
      </c>
      <c r="B59" s="3111"/>
      <c r="C59" s="3111"/>
      <c r="D59" s="3111"/>
      <c r="E59" s="3111"/>
      <c r="F59" s="680">
        <v>0</v>
      </c>
      <c r="G59" s="680">
        <f>G54+G57</f>
        <v>741</v>
      </c>
      <c r="H59" s="680">
        <f>H54+H57</f>
        <v>741</v>
      </c>
      <c r="I59" s="681">
        <f t="shared" si="3"/>
        <v>100</v>
      </c>
    </row>
    <row r="60" spans="1:9" ht="15" thickTop="1" x14ac:dyDescent="0.2"/>
    <row r="66" spans="1:9" ht="15" thickBot="1" x14ac:dyDescent="0.25">
      <c r="A66" s="421" t="s">
        <v>1296</v>
      </c>
      <c r="I66" s="673" t="s">
        <v>148</v>
      </c>
    </row>
    <row r="67" spans="1:9" s="106" customFormat="1" ht="15.75" customHeight="1" thickTop="1" thickBot="1" x14ac:dyDescent="0.25">
      <c r="A67" s="586" t="s">
        <v>565</v>
      </c>
      <c r="B67" s="658" t="s">
        <v>149</v>
      </c>
      <c r="C67" s="587" t="s">
        <v>150</v>
      </c>
      <c r="D67" s="589" t="s">
        <v>639</v>
      </c>
      <c r="E67" s="589" t="s">
        <v>151</v>
      </c>
      <c r="F67" s="589" t="s">
        <v>569</v>
      </c>
      <c r="G67" s="589" t="s">
        <v>570</v>
      </c>
      <c r="H67" s="589" t="s">
        <v>797</v>
      </c>
      <c r="I67" s="674" t="s">
        <v>798</v>
      </c>
    </row>
    <row r="68" spans="1:9" s="375" customFormat="1" ht="13.5" thickTop="1" thickBot="1" x14ac:dyDescent="0.25">
      <c r="A68" s="525">
        <v>1</v>
      </c>
      <c r="B68" s="526">
        <v>2</v>
      </c>
      <c r="C68" s="526">
        <v>3</v>
      </c>
      <c r="D68" s="526">
        <v>4</v>
      </c>
      <c r="E68" s="526">
        <v>5</v>
      </c>
      <c r="F68" s="512">
        <v>6</v>
      </c>
      <c r="G68" s="512">
        <v>7</v>
      </c>
      <c r="H68" s="513">
        <v>8</v>
      </c>
      <c r="I68" s="591" t="s">
        <v>689</v>
      </c>
    </row>
    <row r="69" spans="1:9" ht="18" customHeight="1" thickTop="1" x14ac:dyDescent="0.25">
      <c r="A69" s="1126">
        <v>1507</v>
      </c>
      <c r="B69" s="617">
        <v>3111</v>
      </c>
      <c r="C69" s="617">
        <v>5213</v>
      </c>
      <c r="D69" s="694"/>
      <c r="E69" s="664" t="s">
        <v>1054</v>
      </c>
      <c r="F69" s="676"/>
      <c r="G69" s="676">
        <f>G71+G72+G70</f>
        <v>2056</v>
      </c>
      <c r="H69" s="676">
        <f>H71+H72+H70</f>
        <v>2056</v>
      </c>
      <c r="I69" s="682">
        <f t="shared" ref="I69:I75" si="4">(H69/G69)*100</f>
        <v>100</v>
      </c>
    </row>
    <row r="70" spans="1:9" ht="29.25" x14ac:dyDescent="0.25">
      <c r="A70" s="423"/>
      <c r="B70" s="695"/>
      <c r="C70" s="617"/>
      <c r="D70" s="649" t="s">
        <v>1851</v>
      </c>
      <c r="E70" s="2900" t="s">
        <v>1852</v>
      </c>
      <c r="F70" s="178"/>
      <c r="G70" s="1067">
        <v>40</v>
      </c>
      <c r="H70" s="2893">
        <v>40</v>
      </c>
      <c r="I70" s="1063">
        <f t="shared" si="4"/>
        <v>100</v>
      </c>
    </row>
    <row r="71" spans="1:9" x14ac:dyDescent="0.2">
      <c r="A71" s="423"/>
      <c r="B71" s="695"/>
      <c r="C71" s="617"/>
      <c r="D71" s="518" t="s">
        <v>1853</v>
      </c>
      <c r="E71" s="441" t="s">
        <v>2</v>
      </c>
      <c r="F71" s="696"/>
      <c r="G71" s="683">
        <v>1952</v>
      </c>
      <c r="H71" s="696">
        <v>1952</v>
      </c>
      <c r="I71" s="679">
        <f t="shared" si="4"/>
        <v>100</v>
      </c>
    </row>
    <row r="72" spans="1:9" x14ac:dyDescent="0.2">
      <c r="A72" s="420"/>
      <c r="B72" s="647"/>
      <c r="C72" s="617"/>
      <c r="D72" s="649" t="s">
        <v>1854</v>
      </c>
      <c r="E72" s="1189" t="s">
        <v>1</v>
      </c>
      <c r="F72" s="683"/>
      <c r="G72" s="689">
        <v>64</v>
      </c>
      <c r="H72" s="683">
        <v>64</v>
      </c>
      <c r="I72" s="679">
        <f t="shared" si="4"/>
        <v>100</v>
      </c>
    </row>
    <row r="73" spans="1:9" ht="15" x14ac:dyDescent="0.25">
      <c r="A73" s="420">
        <v>1507</v>
      </c>
      <c r="B73" s="651">
        <v>3141</v>
      </c>
      <c r="C73" s="617">
        <v>5213</v>
      </c>
      <c r="D73" s="675"/>
      <c r="E73" s="664" t="s">
        <v>1054</v>
      </c>
      <c r="F73" s="690"/>
      <c r="G73" s="690">
        <v>93</v>
      </c>
      <c r="H73" s="690">
        <v>93</v>
      </c>
      <c r="I73" s="691">
        <f t="shared" si="4"/>
        <v>100</v>
      </c>
    </row>
    <row r="74" spans="1:9" ht="15" thickBot="1" x14ac:dyDescent="0.25">
      <c r="A74" s="420"/>
      <c r="B74" s="651"/>
      <c r="C74" s="651"/>
      <c r="D74" s="640" t="s">
        <v>1853</v>
      </c>
      <c r="E74" s="441" t="s">
        <v>2</v>
      </c>
      <c r="F74" s="689"/>
      <c r="G74" s="689">
        <v>93</v>
      </c>
      <c r="H74" s="689">
        <v>93</v>
      </c>
      <c r="I74" s="684">
        <f t="shared" si="4"/>
        <v>100</v>
      </c>
    </row>
    <row r="75" spans="1:9" ht="16.5" thickTop="1" thickBot="1" x14ac:dyDescent="0.3">
      <c r="A75" s="3110" t="s">
        <v>1000</v>
      </c>
      <c r="B75" s="3111"/>
      <c r="C75" s="3111"/>
      <c r="D75" s="3111"/>
      <c r="E75" s="3111"/>
      <c r="F75" s="680">
        <f>SUM(F69,F73)</f>
        <v>0</v>
      </c>
      <c r="G75" s="680">
        <f>SUM(G69,G73)</f>
        <v>2149</v>
      </c>
      <c r="H75" s="680">
        <f>SUM(H69,H73,)</f>
        <v>2149</v>
      </c>
      <c r="I75" s="681">
        <f t="shared" si="4"/>
        <v>100</v>
      </c>
    </row>
    <row r="76" spans="1:9" ht="20.25" customHeight="1" thickTop="1" thickBot="1" x14ac:dyDescent="0.25">
      <c r="A76" s="421" t="s">
        <v>1726</v>
      </c>
      <c r="I76" s="673" t="s">
        <v>148</v>
      </c>
    </row>
    <row r="77" spans="1:9" s="106" customFormat="1" ht="12.75" thickTop="1" thickBot="1" x14ac:dyDescent="0.25">
      <c r="A77" s="586" t="s">
        <v>565</v>
      </c>
      <c r="B77" s="658" t="s">
        <v>149</v>
      </c>
      <c r="C77" s="587" t="s">
        <v>150</v>
      </c>
      <c r="D77" s="589" t="s">
        <v>639</v>
      </c>
      <c r="E77" s="589" t="s">
        <v>151</v>
      </c>
      <c r="F77" s="589" t="s">
        <v>569</v>
      </c>
      <c r="G77" s="589" t="s">
        <v>570</v>
      </c>
      <c r="H77" s="589" t="s">
        <v>797</v>
      </c>
      <c r="I77" s="674" t="s">
        <v>798</v>
      </c>
    </row>
    <row r="78" spans="1:9" s="375" customFormat="1" ht="13.5" thickTop="1" thickBot="1" x14ac:dyDescent="0.25">
      <c r="A78" s="525">
        <v>1</v>
      </c>
      <c r="B78" s="526">
        <v>2</v>
      </c>
      <c r="C78" s="526">
        <v>3</v>
      </c>
      <c r="D78" s="526">
        <v>4</v>
      </c>
      <c r="E78" s="526">
        <v>5</v>
      </c>
      <c r="F78" s="512">
        <v>6</v>
      </c>
      <c r="G78" s="512">
        <v>7</v>
      </c>
      <c r="H78" s="513">
        <v>8</v>
      </c>
      <c r="I78" s="591" t="s">
        <v>689</v>
      </c>
    </row>
    <row r="79" spans="1:9" ht="15.75" thickTop="1" x14ac:dyDescent="0.25">
      <c r="A79" s="1126">
        <v>1508</v>
      </c>
      <c r="B79" s="617">
        <v>3111</v>
      </c>
      <c r="C79" s="617">
        <v>5213</v>
      </c>
      <c r="D79" s="694"/>
      <c r="E79" s="664" t="s">
        <v>1054</v>
      </c>
      <c r="F79" s="676"/>
      <c r="G79" s="676">
        <f>G81+G80</f>
        <v>1329</v>
      </c>
      <c r="H79" s="676">
        <f>H81+H80</f>
        <v>1329</v>
      </c>
      <c r="I79" s="682">
        <f>(H79/G79)*100</f>
        <v>100</v>
      </c>
    </row>
    <row r="80" spans="1:9" ht="29.25" x14ac:dyDescent="0.25">
      <c r="A80" s="423"/>
      <c r="B80" s="695"/>
      <c r="C80" s="617"/>
      <c r="D80" s="649" t="s">
        <v>1851</v>
      </c>
      <c r="E80" s="2900" t="s">
        <v>1852</v>
      </c>
      <c r="F80" s="178"/>
      <c r="G80" s="1067">
        <v>17</v>
      </c>
      <c r="H80" s="2893">
        <v>17</v>
      </c>
      <c r="I80" s="1063">
        <f t="shared" ref="I80:I81" si="5">(H80/G80)*100</f>
        <v>100</v>
      </c>
    </row>
    <row r="81" spans="1:9" ht="15" x14ac:dyDescent="0.25">
      <c r="A81" s="423"/>
      <c r="B81" s="695"/>
      <c r="C81" s="617"/>
      <c r="D81" s="518" t="s">
        <v>1853</v>
      </c>
      <c r="E81" s="441" t="s">
        <v>2</v>
      </c>
      <c r="F81" s="178"/>
      <c r="G81" s="683">
        <v>1312</v>
      </c>
      <c r="H81" s="696">
        <v>1312</v>
      </c>
      <c r="I81" s="679">
        <f t="shared" si="5"/>
        <v>100</v>
      </c>
    </row>
    <row r="82" spans="1:9" ht="15" x14ac:dyDescent="0.25">
      <c r="A82" s="420">
        <v>1508</v>
      </c>
      <c r="B82" s="651">
        <v>3141</v>
      </c>
      <c r="C82" s="617">
        <v>5213</v>
      </c>
      <c r="D82" s="675"/>
      <c r="E82" s="664" t="s">
        <v>1054</v>
      </c>
      <c r="F82" s="690"/>
      <c r="G82" s="690">
        <f>G83</f>
        <v>66</v>
      </c>
      <c r="H82" s="690">
        <f>H83</f>
        <v>66</v>
      </c>
      <c r="I82" s="691">
        <f>(H82/G82)*100</f>
        <v>100</v>
      </c>
    </row>
    <row r="83" spans="1:9" ht="18" customHeight="1" thickBot="1" x14ac:dyDescent="0.25">
      <c r="A83" s="420"/>
      <c r="B83" s="651"/>
      <c r="C83" s="651"/>
      <c r="D83" s="640" t="s">
        <v>1853</v>
      </c>
      <c r="E83" s="2902" t="s">
        <v>2</v>
      </c>
      <c r="F83" s="689"/>
      <c r="G83" s="689">
        <v>66</v>
      </c>
      <c r="H83" s="689">
        <v>66</v>
      </c>
      <c r="I83" s="684">
        <f>(H83/G83)*100</f>
        <v>100</v>
      </c>
    </row>
    <row r="84" spans="1:9" ht="16.5" thickTop="1" thickBot="1" x14ac:dyDescent="0.3">
      <c r="A84" s="3110" t="s">
        <v>1000</v>
      </c>
      <c r="B84" s="3111"/>
      <c r="C84" s="3111"/>
      <c r="D84" s="3111"/>
      <c r="E84" s="3111"/>
      <c r="F84" s="680">
        <f>SUM(F79,F82)</f>
        <v>0</v>
      </c>
      <c r="G84" s="680">
        <f>SUM(G79,G82,)</f>
        <v>1395</v>
      </c>
      <c r="H84" s="680">
        <f>SUM(H79,H82,)</f>
        <v>1395</v>
      </c>
      <c r="I84" s="681">
        <f>(H84/G84)*100</f>
        <v>100</v>
      </c>
    </row>
    <row r="85" spans="1:9" ht="15" thickTop="1" x14ac:dyDescent="0.2"/>
    <row r="87" spans="1:9" ht="15" thickBot="1" x14ac:dyDescent="0.25">
      <c r="A87" s="421" t="s">
        <v>1408</v>
      </c>
      <c r="I87" s="673" t="s">
        <v>148</v>
      </c>
    </row>
    <row r="88" spans="1:9" s="106" customFormat="1" ht="20.25" customHeight="1" thickTop="1" thickBot="1" x14ac:dyDescent="0.25">
      <c r="A88" s="586" t="s">
        <v>565</v>
      </c>
      <c r="B88" s="658" t="s">
        <v>149</v>
      </c>
      <c r="C88" s="587" t="s">
        <v>150</v>
      </c>
      <c r="D88" s="589" t="s">
        <v>639</v>
      </c>
      <c r="E88" s="589" t="s">
        <v>151</v>
      </c>
      <c r="F88" s="589" t="s">
        <v>569</v>
      </c>
      <c r="G88" s="589" t="s">
        <v>570</v>
      </c>
      <c r="H88" s="589" t="s">
        <v>797</v>
      </c>
      <c r="I88" s="674" t="s">
        <v>798</v>
      </c>
    </row>
    <row r="89" spans="1:9" s="375" customFormat="1" ht="13.5" thickTop="1" thickBot="1" x14ac:dyDescent="0.25">
      <c r="A89" s="525">
        <v>1</v>
      </c>
      <c r="B89" s="526">
        <v>2</v>
      </c>
      <c r="C89" s="526">
        <v>3</v>
      </c>
      <c r="D89" s="526">
        <v>4</v>
      </c>
      <c r="E89" s="526">
        <v>5</v>
      </c>
      <c r="F89" s="512">
        <v>6</v>
      </c>
      <c r="G89" s="512">
        <v>7</v>
      </c>
      <c r="H89" s="513">
        <v>8</v>
      </c>
      <c r="I89" s="591" t="s">
        <v>689</v>
      </c>
    </row>
    <row r="90" spans="1:9" ht="15" customHeight="1" thickTop="1" x14ac:dyDescent="0.25">
      <c r="A90" s="1126">
        <v>1509</v>
      </c>
      <c r="B90" s="617">
        <v>3111</v>
      </c>
      <c r="C90" s="617">
        <v>5213</v>
      </c>
      <c r="D90" s="694"/>
      <c r="E90" s="664" t="s">
        <v>1054</v>
      </c>
      <c r="F90" s="676"/>
      <c r="G90" s="676">
        <f>G92+G93+G91</f>
        <v>1843</v>
      </c>
      <c r="H90" s="676">
        <f>H92+H93+H91</f>
        <v>1843</v>
      </c>
      <c r="I90" s="682">
        <f t="shared" ref="I90:I96" si="6">(H90/G90)*100</f>
        <v>100</v>
      </c>
    </row>
    <row r="91" spans="1:9" ht="29.25" x14ac:dyDescent="0.25">
      <c r="A91" s="423"/>
      <c r="B91" s="695"/>
      <c r="C91" s="617"/>
      <c r="D91" s="649" t="s">
        <v>1851</v>
      </c>
      <c r="E91" s="2900" t="s">
        <v>1852</v>
      </c>
      <c r="F91" s="178"/>
      <c r="G91" s="1067">
        <v>24</v>
      </c>
      <c r="H91" s="2893">
        <v>24</v>
      </c>
      <c r="I91" s="1063">
        <f t="shared" si="6"/>
        <v>100</v>
      </c>
    </row>
    <row r="92" spans="1:9" x14ac:dyDescent="0.2">
      <c r="A92" s="423"/>
      <c r="B92" s="695"/>
      <c r="C92" s="617"/>
      <c r="D92" s="518" t="s">
        <v>1853</v>
      </c>
      <c r="E92" s="441" t="s">
        <v>2</v>
      </c>
      <c r="F92" s="696"/>
      <c r="G92" s="683">
        <v>1754</v>
      </c>
      <c r="H92" s="696">
        <v>1754</v>
      </c>
      <c r="I92" s="679">
        <f t="shared" si="6"/>
        <v>100</v>
      </c>
    </row>
    <row r="93" spans="1:9" x14ac:dyDescent="0.2">
      <c r="A93" s="420"/>
      <c r="B93" s="647"/>
      <c r="C93" s="617"/>
      <c r="D93" s="649" t="s">
        <v>1854</v>
      </c>
      <c r="E93" s="1189" t="s">
        <v>1</v>
      </c>
      <c r="F93" s="683"/>
      <c r="G93" s="689">
        <v>65</v>
      </c>
      <c r="H93" s="696">
        <v>65</v>
      </c>
      <c r="I93" s="679">
        <f t="shared" si="6"/>
        <v>100</v>
      </c>
    </row>
    <row r="94" spans="1:9" ht="15" x14ac:dyDescent="0.25">
      <c r="A94" s="420">
        <v>1509</v>
      </c>
      <c r="B94" s="651">
        <v>3141</v>
      </c>
      <c r="C94" s="617">
        <v>5213</v>
      </c>
      <c r="D94" s="675"/>
      <c r="E94" s="664" t="s">
        <v>1054</v>
      </c>
      <c r="F94" s="690"/>
      <c r="G94" s="690">
        <v>83</v>
      </c>
      <c r="H94" s="690">
        <v>83</v>
      </c>
      <c r="I94" s="691">
        <f t="shared" si="6"/>
        <v>100</v>
      </c>
    </row>
    <row r="95" spans="1:9" ht="15" thickBot="1" x14ac:dyDescent="0.25">
      <c r="A95" s="420"/>
      <c r="B95" s="651"/>
      <c r="C95" s="651"/>
      <c r="D95" s="640" t="s">
        <v>1853</v>
      </c>
      <c r="E95" s="441" t="s">
        <v>2</v>
      </c>
      <c r="F95" s="689"/>
      <c r="G95" s="689">
        <v>83</v>
      </c>
      <c r="H95" s="689">
        <v>83</v>
      </c>
      <c r="I95" s="684">
        <f t="shared" si="6"/>
        <v>100</v>
      </c>
    </row>
    <row r="96" spans="1:9" ht="15" customHeight="1" thickTop="1" thickBot="1" x14ac:dyDescent="0.3">
      <c r="A96" s="3110" t="s">
        <v>1000</v>
      </c>
      <c r="B96" s="3111"/>
      <c r="C96" s="3111"/>
      <c r="D96" s="3111"/>
      <c r="E96" s="3111"/>
      <c r="F96" s="680">
        <f>SUM(F90,F94)</f>
        <v>0</v>
      </c>
      <c r="G96" s="680">
        <f>SUM(G90,G94)</f>
        <v>1926</v>
      </c>
      <c r="H96" s="680">
        <f>SUM(H90,H94)</f>
        <v>1926</v>
      </c>
      <c r="I96" s="681">
        <f t="shared" si="6"/>
        <v>100</v>
      </c>
    </row>
    <row r="97" spans="1:9" ht="15.75" customHeight="1" thickTop="1" x14ac:dyDescent="0.2"/>
    <row r="98" spans="1:9" ht="15.75" customHeight="1" x14ac:dyDescent="0.2"/>
    <row r="99" spans="1:9" ht="15.75" customHeight="1" thickBot="1" x14ac:dyDescent="0.25">
      <c r="A99" s="421" t="s">
        <v>1409</v>
      </c>
      <c r="I99" s="673" t="s">
        <v>148</v>
      </c>
    </row>
    <row r="100" spans="1:9" s="106" customFormat="1" ht="15.75" customHeight="1" thickTop="1" thickBot="1" x14ac:dyDescent="0.25">
      <c r="A100" s="586" t="s">
        <v>565</v>
      </c>
      <c r="B100" s="658" t="s">
        <v>149</v>
      </c>
      <c r="C100" s="587" t="s">
        <v>150</v>
      </c>
      <c r="D100" s="589" t="s">
        <v>639</v>
      </c>
      <c r="E100" s="589" t="s">
        <v>151</v>
      </c>
      <c r="F100" s="589" t="s">
        <v>569</v>
      </c>
      <c r="G100" s="589" t="s">
        <v>570</v>
      </c>
      <c r="H100" s="589" t="s">
        <v>797</v>
      </c>
      <c r="I100" s="674" t="s">
        <v>798</v>
      </c>
    </row>
    <row r="101" spans="1:9" s="375" customFormat="1" ht="13.5" thickTop="1" thickBot="1" x14ac:dyDescent="0.25">
      <c r="A101" s="525">
        <v>1</v>
      </c>
      <c r="B101" s="526">
        <v>2</v>
      </c>
      <c r="C101" s="526">
        <v>3</v>
      </c>
      <c r="D101" s="526">
        <v>4</v>
      </c>
      <c r="E101" s="526">
        <v>5</v>
      </c>
      <c r="F101" s="512">
        <v>6</v>
      </c>
      <c r="G101" s="512">
        <v>7</v>
      </c>
      <c r="H101" s="513">
        <v>8</v>
      </c>
      <c r="I101" s="591" t="s">
        <v>689</v>
      </c>
    </row>
    <row r="102" spans="1:9" s="106" customFormat="1" ht="15.75" thickTop="1" x14ac:dyDescent="0.25">
      <c r="A102" s="420">
        <v>1510</v>
      </c>
      <c r="B102" s="617">
        <v>3114</v>
      </c>
      <c r="C102" s="617">
        <v>5213</v>
      </c>
      <c r="D102" s="675"/>
      <c r="E102" s="664" t="s">
        <v>1054</v>
      </c>
      <c r="F102" s="676"/>
      <c r="G102" s="676">
        <f>SUM(G103:G106)</f>
        <v>7234</v>
      </c>
      <c r="H102" s="676">
        <f>SUM(H103:H106)</f>
        <v>7234</v>
      </c>
      <c r="I102" s="677">
        <f>(H102/G102)*100</f>
        <v>100</v>
      </c>
    </row>
    <row r="103" spans="1:9" s="106" customFormat="1" ht="29.25" x14ac:dyDescent="0.25">
      <c r="A103" s="420"/>
      <c r="B103" s="617"/>
      <c r="C103" s="617"/>
      <c r="D103" s="649" t="s">
        <v>1821</v>
      </c>
      <c r="E103" s="2900" t="s">
        <v>1822</v>
      </c>
      <c r="F103" s="676"/>
      <c r="G103" s="1067">
        <v>7</v>
      </c>
      <c r="H103" s="1067">
        <v>7</v>
      </c>
      <c r="I103" s="679">
        <f t="shared" ref="I103:I104" si="7">(H103/G103)*100</f>
        <v>100</v>
      </c>
    </row>
    <row r="104" spans="1:9" s="106" customFormat="1" ht="29.25" x14ac:dyDescent="0.25">
      <c r="A104" s="420"/>
      <c r="B104" s="617"/>
      <c r="C104" s="617"/>
      <c r="D104" s="649" t="s">
        <v>1851</v>
      </c>
      <c r="E104" s="2900" t="s">
        <v>1852</v>
      </c>
      <c r="F104" s="676"/>
      <c r="G104" s="1067">
        <v>187</v>
      </c>
      <c r="H104" s="1067">
        <v>187</v>
      </c>
      <c r="I104" s="679">
        <f t="shared" si="7"/>
        <v>100</v>
      </c>
    </row>
    <row r="105" spans="1:9" x14ac:dyDescent="0.2">
      <c r="A105" s="420"/>
      <c r="B105" s="617"/>
      <c r="C105" s="617"/>
      <c r="D105" s="518" t="s">
        <v>1853</v>
      </c>
      <c r="E105" s="441" t="s">
        <v>2</v>
      </c>
      <c r="F105" s="683"/>
      <c r="G105" s="683">
        <v>6396</v>
      </c>
      <c r="H105" s="683">
        <v>6396</v>
      </c>
      <c r="I105" s="679">
        <f>(H105/G105)*100</f>
        <v>100</v>
      </c>
    </row>
    <row r="106" spans="1:9" x14ac:dyDescent="0.2">
      <c r="A106" s="420"/>
      <c r="B106" s="617"/>
      <c r="C106" s="617"/>
      <c r="D106" s="649" t="s">
        <v>1854</v>
      </c>
      <c r="E106" s="1189" t="s">
        <v>1</v>
      </c>
      <c r="F106" s="683"/>
      <c r="G106" s="683">
        <v>644</v>
      </c>
      <c r="H106" s="683">
        <v>644</v>
      </c>
      <c r="I106" s="679">
        <f>(H106/G106)*100</f>
        <v>100</v>
      </c>
    </row>
    <row r="107" spans="1:9" s="106" customFormat="1" ht="15" x14ac:dyDescent="0.25">
      <c r="A107" s="420">
        <v>1510</v>
      </c>
      <c r="B107" s="617">
        <v>3124</v>
      </c>
      <c r="C107" s="1127">
        <v>5213</v>
      </c>
      <c r="D107" s="685"/>
      <c r="E107" s="664" t="s">
        <v>1054</v>
      </c>
      <c r="F107" s="676"/>
      <c r="G107" s="676">
        <f>SUM(G108:G110)</f>
        <v>5450</v>
      </c>
      <c r="H107" s="676">
        <f>SUM(H108:H110)</f>
        <v>5450</v>
      </c>
      <c r="I107" s="677">
        <f t="shared" ref="I107:I118" si="8">(H107/G107)*100</f>
        <v>100</v>
      </c>
    </row>
    <row r="108" spans="1:9" s="106" customFormat="1" ht="15" x14ac:dyDescent="0.25">
      <c r="A108" s="420"/>
      <c r="B108" s="651"/>
      <c r="C108" s="1128"/>
      <c r="D108" s="518" t="s">
        <v>1818</v>
      </c>
      <c r="E108" s="441" t="s">
        <v>1600</v>
      </c>
      <c r="F108" s="690"/>
      <c r="G108" s="689">
        <v>38</v>
      </c>
      <c r="H108" s="689">
        <v>38</v>
      </c>
      <c r="I108" s="684">
        <f t="shared" si="8"/>
        <v>100</v>
      </c>
    </row>
    <row r="109" spans="1:9" x14ac:dyDescent="0.2">
      <c r="A109" s="420"/>
      <c r="B109" s="651"/>
      <c r="C109" s="651"/>
      <c r="D109" s="518" t="s">
        <v>1853</v>
      </c>
      <c r="E109" s="441" t="s">
        <v>2</v>
      </c>
      <c r="F109" s="689"/>
      <c r="G109" s="689">
        <v>5210</v>
      </c>
      <c r="H109" s="689">
        <v>5210</v>
      </c>
      <c r="I109" s="684">
        <f t="shared" si="8"/>
        <v>100</v>
      </c>
    </row>
    <row r="110" spans="1:9" x14ac:dyDescent="0.2">
      <c r="A110" s="420"/>
      <c r="B110" s="651"/>
      <c r="C110" s="651"/>
      <c r="D110" s="649" t="s">
        <v>1854</v>
      </c>
      <c r="E110" s="1189" t="s">
        <v>1</v>
      </c>
      <c r="F110" s="689"/>
      <c r="G110" s="689">
        <v>202</v>
      </c>
      <c r="H110" s="689">
        <v>202</v>
      </c>
      <c r="I110" s="684">
        <f t="shared" si="8"/>
        <v>100</v>
      </c>
    </row>
    <row r="111" spans="1:9" ht="15" x14ac:dyDescent="0.25">
      <c r="A111" s="420">
        <v>1510</v>
      </c>
      <c r="B111" s="651">
        <v>3141</v>
      </c>
      <c r="C111" s="1128">
        <v>5213</v>
      </c>
      <c r="D111" s="685"/>
      <c r="E111" s="616" t="s">
        <v>1054</v>
      </c>
      <c r="F111" s="690"/>
      <c r="G111" s="690">
        <f>SUM(G112:G112)</f>
        <v>62</v>
      </c>
      <c r="H111" s="690">
        <f>SUM(H112:H112)</f>
        <v>62</v>
      </c>
      <c r="I111" s="691">
        <f t="shared" si="8"/>
        <v>100</v>
      </c>
    </row>
    <row r="112" spans="1:9" ht="15" x14ac:dyDescent="0.25">
      <c r="A112" s="420"/>
      <c r="B112" s="651"/>
      <c r="C112" s="1128"/>
      <c r="D112" s="518" t="s">
        <v>1853</v>
      </c>
      <c r="E112" s="441" t="s">
        <v>2</v>
      </c>
      <c r="F112" s="690"/>
      <c r="G112" s="692">
        <v>62</v>
      </c>
      <c r="H112" s="692">
        <v>62</v>
      </c>
      <c r="I112" s="684">
        <f t="shared" si="8"/>
        <v>100</v>
      </c>
    </row>
    <row r="113" spans="1:9" ht="15" x14ac:dyDescent="0.25">
      <c r="A113" s="420">
        <v>1510</v>
      </c>
      <c r="B113" s="651">
        <v>3143</v>
      </c>
      <c r="C113" s="1128">
        <v>5213</v>
      </c>
      <c r="D113" s="685"/>
      <c r="E113" s="616" t="s">
        <v>1054</v>
      </c>
      <c r="F113" s="690"/>
      <c r="G113" s="690">
        <v>216</v>
      </c>
      <c r="H113" s="690">
        <v>216</v>
      </c>
      <c r="I113" s="691">
        <f t="shared" si="8"/>
        <v>100</v>
      </c>
    </row>
    <row r="114" spans="1:9" x14ac:dyDescent="0.2">
      <c r="A114" s="420"/>
      <c r="B114" s="651"/>
      <c r="C114" s="651"/>
      <c r="D114" s="518" t="s">
        <v>1853</v>
      </c>
      <c r="E114" s="441" t="s">
        <v>2</v>
      </c>
      <c r="F114" s="689"/>
      <c r="G114" s="689">
        <v>216</v>
      </c>
      <c r="H114" s="689">
        <v>216</v>
      </c>
      <c r="I114" s="684">
        <f t="shared" si="8"/>
        <v>100</v>
      </c>
    </row>
    <row r="115" spans="1:9" ht="15" x14ac:dyDescent="0.25">
      <c r="A115" s="1187">
        <v>1510</v>
      </c>
      <c r="B115" s="651">
        <v>3145</v>
      </c>
      <c r="C115" s="651">
        <v>5213</v>
      </c>
      <c r="D115" s="675"/>
      <c r="E115" s="616" t="s">
        <v>1054</v>
      </c>
      <c r="F115" s="690"/>
      <c r="G115" s="690">
        <f>SUM(G116:G116)</f>
        <v>672</v>
      </c>
      <c r="H115" s="690">
        <f>SUM(H116:H116)</f>
        <v>672</v>
      </c>
      <c r="I115" s="693">
        <f t="shared" si="8"/>
        <v>100</v>
      </c>
    </row>
    <row r="116" spans="1:9" x14ac:dyDescent="0.2">
      <c r="A116" s="420"/>
      <c r="B116" s="617"/>
      <c r="C116" s="617"/>
      <c r="D116" s="518" t="s">
        <v>1853</v>
      </c>
      <c r="E116" s="441" t="s">
        <v>2</v>
      </c>
      <c r="F116" s="683"/>
      <c r="G116" s="683">
        <v>672</v>
      </c>
      <c r="H116" s="683">
        <v>672</v>
      </c>
      <c r="I116" s="684">
        <f t="shared" si="8"/>
        <v>100</v>
      </c>
    </row>
    <row r="117" spans="1:9" ht="15" x14ac:dyDescent="0.25">
      <c r="A117" s="1187">
        <v>1510</v>
      </c>
      <c r="B117" s="651">
        <v>3146</v>
      </c>
      <c r="C117" s="651">
        <v>5213</v>
      </c>
      <c r="D117" s="675"/>
      <c r="E117" s="616" t="s">
        <v>1054</v>
      </c>
      <c r="F117" s="683"/>
      <c r="G117" s="690">
        <f>G118</f>
        <v>24</v>
      </c>
      <c r="H117" s="690">
        <f>H118</f>
        <v>24</v>
      </c>
      <c r="I117" s="693">
        <f t="shared" si="8"/>
        <v>100</v>
      </c>
    </row>
    <row r="118" spans="1:9" ht="15" thickBot="1" x14ac:dyDescent="0.25">
      <c r="A118" s="420"/>
      <c r="B118" s="617"/>
      <c r="C118" s="617"/>
      <c r="D118" s="518" t="s">
        <v>1853</v>
      </c>
      <c r="E118" s="441" t="s">
        <v>2</v>
      </c>
      <c r="F118" s="683"/>
      <c r="G118" s="683">
        <v>24</v>
      </c>
      <c r="H118" s="683">
        <v>24</v>
      </c>
      <c r="I118" s="684">
        <f t="shared" si="8"/>
        <v>100</v>
      </c>
    </row>
    <row r="119" spans="1:9" ht="16.5" thickTop="1" thickBot="1" x14ac:dyDescent="0.3">
      <c r="A119" s="3110" t="s">
        <v>1000</v>
      </c>
      <c r="B119" s="3111"/>
      <c r="C119" s="3111"/>
      <c r="D119" s="3111"/>
      <c r="E119" s="3111"/>
      <c r="F119" s="680">
        <v>0</v>
      </c>
      <c r="G119" s="680">
        <f>SUM(G102,G107,G111,G113,G115,G117)</f>
        <v>13658</v>
      </c>
      <c r="H119" s="680">
        <f>SUM(H102,H107,H111,H113,H115,H117)</f>
        <v>13658</v>
      </c>
      <c r="I119" s="681">
        <f>(H119/G119)*100</f>
        <v>100</v>
      </c>
    </row>
    <row r="120" spans="1:9" ht="15" thickTop="1" x14ac:dyDescent="0.2"/>
    <row r="131" spans="1:9" ht="18" customHeight="1" thickBot="1" x14ac:dyDescent="0.25">
      <c r="A131" s="421" t="s">
        <v>669</v>
      </c>
      <c r="I131" s="673" t="s">
        <v>148</v>
      </c>
    </row>
    <row r="132" spans="1:9" s="106" customFormat="1" ht="12.75" thickTop="1" thickBot="1" x14ac:dyDescent="0.25">
      <c r="A132" s="586" t="s">
        <v>565</v>
      </c>
      <c r="B132" s="658" t="s">
        <v>149</v>
      </c>
      <c r="C132" s="587" t="s">
        <v>150</v>
      </c>
      <c r="D132" s="589" t="s">
        <v>639</v>
      </c>
      <c r="E132" s="589" t="s">
        <v>151</v>
      </c>
      <c r="F132" s="589" t="s">
        <v>569</v>
      </c>
      <c r="G132" s="589" t="s">
        <v>570</v>
      </c>
      <c r="H132" s="589" t="s">
        <v>797</v>
      </c>
      <c r="I132" s="674" t="s">
        <v>798</v>
      </c>
    </row>
    <row r="133" spans="1:9" s="375" customFormat="1" ht="13.5" thickTop="1" thickBot="1" x14ac:dyDescent="0.25">
      <c r="A133" s="525">
        <v>1</v>
      </c>
      <c r="B133" s="526">
        <v>2</v>
      </c>
      <c r="C133" s="526">
        <v>3</v>
      </c>
      <c r="D133" s="526">
        <v>4</v>
      </c>
      <c r="E133" s="526">
        <v>5</v>
      </c>
      <c r="F133" s="512">
        <v>6</v>
      </c>
      <c r="G133" s="512">
        <v>7</v>
      </c>
      <c r="H133" s="513">
        <v>8</v>
      </c>
      <c r="I133" s="591" t="s">
        <v>689</v>
      </c>
    </row>
    <row r="134" spans="1:9" ht="15.75" thickTop="1" x14ac:dyDescent="0.25">
      <c r="A134" s="1126">
        <v>1511</v>
      </c>
      <c r="B134" s="617">
        <v>3114</v>
      </c>
      <c r="C134" s="617">
        <v>5221</v>
      </c>
      <c r="D134" s="694"/>
      <c r="E134" s="616" t="s">
        <v>1055</v>
      </c>
      <c r="F134" s="676"/>
      <c r="G134" s="676">
        <f>G137+G138+G136+G135</f>
        <v>2006</v>
      </c>
      <c r="H134" s="676">
        <f>H137+H138+H136+H135</f>
        <v>2006</v>
      </c>
      <c r="I134" s="682">
        <f t="shared" ref="I134:I141" si="9">(H134/G134)*100</f>
        <v>100</v>
      </c>
    </row>
    <row r="135" spans="1:9" ht="29.25" x14ac:dyDescent="0.25">
      <c r="A135" s="423"/>
      <c r="B135" s="695"/>
      <c r="C135" s="617"/>
      <c r="D135" s="649" t="s">
        <v>1821</v>
      </c>
      <c r="E135" s="2900" t="s">
        <v>1822</v>
      </c>
      <c r="F135" s="178"/>
      <c r="G135" s="1067">
        <v>9</v>
      </c>
      <c r="H135" s="2893">
        <v>9</v>
      </c>
      <c r="I135" s="1063">
        <f t="shared" si="9"/>
        <v>100</v>
      </c>
    </row>
    <row r="136" spans="1:9" ht="29.25" x14ac:dyDescent="0.25">
      <c r="A136" s="423"/>
      <c r="B136" s="695"/>
      <c r="C136" s="617"/>
      <c r="D136" s="649" t="s">
        <v>1851</v>
      </c>
      <c r="E136" s="2900" t="s">
        <v>1852</v>
      </c>
      <c r="F136" s="178"/>
      <c r="G136" s="1067">
        <v>27</v>
      </c>
      <c r="H136" s="2893">
        <v>27</v>
      </c>
      <c r="I136" s="1063">
        <f t="shared" si="9"/>
        <v>100</v>
      </c>
    </row>
    <row r="137" spans="1:9" ht="15" customHeight="1" x14ac:dyDescent="0.2">
      <c r="A137" s="423"/>
      <c r="B137" s="695"/>
      <c r="C137" s="617"/>
      <c r="D137" s="518" t="s">
        <v>1853</v>
      </c>
      <c r="E137" s="441" t="s">
        <v>2</v>
      </c>
      <c r="F137" s="696"/>
      <c r="G137" s="683">
        <v>1850</v>
      </c>
      <c r="H137" s="696">
        <v>1850</v>
      </c>
      <c r="I137" s="679">
        <f t="shared" si="9"/>
        <v>100</v>
      </c>
    </row>
    <row r="138" spans="1:9" x14ac:dyDescent="0.2">
      <c r="A138" s="423"/>
      <c r="B138" s="617"/>
      <c r="C138" s="651"/>
      <c r="D138" s="649" t="s">
        <v>1854</v>
      </c>
      <c r="E138" s="1189" t="s">
        <v>1</v>
      </c>
      <c r="F138" s="696"/>
      <c r="G138" s="683">
        <v>120</v>
      </c>
      <c r="H138" s="683">
        <v>120</v>
      </c>
      <c r="I138" s="684">
        <f t="shared" si="9"/>
        <v>100</v>
      </c>
    </row>
    <row r="139" spans="1:9" ht="15.75" customHeight="1" x14ac:dyDescent="0.25">
      <c r="A139" s="420">
        <v>1511</v>
      </c>
      <c r="B139" s="651">
        <v>3141</v>
      </c>
      <c r="C139" s="1128">
        <v>5221</v>
      </c>
      <c r="D139" s="685"/>
      <c r="E139" s="616" t="s">
        <v>1055</v>
      </c>
      <c r="F139" s="690"/>
      <c r="G139" s="690">
        <f>G140</f>
        <v>11</v>
      </c>
      <c r="H139" s="690">
        <f>H140</f>
        <v>11</v>
      </c>
      <c r="I139" s="691">
        <f t="shared" si="9"/>
        <v>100</v>
      </c>
    </row>
    <row r="140" spans="1:9" ht="15" thickBot="1" x14ac:dyDescent="0.25">
      <c r="A140" s="420"/>
      <c r="B140" s="651"/>
      <c r="C140" s="651"/>
      <c r="D140" s="640" t="s">
        <v>1853</v>
      </c>
      <c r="E140" s="441" t="s">
        <v>2</v>
      </c>
      <c r="F140" s="689"/>
      <c r="G140" s="689">
        <v>11</v>
      </c>
      <c r="H140" s="689">
        <v>11</v>
      </c>
      <c r="I140" s="684">
        <f t="shared" si="9"/>
        <v>100</v>
      </c>
    </row>
    <row r="141" spans="1:9" s="1165" customFormat="1" ht="16.5" thickTop="1" thickBot="1" x14ac:dyDescent="0.25">
      <c r="A141" s="3117" t="s">
        <v>1000</v>
      </c>
      <c r="B141" s="3118"/>
      <c r="C141" s="3118"/>
      <c r="D141" s="3118"/>
      <c r="E141" s="3118"/>
      <c r="F141" s="1175">
        <f>SUM(F134,F139)</f>
        <v>0</v>
      </c>
      <c r="G141" s="1175">
        <f>SUM(G134,G139,)</f>
        <v>2017</v>
      </c>
      <c r="H141" s="1175">
        <f>SUM(H134,H139,)</f>
        <v>2017</v>
      </c>
      <c r="I141" s="1176">
        <f t="shared" si="9"/>
        <v>100</v>
      </c>
    </row>
    <row r="142" spans="1:9" s="1165" customFormat="1" ht="15.75" customHeight="1" thickTop="1" x14ac:dyDescent="0.2">
      <c r="B142" s="1178"/>
      <c r="D142" s="1179"/>
      <c r="F142" s="1205"/>
      <c r="G142" s="1205"/>
      <c r="H142" s="1205"/>
      <c r="I142" s="1206"/>
    </row>
    <row r="143" spans="1:9" s="1165" customFormat="1" ht="15" thickBot="1" x14ac:dyDescent="0.25">
      <c r="A143" s="1190" t="s">
        <v>1410</v>
      </c>
      <c r="B143" s="1178"/>
      <c r="D143" s="1179"/>
      <c r="F143" s="1205"/>
      <c r="G143" s="1205"/>
      <c r="H143" s="1205"/>
      <c r="I143" s="1207" t="s">
        <v>148</v>
      </c>
    </row>
    <row r="144" spans="1:9" s="1213" customFormat="1" ht="12.75" thickTop="1" thickBot="1" x14ac:dyDescent="0.25">
      <c r="A144" s="1208" t="s">
        <v>565</v>
      </c>
      <c r="B144" s="1209" t="s">
        <v>149</v>
      </c>
      <c r="C144" s="1210" t="s">
        <v>150</v>
      </c>
      <c r="D144" s="1211" t="s">
        <v>639</v>
      </c>
      <c r="E144" s="1211" t="s">
        <v>151</v>
      </c>
      <c r="F144" s="589" t="s">
        <v>569</v>
      </c>
      <c r="G144" s="589" t="s">
        <v>570</v>
      </c>
      <c r="H144" s="1211" t="s">
        <v>797</v>
      </c>
      <c r="I144" s="1212" t="s">
        <v>798</v>
      </c>
    </row>
    <row r="145" spans="1:9" s="1186" customFormat="1" ht="18" customHeight="1" thickTop="1" thickBot="1" x14ac:dyDescent="0.25">
      <c r="A145" s="1181">
        <v>1</v>
      </c>
      <c r="B145" s="1182">
        <v>2</v>
      </c>
      <c r="C145" s="1182">
        <v>3</v>
      </c>
      <c r="D145" s="1182">
        <v>4</v>
      </c>
      <c r="E145" s="1182">
        <v>5</v>
      </c>
      <c r="F145" s="1183">
        <v>6</v>
      </c>
      <c r="G145" s="1183">
        <v>7</v>
      </c>
      <c r="H145" s="1184">
        <v>8</v>
      </c>
      <c r="I145" s="1185" t="s">
        <v>689</v>
      </c>
    </row>
    <row r="146" spans="1:9" s="1165" customFormat="1" ht="15.75" thickTop="1" x14ac:dyDescent="0.2">
      <c r="A146" s="1187">
        <v>1512</v>
      </c>
      <c r="B146" s="1188">
        <v>3114</v>
      </c>
      <c r="C146" s="1214">
        <v>5221</v>
      </c>
      <c r="D146" s="1215"/>
      <c r="E146" s="1216" t="s">
        <v>1055</v>
      </c>
      <c r="F146" s="1217"/>
      <c r="G146" s="1217">
        <f>SUM(G147:G150)</f>
        <v>5745</v>
      </c>
      <c r="H146" s="1217">
        <f>SUM(H147:H150)</f>
        <v>5745</v>
      </c>
      <c r="I146" s="1218">
        <f t="shared" ref="I146:I156" si="10">(H146/G146)*100</f>
        <v>100</v>
      </c>
    </row>
    <row r="147" spans="1:9" s="1165" customFormat="1" ht="28.5" x14ac:dyDescent="0.2">
      <c r="A147" s="1187"/>
      <c r="B147" s="1188"/>
      <c r="C147" s="1214"/>
      <c r="D147" s="649" t="s">
        <v>1821</v>
      </c>
      <c r="E147" s="2900" t="s">
        <v>1822</v>
      </c>
      <c r="F147" s="1217"/>
      <c r="G147" s="1117">
        <v>6</v>
      </c>
      <c r="H147" s="1117">
        <v>6</v>
      </c>
      <c r="I147" s="1063">
        <f t="shared" si="10"/>
        <v>100</v>
      </c>
    </row>
    <row r="148" spans="1:9" s="1165" customFormat="1" ht="28.5" x14ac:dyDescent="0.2">
      <c r="A148" s="1187"/>
      <c r="B148" s="1188"/>
      <c r="C148" s="1214"/>
      <c r="D148" s="649" t="s">
        <v>1851</v>
      </c>
      <c r="E148" s="2900" t="s">
        <v>1852</v>
      </c>
      <c r="F148" s="1217"/>
      <c r="G148" s="1117">
        <v>89</v>
      </c>
      <c r="H148" s="1117">
        <v>89</v>
      </c>
      <c r="I148" s="1063">
        <f t="shared" si="10"/>
        <v>100</v>
      </c>
    </row>
    <row r="149" spans="1:9" s="1165" customFormat="1" x14ac:dyDescent="0.2">
      <c r="A149" s="1187"/>
      <c r="B149" s="1188"/>
      <c r="C149" s="1214"/>
      <c r="D149" s="518" t="s">
        <v>1853</v>
      </c>
      <c r="E149" s="441" t="s">
        <v>2</v>
      </c>
      <c r="F149" s="1067"/>
      <c r="G149" s="1067">
        <v>5175</v>
      </c>
      <c r="H149" s="1067">
        <v>5175</v>
      </c>
      <c r="I149" s="1063">
        <f t="shared" si="10"/>
        <v>100</v>
      </c>
    </row>
    <row r="150" spans="1:9" s="1165" customFormat="1" x14ac:dyDescent="0.2">
      <c r="A150" s="1187"/>
      <c r="B150" s="1197"/>
      <c r="C150" s="1198"/>
      <c r="D150" s="649" t="s">
        <v>1854</v>
      </c>
      <c r="E150" s="1189" t="s">
        <v>1</v>
      </c>
      <c r="F150" s="1062"/>
      <c r="G150" s="1067">
        <v>475</v>
      </c>
      <c r="H150" s="1067">
        <v>475</v>
      </c>
      <c r="I150" s="1063">
        <f t="shared" si="10"/>
        <v>100</v>
      </c>
    </row>
    <row r="151" spans="1:9" s="1165" customFormat="1" ht="15" x14ac:dyDescent="0.2">
      <c r="A151" s="1187">
        <v>1512</v>
      </c>
      <c r="B151" s="1197">
        <v>3124</v>
      </c>
      <c r="C151" s="1197">
        <v>5221</v>
      </c>
      <c r="D151" s="1219"/>
      <c r="E151" s="1220" t="s">
        <v>1055</v>
      </c>
      <c r="F151" s="1221"/>
      <c r="G151" s="1221">
        <f>G153+G152</f>
        <v>1329</v>
      </c>
      <c r="H151" s="1221">
        <f>H153+H152</f>
        <v>1329</v>
      </c>
      <c r="I151" s="1222">
        <f t="shared" si="10"/>
        <v>100</v>
      </c>
    </row>
    <row r="152" spans="1:9" s="1165" customFormat="1" x14ac:dyDescent="0.2">
      <c r="A152" s="1187"/>
      <c r="B152" s="1197"/>
      <c r="C152" s="1197"/>
      <c r="D152" s="518" t="s">
        <v>1853</v>
      </c>
      <c r="E152" s="441" t="s">
        <v>2</v>
      </c>
      <c r="F152" s="1062"/>
      <c r="G152" s="1062">
        <v>1238</v>
      </c>
      <c r="H152" s="1062">
        <v>1238</v>
      </c>
      <c r="I152" s="1066">
        <f t="shared" si="10"/>
        <v>100</v>
      </c>
    </row>
    <row r="153" spans="1:9" s="1165" customFormat="1" x14ac:dyDescent="0.2">
      <c r="A153" s="1187"/>
      <c r="B153" s="1197"/>
      <c r="C153" s="1197"/>
      <c r="D153" s="649" t="s">
        <v>1854</v>
      </c>
      <c r="E153" s="1189" t="s">
        <v>1</v>
      </c>
      <c r="F153" s="1062"/>
      <c r="G153" s="1062">
        <v>91</v>
      </c>
      <c r="H153" s="1062">
        <v>91</v>
      </c>
      <c r="I153" s="1066">
        <f t="shared" si="10"/>
        <v>100</v>
      </c>
    </row>
    <row r="154" spans="1:9" s="1165" customFormat="1" ht="15" x14ac:dyDescent="0.2">
      <c r="A154" s="1187">
        <v>1512</v>
      </c>
      <c r="B154" s="1197">
        <v>3141</v>
      </c>
      <c r="C154" s="1197">
        <v>5221</v>
      </c>
      <c r="D154" s="649"/>
      <c r="E154" s="1220" t="s">
        <v>1055</v>
      </c>
      <c r="F154" s="1062"/>
      <c r="G154" s="1064">
        <f>G155</f>
        <v>35</v>
      </c>
      <c r="H154" s="1064">
        <f>H155</f>
        <v>35</v>
      </c>
      <c r="I154" s="1065">
        <f t="shared" si="10"/>
        <v>100</v>
      </c>
    </row>
    <row r="155" spans="1:9" s="1165" customFormat="1" ht="15" thickBot="1" x14ac:dyDescent="0.25">
      <c r="A155" s="1187"/>
      <c r="B155" s="1197"/>
      <c r="C155" s="1197"/>
      <c r="D155" s="518" t="s">
        <v>1853</v>
      </c>
      <c r="E155" s="441" t="s">
        <v>2</v>
      </c>
      <c r="F155" s="1062"/>
      <c r="G155" s="1062">
        <v>35</v>
      </c>
      <c r="H155" s="1062">
        <v>35</v>
      </c>
      <c r="I155" s="1066">
        <f t="shared" si="10"/>
        <v>100</v>
      </c>
    </row>
    <row r="156" spans="1:9" s="1165" customFormat="1" ht="16.5" thickTop="1" thickBot="1" x14ac:dyDescent="0.25">
      <c r="A156" s="3117" t="s">
        <v>1000</v>
      </c>
      <c r="B156" s="3118"/>
      <c r="C156" s="3118"/>
      <c r="D156" s="3118"/>
      <c r="E156" s="3118"/>
      <c r="F156" s="1175">
        <f>SUM(F146)</f>
        <v>0</v>
      </c>
      <c r="G156" s="1175">
        <f>SUM(G146,G151,G154)</f>
        <v>7109</v>
      </c>
      <c r="H156" s="1175">
        <f>SUM(H146,H151,H154)</f>
        <v>7109</v>
      </c>
      <c r="I156" s="1176">
        <f t="shared" si="10"/>
        <v>100</v>
      </c>
    </row>
    <row r="157" spans="1:9" ht="15" thickTop="1" x14ac:dyDescent="0.2"/>
    <row r="158" spans="1:9" s="1165" customFormat="1" ht="15" thickBot="1" x14ac:dyDescent="0.25">
      <c r="A158" s="1190" t="s">
        <v>792</v>
      </c>
      <c r="B158" s="1178"/>
      <c r="D158" s="1179"/>
      <c r="F158" s="1205"/>
      <c r="G158" s="1205"/>
      <c r="H158" s="1205"/>
      <c r="I158" s="1207" t="s">
        <v>148</v>
      </c>
    </row>
    <row r="159" spans="1:9" s="1213" customFormat="1" ht="20.25" customHeight="1" thickTop="1" thickBot="1" x14ac:dyDescent="0.25">
      <c r="A159" s="1208" t="s">
        <v>565</v>
      </c>
      <c r="B159" s="1209" t="s">
        <v>149</v>
      </c>
      <c r="C159" s="1210" t="s">
        <v>150</v>
      </c>
      <c r="D159" s="1211" t="s">
        <v>639</v>
      </c>
      <c r="E159" s="1211" t="s">
        <v>151</v>
      </c>
      <c r="F159" s="589" t="s">
        <v>569</v>
      </c>
      <c r="G159" s="589" t="s">
        <v>570</v>
      </c>
      <c r="H159" s="1211" t="s">
        <v>797</v>
      </c>
      <c r="I159" s="1212" t="s">
        <v>798</v>
      </c>
    </row>
    <row r="160" spans="1:9" s="1186" customFormat="1" ht="13.5" thickTop="1" thickBot="1" x14ac:dyDescent="0.25">
      <c r="A160" s="1181">
        <v>1</v>
      </c>
      <c r="B160" s="1182">
        <v>2</v>
      </c>
      <c r="C160" s="1182">
        <v>3</v>
      </c>
      <c r="D160" s="1182">
        <v>4</v>
      </c>
      <c r="E160" s="1182">
        <v>5</v>
      </c>
      <c r="F160" s="1183">
        <v>6</v>
      </c>
      <c r="G160" s="1183">
        <v>7</v>
      </c>
      <c r="H160" s="1184">
        <v>8</v>
      </c>
      <c r="I160" s="1185" t="s">
        <v>689</v>
      </c>
    </row>
    <row r="161" spans="1:9" s="1165" customFormat="1" ht="15.75" thickTop="1" x14ac:dyDescent="0.2">
      <c r="A161" s="1187">
        <v>1513</v>
      </c>
      <c r="B161" s="1188">
        <v>3112</v>
      </c>
      <c r="C161" s="1188">
        <v>5221</v>
      </c>
      <c r="D161" s="1168"/>
      <c r="E161" s="1220" t="s">
        <v>1055</v>
      </c>
      <c r="F161" s="1217"/>
      <c r="G161" s="1223">
        <f>SUM(G162:G163)</f>
        <v>703</v>
      </c>
      <c r="H161" s="1223">
        <f>SUM(H162:H163)</f>
        <v>703</v>
      </c>
      <c r="I161" s="1171">
        <f t="shared" ref="I161:I176" si="11">(H161/G161)*100</f>
        <v>100</v>
      </c>
    </row>
    <row r="162" spans="1:9" s="1165" customFormat="1" x14ac:dyDescent="0.2">
      <c r="A162" s="1187"/>
      <c r="B162" s="1197"/>
      <c r="C162" s="1197"/>
      <c r="D162" s="518" t="s">
        <v>1853</v>
      </c>
      <c r="E162" s="441" t="s">
        <v>2</v>
      </c>
      <c r="F162" s="1062"/>
      <c r="G162" s="1062">
        <v>605</v>
      </c>
      <c r="H162" s="1062">
        <v>605</v>
      </c>
      <c r="I162" s="1066">
        <f>(H162/G162)*100</f>
        <v>100</v>
      </c>
    </row>
    <row r="163" spans="1:9" s="1165" customFormat="1" x14ac:dyDescent="0.2">
      <c r="A163" s="1187"/>
      <c r="B163" s="1197"/>
      <c r="C163" s="1197"/>
      <c r="D163" s="649" t="s">
        <v>1854</v>
      </c>
      <c r="E163" s="1189" t="s">
        <v>1</v>
      </c>
      <c r="F163" s="1062"/>
      <c r="G163" s="1062">
        <v>98</v>
      </c>
      <c r="H163" s="1062">
        <v>98</v>
      </c>
      <c r="I163" s="1066">
        <f>(H163/G163)*100</f>
        <v>100</v>
      </c>
    </row>
    <row r="164" spans="1:9" s="1165" customFormat="1" ht="15.75" customHeight="1" x14ac:dyDescent="0.2">
      <c r="A164" s="1187">
        <v>1513</v>
      </c>
      <c r="B164" s="1197">
        <v>3114</v>
      </c>
      <c r="C164" s="1198">
        <v>5221</v>
      </c>
      <c r="D164" s="1215"/>
      <c r="E164" s="1220" t="s">
        <v>1055</v>
      </c>
      <c r="F164" s="1221"/>
      <c r="G164" s="1221">
        <f>SUM(G165:G168)</f>
        <v>7499</v>
      </c>
      <c r="H164" s="1221">
        <f>SUM(H165:H168)</f>
        <v>7499</v>
      </c>
      <c r="I164" s="1222">
        <f t="shared" si="11"/>
        <v>100</v>
      </c>
    </row>
    <row r="165" spans="1:9" s="1165" customFormat="1" ht="28.5" x14ac:dyDescent="0.2">
      <c r="A165" s="1187"/>
      <c r="B165" s="1197"/>
      <c r="C165" s="1198"/>
      <c r="D165" s="649" t="s">
        <v>1821</v>
      </c>
      <c r="E165" s="2900" t="s">
        <v>1822</v>
      </c>
      <c r="F165" s="1221"/>
      <c r="G165" s="1224">
        <v>11</v>
      </c>
      <c r="H165" s="1224">
        <v>11</v>
      </c>
      <c r="I165" s="1066">
        <f t="shared" si="11"/>
        <v>100</v>
      </c>
    </row>
    <row r="166" spans="1:9" s="1165" customFormat="1" ht="28.5" x14ac:dyDescent="0.2">
      <c r="A166" s="1187"/>
      <c r="B166" s="1197"/>
      <c r="C166" s="1198"/>
      <c r="D166" s="649" t="s">
        <v>1851</v>
      </c>
      <c r="E166" s="2900" t="s">
        <v>1852</v>
      </c>
      <c r="F166" s="1221"/>
      <c r="G166" s="1224">
        <v>153</v>
      </c>
      <c r="H166" s="1224">
        <v>153</v>
      </c>
      <c r="I166" s="1066">
        <f t="shared" si="11"/>
        <v>100</v>
      </c>
    </row>
    <row r="167" spans="1:9" s="1165" customFormat="1" ht="15.75" customHeight="1" x14ac:dyDescent="0.2">
      <c r="A167" s="1187"/>
      <c r="B167" s="1197"/>
      <c r="C167" s="1198"/>
      <c r="D167" s="518" t="s">
        <v>1853</v>
      </c>
      <c r="E167" s="441" t="s">
        <v>2</v>
      </c>
      <c r="F167" s="1221"/>
      <c r="G167" s="1224">
        <v>6717</v>
      </c>
      <c r="H167" s="1224">
        <v>6717</v>
      </c>
      <c r="I167" s="1066">
        <f t="shared" si="11"/>
        <v>100</v>
      </c>
    </row>
    <row r="168" spans="1:9" s="1165" customFormat="1" ht="15.75" customHeight="1" x14ac:dyDescent="0.2">
      <c r="A168" s="1187"/>
      <c r="B168" s="1197"/>
      <c r="C168" s="1198"/>
      <c r="D168" s="649" t="s">
        <v>1854</v>
      </c>
      <c r="E168" s="1189" t="s">
        <v>1</v>
      </c>
      <c r="F168" s="1221"/>
      <c r="G168" s="1224">
        <v>618</v>
      </c>
      <c r="H168" s="1224">
        <v>618</v>
      </c>
      <c r="I168" s="1066">
        <f t="shared" si="11"/>
        <v>100</v>
      </c>
    </row>
    <row r="169" spans="1:9" s="1165" customFormat="1" ht="15.75" customHeight="1" x14ac:dyDescent="0.2">
      <c r="A169" s="1187">
        <v>1513</v>
      </c>
      <c r="B169" s="1197">
        <v>3124</v>
      </c>
      <c r="C169" s="1198">
        <v>5221</v>
      </c>
      <c r="D169" s="1215"/>
      <c r="E169" s="1220" t="s">
        <v>1055</v>
      </c>
      <c r="F169" s="1221"/>
      <c r="G169" s="1064">
        <f>SUM(G170:G171)</f>
        <v>3142</v>
      </c>
      <c r="H169" s="1064">
        <f>SUM(H170:H171)</f>
        <v>3142</v>
      </c>
      <c r="I169" s="1065">
        <v>100</v>
      </c>
    </row>
    <row r="170" spans="1:9" s="1165" customFormat="1" ht="15.75" customHeight="1" x14ac:dyDescent="0.2">
      <c r="A170" s="1187"/>
      <c r="B170" s="1197"/>
      <c r="C170" s="1198"/>
      <c r="D170" s="518" t="s">
        <v>1853</v>
      </c>
      <c r="E170" s="441" t="s">
        <v>2</v>
      </c>
      <c r="F170" s="1221"/>
      <c r="G170" s="1224">
        <v>2869</v>
      </c>
      <c r="H170" s="1224">
        <v>2869</v>
      </c>
      <c r="I170" s="1066">
        <f t="shared" si="11"/>
        <v>100</v>
      </c>
    </row>
    <row r="171" spans="1:9" s="1165" customFormat="1" ht="15.75" customHeight="1" x14ac:dyDescent="0.2">
      <c r="A171" s="1187"/>
      <c r="B171" s="1197"/>
      <c r="C171" s="1198"/>
      <c r="D171" s="649" t="s">
        <v>1854</v>
      </c>
      <c r="E171" s="1189" t="s">
        <v>1</v>
      </c>
      <c r="F171" s="1221"/>
      <c r="G171" s="1224">
        <v>273</v>
      </c>
      <c r="H171" s="1224">
        <v>273</v>
      </c>
      <c r="I171" s="1066">
        <f t="shared" si="11"/>
        <v>100</v>
      </c>
    </row>
    <row r="172" spans="1:9" s="1165" customFormat="1" ht="15.75" customHeight="1" x14ac:dyDescent="0.2">
      <c r="A172" s="1187">
        <v>1513</v>
      </c>
      <c r="B172" s="1197">
        <v>3141</v>
      </c>
      <c r="C172" s="1198">
        <v>5221</v>
      </c>
      <c r="D172" s="1215"/>
      <c r="E172" s="1220" t="s">
        <v>1055</v>
      </c>
      <c r="F172" s="1221"/>
      <c r="G172" s="1064">
        <f>G173</f>
        <v>49</v>
      </c>
      <c r="H172" s="1064">
        <f>H173</f>
        <v>49</v>
      </c>
      <c r="I172" s="1065">
        <f t="shared" si="11"/>
        <v>100</v>
      </c>
    </row>
    <row r="173" spans="1:9" s="1165" customFormat="1" ht="15.75" customHeight="1" x14ac:dyDescent="0.2">
      <c r="A173" s="1187"/>
      <c r="B173" s="1197"/>
      <c r="C173" s="1198"/>
      <c r="D173" s="518" t="s">
        <v>1853</v>
      </c>
      <c r="E173" s="441" t="s">
        <v>2</v>
      </c>
      <c r="F173" s="1221"/>
      <c r="G173" s="1224">
        <v>49</v>
      </c>
      <c r="H173" s="1224">
        <v>49</v>
      </c>
      <c r="I173" s="1066">
        <f t="shared" si="11"/>
        <v>100</v>
      </c>
    </row>
    <row r="174" spans="1:9" s="1165" customFormat="1" ht="15.75" customHeight="1" x14ac:dyDescent="0.2">
      <c r="A174" s="1187">
        <v>1513</v>
      </c>
      <c r="B174" s="1197">
        <v>3143</v>
      </c>
      <c r="C174" s="1198">
        <v>5221</v>
      </c>
      <c r="D174" s="1215"/>
      <c r="E174" s="1220" t="s">
        <v>1055</v>
      </c>
      <c r="F174" s="1221"/>
      <c r="G174" s="1064">
        <v>243</v>
      </c>
      <c r="H174" s="1064">
        <v>243</v>
      </c>
      <c r="I174" s="1065">
        <v>100</v>
      </c>
    </row>
    <row r="175" spans="1:9" s="1165" customFormat="1" ht="15.75" customHeight="1" thickBot="1" x14ac:dyDescent="0.25">
      <c r="A175" s="1187"/>
      <c r="B175" s="1197"/>
      <c r="C175" s="1198"/>
      <c r="D175" s="518" t="s">
        <v>1853</v>
      </c>
      <c r="E175" s="441" t="s">
        <v>2</v>
      </c>
      <c r="F175" s="1221"/>
      <c r="G175" s="1224">
        <v>243</v>
      </c>
      <c r="H175" s="1224">
        <v>243</v>
      </c>
      <c r="I175" s="1066">
        <f t="shared" si="11"/>
        <v>100</v>
      </c>
    </row>
    <row r="176" spans="1:9" s="1165" customFormat="1" ht="15.75" customHeight="1" thickTop="1" thickBot="1" x14ac:dyDescent="0.25">
      <c r="A176" s="3117" t="s">
        <v>1000</v>
      </c>
      <c r="B176" s="3118"/>
      <c r="C176" s="3118"/>
      <c r="D176" s="3118"/>
      <c r="E176" s="3118"/>
      <c r="F176" s="1175">
        <f>SUM(F161,F164)</f>
        <v>0</v>
      </c>
      <c r="G176" s="1175">
        <f>SUM(G161,G164,G169,G174,G172)</f>
        <v>11636</v>
      </c>
      <c r="H176" s="1175">
        <f>SUM(H161,H164,H169,H174,H172)</f>
        <v>11636</v>
      </c>
      <c r="I176" s="1176">
        <f t="shared" si="11"/>
        <v>100</v>
      </c>
    </row>
    <row r="177" spans="1:9" s="1165" customFormat="1" ht="18" customHeight="1" thickTop="1" x14ac:dyDescent="0.2">
      <c r="B177" s="1178"/>
      <c r="D177" s="1179"/>
      <c r="F177" s="1205"/>
      <c r="G177" s="1205"/>
      <c r="H177" s="1205"/>
      <c r="I177" s="1206"/>
    </row>
    <row r="178" spans="1:9" s="1165" customFormat="1" ht="15" thickBot="1" x14ac:dyDescent="0.25">
      <c r="A178" s="1190" t="s">
        <v>1730</v>
      </c>
      <c r="B178" s="1178"/>
      <c r="D178" s="1179"/>
      <c r="F178" s="1205"/>
      <c r="G178" s="1205"/>
      <c r="H178" s="1205"/>
      <c r="I178" s="1207" t="s">
        <v>148</v>
      </c>
    </row>
    <row r="179" spans="1:9" s="106" customFormat="1" ht="12.75" thickTop="1" thickBot="1" x14ac:dyDescent="0.25">
      <c r="A179" s="586" t="s">
        <v>565</v>
      </c>
      <c r="B179" s="658" t="s">
        <v>149</v>
      </c>
      <c r="C179" s="587" t="s">
        <v>150</v>
      </c>
      <c r="D179" s="589" t="s">
        <v>639</v>
      </c>
      <c r="E179" s="589" t="s">
        <v>151</v>
      </c>
      <c r="F179" s="589" t="s">
        <v>569</v>
      </c>
      <c r="G179" s="589" t="s">
        <v>570</v>
      </c>
      <c r="H179" s="589" t="s">
        <v>797</v>
      </c>
      <c r="I179" s="674" t="s">
        <v>798</v>
      </c>
    </row>
    <row r="180" spans="1:9" s="375" customFormat="1" ht="20.25" customHeight="1" thickTop="1" thickBot="1" x14ac:dyDescent="0.25">
      <c r="A180" s="525">
        <v>1</v>
      </c>
      <c r="B180" s="526">
        <v>2</v>
      </c>
      <c r="C180" s="526">
        <v>3</v>
      </c>
      <c r="D180" s="526">
        <v>4</v>
      </c>
      <c r="E180" s="526">
        <v>5</v>
      </c>
      <c r="F180" s="512">
        <v>6</v>
      </c>
      <c r="G180" s="512">
        <v>7</v>
      </c>
      <c r="H180" s="513">
        <v>8</v>
      </c>
      <c r="I180" s="591" t="s">
        <v>689</v>
      </c>
    </row>
    <row r="181" spans="1:9" ht="15.75" thickTop="1" x14ac:dyDescent="0.25">
      <c r="A181" s="1136">
        <v>1514</v>
      </c>
      <c r="B181" s="701">
        <v>3111</v>
      </c>
      <c r="C181" s="659">
        <v>5222</v>
      </c>
      <c r="D181" s="694"/>
      <c r="E181" s="702" t="s">
        <v>202</v>
      </c>
      <c r="F181" s="699"/>
      <c r="G181" s="699">
        <f>SUM(G182:G182)</f>
        <v>860</v>
      </c>
      <c r="H181" s="699">
        <f>SUM(H182:H182)</f>
        <v>860</v>
      </c>
      <c r="I181" s="703">
        <f t="shared" ref="I181:I194" si="12">(H181/G181)*100</f>
        <v>100</v>
      </c>
    </row>
    <row r="182" spans="1:9" x14ac:dyDescent="0.2">
      <c r="A182" s="420"/>
      <c r="B182" s="651"/>
      <c r="C182" s="651"/>
      <c r="D182" s="518" t="s">
        <v>1853</v>
      </c>
      <c r="E182" s="441" t="s">
        <v>2</v>
      </c>
      <c r="F182" s="689"/>
      <c r="G182" s="689">
        <v>860</v>
      </c>
      <c r="H182" s="689">
        <v>860</v>
      </c>
      <c r="I182" s="684">
        <f t="shared" si="12"/>
        <v>100</v>
      </c>
    </row>
    <row r="183" spans="1:9" ht="15" x14ac:dyDescent="0.25">
      <c r="A183" s="420">
        <v>1514</v>
      </c>
      <c r="B183" s="651">
        <v>3112</v>
      </c>
      <c r="C183" s="1128">
        <v>5222</v>
      </c>
      <c r="D183" s="685"/>
      <c r="E183" s="616" t="s">
        <v>202</v>
      </c>
      <c r="F183" s="690"/>
      <c r="G183" s="690">
        <f>SUM(G184:G185)</f>
        <v>1388</v>
      </c>
      <c r="H183" s="690">
        <f>SUM(H184:H185)</f>
        <v>1388</v>
      </c>
      <c r="I183" s="691">
        <f t="shared" si="12"/>
        <v>100</v>
      </c>
    </row>
    <row r="184" spans="1:9" ht="15.75" customHeight="1" x14ac:dyDescent="0.2">
      <c r="A184" s="420"/>
      <c r="B184" s="651"/>
      <c r="C184" s="651"/>
      <c r="D184" s="518" t="s">
        <v>1853</v>
      </c>
      <c r="E184" s="441" t="s">
        <v>2</v>
      </c>
      <c r="F184" s="689"/>
      <c r="G184" s="689">
        <v>1274</v>
      </c>
      <c r="H184" s="689">
        <v>1274</v>
      </c>
      <c r="I184" s="684">
        <f t="shared" si="12"/>
        <v>100</v>
      </c>
    </row>
    <row r="185" spans="1:9" x14ac:dyDescent="0.2">
      <c r="A185" s="420"/>
      <c r="B185" s="651"/>
      <c r="C185" s="651"/>
      <c r="D185" s="649" t="s">
        <v>1854</v>
      </c>
      <c r="E185" s="1189" t="s">
        <v>1</v>
      </c>
      <c r="F185" s="689"/>
      <c r="G185" s="689">
        <v>114</v>
      </c>
      <c r="H185" s="689">
        <v>114</v>
      </c>
      <c r="I185" s="684">
        <f t="shared" si="12"/>
        <v>100</v>
      </c>
    </row>
    <row r="186" spans="1:9" ht="15" x14ac:dyDescent="0.25">
      <c r="A186" s="420">
        <v>1514</v>
      </c>
      <c r="B186" s="651">
        <v>3114</v>
      </c>
      <c r="C186" s="651">
        <v>5222</v>
      </c>
      <c r="D186" s="675"/>
      <c r="E186" s="616" t="s">
        <v>202</v>
      </c>
      <c r="F186" s="690"/>
      <c r="G186" s="690">
        <f>SUM(G187:G189)</f>
        <v>4366</v>
      </c>
      <c r="H186" s="690">
        <f>SUM(H187:H189)</f>
        <v>4366</v>
      </c>
      <c r="I186" s="691">
        <f t="shared" si="12"/>
        <v>100</v>
      </c>
    </row>
    <row r="187" spans="1:9" ht="29.25" x14ac:dyDescent="0.25">
      <c r="A187" s="420"/>
      <c r="B187" s="651"/>
      <c r="C187" s="651"/>
      <c r="D187" s="649" t="s">
        <v>1851</v>
      </c>
      <c r="E187" s="2900" t="s">
        <v>1852</v>
      </c>
      <c r="F187" s="690"/>
      <c r="G187" s="1224">
        <v>78</v>
      </c>
      <c r="H187" s="1224">
        <v>78</v>
      </c>
      <c r="I187" s="1066">
        <f t="shared" si="12"/>
        <v>100</v>
      </c>
    </row>
    <row r="188" spans="1:9" ht="15" x14ac:dyDescent="0.25">
      <c r="A188" s="420"/>
      <c r="B188" s="651"/>
      <c r="C188" s="651"/>
      <c r="D188" s="518" t="s">
        <v>1853</v>
      </c>
      <c r="E188" s="441" t="s">
        <v>2</v>
      </c>
      <c r="F188" s="690"/>
      <c r="G188" s="692">
        <v>3981</v>
      </c>
      <c r="H188" s="692">
        <v>3981</v>
      </c>
      <c r="I188" s="684">
        <f t="shared" si="12"/>
        <v>100</v>
      </c>
    </row>
    <row r="189" spans="1:9" ht="15" x14ac:dyDescent="0.25">
      <c r="A189" s="420"/>
      <c r="B189" s="651"/>
      <c r="C189" s="651"/>
      <c r="D189" s="649" t="s">
        <v>1854</v>
      </c>
      <c r="E189" s="1189" t="s">
        <v>1</v>
      </c>
      <c r="F189" s="690"/>
      <c r="G189" s="692">
        <v>307</v>
      </c>
      <c r="H189" s="692">
        <v>307</v>
      </c>
      <c r="I189" s="684">
        <f t="shared" si="12"/>
        <v>100</v>
      </c>
    </row>
    <row r="190" spans="1:9" ht="15" x14ac:dyDescent="0.25">
      <c r="A190" s="420">
        <v>1514</v>
      </c>
      <c r="B190" s="651">
        <v>3141</v>
      </c>
      <c r="C190" s="651">
        <v>5222</v>
      </c>
      <c r="D190" s="675"/>
      <c r="E190" s="616" t="s">
        <v>202</v>
      </c>
      <c r="F190" s="690"/>
      <c r="G190" s="690">
        <f>G191</f>
        <v>68</v>
      </c>
      <c r="H190" s="690">
        <f>H191</f>
        <v>68</v>
      </c>
      <c r="I190" s="691">
        <f t="shared" si="12"/>
        <v>100</v>
      </c>
    </row>
    <row r="191" spans="1:9" x14ac:dyDescent="0.2">
      <c r="A191" s="420"/>
      <c r="B191" s="651"/>
      <c r="C191" s="651"/>
      <c r="D191" s="518" t="s">
        <v>1853</v>
      </c>
      <c r="E191" s="441" t="s">
        <v>2</v>
      </c>
      <c r="F191" s="689"/>
      <c r="G191" s="689">
        <v>68</v>
      </c>
      <c r="H191" s="689">
        <v>68</v>
      </c>
      <c r="I191" s="684">
        <f t="shared" si="12"/>
        <v>100</v>
      </c>
    </row>
    <row r="192" spans="1:9" ht="15" x14ac:dyDescent="0.25">
      <c r="A192" s="420">
        <v>1514</v>
      </c>
      <c r="B192" s="651">
        <v>3143</v>
      </c>
      <c r="C192" s="651">
        <v>5222</v>
      </c>
      <c r="D192" s="675"/>
      <c r="E192" s="616" t="s">
        <v>202</v>
      </c>
      <c r="F192" s="690"/>
      <c r="G192" s="690">
        <v>144</v>
      </c>
      <c r="H192" s="690">
        <v>144</v>
      </c>
      <c r="I192" s="691">
        <f t="shared" si="12"/>
        <v>100</v>
      </c>
    </row>
    <row r="193" spans="1:9" ht="15" thickBot="1" x14ac:dyDescent="0.25">
      <c r="A193" s="420"/>
      <c r="B193" s="651"/>
      <c r="C193" s="651"/>
      <c r="D193" s="518" t="s">
        <v>1853</v>
      </c>
      <c r="E193" s="441" t="s">
        <v>2</v>
      </c>
      <c r="F193" s="689"/>
      <c r="G193" s="689">
        <v>144</v>
      </c>
      <c r="H193" s="689">
        <v>144</v>
      </c>
      <c r="I193" s="684">
        <f t="shared" si="12"/>
        <v>100</v>
      </c>
    </row>
    <row r="194" spans="1:9" ht="16.5" thickTop="1" thickBot="1" x14ac:dyDescent="0.3">
      <c r="A194" s="3110" t="s">
        <v>1000</v>
      </c>
      <c r="B194" s="3111"/>
      <c r="C194" s="3111"/>
      <c r="D194" s="3111"/>
      <c r="E194" s="3111"/>
      <c r="F194" s="680">
        <f>SUM(F181,F183)</f>
        <v>0</v>
      </c>
      <c r="G194" s="680">
        <f>SUM(G181,G183,G186,G190,G192)</f>
        <v>6826</v>
      </c>
      <c r="H194" s="680">
        <f>SUM(H181,H183,H186,H190,H192,)</f>
        <v>6826</v>
      </c>
      <c r="I194" s="681">
        <f t="shared" si="12"/>
        <v>100</v>
      </c>
    </row>
    <row r="195" spans="1:9" ht="18" customHeight="1" thickTop="1" x14ac:dyDescent="0.25">
      <c r="A195" s="361"/>
      <c r="B195" s="361"/>
      <c r="C195" s="361"/>
      <c r="D195" s="361"/>
      <c r="E195" s="361"/>
      <c r="F195" s="178"/>
      <c r="G195" s="178"/>
      <c r="H195" s="178"/>
      <c r="I195" s="207"/>
    </row>
    <row r="196" spans="1:9" ht="18" customHeight="1" thickBot="1" x14ac:dyDescent="0.25">
      <c r="A196" s="421" t="s">
        <v>670</v>
      </c>
      <c r="I196" s="673" t="s">
        <v>148</v>
      </c>
    </row>
    <row r="197" spans="1:9" s="106" customFormat="1" ht="12.75" thickTop="1" thickBot="1" x14ac:dyDescent="0.25">
      <c r="A197" s="586" t="s">
        <v>565</v>
      </c>
      <c r="B197" s="658" t="s">
        <v>149</v>
      </c>
      <c r="C197" s="587" t="s">
        <v>150</v>
      </c>
      <c r="D197" s="589" t="s">
        <v>639</v>
      </c>
      <c r="E197" s="589" t="s">
        <v>151</v>
      </c>
      <c r="F197" s="589" t="s">
        <v>569</v>
      </c>
      <c r="G197" s="589" t="s">
        <v>570</v>
      </c>
      <c r="H197" s="589" t="s">
        <v>797</v>
      </c>
      <c r="I197" s="674" t="s">
        <v>798</v>
      </c>
    </row>
    <row r="198" spans="1:9" s="375" customFormat="1" ht="20.25" customHeight="1" thickTop="1" thickBot="1" x14ac:dyDescent="0.25">
      <c r="A198" s="525">
        <v>1</v>
      </c>
      <c r="B198" s="526">
        <v>2</v>
      </c>
      <c r="C198" s="526">
        <v>3</v>
      </c>
      <c r="D198" s="526">
        <v>4</v>
      </c>
      <c r="E198" s="526">
        <v>5</v>
      </c>
      <c r="F198" s="512">
        <v>6</v>
      </c>
      <c r="G198" s="512">
        <v>7</v>
      </c>
      <c r="H198" s="513">
        <v>8</v>
      </c>
      <c r="I198" s="591" t="s">
        <v>689</v>
      </c>
    </row>
    <row r="199" spans="1:9" ht="15.75" thickTop="1" x14ac:dyDescent="0.25">
      <c r="A199" s="1136">
        <v>1515</v>
      </c>
      <c r="B199" s="701">
        <v>3111</v>
      </c>
      <c r="C199" s="659">
        <v>5213</v>
      </c>
      <c r="D199" s="704"/>
      <c r="E199" s="616" t="s">
        <v>1054</v>
      </c>
      <c r="F199" s="699"/>
      <c r="G199" s="699">
        <f>SUM(G200:G200)</f>
        <v>4684</v>
      </c>
      <c r="H199" s="699">
        <f>SUM(H200:H200)</f>
        <v>4684</v>
      </c>
      <c r="I199" s="703">
        <f t="shared" ref="I199:I210" si="13">(H199/G199)*100</f>
        <v>100</v>
      </c>
    </row>
    <row r="200" spans="1:9" x14ac:dyDescent="0.2">
      <c r="A200" s="420"/>
      <c r="B200" s="651"/>
      <c r="C200" s="651"/>
      <c r="D200" s="518" t="s">
        <v>1853</v>
      </c>
      <c r="E200" s="441" t="s">
        <v>2</v>
      </c>
      <c r="F200" s="689"/>
      <c r="G200" s="689">
        <v>4684</v>
      </c>
      <c r="H200" s="689">
        <v>4684</v>
      </c>
      <c r="I200" s="684">
        <f t="shared" si="13"/>
        <v>100</v>
      </c>
    </row>
    <row r="201" spans="1:9" ht="15" x14ac:dyDescent="0.25">
      <c r="A201" s="420">
        <v>1515</v>
      </c>
      <c r="B201" s="651">
        <v>3113</v>
      </c>
      <c r="C201" s="1128">
        <v>5213</v>
      </c>
      <c r="D201" s="685"/>
      <c r="E201" s="616" t="s">
        <v>1054</v>
      </c>
      <c r="F201" s="690"/>
      <c r="G201" s="690">
        <f>SUM(G202:G203)</f>
        <v>6281</v>
      </c>
      <c r="H201" s="690">
        <f>SUM(H202:H203)</f>
        <v>6281</v>
      </c>
      <c r="I201" s="691">
        <f t="shared" si="13"/>
        <v>100</v>
      </c>
    </row>
    <row r="202" spans="1:9" ht="29.25" x14ac:dyDescent="0.25">
      <c r="A202" s="420"/>
      <c r="B202" s="651"/>
      <c r="C202" s="1128"/>
      <c r="D202" s="649" t="s">
        <v>1851</v>
      </c>
      <c r="E202" s="2900" t="s">
        <v>1852</v>
      </c>
      <c r="F202" s="690"/>
      <c r="G202" s="1224">
        <v>144</v>
      </c>
      <c r="H202" s="1224">
        <v>144</v>
      </c>
      <c r="I202" s="1066">
        <f>(H202/G202)*100</f>
        <v>100</v>
      </c>
    </row>
    <row r="203" spans="1:9" ht="15.75" customHeight="1" x14ac:dyDescent="0.2">
      <c r="A203" s="420"/>
      <c r="B203" s="651"/>
      <c r="C203" s="1128"/>
      <c r="D203" s="518" t="s">
        <v>1853</v>
      </c>
      <c r="E203" s="441" t="s">
        <v>2</v>
      </c>
      <c r="F203" s="689"/>
      <c r="G203" s="689">
        <v>6137</v>
      </c>
      <c r="H203" s="689">
        <v>6137</v>
      </c>
      <c r="I203" s="684">
        <f>(H203/G203)*100</f>
        <v>100</v>
      </c>
    </row>
    <row r="204" spans="1:9" ht="15.75" customHeight="1" x14ac:dyDescent="0.25">
      <c r="A204" s="420">
        <v>1515</v>
      </c>
      <c r="B204" s="651">
        <v>3141</v>
      </c>
      <c r="C204" s="651">
        <v>5213</v>
      </c>
      <c r="D204" s="675"/>
      <c r="E204" s="616" t="s">
        <v>1054</v>
      </c>
      <c r="F204" s="690"/>
      <c r="G204" s="690">
        <f>SUM(G205:G205)</f>
        <v>318</v>
      </c>
      <c r="H204" s="690">
        <f>SUM(H205:H205)</f>
        <v>318</v>
      </c>
      <c r="I204" s="691">
        <f t="shared" si="13"/>
        <v>100</v>
      </c>
    </row>
    <row r="205" spans="1:9" x14ac:dyDescent="0.2">
      <c r="A205" s="420"/>
      <c r="B205" s="651"/>
      <c r="C205" s="651"/>
      <c r="D205" s="518" t="s">
        <v>1853</v>
      </c>
      <c r="E205" s="441" t="s">
        <v>2</v>
      </c>
      <c r="F205" s="689"/>
      <c r="G205" s="689">
        <v>318</v>
      </c>
      <c r="H205" s="689">
        <v>318</v>
      </c>
      <c r="I205" s="684">
        <f t="shared" si="13"/>
        <v>100</v>
      </c>
    </row>
    <row r="206" spans="1:9" ht="15" x14ac:dyDescent="0.25">
      <c r="A206" s="420">
        <v>1515</v>
      </c>
      <c r="B206" s="651">
        <v>3143</v>
      </c>
      <c r="C206" s="651">
        <v>5213</v>
      </c>
      <c r="D206" s="675"/>
      <c r="E206" s="616" t="s">
        <v>1054</v>
      </c>
      <c r="F206" s="690"/>
      <c r="G206" s="690">
        <f>SUM(G207:G207)</f>
        <v>1227</v>
      </c>
      <c r="H206" s="690">
        <f>SUM(H207:H207)</f>
        <v>1227</v>
      </c>
      <c r="I206" s="691">
        <f t="shared" si="13"/>
        <v>100</v>
      </c>
    </row>
    <row r="207" spans="1:9" x14ac:dyDescent="0.2">
      <c r="A207" s="420"/>
      <c r="B207" s="651"/>
      <c r="C207" s="651"/>
      <c r="D207" s="518" t="s">
        <v>1853</v>
      </c>
      <c r="E207" s="441" t="s">
        <v>2</v>
      </c>
      <c r="F207" s="689"/>
      <c r="G207" s="689">
        <v>1227</v>
      </c>
      <c r="H207" s="689">
        <v>1227</v>
      </c>
      <c r="I207" s="684">
        <f t="shared" si="13"/>
        <v>100</v>
      </c>
    </row>
    <row r="208" spans="1:9" ht="15" x14ac:dyDescent="0.25">
      <c r="A208" s="420">
        <v>1515</v>
      </c>
      <c r="B208" s="651">
        <v>3233</v>
      </c>
      <c r="C208" s="617">
        <v>5213</v>
      </c>
      <c r="D208" s="675"/>
      <c r="E208" s="616" t="s">
        <v>1054</v>
      </c>
      <c r="F208" s="676"/>
      <c r="G208" s="705">
        <f>G209</f>
        <v>90</v>
      </c>
      <c r="H208" s="700">
        <f>H209</f>
        <v>90</v>
      </c>
      <c r="I208" s="693">
        <f t="shared" si="13"/>
        <v>100</v>
      </c>
    </row>
    <row r="209" spans="1:12" ht="15" thickBot="1" x14ac:dyDescent="0.25">
      <c r="A209" s="420"/>
      <c r="B209" s="617"/>
      <c r="C209" s="617"/>
      <c r="D209" s="518" t="s">
        <v>1853</v>
      </c>
      <c r="E209" s="441" t="s">
        <v>2</v>
      </c>
      <c r="F209" s="683"/>
      <c r="G209" s="683">
        <v>90</v>
      </c>
      <c r="H209" s="683">
        <v>90</v>
      </c>
      <c r="I209" s="679">
        <v>100</v>
      </c>
    </row>
    <row r="210" spans="1:12" ht="16.5" thickTop="1" thickBot="1" x14ac:dyDescent="0.3">
      <c r="A210" s="3110" t="s">
        <v>1000</v>
      </c>
      <c r="B210" s="3111"/>
      <c r="C210" s="3111"/>
      <c r="D210" s="3111"/>
      <c r="E210" s="3111"/>
      <c r="F210" s="680">
        <f>SUM(F199,F201)</f>
        <v>0</v>
      </c>
      <c r="G210" s="680">
        <f>SUM(G199,G201,G204,G206,G208)</f>
        <v>12600</v>
      </c>
      <c r="H210" s="680">
        <f>SUM(H199,H201,H204,H206,H208)</f>
        <v>12600</v>
      </c>
      <c r="I210" s="681">
        <f t="shared" si="13"/>
        <v>100</v>
      </c>
      <c r="K210" s="374">
        <f>SUM(G210,G194,G176,G156,G141,G119,G48,G36,G24,G13,G59,G84,G75,G96)</f>
        <v>67756</v>
      </c>
      <c r="L210" s="374">
        <f>SUM(H210,H194,H176,H156,H141,H119,H48,H36,H24,H13,H59,H84,H75,H96)</f>
        <v>67756</v>
      </c>
    </row>
    <row r="211" spans="1:12" ht="18" customHeight="1" thickTop="1" x14ac:dyDescent="0.25">
      <c r="A211" s="361"/>
      <c r="B211" s="361"/>
      <c r="C211" s="361"/>
      <c r="D211" s="361"/>
      <c r="E211" s="361"/>
      <c r="F211" s="178"/>
      <c r="G211" s="178"/>
      <c r="H211" s="178"/>
      <c r="I211" s="207"/>
      <c r="K211" s="374"/>
      <c r="L211" s="374"/>
    </row>
    <row r="212" spans="1:12" ht="18" customHeight="1" x14ac:dyDescent="0.25">
      <c r="A212" s="361"/>
      <c r="B212" s="361"/>
      <c r="C212" s="361"/>
      <c r="D212" s="361"/>
      <c r="E212" s="361"/>
      <c r="F212" s="178"/>
      <c r="G212" s="178"/>
      <c r="H212" s="178"/>
      <c r="I212" s="207"/>
      <c r="K212" s="374"/>
      <c r="L212" s="374"/>
    </row>
    <row r="213" spans="1:12" ht="13.5" customHeight="1" thickBot="1" x14ac:dyDescent="0.25">
      <c r="A213" s="421" t="s">
        <v>302</v>
      </c>
      <c r="I213" s="673" t="s">
        <v>148</v>
      </c>
    </row>
    <row r="214" spans="1:12" s="106" customFormat="1" ht="12.75" thickTop="1" thickBot="1" x14ac:dyDescent="0.25">
      <c r="A214" s="586" t="s">
        <v>565</v>
      </c>
      <c r="B214" s="658" t="s">
        <v>149</v>
      </c>
      <c r="C214" s="587" t="s">
        <v>150</v>
      </c>
      <c r="D214" s="589" t="s">
        <v>639</v>
      </c>
      <c r="E214" s="589" t="s">
        <v>151</v>
      </c>
      <c r="F214" s="589" t="s">
        <v>569</v>
      </c>
      <c r="G214" s="589" t="s">
        <v>570</v>
      </c>
      <c r="H214" s="589" t="s">
        <v>797</v>
      </c>
      <c r="I214" s="674" t="s">
        <v>798</v>
      </c>
    </row>
    <row r="215" spans="1:12" s="375" customFormat="1" ht="20.25" customHeight="1" thickTop="1" thickBot="1" x14ac:dyDescent="0.25">
      <c r="A215" s="525">
        <v>1</v>
      </c>
      <c r="B215" s="526">
        <v>2</v>
      </c>
      <c r="C215" s="526">
        <v>3</v>
      </c>
      <c r="D215" s="526">
        <v>4</v>
      </c>
      <c r="E215" s="526">
        <v>5</v>
      </c>
      <c r="F215" s="512">
        <v>6</v>
      </c>
      <c r="G215" s="512">
        <v>7</v>
      </c>
      <c r="H215" s="513">
        <v>8</v>
      </c>
      <c r="I215" s="591" t="s">
        <v>689</v>
      </c>
    </row>
    <row r="216" spans="1:12" ht="15.75" thickTop="1" x14ac:dyDescent="0.25">
      <c r="A216" s="1136">
        <v>1516</v>
      </c>
      <c r="B216" s="701">
        <v>3113</v>
      </c>
      <c r="C216" s="701">
        <v>5213</v>
      </c>
      <c r="D216" s="706"/>
      <c r="E216" s="664" t="s">
        <v>1054</v>
      </c>
      <c r="F216" s="699"/>
      <c r="G216" s="699">
        <f>SUM(G217:G219)</f>
        <v>3889</v>
      </c>
      <c r="H216" s="699">
        <f>SUM(H217:H219)</f>
        <v>3889</v>
      </c>
      <c r="I216" s="703">
        <f t="shared" ref="I216:I224" si="14">(H216/G216)*100</f>
        <v>100</v>
      </c>
    </row>
    <row r="217" spans="1:12" ht="29.25" x14ac:dyDescent="0.25">
      <c r="A217" s="420"/>
      <c r="B217" s="651"/>
      <c r="C217" s="651"/>
      <c r="D217" s="649" t="s">
        <v>1851</v>
      </c>
      <c r="E217" s="2900" t="s">
        <v>1852</v>
      </c>
      <c r="F217" s="690"/>
      <c r="G217" s="1224">
        <v>38</v>
      </c>
      <c r="H217" s="1224">
        <v>38</v>
      </c>
      <c r="I217" s="1066">
        <f t="shared" si="14"/>
        <v>100</v>
      </c>
    </row>
    <row r="218" spans="1:12" ht="15" x14ac:dyDescent="0.25">
      <c r="A218" s="420"/>
      <c r="B218" s="651"/>
      <c r="C218" s="651"/>
      <c r="D218" s="518" t="s">
        <v>1853</v>
      </c>
      <c r="E218" s="441" t="s">
        <v>2</v>
      </c>
      <c r="F218" s="690"/>
      <c r="G218" s="692">
        <v>3629</v>
      </c>
      <c r="H218" s="692">
        <v>3629</v>
      </c>
      <c r="I218" s="684">
        <f t="shared" si="14"/>
        <v>100</v>
      </c>
    </row>
    <row r="219" spans="1:12" ht="15" x14ac:dyDescent="0.25">
      <c r="A219" s="420"/>
      <c r="B219" s="651"/>
      <c r="C219" s="651"/>
      <c r="D219" s="649" t="s">
        <v>1854</v>
      </c>
      <c r="E219" s="1189" t="s">
        <v>1</v>
      </c>
      <c r="F219" s="690"/>
      <c r="G219" s="692">
        <v>222</v>
      </c>
      <c r="H219" s="692">
        <v>222</v>
      </c>
      <c r="I219" s="684">
        <f t="shared" si="14"/>
        <v>100</v>
      </c>
    </row>
    <row r="220" spans="1:12" ht="15" x14ac:dyDescent="0.25">
      <c r="A220" s="420">
        <v>1516</v>
      </c>
      <c r="B220" s="651">
        <v>3141</v>
      </c>
      <c r="C220" s="651">
        <v>5213</v>
      </c>
      <c r="D220" s="649"/>
      <c r="E220" s="616" t="s">
        <v>1054</v>
      </c>
      <c r="F220" s="689"/>
      <c r="G220" s="700">
        <f>G221</f>
        <v>20</v>
      </c>
      <c r="H220" s="700">
        <f>H221</f>
        <v>20</v>
      </c>
      <c r="I220" s="693">
        <f t="shared" si="14"/>
        <v>100</v>
      </c>
    </row>
    <row r="221" spans="1:12" x14ac:dyDescent="0.2">
      <c r="A221" s="420"/>
      <c r="B221" s="651"/>
      <c r="C221" s="651"/>
      <c r="D221" s="518" t="s">
        <v>1853</v>
      </c>
      <c r="E221" s="441" t="s">
        <v>2</v>
      </c>
      <c r="F221" s="689"/>
      <c r="G221" s="689">
        <v>20</v>
      </c>
      <c r="H221" s="689">
        <v>20</v>
      </c>
      <c r="I221" s="684">
        <f t="shared" si="14"/>
        <v>100</v>
      </c>
    </row>
    <row r="222" spans="1:12" ht="15" x14ac:dyDescent="0.25">
      <c r="A222" s="420">
        <v>1516</v>
      </c>
      <c r="B222" s="617">
        <v>3143</v>
      </c>
      <c r="C222" s="1127">
        <v>5213</v>
      </c>
      <c r="D222" s="685"/>
      <c r="E222" s="616" t="s">
        <v>1054</v>
      </c>
      <c r="F222" s="676"/>
      <c r="G222" s="676">
        <f>SUM(G223:G223)</f>
        <v>325</v>
      </c>
      <c r="H222" s="676">
        <f>SUM(H223:H223)</f>
        <v>325</v>
      </c>
      <c r="I222" s="677">
        <f t="shared" si="14"/>
        <v>100</v>
      </c>
    </row>
    <row r="223" spans="1:12" ht="15" thickBot="1" x14ac:dyDescent="0.25">
      <c r="A223" s="1143"/>
      <c r="B223" s="686"/>
      <c r="C223" s="686"/>
      <c r="D223" s="518" t="s">
        <v>1853</v>
      </c>
      <c r="E223" s="441" t="s">
        <v>2</v>
      </c>
      <c r="F223" s="687"/>
      <c r="G223" s="687">
        <v>325</v>
      </c>
      <c r="H223" s="687">
        <v>325</v>
      </c>
      <c r="I223" s="688">
        <f t="shared" si="14"/>
        <v>100</v>
      </c>
    </row>
    <row r="224" spans="1:12" ht="15.75" customHeight="1" thickTop="1" thickBot="1" x14ac:dyDescent="0.3">
      <c r="A224" s="3110" t="s">
        <v>1000</v>
      </c>
      <c r="B224" s="3111"/>
      <c r="C224" s="3111"/>
      <c r="D224" s="3111"/>
      <c r="E224" s="3111"/>
      <c r="F224" s="680">
        <f>SUM(F216,F222)</f>
        <v>0</v>
      </c>
      <c r="G224" s="680">
        <f>SUM(G216,G220,G222)</f>
        <v>4234</v>
      </c>
      <c r="H224" s="680">
        <f>SUM(H216,H220,H222)</f>
        <v>4234</v>
      </c>
      <c r="I224" s="681">
        <f t="shared" si="14"/>
        <v>100</v>
      </c>
    </row>
    <row r="225" spans="1:9" ht="15.75" thickTop="1" x14ac:dyDescent="0.25">
      <c r="A225" s="361"/>
      <c r="B225" s="361"/>
      <c r="C225" s="361"/>
      <c r="D225" s="361"/>
      <c r="E225" s="361"/>
      <c r="F225" s="178"/>
      <c r="G225" s="178"/>
      <c r="H225" s="178"/>
      <c r="I225" s="207"/>
    </row>
    <row r="226" spans="1:9" ht="18" customHeight="1" thickBot="1" x14ac:dyDescent="0.25">
      <c r="A226" s="421" t="s">
        <v>444</v>
      </c>
      <c r="I226" s="673" t="s">
        <v>148</v>
      </c>
    </row>
    <row r="227" spans="1:9" s="106" customFormat="1" ht="12.75" thickTop="1" thickBot="1" x14ac:dyDescent="0.25">
      <c r="A227" s="586" t="s">
        <v>565</v>
      </c>
      <c r="B227" s="658" t="s">
        <v>149</v>
      </c>
      <c r="C227" s="587" t="s">
        <v>150</v>
      </c>
      <c r="D227" s="589" t="s">
        <v>639</v>
      </c>
      <c r="E227" s="589" t="s">
        <v>151</v>
      </c>
      <c r="F227" s="589" t="s">
        <v>569</v>
      </c>
      <c r="G227" s="589" t="s">
        <v>570</v>
      </c>
      <c r="H227" s="589" t="s">
        <v>797</v>
      </c>
      <c r="I227" s="674" t="s">
        <v>798</v>
      </c>
    </row>
    <row r="228" spans="1:9" s="375" customFormat="1" ht="20.25" customHeight="1" thickTop="1" thickBot="1" x14ac:dyDescent="0.25">
      <c r="A228" s="525">
        <v>1</v>
      </c>
      <c r="B228" s="526">
        <v>2</v>
      </c>
      <c r="C228" s="526">
        <v>3</v>
      </c>
      <c r="D228" s="526">
        <v>4</v>
      </c>
      <c r="E228" s="526">
        <v>5</v>
      </c>
      <c r="F228" s="512">
        <v>6</v>
      </c>
      <c r="G228" s="512">
        <v>7</v>
      </c>
      <c r="H228" s="513">
        <v>8</v>
      </c>
      <c r="I228" s="591" t="s">
        <v>689</v>
      </c>
    </row>
    <row r="229" spans="1:9" ht="15.75" thickTop="1" x14ac:dyDescent="0.25">
      <c r="A229" s="1136">
        <v>1517</v>
      </c>
      <c r="B229" s="701">
        <v>3112</v>
      </c>
      <c r="C229" s="701">
        <v>5221</v>
      </c>
      <c r="D229" s="706"/>
      <c r="E229" s="664" t="s">
        <v>1055</v>
      </c>
      <c r="F229" s="699"/>
      <c r="G229" s="699">
        <f>SUM(G230:G231)</f>
        <v>2837</v>
      </c>
      <c r="H229" s="699">
        <f>SUM(H230:H231)</f>
        <v>2837</v>
      </c>
      <c r="I229" s="703">
        <f t="shared" ref="I229:I242" si="15">(H229/G229)*100</f>
        <v>100</v>
      </c>
    </row>
    <row r="230" spans="1:9" x14ac:dyDescent="0.2">
      <c r="A230" s="420"/>
      <c r="B230" s="651"/>
      <c r="C230" s="651"/>
      <c r="D230" s="518" t="s">
        <v>1853</v>
      </c>
      <c r="E230" s="441" t="s">
        <v>2</v>
      </c>
      <c r="F230" s="689"/>
      <c r="G230" s="689">
        <v>2818</v>
      </c>
      <c r="H230" s="689">
        <v>2818</v>
      </c>
      <c r="I230" s="679">
        <f t="shared" si="15"/>
        <v>100</v>
      </c>
    </row>
    <row r="231" spans="1:9" x14ac:dyDescent="0.2">
      <c r="A231" s="420"/>
      <c r="B231" s="651"/>
      <c r="C231" s="651"/>
      <c r="D231" s="649" t="s">
        <v>1854</v>
      </c>
      <c r="E231" s="1189" t="s">
        <v>1</v>
      </c>
      <c r="F231" s="689"/>
      <c r="G231" s="689">
        <v>19</v>
      </c>
      <c r="H231" s="689">
        <v>19</v>
      </c>
      <c r="I231" s="679">
        <f t="shared" si="15"/>
        <v>100</v>
      </c>
    </row>
    <row r="232" spans="1:9" ht="15" x14ac:dyDescent="0.25">
      <c r="A232" s="420">
        <v>1517</v>
      </c>
      <c r="B232" s="651">
        <v>3114</v>
      </c>
      <c r="C232" s="1128">
        <v>5221</v>
      </c>
      <c r="D232" s="685"/>
      <c r="E232" s="616" t="s">
        <v>1055</v>
      </c>
      <c r="F232" s="690"/>
      <c r="G232" s="690">
        <f>SUM(G233:G235)</f>
        <v>18690</v>
      </c>
      <c r="H232" s="690">
        <f>SUM(H233:H235)</f>
        <v>18690</v>
      </c>
      <c r="I232" s="691">
        <f t="shared" si="15"/>
        <v>100</v>
      </c>
    </row>
    <row r="233" spans="1:9" ht="29.25" x14ac:dyDescent="0.25">
      <c r="A233" s="420"/>
      <c r="B233" s="651"/>
      <c r="C233" s="1128"/>
      <c r="D233" s="649" t="s">
        <v>1851</v>
      </c>
      <c r="E233" s="2900" t="s">
        <v>1852</v>
      </c>
      <c r="F233" s="690"/>
      <c r="G233" s="1224">
        <v>249</v>
      </c>
      <c r="H233" s="1224">
        <v>249</v>
      </c>
      <c r="I233" s="1066">
        <f>(H233/G233)*100</f>
        <v>100</v>
      </c>
    </row>
    <row r="234" spans="1:9" ht="15" x14ac:dyDescent="0.25">
      <c r="A234" s="420"/>
      <c r="B234" s="651"/>
      <c r="C234" s="1128"/>
      <c r="D234" s="518" t="s">
        <v>1853</v>
      </c>
      <c r="E234" s="441" t="s">
        <v>2</v>
      </c>
      <c r="F234" s="690"/>
      <c r="G234" s="692">
        <v>17783</v>
      </c>
      <c r="H234" s="692">
        <v>17783</v>
      </c>
      <c r="I234" s="684">
        <f>(H234/G234)*100</f>
        <v>100</v>
      </c>
    </row>
    <row r="235" spans="1:9" ht="15.75" customHeight="1" x14ac:dyDescent="0.25">
      <c r="A235" s="420"/>
      <c r="B235" s="651"/>
      <c r="C235" s="1128"/>
      <c r="D235" s="649" t="s">
        <v>1854</v>
      </c>
      <c r="E235" s="1189" t="s">
        <v>1</v>
      </c>
      <c r="F235" s="690"/>
      <c r="G235" s="692">
        <v>658</v>
      </c>
      <c r="H235" s="692">
        <v>658</v>
      </c>
      <c r="I235" s="684">
        <f t="shared" si="15"/>
        <v>100</v>
      </c>
    </row>
    <row r="236" spans="1:9" ht="15.75" customHeight="1" x14ac:dyDescent="0.25">
      <c r="A236" s="420">
        <v>1517</v>
      </c>
      <c r="B236" s="651">
        <v>3141</v>
      </c>
      <c r="C236" s="1128">
        <v>5221</v>
      </c>
      <c r="D236" s="685"/>
      <c r="E236" s="616" t="s">
        <v>1055</v>
      </c>
      <c r="F236" s="690"/>
      <c r="G236" s="690">
        <f>SUM(G237:G237)</f>
        <v>149</v>
      </c>
      <c r="H236" s="690">
        <f>SUM(H237:H237)</f>
        <v>149</v>
      </c>
      <c r="I236" s="691">
        <f>(H236/G236)*100</f>
        <v>100</v>
      </c>
    </row>
    <row r="237" spans="1:9" ht="15.75" customHeight="1" x14ac:dyDescent="0.2">
      <c r="A237" s="420"/>
      <c r="B237" s="651"/>
      <c r="C237" s="651"/>
      <c r="D237" s="518" t="s">
        <v>1853</v>
      </c>
      <c r="E237" s="441" t="s">
        <v>2</v>
      </c>
      <c r="F237" s="689"/>
      <c r="G237" s="689">
        <v>149</v>
      </c>
      <c r="H237" s="689">
        <v>149</v>
      </c>
      <c r="I237" s="684">
        <f t="shared" si="15"/>
        <v>100</v>
      </c>
    </row>
    <row r="238" spans="1:9" ht="15.75" customHeight="1" x14ac:dyDescent="0.25">
      <c r="A238" s="420">
        <v>1517</v>
      </c>
      <c r="B238" s="651">
        <v>3143</v>
      </c>
      <c r="C238" s="651">
        <v>5221</v>
      </c>
      <c r="D238" s="518"/>
      <c r="E238" s="616" t="s">
        <v>1055</v>
      </c>
      <c r="F238" s="689"/>
      <c r="G238" s="700">
        <f>SUM(G239:G239)</f>
        <v>1257</v>
      </c>
      <c r="H238" s="700">
        <f>SUM(H239:H239)</f>
        <v>1257</v>
      </c>
      <c r="I238" s="691">
        <f>(H238/G238)*100</f>
        <v>100</v>
      </c>
    </row>
    <row r="239" spans="1:9" ht="15.75" customHeight="1" x14ac:dyDescent="0.2">
      <c r="A239" s="420"/>
      <c r="B239" s="651"/>
      <c r="C239" s="651"/>
      <c r="D239" s="518" t="s">
        <v>1853</v>
      </c>
      <c r="E239" s="441" t="s">
        <v>2</v>
      </c>
      <c r="F239" s="689"/>
      <c r="G239" s="689">
        <v>1257</v>
      </c>
      <c r="H239" s="689">
        <v>1257</v>
      </c>
      <c r="I239" s="684">
        <f t="shared" si="15"/>
        <v>100</v>
      </c>
    </row>
    <row r="240" spans="1:9" ht="15" x14ac:dyDescent="0.25">
      <c r="A240" s="420">
        <v>1517</v>
      </c>
      <c r="B240" s="651">
        <v>3146</v>
      </c>
      <c r="C240" s="1128">
        <v>5221</v>
      </c>
      <c r="D240" s="685"/>
      <c r="E240" s="1006" t="s">
        <v>1055</v>
      </c>
      <c r="F240" s="690"/>
      <c r="G240" s="690">
        <f>SUM(G241:G242)</f>
        <v>8490</v>
      </c>
      <c r="H240" s="690">
        <f>SUM(H241:H242)</f>
        <v>8490</v>
      </c>
      <c r="I240" s="691">
        <f t="shared" si="15"/>
        <v>100</v>
      </c>
    </row>
    <row r="241" spans="1:9" ht="15" x14ac:dyDescent="0.25">
      <c r="A241" s="420"/>
      <c r="B241" s="651"/>
      <c r="C241" s="1128"/>
      <c r="D241" s="518" t="s">
        <v>1816</v>
      </c>
      <c r="E241" s="441" t="s">
        <v>1598</v>
      </c>
      <c r="F241" s="690"/>
      <c r="G241" s="689">
        <v>20</v>
      </c>
      <c r="H241" s="689">
        <v>20</v>
      </c>
      <c r="I241" s="684">
        <f t="shared" si="15"/>
        <v>100</v>
      </c>
    </row>
    <row r="242" spans="1:9" ht="15" thickBot="1" x14ac:dyDescent="0.25">
      <c r="A242" s="420"/>
      <c r="B242" s="651"/>
      <c r="C242" s="651"/>
      <c r="D242" s="518" t="s">
        <v>1853</v>
      </c>
      <c r="E242" s="441" t="s">
        <v>2</v>
      </c>
      <c r="F242" s="689"/>
      <c r="G242" s="689">
        <v>8470</v>
      </c>
      <c r="H242" s="689">
        <v>8470</v>
      </c>
      <c r="I242" s="684">
        <f t="shared" si="15"/>
        <v>100</v>
      </c>
    </row>
    <row r="243" spans="1:9" ht="16.5" thickTop="1" thickBot="1" x14ac:dyDescent="0.3">
      <c r="A243" s="3110" t="s">
        <v>1000</v>
      </c>
      <c r="B243" s="3111"/>
      <c r="C243" s="3111"/>
      <c r="D243" s="3111"/>
      <c r="E243" s="3111"/>
      <c r="F243" s="680">
        <f>SUM(F229,F232)</f>
        <v>0</v>
      </c>
      <c r="G243" s="680">
        <f>SUM(G229,G232,G236,G240,G238)</f>
        <v>31423</v>
      </c>
      <c r="H243" s="680">
        <f>SUM(H229,H232,H236,H240,H238)</f>
        <v>31423</v>
      </c>
      <c r="I243" s="681">
        <f>(H243/G243)*100</f>
        <v>100</v>
      </c>
    </row>
    <row r="244" spans="1:9" ht="15.75" customHeight="1" thickTop="1" x14ac:dyDescent="0.2"/>
    <row r="245" spans="1:9" ht="18" customHeight="1" thickBot="1" x14ac:dyDescent="0.25">
      <c r="A245" s="421" t="s">
        <v>445</v>
      </c>
      <c r="I245" s="673" t="s">
        <v>148</v>
      </c>
    </row>
    <row r="246" spans="1:9" s="106" customFormat="1" ht="12.75" customHeight="1" thickTop="1" thickBot="1" x14ac:dyDescent="0.25">
      <c r="A246" s="586" t="s">
        <v>565</v>
      </c>
      <c r="B246" s="658" t="s">
        <v>149</v>
      </c>
      <c r="C246" s="587" t="s">
        <v>150</v>
      </c>
      <c r="D246" s="589" t="s">
        <v>639</v>
      </c>
      <c r="E246" s="589" t="s">
        <v>151</v>
      </c>
      <c r="F246" s="589" t="s">
        <v>569</v>
      </c>
      <c r="G246" s="589" t="s">
        <v>570</v>
      </c>
      <c r="H246" s="589" t="s">
        <v>797</v>
      </c>
      <c r="I246" s="674" t="s">
        <v>798</v>
      </c>
    </row>
    <row r="247" spans="1:9" s="375" customFormat="1" ht="12.75" customHeight="1" thickTop="1" thickBot="1" x14ac:dyDescent="0.25">
      <c r="A247" s="525">
        <v>1</v>
      </c>
      <c r="B247" s="526">
        <v>2</v>
      </c>
      <c r="C247" s="526">
        <v>3</v>
      </c>
      <c r="D247" s="526">
        <v>4</v>
      </c>
      <c r="E247" s="526">
        <v>5</v>
      </c>
      <c r="F247" s="512">
        <v>6</v>
      </c>
      <c r="G247" s="512">
        <v>7</v>
      </c>
      <c r="H247" s="513">
        <v>8</v>
      </c>
      <c r="I247" s="591" t="s">
        <v>689</v>
      </c>
    </row>
    <row r="248" spans="1:9" ht="15.75" thickTop="1" x14ac:dyDescent="0.25">
      <c r="A248" s="1136">
        <v>1518</v>
      </c>
      <c r="B248" s="701">
        <v>3114</v>
      </c>
      <c r="C248" s="701">
        <v>5221</v>
      </c>
      <c r="D248" s="706"/>
      <c r="E248" s="664" t="s">
        <v>1055</v>
      </c>
      <c r="F248" s="699"/>
      <c r="G248" s="699">
        <f>SUM(G249:G251)</f>
        <v>5630</v>
      </c>
      <c r="H248" s="699">
        <f>SUM(H249:H251)</f>
        <v>5630</v>
      </c>
      <c r="I248" s="703">
        <f t="shared" ref="I248:I259" si="16">(H248/G248)*100</f>
        <v>100</v>
      </c>
    </row>
    <row r="249" spans="1:9" ht="29.25" x14ac:dyDescent="0.25">
      <c r="A249" s="420"/>
      <c r="B249" s="651"/>
      <c r="C249" s="651"/>
      <c r="D249" s="649" t="s">
        <v>1851</v>
      </c>
      <c r="E249" s="2900" t="s">
        <v>1852</v>
      </c>
      <c r="F249" s="690"/>
      <c r="G249" s="1224">
        <v>105</v>
      </c>
      <c r="H249" s="1224">
        <v>105</v>
      </c>
      <c r="I249" s="1063">
        <f>(H249/G249)*100</f>
        <v>100</v>
      </c>
    </row>
    <row r="250" spans="1:9" ht="20.25" customHeight="1" x14ac:dyDescent="0.25">
      <c r="A250" s="420"/>
      <c r="B250" s="651"/>
      <c r="C250" s="651"/>
      <c r="D250" s="518" t="s">
        <v>1853</v>
      </c>
      <c r="E250" s="441" t="s">
        <v>2</v>
      </c>
      <c r="F250" s="690"/>
      <c r="G250" s="1224">
        <v>5030</v>
      </c>
      <c r="H250" s="1224">
        <v>5030</v>
      </c>
      <c r="I250" s="1063">
        <f>(H250/G250)*100</f>
        <v>100</v>
      </c>
    </row>
    <row r="251" spans="1:9" ht="15" x14ac:dyDescent="0.25">
      <c r="A251" s="420"/>
      <c r="B251" s="651"/>
      <c r="C251" s="651"/>
      <c r="D251" s="649" t="s">
        <v>1854</v>
      </c>
      <c r="E251" s="1189" t="s">
        <v>1</v>
      </c>
      <c r="F251" s="690"/>
      <c r="G251" s="692">
        <v>495</v>
      </c>
      <c r="H251" s="692">
        <v>495</v>
      </c>
      <c r="I251" s="684">
        <f>(H251/G251)*100</f>
        <v>100</v>
      </c>
    </row>
    <row r="252" spans="1:9" ht="15" x14ac:dyDescent="0.25">
      <c r="A252" s="420">
        <v>1518</v>
      </c>
      <c r="B252" s="651">
        <v>3124</v>
      </c>
      <c r="C252" s="1128">
        <v>5221</v>
      </c>
      <c r="D252" s="685"/>
      <c r="E252" s="616" t="s">
        <v>1055</v>
      </c>
      <c r="F252" s="690"/>
      <c r="G252" s="690">
        <f>SUM(G253:G254)</f>
        <v>1710</v>
      </c>
      <c r="H252" s="690">
        <f>SUM(H253:H254)</f>
        <v>1710</v>
      </c>
      <c r="I252" s="691">
        <f t="shared" si="16"/>
        <v>100</v>
      </c>
    </row>
    <row r="253" spans="1:9" x14ac:dyDescent="0.2">
      <c r="A253" s="420"/>
      <c r="B253" s="651"/>
      <c r="C253" s="651"/>
      <c r="D253" s="518" t="s">
        <v>1853</v>
      </c>
      <c r="E253" s="441" t="s">
        <v>2</v>
      </c>
      <c r="F253" s="689"/>
      <c r="G253" s="689">
        <v>1616</v>
      </c>
      <c r="H253" s="689">
        <v>1616</v>
      </c>
      <c r="I253" s="684">
        <f t="shared" si="16"/>
        <v>100</v>
      </c>
    </row>
    <row r="254" spans="1:9" x14ac:dyDescent="0.2">
      <c r="A254" s="420"/>
      <c r="B254" s="651"/>
      <c r="C254" s="651"/>
      <c r="D254" s="649" t="s">
        <v>1854</v>
      </c>
      <c r="E254" s="1189" t="s">
        <v>1</v>
      </c>
      <c r="F254" s="689"/>
      <c r="G254" s="689">
        <v>94</v>
      </c>
      <c r="H254" s="689">
        <v>94</v>
      </c>
      <c r="I254" s="684">
        <f t="shared" si="16"/>
        <v>100</v>
      </c>
    </row>
    <row r="255" spans="1:9" ht="15" customHeight="1" x14ac:dyDescent="0.25">
      <c r="A255" s="420">
        <v>1518</v>
      </c>
      <c r="B255" s="651">
        <v>3141</v>
      </c>
      <c r="C255" s="651">
        <v>5221</v>
      </c>
      <c r="D255" s="518"/>
      <c r="E255" s="616" t="s">
        <v>1055</v>
      </c>
      <c r="F255" s="689"/>
      <c r="G255" s="700">
        <f>G256</f>
        <v>138</v>
      </c>
      <c r="H255" s="700">
        <f>H256</f>
        <v>138</v>
      </c>
      <c r="I255" s="693">
        <f t="shared" si="16"/>
        <v>100</v>
      </c>
    </row>
    <row r="256" spans="1:9" x14ac:dyDescent="0.2">
      <c r="A256" s="420"/>
      <c r="B256" s="651"/>
      <c r="C256" s="651"/>
      <c r="D256" s="518" t="s">
        <v>1853</v>
      </c>
      <c r="E256" s="441" t="s">
        <v>2</v>
      </c>
      <c r="F256" s="689"/>
      <c r="G256" s="689">
        <v>138</v>
      </c>
      <c r="H256" s="689">
        <v>138</v>
      </c>
      <c r="I256" s="684">
        <f t="shared" si="16"/>
        <v>100</v>
      </c>
    </row>
    <row r="257" spans="1:9" ht="15.75" customHeight="1" x14ac:dyDescent="0.25">
      <c r="A257" s="420">
        <v>1518</v>
      </c>
      <c r="B257" s="617">
        <v>3143</v>
      </c>
      <c r="C257" s="1127">
        <v>5221</v>
      </c>
      <c r="D257" s="685"/>
      <c r="E257" s="616" t="s">
        <v>1055</v>
      </c>
      <c r="F257" s="676"/>
      <c r="G257" s="676">
        <f>G258</f>
        <v>351</v>
      </c>
      <c r="H257" s="676">
        <f>H258</f>
        <v>351</v>
      </c>
      <c r="I257" s="677">
        <f t="shared" si="16"/>
        <v>100</v>
      </c>
    </row>
    <row r="258" spans="1:9" ht="15" thickBot="1" x14ac:dyDescent="0.25">
      <c r="A258" s="1143"/>
      <c r="B258" s="686"/>
      <c r="C258" s="686"/>
      <c r="D258" s="518" t="s">
        <v>1853</v>
      </c>
      <c r="E258" s="441" t="s">
        <v>2</v>
      </c>
      <c r="F258" s="687"/>
      <c r="G258" s="687">
        <v>351</v>
      </c>
      <c r="H258" s="687">
        <v>351</v>
      </c>
      <c r="I258" s="688">
        <f t="shared" si="16"/>
        <v>100</v>
      </c>
    </row>
    <row r="259" spans="1:9" ht="18" customHeight="1" thickTop="1" thickBot="1" x14ac:dyDescent="0.3">
      <c r="A259" s="3110" t="s">
        <v>1000</v>
      </c>
      <c r="B259" s="3111"/>
      <c r="C259" s="3111"/>
      <c r="D259" s="3111"/>
      <c r="E259" s="3111"/>
      <c r="F259" s="680">
        <f>SUM(F248,F252)</f>
        <v>0</v>
      </c>
      <c r="G259" s="680">
        <f>SUM(G248,G252,G257,G255)</f>
        <v>7829</v>
      </c>
      <c r="H259" s="680">
        <f>SUM(H248,H252,H257,H255)</f>
        <v>7829</v>
      </c>
      <c r="I259" s="681">
        <f t="shared" si="16"/>
        <v>100</v>
      </c>
    </row>
    <row r="260" spans="1:9" ht="18" customHeight="1" thickTop="1" x14ac:dyDescent="0.25">
      <c r="A260" s="361"/>
      <c r="B260" s="361"/>
      <c r="C260" s="361"/>
      <c r="D260" s="361"/>
      <c r="E260" s="361"/>
      <c r="F260" s="178"/>
      <c r="G260" s="178"/>
      <c r="H260" s="178"/>
      <c r="I260" s="207"/>
    </row>
    <row r="261" spans="1:9" ht="18" customHeight="1" x14ac:dyDescent="0.25">
      <c r="A261" s="361"/>
      <c r="B261" s="361"/>
      <c r="C261" s="361"/>
      <c r="D261" s="361"/>
      <c r="E261" s="361"/>
      <c r="F261" s="178"/>
      <c r="G261" s="178"/>
      <c r="H261" s="178"/>
      <c r="I261" s="207"/>
    </row>
    <row r="262" spans="1:9" ht="15" thickBot="1" x14ac:dyDescent="0.25">
      <c r="A262" s="421" t="s">
        <v>1091</v>
      </c>
      <c r="I262" s="673" t="s">
        <v>148</v>
      </c>
    </row>
    <row r="263" spans="1:9" s="106" customFormat="1" ht="20.25" customHeight="1" thickTop="1" thickBot="1" x14ac:dyDescent="0.25">
      <c r="A263" s="586" t="s">
        <v>565</v>
      </c>
      <c r="B263" s="658" t="s">
        <v>149</v>
      </c>
      <c r="C263" s="587" t="s">
        <v>150</v>
      </c>
      <c r="D263" s="589" t="s">
        <v>639</v>
      </c>
      <c r="E263" s="589" t="s">
        <v>151</v>
      </c>
      <c r="F263" s="589" t="s">
        <v>569</v>
      </c>
      <c r="G263" s="589" t="s">
        <v>570</v>
      </c>
      <c r="H263" s="589" t="s">
        <v>797</v>
      </c>
      <c r="I263" s="674" t="s">
        <v>798</v>
      </c>
    </row>
    <row r="264" spans="1:9" s="375" customFormat="1" ht="13.5" thickTop="1" thickBot="1" x14ac:dyDescent="0.25">
      <c r="A264" s="525">
        <v>1</v>
      </c>
      <c r="B264" s="526">
        <v>2</v>
      </c>
      <c r="C264" s="526">
        <v>3</v>
      </c>
      <c r="D264" s="526">
        <v>4</v>
      </c>
      <c r="E264" s="526">
        <v>5</v>
      </c>
      <c r="F264" s="512">
        <v>6</v>
      </c>
      <c r="G264" s="512">
        <v>7</v>
      </c>
      <c r="H264" s="513">
        <v>8</v>
      </c>
      <c r="I264" s="591" t="s">
        <v>689</v>
      </c>
    </row>
    <row r="265" spans="1:9" ht="15.75" thickTop="1" x14ac:dyDescent="0.25">
      <c r="A265" s="1136">
        <v>1519</v>
      </c>
      <c r="B265" s="701">
        <v>3111</v>
      </c>
      <c r="C265" s="701">
        <v>5213</v>
      </c>
      <c r="D265" s="706"/>
      <c r="E265" s="664" t="s">
        <v>1054</v>
      </c>
      <c r="F265" s="699"/>
      <c r="G265" s="699">
        <f>SUM(G266:G266)</f>
        <v>1890</v>
      </c>
      <c r="H265" s="699">
        <f>SUM(H266:H266)</f>
        <v>1890</v>
      </c>
      <c r="I265" s="703">
        <f t="shared" ref="I265:I277" si="17">(H265/G265)*100</f>
        <v>100</v>
      </c>
    </row>
    <row r="266" spans="1:9" x14ac:dyDescent="0.2">
      <c r="A266" s="420"/>
      <c r="B266" s="651"/>
      <c r="C266" s="651"/>
      <c r="D266" s="518" t="s">
        <v>1853</v>
      </c>
      <c r="E266" s="441" t="s">
        <v>2</v>
      </c>
      <c r="F266" s="689"/>
      <c r="G266" s="689">
        <v>1890</v>
      </c>
      <c r="H266" s="689">
        <v>1890</v>
      </c>
      <c r="I266" s="684">
        <f t="shared" si="17"/>
        <v>100</v>
      </c>
    </row>
    <row r="267" spans="1:9" ht="15.75" customHeight="1" x14ac:dyDescent="0.25">
      <c r="A267" s="420">
        <v>1519</v>
      </c>
      <c r="B267" s="617">
        <v>3113</v>
      </c>
      <c r="C267" s="1127">
        <v>5213</v>
      </c>
      <c r="D267" s="685"/>
      <c r="E267" s="616" t="s">
        <v>1054</v>
      </c>
      <c r="F267" s="676"/>
      <c r="G267" s="676">
        <f>SUM(G268:G271)</f>
        <v>6331</v>
      </c>
      <c r="H267" s="676">
        <f>SUM(H268:H271)</f>
        <v>6331</v>
      </c>
      <c r="I267" s="677">
        <f t="shared" si="17"/>
        <v>100</v>
      </c>
    </row>
    <row r="268" spans="1:9" ht="29.25" x14ac:dyDescent="0.25">
      <c r="A268" s="420"/>
      <c r="B268" s="617"/>
      <c r="C268" s="1127"/>
      <c r="D268" s="649" t="s">
        <v>1851</v>
      </c>
      <c r="E268" s="2900" t="s">
        <v>1852</v>
      </c>
      <c r="F268" s="676"/>
      <c r="G268" s="352">
        <v>118</v>
      </c>
      <c r="H268" s="352">
        <v>118</v>
      </c>
      <c r="I268" s="679">
        <f t="shared" si="17"/>
        <v>100</v>
      </c>
    </row>
    <row r="269" spans="1:9" ht="15.75" customHeight="1" x14ac:dyDescent="0.25">
      <c r="A269" s="420"/>
      <c r="B269" s="617"/>
      <c r="C269" s="1127"/>
      <c r="D269" s="518" t="s">
        <v>1853</v>
      </c>
      <c r="E269" s="441" t="s">
        <v>2</v>
      </c>
      <c r="F269" s="676"/>
      <c r="G269" s="352">
        <v>5735</v>
      </c>
      <c r="H269" s="352">
        <v>5735</v>
      </c>
      <c r="I269" s="679">
        <f t="shared" si="17"/>
        <v>100</v>
      </c>
    </row>
    <row r="270" spans="1:9" ht="15.75" customHeight="1" x14ac:dyDescent="0.25">
      <c r="A270" s="420"/>
      <c r="B270" s="617"/>
      <c r="C270" s="1127"/>
      <c r="D270" s="649" t="s">
        <v>1854</v>
      </c>
      <c r="E270" s="1189" t="s">
        <v>1</v>
      </c>
      <c r="F270" s="676"/>
      <c r="G270" s="352">
        <v>382</v>
      </c>
      <c r="H270" s="352">
        <v>382</v>
      </c>
      <c r="I270" s="679">
        <f t="shared" si="17"/>
        <v>100</v>
      </c>
    </row>
    <row r="271" spans="1:9" ht="12.75" customHeight="1" x14ac:dyDescent="0.2">
      <c r="A271" s="420"/>
      <c r="B271" s="617"/>
      <c r="C271" s="617"/>
      <c r="D271" s="2044" t="s">
        <v>1825</v>
      </c>
      <c r="E271" s="3131" t="s">
        <v>841</v>
      </c>
      <c r="F271" s="683"/>
      <c r="G271" s="683">
        <v>96</v>
      </c>
      <c r="H271" s="683">
        <v>96</v>
      </c>
      <c r="I271" s="679">
        <f t="shared" si="17"/>
        <v>100</v>
      </c>
    </row>
    <row r="272" spans="1:9" ht="12.75" customHeight="1" x14ac:dyDescent="0.2">
      <c r="A272" s="420"/>
      <c r="B272" s="617"/>
      <c r="C272" s="617"/>
      <c r="D272" s="518"/>
      <c r="E272" s="3100"/>
      <c r="F272" s="683"/>
      <c r="G272" s="683"/>
      <c r="H272" s="683"/>
      <c r="I272" s="679"/>
    </row>
    <row r="273" spans="1:9" ht="15" x14ac:dyDescent="0.25">
      <c r="A273" s="420">
        <v>1519</v>
      </c>
      <c r="B273" s="617">
        <v>3141</v>
      </c>
      <c r="C273" s="617">
        <v>5213</v>
      </c>
      <c r="D273" s="649"/>
      <c r="E273" s="616" t="s">
        <v>1054</v>
      </c>
      <c r="F273" s="683"/>
      <c r="G273" s="705">
        <f>G274</f>
        <v>93</v>
      </c>
      <c r="H273" s="705">
        <f>H274</f>
        <v>93</v>
      </c>
      <c r="I273" s="707">
        <f t="shared" si="17"/>
        <v>100</v>
      </c>
    </row>
    <row r="274" spans="1:9" x14ac:dyDescent="0.2">
      <c r="A274" s="420"/>
      <c r="B274" s="617"/>
      <c r="C274" s="617"/>
      <c r="D274" s="518" t="s">
        <v>1853</v>
      </c>
      <c r="E274" s="441" t="s">
        <v>2</v>
      </c>
      <c r="F274" s="683"/>
      <c r="G274" s="683">
        <v>93</v>
      </c>
      <c r="H274" s="683">
        <v>93</v>
      </c>
      <c r="I274" s="679">
        <f t="shared" si="17"/>
        <v>100</v>
      </c>
    </row>
    <row r="275" spans="1:9" ht="15" x14ac:dyDescent="0.25">
      <c r="A275" s="420">
        <v>1519</v>
      </c>
      <c r="B275" s="617">
        <v>3143</v>
      </c>
      <c r="C275" s="617">
        <v>5213</v>
      </c>
      <c r="D275" s="518"/>
      <c r="E275" s="616" t="s">
        <v>1054</v>
      </c>
      <c r="F275" s="683"/>
      <c r="G275" s="705">
        <f>G276</f>
        <v>962</v>
      </c>
      <c r="H275" s="705">
        <f>H276</f>
        <v>962</v>
      </c>
      <c r="I275" s="677">
        <f t="shared" si="17"/>
        <v>100</v>
      </c>
    </row>
    <row r="276" spans="1:9" ht="15" thickBot="1" x14ac:dyDescent="0.25">
      <c r="A276" s="420"/>
      <c r="B276" s="617"/>
      <c r="C276" s="617"/>
      <c r="D276" s="518" t="s">
        <v>1853</v>
      </c>
      <c r="E276" s="441" t="s">
        <v>2</v>
      </c>
      <c r="F276" s="683"/>
      <c r="G276" s="683">
        <v>962</v>
      </c>
      <c r="H276" s="683">
        <v>962</v>
      </c>
      <c r="I276" s="684">
        <f t="shared" si="17"/>
        <v>100</v>
      </c>
    </row>
    <row r="277" spans="1:9" ht="18" customHeight="1" thickTop="1" thickBot="1" x14ac:dyDescent="0.3">
      <c r="A277" s="3110" t="s">
        <v>1000</v>
      </c>
      <c r="B277" s="3111"/>
      <c r="C277" s="3111"/>
      <c r="D277" s="3111"/>
      <c r="E277" s="3111"/>
      <c r="F277" s="680">
        <f>SUM(F265,F267)</f>
        <v>0</v>
      </c>
      <c r="G277" s="680">
        <f>SUM(G265,G267,G275,G273)</f>
        <v>9276</v>
      </c>
      <c r="H277" s="680">
        <f>SUM(H265,H267,H275,H273)</f>
        <v>9276</v>
      </c>
      <c r="I277" s="681">
        <f t="shared" si="17"/>
        <v>100</v>
      </c>
    </row>
    <row r="278" spans="1:9" ht="18" customHeight="1" thickTop="1" x14ac:dyDescent="0.25">
      <c r="A278" s="361"/>
      <c r="B278" s="361"/>
      <c r="C278" s="361"/>
      <c r="D278" s="361"/>
      <c r="E278" s="361"/>
      <c r="F278" s="178"/>
      <c r="G278" s="178"/>
      <c r="H278" s="178"/>
      <c r="I278" s="207"/>
    </row>
    <row r="279" spans="1:9" ht="20.25" customHeight="1" thickBot="1" x14ac:dyDescent="0.25">
      <c r="A279" s="421" t="s">
        <v>1728</v>
      </c>
      <c r="I279" s="673" t="s">
        <v>148</v>
      </c>
    </row>
    <row r="280" spans="1:9" s="106" customFormat="1" ht="12.75" thickTop="1" thickBot="1" x14ac:dyDescent="0.25">
      <c r="A280" s="586" t="s">
        <v>565</v>
      </c>
      <c r="B280" s="658" t="s">
        <v>149</v>
      </c>
      <c r="C280" s="587" t="s">
        <v>150</v>
      </c>
      <c r="D280" s="589" t="s">
        <v>639</v>
      </c>
      <c r="E280" s="589" t="s">
        <v>151</v>
      </c>
      <c r="F280" s="589" t="s">
        <v>569</v>
      </c>
      <c r="G280" s="589" t="s">
        <v>570</v>
      </c>
      <c r="H280" s="589" t="s">
        <v>797</v>
      </c>
      <c r="I280" s="674" t="s">
        <v>798</v>
      </c>
    </row>
    <row r="281" spans="1:9" s="375" customFormat="1" ht="13.5" thickTop="1" thickBot="1" x14ac:dyDescent="0.25">
      <c r="A281" s="525">
        <v>1</v>
      </c>
      <c r="B281" s="526">
        <v>2</v>
      </c>
      <c r="C281" s="526">
        <v>3</v>
      </c>
      <c r="D281" s="526">
        <v>4</v>
      </c>
      <c r="E281" s="526">
        <v>5</v>
      </c>
      <c r="F281" s="512">
        <v>6</v>
      </c>
      <c r="G281" s="512">
        <v>7</v>
      </c>
      <c r="H281" s="513">
        <v>8</v>
      </c>
      <c r="I281" s="591" t="s">
        <v>689</v>
      </c>
    </row>
    <row r="282" spans="1:9" ht="15" customHeight="1" thickTop="1" x14ac:dyDescent="0.25">
      <c r="A282" s="1136">
        <v>1520</v>
      </c>
      <c r="B282" s="701">
        <v>3111</v>
      </c>
      <c r="C282" s="701">
        <v>5213</v>
      </c>
      <c r="D282" s="706"/>
      <c r="E282" s="664" t="s">
        <v>1054</v>
      </c>
      <c r="F282" s="699"/>
      <c r="G282" s="699">
        <f>SUM(G283:G285)</f>
        <v>1746</v>
      </c>
      <c r="H282" s="699">
        <f>SUM(H283:H285)</f>
        <v>1746</v>
      </c>
      <c r="I282" s="703">
        <f t="shared" ref="I282:I290" si="18">(H282/G282)*100</f>
        <v>100</v>
      </c>
    </row>
    <row r="283" spans="1:9" ht="29.25" x14ac:dyDescent="0.25">
      <c r="A283" s="420"/>
      <c r="B283" s="651"/>
      <c r="C283" s="651"/>
      <c r="D283" s="649" t="s">
        <v>1851</v>
      </c>
      <c r="E283" s="2900" t="s">
        <v>1852</v>
      </c>
      <c r="F283" s="690"/>
      <c r="G283" s="1062">
        <v>38</v>
      </c>
      <c r="H283" s="1062">
        <v>38</v>
      </c>
      <c r="I283" s="1066">
        <f t="shared" si="18"/>
        <v>100</v>
      </c>
    </row>
    <row r="284" spans="1:9" ht="15" customHeight="1" x14ac:dyDescent="0.25">
      <c r="A284" s="420"/>
      <c r="B284" s="651"/>
      <c r="C284" s="651"/>
      <c r="D284" s="518" t="s">
        <v>1853</v>
      </c>
      <c r="E284" s="441" t="s">
        <v>2</v>
      </c>
      <c r="F284" s="690"/>
      <c r="G284" s="689">
        <v>1651</v>
      </c>
      <c r="H284" s="689">
        <v>1651</v>
      </c>
      <c r="I284" s="684">
        <f t="shared" si="18"/>
        <v>100</v>
      </c>
    </row>
    <row r="285" spans="1:9" x14ac:dyDescent="0.2">
      <c r="A285" s="420"/>
      <c r="B285" s="651"/>
      <c r="C285" s="651"/>
      <c r="D285" s="649" t="s">
        <v>1854</v>
      </c>
      <c r="E285" s="1189" t="s">
        <v>1</v>
      </c>
      <c r="F285" s="689"/>
      <c r="G285" s="689">
        <v>57</v>
      </c>
      <c r="H285" s="689">
        <v>57</v>
      </c>
      <c r="I285" s="684">
        <f t="shared" si="18"/>
        <v>100</v>
      </c>
    </row>
    <row r="286" spans="1:9" ht="14.25" customHeight="1" x14ac:dyDescent="0.25">
      <c r="A286" s="420">
        <v>1520</v>
      </c>
      <c r="B286" s="617">
        <v>3141</v>
      </c>
      <c r="C286" s="1127">
        <v>5213</v>
      </c>
      <c r="D286" s="685"/>
      <c r="E286" s="616" t="s">
        <v>1054</v>
      </c>
      <c r="F286" s="676"/>
      <c r="G286" s="676">
        <f>SUM(G287:G287)</f>
        <v>75</v>
      </c>
      <c r="H286" s="676">
        <f>SUM(H287:H287)</f>
        <v>75</v>
      </c>
      <c r="I286" s="677">
        <f t="shared" si="18"/>
        <v>100</v>
      </c>
    </row>
    <row r="287" spans="1:9" ht="18" customHeight="1" x14ac:dyDescent="0.2">
      <c r="A287" s="420"/>
      <c r="B287" s="617"/>
      <c r="C287" s="617"/>
      <c r="D287" s="518" t="s">
        <v>1853</v>
      </c>
      <c r="E287" s="441" t="s">
        <v>2</v>
      </c>
      <c r="F287" s="683"/>
      <c r="G287" s="683">
        <v>75</v>
      </c>
      <c r="H287" s="683">
        <v>75</v>
      </c>
      <c r="I287" s="679">
        <f t="shared" si="18"/>
        <v>100</v>
      </c>
    </row>
    <row r="288" spans="1:9" ht="18" customHeight="1" x14ac:dyDescent="0.25">
      <c r="A288" s="420">
        <v>1520</v>
      </c>
      <c r="B288" s="617">
        <v>3792</v>
      </c>
      <c r="C288" s="1127">
        <v>5213</v>
      </c>
      <c r="D288" s="685"/>
      <c r="E288" s="616" t="s">
        <v>1054</v>
      </c>
      <c r="F288" s="683"/>
      <c r="G288" s="676">
        <f>G289</f>
        <v>14</v>
      </c>
      <c r="H288" s="676">
        <f>H289</f>
        <v>14</v>
      </c>
      <c r="I288" s="677">
        <f t="shared" si="18"/>
        <v>100</v>
      </c>
    </row>
    <row r="289" spans="1:9" ht="15" thickBot="1" x14ac:dyDescent="0.25">
      <c r="A289" s="420"/>
      <c r="B289" s="617"/>
      <c r="C289" s="617"/>
      <c r="D289" s="663" t="s">
        <v>1824</v>
      </c>
      <c r="E289" s="445" t="s">
        <v>338</v>
      </c>
      <c r="F289" s="683"/>
      <c r="G289" s="683">
        <v>14</v>
      </c>
      <c r="H289" s="683">
        <v>14</v>
      </c>
      <c r="I289" s="679">
        <f t="shared" si="18"/>
        <v>100</v>
      </c>
    </row>
    <row r="290" spans="1:9" ht="16.5" thickTop="1" thickBot="1" x14ac:dyDescent="0.3">
      <c r="A290" s="3110" t="s">
        <v>1000</v>
      </c>
      <c r="B290" s="3111"/>
      <c r="C290" s="3111"/>
      <c r="D290" s="3111"/>
      <c r="E290" s="3111"/>
      <c r="F290" s="680">
        <f>SUM(F282,F286)</f>
        <v>0</v>
      </c>
      <c r="G290" s="680">
        <f>G282+G286+G288</f>
        <v>1835</v>
      </c>
      <c r="H290" s="680">
        <f>H282+H286+H288</f>
        <v>1835</v>
      </c>
      <c r="I290" s="681">
        <f t="shared" si="18"/>
        <v>100</v>
      </c>
    </row>
    <row r="291" spans="1:9" ht="15.75" thickTop="1" x14ac:dyDescent="0.25">
      <c r="A291" s="361"/>
      <c r="B291" s="361"/>
      <c r="C291" s="361"/>
      <c r="D291" s="361"/>
      <c r="E291" s="361"/>
      <c r="F291" s="178"/>
      <c r="G291" s="178"/>
      <c r="H291" s="178"/>
      <c r="I291" s="207"/>
    </row>
    <row r="292" spans="1:9" ht="15" thickBot="1" x14ac:dyDescent="0.25">
      <c r="A292" s="421" t="s">
        <v>1731</v>
      </c>
      <c r="I292" s="673" t="s">
        <v>148</v>
      </c>
    </row>
    <row r="293" spans="1:9" s="106" customFormat="1" ht="12.75" thickTop="1" thickBot="1" x14ac:dyDescent="0.25">
      <c r="A293" s="586" t="s">
        <v>565</v>
      </c>
      <c r="B293" s="658" t="s">
        <v>149</v>
      </c>
      <c r="C293" s="587" t="s">
        <v>150</v>
      </c>
      <c r="D293" s="589" t="s">
        <v>639</v>
      </c>
      <c r="E293" s="589" t="s">
        <v>151</v>
      </c>
      <c r="F293" s="589" t="s">
        <v>569</v>
      </c>
      <c r="G293" s="589" t="s">
        <v>570</v>
      </c>
      <c r="H293" s="589" t="s">
        <v>797</v>
      </c>
      <c r="I293" s="674" t="s">
        <v>798</v>
      </c>
    </row>
    <row r="294" spans="1:9" s="375" customFormat="1" ht="18" customHeight="1" thickTop="1" thickBot="1" x14ac:dyDescent="0.25">
      <c r="A294" s="525">
        <v>1</v>
      </c>
      <c r="B294" s="526">
        <v>2</v>
      </c>
      <c r="C294" s="526">
        <v>3</v>
      </c>
      <c r="D294" s="526">
        <v>4</v>
      </c>
      <c r="E294" s="526">
        <v>5</v>
      </c>
      <c r="F294" s="512">
        <v>6</v>
      </c>
      <c r="G294" s="512">
        <v>7</v>
      </c>
      <c r="H294" s="513">
        <v>8</v>
      </c>
      <c r="I294" s="591" t="s">
        <v>689</v>
      </c>
    </row>
    <row r="295" spans="1:9" ht="15.75" thickTop="1" x14ac:dyDescent="0.25">
      <c r="A295" s="1136">
        <v>1521</v>
      </c>
      <c r="B295" s="701">
        <v>3111</v>
      </c>
      <c r="C295" s="701">
        <v>5212</v>
      </c>
      <c r="D295" s="706"/>
      <c r="E295" s="616" t="s">
        <v>1413</v>
      </c>
      <c r="F295" s="699"/>
      <c r="G295" s="699">
        <f>G296+G297</f>
        <v>1119</v>
      </c>
      <c r="H295" s="699">
        <f>H296+H297</f>
        <v>1119</v>
      </c>
      <c r="I295" s="703">
        <f>(H295/G295)*100</f>
        <v>100</v>
      </c>
    </row>
    <row r="296" spans="1:9" ht="29.25" x14ac:dyDescent="0.25">
      <c r="A296" s="420"/>
      <c r="B296" s="617"/>
      <c r="C296" s="617"/>
      <c r="D296" s="649" t="s">
        <v>1851</v>
      </c>
      <c r="E296" s="2900" t="s">
        <v>1852</v>
      </c>
      <c r="F296" s="676"/>
      <c r="G296" s="1117">
        <v>28</v>
      </c>
      <c r="H296" s="1117">
        <v>28</v>
      </c>
      <c r="I296" s="1229">
        <v>100</v>
      </c>
    </row>
    <row r="297" spans="1:9" ht="15" customHeight="1" x14ac:dyDescent="0.25">
      <c r="A297" s="420"/>
      <c r="B297" s="617"/>
      <c r="C297" s="617"/>
      <c r="D297" s="518" t="s">
        <v>1853</v>
      </c>
      <c r="E297" s="441" t="s">
        <v>2</v>
      </c>
      <c r="F297" s="676"/>
      <c r="G297" s="352">
        <v>1091</v>
      </c>
      <c r="H297" s="352">
        <v>1091</v>
      </c>
      <c r="I297" s="708">
        <v>100</v>
      </c>
    </row>
    <row r="298" spans="1:9" ht="13.5" customHeight="1" x14ac:dyDescent="0.25">
      <c r="A298" s="420">
        <v>1521</v>
      </c>
      <c r="B298" s="617">
        <v>3141</v>
      </c>
      <c r="C298" s="617">
        <v>5212</v>
      </c>
      <c r="D298" s="518"/>
      <c r="E298" s="616" t="s">
        <v>1413</v>
      </c>
      <c r="F298" s="676"/>
      <c r="G298" s="705">
        <f>G299</f>
        <v>51</v>
      </c>
      <c r="H298" s="705">
        <f>H299</f>
        <v>51</v>
      </c>
      <c r="I298" s="707">
        <v>100</v>
      </c>
    </row>
    <row r="299" spans="1:9" ht="15" thickBot="1" x14ac:dyDescent="0.25">
      <c r="A299" s="420"/>
      <c r="B299" s="617"/>
      <c r="C299" s="617"/>
      <c r="D299" s="518" t="s">
        <v>1853</v>
      </c>
      <c r="E299" s="441" t="s">
        <v>2</v>
      </c>
      <c r="F299" s="683"/>
      <c r="G299" s="683">
        <v>51</v>
      </c>
      <c r="H299" s="683">
        <v>51</v>
      </c>
      <c r="I299" s="709">
        <f>(H299/G299)*100</f>
        <v>100</v>
      </c>
    </row>
    <row r="300" spans="1:9" ht="16.5" thickTop="1" thickBot="1" x14ac:dyDescent="0.3">
      <c r="A300" s="3110" t="s">
        <v>1000</v>
      </c>
      <c r="B300" s="3111"/>
      <c r="C300" s="3111"/>
      <c r="D300" s="3111"/>
      <c r="E300" s="3111"/>
      <c r="F300" s="680">
        <f>SUM(F295)</f>
        <v>0</v>
      </c>
      <c r="G300" s="680">
        <f>G295+G298</f>
        <v>1170</v>
      </c>
      <c r="H300" s="680">
        <f>H295+H298</f>
        <v>1170</v>
      </c>
      <c r="I300" s="710">
        <f>(H300/G300)*100</f>
        <v>100</v>
      </c>
    </row>
    <row r="301" spans="1:9" ht="15.75" thickTop="1" x14ac:dyDescent="0.25">
      <c r="A301" s="361"/>
      <c r="B301" s="361"/>
      <c r="C301" s="361"/>
      <c r="D301" s="361"/>
      <c r="E301" s="361"/>
      <c r="F301" s="178"/>
      <c r="G301" s="178"/>
      <c r="H301" s="178"/>
      <c r="I301" s="207"/>
    </row>
    <row r="302" spans="1:9" ht="15" thickBot="1" x14ac:dyDescent="0.25">
      <c r="A302" s="421" t="s">
        <v>1732</v>
      </c>
      <c r="I302" s="673" t="s">
        <v>148</v>
      </c>
    </row>
    <row r="303" spans="1:9" s="106" customFormat="1" ht="12.75" thickTop="1" thickBot="1" x14ac:dyDescent="0.25">
      <c r="A303" s="586" t="s">
        <v>565</v>
      </c>
      <c r="B303" s="658" t="s">
        <v>149</v>
      </c>
      <c r="C303" s="587" t="s">
        <v>150</v>
      </c>
      <c r="D303" s="589" t="s">
        <v>639</v>
      </c>
      <c r="E303" s="589" t="s">
        <v>151</v>
      </c>
      <c r="F303" s="589" t="s">
        <v>569</v>
      </c>
      <c r="G303" s="589" t="s">
        <v>570</v>
      </c>
      <c r="H303" s="589" t="s">
        <v>797</v>
      </c>
      <c r="I303" s="674" t="s">
        <v>798</v>
      </c>
    </row>
    <row r="304" spans="1:9" s="375" customFormat="1" ht="18" customHeight="1" thickTop="1" thickBot="1" x14ac:dyDescent="0.25">
      <c r="A304" s="525">
        <v>1</v>
      </c>
      <c r="B304" s="526">
        <v>2</v>
      </c>
      <c r="C304" s="526">
        <v>3</v>
      </c>
      <c r="D304" s="526">
        <v>4</v>
      </c>
      <c r="E304" s="526">
        <v>5</v>
      </c>
      <c r="F304" s="512">
        <v>6</v>
      </c>
      <c r="G304" s="512">
        <v>7</v>
      </c>
      <c r="H304" s="513">
        <v>8</v>
      </c>
      <c r="I304" s="591" t="s">
        <v>689</v>
      </c>
    </row>
    <row r="305" spans="1:9" ht="15.75" thickTop="1" x14ac:dyDescent="0.25">
      <c r="A305" s="1136">
        <v>1522</v>
      </c>
      <c r="B305" s="701">
        <v>3111</v>
      </c>
      <c r="C305" s="701">
        <v>5213</v>
      </c>
      <c r="D305" s="706"/>
      <c r="E305" s="616" t="s">
        <v>1054</v>
      </c>
      <c r="F305" s="699"/>
      <c r="G305" s="699">
        <f>G306+G307+G308</f>
        <v>436</v>
      </c>
      <c r="H305" s="699">
        <f>H306+H307+H308</f>
        <v>436</v>
      </c>
      <c r="I305" s="703">
        <f>(H305/G305)*100</f>
        <v>100</v>
      </c>
    </row>
    <row r="306" spans="1:9" ht="29.25" x14ac:dyDescent="0.25">
      <c r="A306" s="420"/>
      <c r="B306" s="617"/>
      <c r="C306" s="617"/>
      <c r="D306" s="649" t="s">
        <v>1821</v>
      </c>
      <c r="E306" s="2900" t="s">
        <v>1822</v>
      </c>
      <c r="F306" s="676"/>
      <c r="G306" s="1117">
        <v>21</v>
      </c>
      <c r="H306" s="1117">
        <v>21</v>
      </c>
      <c r="I306" s="1229">
        <v>100</v>
      </c>
    </row>
    <row r="307" spans="1:9" ht="29.25" x14ac:dyDescent="0.25">
      <c r="A307" s="420"/>
      <c r="B307" s="617"/>
      <c r="C307" s="617"/>
      <c r="D307" s="649" t="s">
        <v>1851</v>
      </c>
      <c r="E307" s="2900" t="s">
        <v>1852</v>
      </c>
      <c r="F307" s="676"/>
      <c r="G307" s="1117">
        <v>18</v>
      </c>
      <c r="H307" s="1117">
        <v>18</v>
      </c>
      <c r="I307" s="1229">
        <v>100</v>
      </c>
    </row>
    <row r="308" spans="1:9" ht="15" customHeight="1" x14ac:dyDescent="0.25">
      <c r="A308" s="420"/>
      <c r="B308" s="617"/>
      <c r="C308" s="617"/>
      <c r="D308" s="518" t="s">
        <v>1853</v>
      </c>
      <c r="E308" s="441" t="s">
        <v>2</v>
      </c>
      <c r="F308" s="676"/>
      <c r="G308" s="352">
        <v>397</v>
      </c>
      <c r="H308" s="352">
        <v>397</v>
      </c>
      <c r="I308" s="708">
        <v>100</v>
      </c>
    </row>
    <row r="309" spans="1:9" ht="13.5" customHeight="1" x14ac:dyDescent="0.25">
      <c r="A309" s="420">
        <v>1522</v>
      </c>
      <c r="B309" s="617">
        <v>3141</v>
      </c>
      <c r="C309" s="617">
        <v>5213</v>
      </c>
      <c r="D309" s="518"/>
      <c r="E309" s="616" t="s">
        <v>1054</v>
      </c>
      <c r="F309" s="676"/>
      <c r="G309" s="705">
        <f>G310</f>
        <v>15</v>
      </c>
      <c r="H309" s="705">
        <f>H310</f>
        <v>15</v>
      </c>
      <c r="I309" s="707">
        <v>100</v>
      </c>
    </row>
    <row r="310" spans="1:9" ht="15" thickBot="1" x14ac:dyDescent="0.25">
      <c r="A310" s="420"/>
      <c r="B310" s="617"/>
      <c r="C310" s="617"/>
      <c r="D310" s="518" t="s">
        <v>1853</v>
      </c>
      <c r="E310" s="441" t="s">
        <v>2</v>
      </c>
      <c r="F310" s="683"/>
      <c r="G310" s="683">
        <v>15</v>
      </c>
      <c r="H310" s="683">
        <v>15</v>
      </c>
      <c r="I310" s="709">
        <f>(H310/G310)*100</f>
        <v>100</v>
      </c>
    </row>
    <row r="311" spans="1:9" ht="16.5" thickTop="1" thickBot="1" x14ac:dyDescent="0.3">
      <c r="A311" s="3110" t="s">
        <v>1000</v>
      </c>
      <c r="B311" s="3111"/>
      <c r="C311" s="3111"/>
      <c r="D311" s="3111"/>
      <c r="E311" s="3111"/>
      <c r="F311" s="680">
        <f>SUM(F305)</f>
        <v>0</v>
      </c>
      <c r="G311" s="680">
        <f>G305+G309</f>
        <v>451</v>
      </c>
      <c r="H311" s="680">
        <f>H305+H309</f>
        <v>451</v>
      </c>
      <c r="I311" s="710">
        <f>(H311/G311)*100</f>
        <v>100</v>
      </c>
    </row>
    <row r="312" spans="1:9" ht="15.75" thickTop="1" x14ac:dyDescent="0.25">
      <c r="A312" s="361"/>
      <c r="B312" s="361"/>
      <c r="C312" s="361"/>
      <c r="D312" s="361"/>
      <c r="E312" s="361"/>
      <c r="F312" s="178"/>
      <c r="G312" s="178"/>
      <c r="H312" s="178"/>
      <c r="I312" s="207"/>
    </row>
    <row r="313" spans="1:9" ht="15.75" thickBot="1" x14ac:dyDescent="0.3">
      <c r="A313" s="421" t="s">
        <v>2155</v>
      </c>
      <c r="B313" s="361"/>
      <c r="C313" s="361"/>
      <c r="D313" s="361"/>
      <c r="E313" s="361"/>
      <c r="F313" s="178"/>
      <c r="G313" s="178"/>
      <c r="H313" s="178"/>
      <c r="I313" s="207"/>
    </row>
    <row r="314" spans="1:9" thickTop="1" thickBot="1" x14ac:dyDescent="0.25">
      <c r="A314" s="586" t="s">
        <v>565</v>
      </c>
      <c r="B314" s="658" t="s">
        <v>149</v>
      </c>
      <c r="C314" s="587" t="s">
        <v>150</v>
      </c>
      <c r="D314" s="589" t="s">
        <v>639</v>
      </c>
      <c r="E314" s="589" t="s">
        <v>151</v>
      </c>
      <c r="F314" s="589" t="s">
        <v>569</v>
      </c>
      <c r="G314" s="589" t="s">
        <v>570</v>
      </c>
      <c r="H314" s="589" t="s">
        <v>797</v>
      </c>
      <c r="I314" s="674" t="s">
        <v>798</v>
      </c>
    </row>
    <row r="315" spans="1:9" thickTop="1" thickBot="1" x14ac:dyDescent="0.25">
      <c r="A315" s="525">
        <v>1</v>
      </c>
      <c r="B315" s="526">
        <v>2</v>
      </c>
      <c r="C315" s="526">
        <v>3</v>
      </c>
      <c r="D315" s="526">
        <v>4</v>
      </c>
      <c r="E315" s="526">
        <v>5</v>
      </c>
      <c r="F315" s="512">
        <v>6</v>
      </c>
      <c r="G315" s="512">
        <v>7</v>
      </c>
      <c r="H315" s="513">
        <v>8</v>
      </c>
      <c r="I315" s="591" t="s">
        <v>689</v>
      </c>
    </row>
    <row r="316" spans="1:9" ht="15.75" thickTop="1" x14ac:dyDescent="0.25">
      <c r="A316" s="1136">
        <v>1523</v>
      </c>
      <c r="B316" s="701">
        <v>3111</v>
      </c>
      <c r="C316" s="701">
        <v>5213</v>
      </c>
      <c r="D316" s="706"/>
      <c r="E316" s="616" t="s">
        <v>1054</v>
      </c>
      <c r="F316" s="699"/>
      <c r="G316" s="699">
        <f>G317</f>
        <v>148</v>
      </c>
      <c r="H316" s="699">
        <f>H317</f>
        <v>148</v>
      </c>
      <c r="I316" s="703">
        <f>(H316/G316)*100</f>
        <v>100</v>
      </c>
    </row>
    <row r="317" spans="1:9" ht="15" x14ac:dyDescent="0.25">
      <c r="A317" s="420"/>
      <c r="B317" s="617"/>
      <c r="C317" s="617"/>
      <c r="D317" s="518" t="s">
        <v>1853</v>
      </c>
      <c r="E317" s="441" t="s">
        <v>2</v>
      </c>
      <c r="F317" s="676"/>
      <c r="G317" s="352">
        <v>148</v>
      </c>
      <c r="H317" s="352">
        <v>148</v>
      </c>
      <c r="I317" s="708">
        <v>100</v>
      </c>
    </row>
    <row r="318" spans="1:9" ht="15" x14ac:dyDescent="0.25">
      <c r="A318" s="420">
        <v>1523</v>
      </c>
      <c r="B318" s="617">
        <v>3141</v>
      </c>
      <c r="C318" s="617">
        <v>5213</v>
      </c>
      <c r="D318" s="518"/>
      <c r="E318" s="616" t="s">
        <v>1054</v>
      </c>
      <c r="F318" s="676"/>
      <c r="G318" s="705">
        <f>G319</f>
        <v>15</v>
      </c>
      <c r="H318" s="705">
        <f>H319</f>
        <v>15</v>
      </c>
      <c r="I318" s="707">
        <v>100</v>
      </c>
    </row>
    <row r="319" spans="1:9" ht="15" thickBot="1" x14ac:dyDescent="0.25">
      <c r="A319" s="420"/>
      <c r="B319" s="617"/>
      <c r="C319" s="617"/>
      <c r="D319" s="518" t="s">
        <v>1853</v>
      </c>
      <c r="E319" s="441" t="s">
        <v>2</v>
      </c>
      <c r="F319" s="683"/>
      <c r="G319" s="683">
        <v>15</v>
      </c>
      <c r="H319" s="683">
        <v>15</v>
      </c>
      <c r="I319" s="709">
        <f>(H319/G319)*100</f>
        <v>100</v>
      </c>
    </row>
    <row r="320" spans="1:9" ht="16.5" thickTop="1" thickBot="1" x14ac:dyDescent="0.3">
      <c r="A320" s="3110" t="s">
        <v>1000</v>
      </c>
      <c r="B320" s="3111"/>
      <c r="C320" s="3111"/>
      <c r="D320" s="3111"/>
      <c r="E320" s="3111"/>
      <c r="F320" s="680">
        <f>SUM(F316)</f>
        <v>0</v>
      </c>
      <c r="G320" s="680">
        <f>G316+G318</f>
        <v>163</v>
      </c>
      <c r="H320" s="680">
        <f>H316+H318</f>
        <v>163</v>
      </c>
      <c r="I320" s="710">
        <f>(H320/G320)*100</f>
        <v>100</v>
      </c>
    </row>
    <row r="321" spans="1:9" ht="15.75" thickTop="1" x14ac:dyDescent="0.25">
      <c r="A321" s="361"/>
      <c r="B321" s="361"/>
      <c r="C321" s="361"/>
      <c r="D321" s="361"/>
      <c r="E321" s="361"/>
      <c r="F321" s="178"/>
      <c r="G321" s="178"/>
      <c r="H321" s="178"/>
      <c r="I321" s="207"/>
    </row>
    <row r="322" spans="1:9" ht="15" x14ac:dyDescent="0.25">
      <c r="A322" s="361"/>
      <c r="B322" s="361"/>
      <c r="C322" s="361"/>
      <c r="D322" s="361"/>
      <c r="E322" s="361"/>
      <c r="F322" s="178"/>
      <c r="G322" s="178"/>
      <c r="H322" s="178"/>
      <c r="I322" s="207"/>
    </row>
    <row r="323" spans="1:9" ht="15" x14ac:dyDescent="0.25">
      <c r="A323" s="361"/>
      <c r="B323" s="361"/>
      <c r="C323" s="361"/>
      <c r="D323" s="361"/>
      <c r="E323" s="361"/>
      <c r="F323" s="178"/>
      <c r="G323" s="178"/>
      <c r="H323" s="178"/>
      <c r="I323" s="207"/>
    </row>
    <row r="324" spans="1:9" ht="15" x14ac:dyDescent="0.25">
      <c r="A324" s="361"/>
      <c r="B324" s="361"/>
      <c r="C324" s="361"/>
      <c r="D324" s="361"/>
      <c r="E324" s="361"/>
      <c r="F324" s="178"/>
      <c r="G324" s="178"/>
      <c r="H324" s="178"/>
      <c r="I324" s="207"/>
    </row>
    <row r="325" spans="1:9" ht="15.75" thickBot="1" x14ac:dyDescent="0.3">
      <c r="A325" s="421" t="s">
        <v>2156</v>
      </c>
      <c r="B325" s="361"/>
      <c r="C325" s="361"/>
      <c r="D325" s="361"/>
      <c r="E325" s="361"/>
      <c r="F325" s="178"/>
      <c r="G325" s="178"/>
      <c r="H325" s="178"/>
      <c r="I325" s="207"/>
    </row>
    <row r="326" spans="1:9" thickTop="1" thickBot="1" x14ac:dyDescent="0.25">
      <c r="A326" s="586" t="s">
        <v>565</v>
      </c>
      <c r="B326" s="658" t="s">
        <v>149</v>
      </c>
      <c r="C326" s="587" t="s">
        <v>150</v>
      </c>
      <c r="D326" s="589" t="s">
        <v>639</v>
      </c>
      <c r="E326" s="589" t="s">
        <v>151</v>
      </c>
      <c r="F326" s="589" t="s">
        <v>569</v>
      </c>
      <c r="G326" s="589" t="s">
        <v>570</v>
      </c>
      <c r="H326" s="589" t="s">
        <v>797</v>
      </c>
      <c r="I326" s="674" t="s">
        <v>798</v>
      </c>
    </row>
    <row r="327" spans="1:9" thickTop="1" thickBot="1" x14ac:dyDescent="0.25">
      <c r="A327" s="525">
        <v>1</v>
      </c>
      <c r="B327" s="526">
        <v>2</v>
      </c>
      <c r="C327" s="526">
        <v>3</v>
      </c>
      <c r="D327" s="526">
        <v>4</v>
      </c>
      <c r="E327" s="526">
        <v>5</v>
      </c>
      <c r="F327" s="512">
        <v>6</v>
      </c>
      <c r="G327" s="512">
        <v>7</v>
      </c>
      <c r="H327" s="513">
        <v>8</v>
      </c>
      <c r="I327" s="591" t="s">
        <v>689</v>
      </c>
    </row>
    <row r="328" spans="1:9" ht="15.75" thickTop="1" x14ac:dyDescent="0.25">
      <c r="A328" s="1136">
        <v>1524</v>
      </c>
      <c r="B328" s="701">
        <v>3111</v>
      </c>
      <c r="C328" s="701">
        <v>5213</v>
      </c>
      <c r="D328" s="706"/>
      <c r="E328" s="616" t="s">
        <v>1054</v>
      </c>
      <c r="F328" s="699"/>
      <c r="G328" s="699">
        <f>G329</f>
        <v>640</v>
      </c>
      <c r="H328" s="699">
        <f>H329</f>
        <v>640</v>
      </c>
      <c r="I328" s="703">
        <f>(H328/G328)*100</f>
        <v>100</v>
      </c>
    </row>
    <row r="329" spans="1:9" ht="15" x14ac:dyDescent="0.25">
      <c r="A329" s="420"/>
      <c r="B329" s="617"/>
      <c r="C329" s="617"/>
      <c r="D329" s="518" t="s">
        <v>1853</v>
      </c>
      <c r="E329" s="441" t="s">
        <v>2</v>
      </c>
      <c r="F329" s="676"/>
      <c r="G329" s="352">
        <v>640</v>
      </c>
      <c r="H329" s="352">
        <v>640</v>
      </c>
      <c r="I329" s="708">
        <v>100</v>
      </c>
    </row>
    <row r="330" spans="1:9" ht="15" x14ac:dyDescent="0.25">
      <c r="A330" s="420">
        <v>1524</v>
      </c>
      <c r="B330" s="617">
        <v>3141</v>
      </c>
      <c r="C330" s="617">
        <v>5213</v>
      </c>
      <c r="D330" s="518"/>
      <c r="E330" s="616" t="s">
        <v>1054</v>
      </c>
      <c r="F330" s="676"/>
      <c r="G330" s="705">
        <f>G331</f>
        <v>33</v>
      </c>
      <c r="H330" s="705">
        <f>H331</f>
        <v>33</v>
      </c>
      <c r="I330" s="707">
        <v>100</v>
      </c>
    </row>
    <row r="331" spans="1:9" ht="15" thickBot="1" x14ac:dyDescent="0.25">
      <c r="A331" s="420"/>
      <c r="B331" s="617"/>
      <c r="C331" s="617"/>
      <c r="D331" s="518" t="s">
        <v>1853</v>
      </c>
      <c r="E331" s="441" t="s">
        <v>2</v>
      </c>
      <c r="F331" s="683"/>
      <c r="G331" s="683">
        <v>33</v>
      </c>
      <c r="H331" s="683">
        <v>33</v>
      </c>
      <c r="I331" s="709">
        <f>(H331/G331)*100</f>
        <v>100</v>
      </c>
    </row>
    <row r="332" spans="1:9" ht="16.5" thickTop="1" thickBot="1" x14ac:dyDescent="0.3">
      <c r="A332" s="3110" t="s">
        <v>1000</v>
      </c>
      <c r="B332" s="3111"/>
      <c r="C332" s="3111"/>
      <c r="D332" s="3111"/>
      <c r="E332" s="3111"/>
      <c r="F332" s="680">
        <f>SUM(F328)</f>
        <v>0</v>
      </c>
      <c r="G332" s="680">
        <f>G328+G330</f>
        <v>673</v>
      </c>
      <c r="H332" s="680">
        <f>H328+H330</f>
        <v>673</v>
      </c>
      <c r="I332" s="710">
        <f>(H332/G332)*100</f>
        <v>100</v>
      </c>
    </row>
    <row r="333" spans="1:9" ht="15.75" thickTop="1" x14ac:dyDescent="0.25">
      <c r="A333" s="361"/>
      <c r="B333" s="361"/>
      <c r="C333" s="361"/>
      <c r="D333" s="361"/>
      <c r="E333" s="361"/>
      <c r="F333" s="178"/>
      <c r="G333" s="178"/>
      <c r="H333" s="178"/>
      <c r="I333" s="207"/>
    </row>
    <row r="334" spans="1:9" ht="15.75" thickBot="1" x14ac:dyDescent="0.3">
      <c r="A334" s="421" t="s">
        <v>2158</v>
      </c>
      <c r="B334" s="361"/>
      <c r="C334" s="361"/>
      <c r="D334" s="361"/>
      <c r="E334" s="361"/>
      <c r="F334" s="178"/>
      <c r="G334" s="178"/>
      <c r="H334" s="178"/>
      <c r="I334" s="207"/>
    </row>
    <row r="335" spans="1:9" thickTop="1" thickBot="1" x14ac:dyDescent="0.25">
      <c r="A335" s="586" t="s">
        <v>565</v>
      </c>
      <c r="B335" s="658" t="s">
        <v>149</v>
      </c>
      <c r="C335" s="587" t="s">
        <v>150</v>
      </c>
      <c r="D335" s="589" t="s">
        <v>639</v>
      </c>
      <c r="E335" s="589" t="s">
        <v>151</v>
      </c>
      <c r="F335" s="589" t="s">
        <v>569</v>
      </c>
      <c r="G335" s="589" t="s">
        <v>570</v>
      </c>
      <c r="H335" s="589" t="s">
        <v>797</v>
      </c>
      <c r="I335" s="674" t="s">
        <v>798</v>
      </c>
    </row>
    <row r="336" spans="1:9" thickTop="1" thickBot="1" x14ac:dyDescent="0.25">
      <c r="A336" s="525">
        <v>1</v>
      </c>
      <c r="B336" s="526">
        <v>2</v>
      </c>
      <c r="C336" s="526">
        <v>3</v>
      </c>
      <c r="D336" s="526">
        <v>4</v>
      </c>
      <c r="E336" s="526">
        <v>5</v>
      </c>
      <c r="F336" s="512">
        <v>6</v>
      </c>
      <c r="G336" s="512">
        <v>7</v>
      </c>
      <c r="H336" s="513">
        <v>8</v>
      </c>
      <c r="I336" s="591" t="s">
        <v>689</v>
      </c>
    </row>
    <row r="337" spans="1:9" ht="15.75" thickTop="1" x14ac:dyDescent="0.25">
      <c r="A337" s="1136">
        <v>1525</v>
      </c>
      <c r="B337" s="701">
        <v>3111</v>
      </c>
      <c r="C337" s="701">
        <v>5229</v>
      </c>
      <c r="D337" s="706"/>
      <c r="E337" s="2076" t="s">
        <v>2157</v>
      </c>
      <c r="F337" s="699"/>
      <c r="G337" s="699">
        <f>G338</f>
        <v>123</v>
      </c>
      <c r="H337" s="699">
        <f>H338</f>
        <v>123</v>
      </c>
      <c r="I337" s="703">
        <f>(H337/G337)*100</f>
        <v>100</v>
      </c>
    </row>
    <row r="338" spans="1:9" ht="15" x14ac:dyDescent="0.25">
      <c r="A338" s="420"/>
      <c r="B338" s="617"/>
      <c r="C338" s="617"/>
      <c r="D338" s="518" t="s">
        <v>1853</v>
      </c>
      <c r="E338" s="441" t="s">
        <v>2</v>
      </c>
      <c r="F338" s="676"/>
      <c r="G338" s="352">
        <v>123</v>
      </c>
      <c r="H338" s="352">
        <v>123</v>
      </c>
      <c r="I338" s="708">
        <v>100</v>
      </c>
    </row>
    <row r="339" spans="1:9" ht="15" x14ac:dyDescent="0.25">
      <c r="A339" s="420">
        <v>1525</v>
      </c>
      <c r="B339" s="617">
        <v>3141</v>
      </c>
      <c r="C339" s="617">
        <v>5229</v>
      </c>
      <c r="D339" s="518"/>
      <c r="E339" s="2076" t="s">
        <v>2157</v>
      </c>
      <c r="F339" s="676"/>
      <c r="G339" s="705">
        <f>G340</f>
        <v>5</v>
      </c>
      <c r="H339" s="705">
        <f>H340</f>
        <v>5</v>
      </c>
      <c r="I339" s="707">
        <v>100</v>
      </c>
    </row>
    <row r="340" spans="1:9" ht="15" thickBot="1" x14ac:dyDescent="0.25">
      <c r="A340" s="420"/>
      <c r="B340" s="617"/>
      <c r="C340" s="617"/>
      <c r="D340" s="518" t="s">
        <v>1853</v>
      </c>
      <c r="E340" s="441" t="s">
        <v>2</v>
      </c>
      <c r="F340" s="683"/>
      <c r="G340" s="683">
        <v>5</v>
      </c>
      <c r="H340" s="683">
        <v>5</v>
      </c>
      <c r="I340" s="709">
        <f>(H340/G340)*100</f>
        <v>100</v>
      </c>
    </row>
    <row r="341" spans="1:9" ht="16.5" thickTop="1" thickBot="1" x14ac:dyDescent="0.3">
      <c r="A341" s="3110" t="s">
        <v>1000</v>
      </c>
      <c r="B341" s="3111"/>
      <c r="C341" s="3111"/>
      <c r="D341" s="3111"/>
      <c r="E341" s="3111"/>
      <c r="F341" s="680">
        <f>SUM(F337)</f>
        <v>0</v>
      </c>
      <c r="G341" s="680">
        <f>G337+G339</f>
        <v>128</v>
      </c>
      <c r="H341" s="680">
        <f>H337+H339</f>
        <v>128</v>
      </c>
      <c r="I341" s="710">
        <f>(H341/G341)*100</f>
        <v>100</v>
      </c>
    </row>
    <row r="342" spans="1:9" ht="15.75" thickTop="1" x14ac:dyDescent="0.25">
      <c r="A342" s="361"/>
      <c r="B342" s="361"/>
      <c r="C342" s="361"/>
      <c r="D342" s="361"/>
      <c r="E342" s="361"/>
      <c r="F342" s="178"/>
      <c r="G342" s="178"/>
      <c r="H342" s="178"/>
      <c r="I342" s="207"/>
    </row>
    <row r="343" spans="1:9" ht="15" thickBot="1" x14ac:dyDescent="0.25">
      <c r="A343" s="421" t="s">
        <v>447</v>
      </c>
      <c r="I343" s="673" t="s">
        <v>148</v>
      </c>
    </row>
    <row r="344" spans="1:9" s="106" customFormat="1" ht="12.75" thickTop="1" thickBot="1" x14ac:dyDescent="0.25">
      <c r="A344" s="586" t="s">
        <v>565</v>
      </c>
      <c r="B344" s="658" t="s">
        <v>149</v>
      </c>
      <c r="C344" s="587" t="s">
        <v>150</v>
      </c>
      <c r="D344" s="589" t="s">
        <v>639</v>
      </c>
      <c r="E344" s="589" t="s">
        <v>151</v>
      </c>
      <c r="F344" s="589" t="s">
        <v>569</v>
      </c>
      <c r="G344" s="589" t="s">
        <v>570</v>
      </c>
      <c r="H344" s="589" t="s">
        <v>797</v>
      </c>
      <c r="I344" s="674" t="s">
        <v>798</v>
      </c>
    </row>
    <row r="345" spans="1:9" s="375" customFormat="1" ht="18" customHeight="1" thickTop="1" thickBot="1" x14ac:dyDescent="0.25">
      <c r="A345" s="525">
        <v>1</v>
      </c>
      <c r="B345" s="526">
        <v>2</v>
      </c>
      <c r="C345" s="526">
        <v>3</v>
      </c>
      <c r="D345" s="526">
        <v>4</v>
      </c>
      <c r="E345" s="526">
        <v>5</v>
      </c>
      <c r="F345" s="512">
        <v>6</v>
      </c>
      <c r="G345" s="512">
        <v>7</v>
      </c>
      <c r="H345" s="513">
        <v>8</v>
      </c>
      <c r="I345" s="591" t="s">
        <v>689</v>
      </c>
    </row>
    <row r="346" spans="1:9" ht="15.75" thickTop="1" x14ac:dyDescent="0.25">
      <c r="A346" s="1136">
        <v>1532</v>
      </c>
      <c r="B346" s="701">
        <v>3122</v>
      </c>
      <c r="C346" s="701">
        <v>5213</v>
      </c>
      <c r="D346" s="706"/>
      <c r="E346" s="664" t="s">
        <v>1054</v>
      </c>
      <c r="F346" s="699"/>
      <c r="G346" s="699">
        <f>G347+G348</f>
        <v>2800</v>
      </c>
      <c r="H346" s="699">
        <f>H347+H348</f>
        <v>2800</v>
      </c>
      <c r="I346" s="703">
        <f>(H346/G346)*100</f>
        <v>100</v>
      </c>
    </row>
    <row r="347" spans="1:9" ht="29.25" x14ac:dyDescent="0.25">
      <c r="A347" s="420"/>
      <c r="B347" s="617"/>
      <c r="C347" s="617"/>
      <c r="D347" s="649" t="s">
        <v>1851</v>
      </c>
      <c r="E347" s="2900" t="s">
        <v>1852</v>
      </c>
      <c r="F347" s="676"/>
      <c r="G347" s="1117">
        <v>45</v>
      </c>
      <c r="H347" s="1117">
        <v>45</v>
      </c>
      <c r="I347" s="1063">
        <f>(H347/G347)*100</f>
        <v>100</v>
      </c>
    </row>
    <row r="348" spans="1:9" x14ac:dyDescent="0.2">
      <c r="A348" s="420"/>
      <c r="B348" s="617"/>
      <c r="C348" s="617"/>
      <c r="D348" s="518" t="s">
        <v>1853</v>
      </c>
      <c r="E348" s="441" t="s">
        <v>2</v>
      </c>
      <c r="F348" s="683"/>
      <c r="G348" s="683">
        <v>2755</v>
      </c>
      <c r="H348" s="683">
        <v>2755</v>
      </c>
      <c r="I348" s="679">
        <f>(H348/G348)*100</f>
        <v>100</v>
      </c>
    </row>
    <row r="349" spans="1:9" ht="15" x14ac:dyDescent="0.25">
      <c r="A349" s="420">
        <v>1532</v>
      </c>
      <c r="B349" s="617">
        <v>3141</v>
      </c>
      <c r="C349" s="617">
        <v>5213</v>
      </c>
      <c r="D349" s="675"/>
      <c r="E349" s="664" t="s">
        <v>1054</v>
      </c>
      <c r="F349" s="683"/>
      <c r="G349" s="676">
        <f>G350</f>
        <v>6</v>
      </c>
      <c r="H349" s="676">
        <f>H350</f>
        <v>6</v>
      </c>
      <c r="I349" s="677">
        <f t="shared" ref="I349:I350" si="19">(H349/G349)*100</f>
        <v>100</v>
      </c>
    </row>
    <row r="350" spans="1:9" ht="15" thickBot="1" x14ac:dyDescent="0.25">
      <c r="A350" s="420"/>
      <c r="B350" s="617"/>
      <c r="C350" s="617"/>
      <c r="D350" s="518" t="s">
        <v>1853</v>
      </c>
      <c r="E350" s="441" t="s">
        <v>2</v>
      </c>
      <c r="F350" s="683"/>
      <c r="G350" s="683">
        <v>6</v>
      </c>
      <c r="H350" s="683">
        <v>6</v>
      </c>
      <c r="I350" s="709">
        <f t="shared" si="19"/>
        <v>100</v>
      </c>
    </row>
    <row r="351" spans="1:9" ht="16.5" thickTop="1" thickBot="1" x14ac:dyDescent="0.3">
      <c r="A351" s="3110" t="s">
        <v>1000</v>
      </c>
      <c r="B351" s="3111"/>
      <c r="C351" s="3111"/>
      <c r="D351" s="3111"/>
      <c r="E351" s="3111"/>
      <c r="F351" s="680">
        <f>SUM(F346)</f>
        <v>0</v>
      </c>
      <c r="G351" s="680">
        <f>G346+G349</f>
        <v>2806</v>
      </c>
      <c r="H351" s="680">
        <f>H346+H349</f>
        <v>2806</v>
      </c>
      <c r="I351" s="710">
        <f>(H351/G351)*100</f>
        <v>100</v>
      </c>
    </row>
    <row r="352" spans="1:9" ht="15" customHeight="1" thickTop="1" x14ac:dyDescent="0.2"/>
    <row r="353" spans="1:256" ht="15" customHeight="1" x14ac:dyDescent="0.2"/>
    <row r="354" spans="1:256" ht="15" thickBot="1" x14ac:dyDescent="0.25">
      <c r="A354" s="421" t="s">
        <v>233</v>
      </c>
      <c r="I354" s="673" t="s">
        <v>148</v>
      </c>
    </row>
    <row r="355" spans="1:256" s="106" customFormat="1" ht="12.75" thickTop="1" thickBot="1" x14ac:dyDescent="0.25">
      <c r="A355" s="586" t="s">
        <v>565</v>
      </c>
      <c r="B355" s="658" t="s">
        <v>149</v>
      </c>
      <c r="C355" s="587" t="s">
        <v>150</v>
      </c>
      <c r="D355" s="589" t="s">
        <v>639</v>
      </c>
      <c r="E355" s="589" t="s">
        <v>151</v>
      </c>
      <c r="F355" s="589" t="s">
        <v>569</v>
      </c>
      <c r="G355" s="589" t="s">
        <v>570</v>
      </c>
      <c r="H355" s="589" t="s">
        <v>797</v>
      </c>
      <c r="I355" s="674" t="s">
        <v>798</v>
      </c>
    </row>
    <row r="356" spans="1:256" s="375" customFormat="1" ht="18" customHeight="1" thickTop="1" thickBot="1" x14ac:dyDescent="0.25">
      <c r="A356" s="525">
        <v>1</v>
      </c>
      <c r="B356" s="526">
        <v>2</v>
      </c>
      <c r="C356" s="526">
        <v>3</v>
      </c>
      <c r="D356" s="526">
        <v>4</v>
      </c>
      <c r="E356" s="526">
        <v>5</v>
      </c>
      <c r="F356" s="512">
        <v>6</v>
      </c>
      <c r="G356" s="512">
        <v>7</v>
      </c>
      <c r="H356" s="513">
        <v>8</v>
      </c>
      <c r="I356" s="591" t="s">
        <v>689</v>
      </c>
    </row>
    <row r="357" spans="1:256" ht="15.75" thickTop="1" x14ac:dyDescent="0.25">
      <c r="A357" s="1136">
        <v>1533</v>
      </c>
      <c r="B357" s="701">
        <v>3122</v>
      </c>
      <c r="C357" s="701">
        <v>5213</v>
      </c>
      <c r="D357" s="706"/>
      <c r="E357" s="664" t="s">
        <v>1054</v>
      </c>
      <c r="F357" s="699"/>
      <c r="G357" s="699">
        <f>G358+G359</f>
        <v>4034</v>
      </c>
      <c r="H357" s="699">
        <f>H358+H359</f>
        <v>4034</v>
      </c>
      <c r="I357" s="703">
        <f>(H357/G357)*100</f>
        <v>100</v>
      </c>
    </row>
    <row r="358" spans="1:256" ht="29.25" x14ac:dyDescent="0.25">
      <c r="A358" s="420"/>
      <c r="B358" s="651"/>
      <c r="C358" s="651"/>
      <c r="D358" s="649" t="s">
        <v>1851</v>
      </c>
      <c r="E358" s="2900" t="s">
        <v>1852</v>
      </c>
      <c r="F358" s="690"/>
      <c r="G358" s="1067">
        <v>41</v>
      </c>
      <c r="H358" s="1067">
        <v>41</v>
      </c>
      <c r="I358" s="1063">
        <f>(H358/G358)*100</f>
        <v>100</v>
      </c>
    </row>
    <row r="359" spans="1:256" ht="15" thickBot="1" x14ac:dyDescent="0.25">
      <c r="A359" s="420"/>
      <c r="B359" s="651"/>
      <c r="C359" s="651"/>
      <c r="D359" s="518" t="s">
        <v>1853</v>
      </c>
      <c r="E359" s="441" t="s">
        <v>2</v>
      </c>
      <c r="F359" s="689"/>
      <c r="G359" s="689">
        <v>3993</v>
      </c>
      <c r="H359" s="689">
        <v>3993</v>
      </c>
      <c r="I359" s="684">
        <f>(H359/G359)*100</f>
        <v>100</v>
      </c>
    </row>
    <row r="360" spans="1:256" s="1165" customFormat="1" ht="16.5" thickTop="1" thickBot="1" x14ac:dyDescent="0.25">
      <c r="A360" s="3117" t="s">
        <v>1000</v>
      </c>
      <c r="B360" s="3118"/>
      <c r="C360" s="3118"/>
      <c r="D360" s="3118"/>
      <c r="E360" s="3118"/>
      <c r="F360" s="1175">
        <f>SUM(F357)</f>
        <v>0</v>
      </c>
      <c r="G360" s="1175">
        <f>SUM(G357)</f>
        <v>4034</v>
      </c>
      <c r="H360" s="1175">
        <f>SUM(H357)</f>
        <v>4034</v>
      </c>
      <c r="I360" s="1176">
        <f>(H360/G360)*100</f>
        <v>100</v>
      </c>
    </row>
    <row r="361" spans="1:256" s="1165" customFormat="1" ht="15" thickTop="1" x14ac:dyDescent="0.2">
      <c r="B361" s="1178"/>
      <c r="D361" s="1179"/>
      <c r="F361" s="1205"/>
      <c r="G361" s="1205"/>
      <c r="H361" s="1205"/>
      <c r="I361" s="1206"/>
    </row>
    <row r="362" spans="1:256" s="1165" customFormat="1" ht="13.5" customHeight="1" x14ac:dyDescent="0.2">
      <c r="B362" s="1178"/>
      <c r="D362" s="1179"/>
      <c r="F362" s="1205"/>
      <c r="G362" s="1205"/>
      <c r="H362" s="1205"/>
      <c r="I362" s="1206"/>
    </row>
    <row r="363" spans="1:256" s="1165" customFormat="1" ht="15" thickBot="1" x14ac:dyDescent="0.25">
      <c r="A363" s="1190" t="s">
        <v>1733</v>
      </c>
      <c r="B363" s="1178"/>
      <c r="D363" s="1179"/>
      <c r="F363" s="1205"/>
      <c r="G363" s="1205"/>
      <c r="H363" s="1205"/>
      <c r="I363" s="1207" t="s">
        <v>148</v>
      </c>
    </row>
    <row r="364" spans="1:256" s="1213" customFormat="1" ht="15" customHeight="1" thickTop="1" thickBot="1" x14ac:dyDescent="0.25">
      <c r="A364" s="1208" t="s">
        <v>565</v>
      </c>
      <c r="B364" s="1209" t="s">
        <v>149</v>
      </c>
      <c r="C364" s="1210" t="s">
        <v>150</v>
      </c>
      <c r="D364" s="1211" t="s">
        <v>639</v>
      </c>
      <c r="E364" s="1211" t="s">
        <v>151</v>
      </c>
      <c r="F364" s="589" t="s">
        <v>569</v>
      </c>
      <c r="G364" s="589" t="s">
        <v>570</v>
      </c>
      <c r="H364" s="1211" t="s">
        <v>797</v>
      </c>
      <c r="I364" s="1212" t="s">
        <v>798</v>
      </c>
    </row>
    <row r="365" spans="1:256" s="1186" customFormat="1" ht="13.5" thickTop="1" thickBot="1" x14ac:dyDescent="0.25">
      <c r="A365" s="1181">
        <v>1</v>
      </c>
      <c r="B365" s="1182">
        <v>2</v>
      </c>
      <c r="C365" s="1182">
        <v>3</v>
      </c>
      <c r="D365" s="1182">
        <v>4</v>
      </c>
      <c r="E365" s="1182">
        <v>5</v>
      </c>
      <c r="F365" s="1183">
        <v>6</v>
      </c>
      <c r="G365" s="1183">
        <v>7</v>
      </c>
      <c r="H365" s="1184">
        <v>8</v>
      </c>
      <c r="I365" s="1185" t="s">
        <v>689</v>
      </c>
    </row>
    <row r="366" spans="1:256" s="1165" customFormat="1" ht="15.75" thickTop="1" x14ac:dyDescent="0.2">
      <c r="A366" s="1225">
        <v>1535</v>
      </c>
      <c r="B366" s="1226">
        <v>3122</v>
      </c>
      <c r="C366" s="1226">
        <v>5213</v>
      </c>
      <c r="D366" s="1227"/>
      <c r="E366" s="1216" t="s">
        <v>1054</v>
      </c>
      <c r="F366" s="1223"/>
      <c r="G366" s="1223">
        <f>G367+G368</f>
        <v>2898</v>
      </c>
      <c r="H366" s="1223">
        <f>H367+H368</f>
        <v>2898</v>
      </c>
      <c r="I366" s="1228">
        <f>(H366/G366)*100</f>
        <v>100</v>
      </c>
      <c r="IV366" s="1177">
        <f>SUM(I366:IU366)</f>
        <v>100</v>
      </c>
    </row>
    <row r="367" spans="1:256" s="1165" customFormat="1" ht="29.25" x14ac:dyDescent="0.25">
      <c r="A367" s="1187"/>
      <c r="B367" s="1197"/>
      <c r="C367" s="1197"/>
      <c r="D367" s="649" t="s">
        <v>1851</v>
      </c>
      <c r="E367" s="2900" t="s">
        <v>1852</v>
      </c>
      <c r="F367" s="690"/>
      <c r="G367" s="1067">
        <v>36</v>
      </c>
      <c r="H367" s="1067">
        <v>36</v>
      </c>
      <c r="I367" s="1063">
        <f>(H367/G367)*100</f>
        <v>100</v>
      </c>
      <c r="IV367" s="1177"/>
    </row>
    <row r="368" spans="1:256" s="1165" customFormat="1" ht="15" customHeight="1" thickBot="1" x14ac:dyDescent="0.25">
      <c r="A368" s="1187"/>
      <c r="B368" s="1197"/>
      <c r="C368" s="1197"/>
      <c r="D368" s="518" t="s">
        <v>1853</v>
      </c>
      <c r="E368" s="441" t="s">
        <v>2</v>
      </c>
      <c r="F368" s="689"/>
      <c r="G368" s="689">
        <v>2862</v>
      </c>
      <c r="H368" s="689">
        <v>2862</v>
      </c>
      <c r="I368" s="684">
        <f>(H368/G368)*100</f>
        <v>100</v>
      </c>
      <c r="IV368" s="1165">
        <f>SUM(A368:IU368)</f>
        <v>5824</v>
      </c>
    </row>
    <row r="369" spans="1:256" s="1165" customFormat="1" ht="16.5" thickTop="1" thickBot="1" x14ac:dyDescent="0.25">
      <c r="A369" s="3117" t="s">
        <v>1000</v>
      </c>
      <c r="B369" s="3118"/>
      <c r="C369" s="3118"/>
      <c r="D369" s="3118"/>
      <c r="E369" s="3118"/>
      <c r="F369" s="1175">
        <f>SUM(F366)</f>
        <v>0</v>
      </c>
      <c r="G369" s="1175">
        <f>SUM(G366)</f>
        <v>2898</v>
      </c>
      <c r="H369" s="1175">
        <f>SUM(H366)</f>
        <v>2898</v>
      </c>
      <c r="I369" s="1176">
        <f>(H369/G369)*100</f>
        <v>100</v>
      </c>
      <c r="IV369" s="1177">
        <f>SUM(IV366:IV368)</f>
        <v>5924</v>
      </c>
    </row>
    <row r="370" spans="1:256" s="1165" customFormat="1" ht="15" thickTop="1" x14ac:dyDescent="0.2">
      <c r="B370" s="1178"/>
      <c r="D370" s="1179"/>
      <c r="F370" s="1205"/>
      <c r="G370" s="1205"/>
      <c r="H370" s="1205"/>
      <c r="I370" s="1206"/>
    </row>
    <row r="371" spans="1:256" s="1165" customFormat="1" ht="15" thickBot="1" x14ac:dyDescent="0.25">
      <c r="A371" s="1190" t="s">
        <v>1592</v>
      </c>
      <c r="B371" s="1178"/>
      <c r="D371" s="1179"/>
      <c r="F371" s="1205"/>
      <c r="G371" s="1205"/>
      <c r="H371" s="1205"/>
      <c r="I371" s="1207" t="s">
        <v>148</v>
      </c>
    </row>
    <row r="372" spans="1:256" s="1213" customFormat="1" ht="18" customHeight="1" thickTop="1" thickBot="1" x14ac:dyDescent="0.25">
      <c r="A372" s="1208" t="s">
        <v>565</v>
      </c>
      <c r="B372" s="1209" t="s">
        <v>149</v>
      </c>
      <c r="C372" s="1210" t="s">
        <v>150</v>
      </c>
      <c r="D372" s="1211" t="s">
        <v>639</v>
      </c>
      <c r="E372" s="1211" t="s">
        <v>151</v>
      </c>
      <c r="F372" s="589" t="s">
        <v>569</v>
      </c>
      <c r="G372" s="589" t="s">
        <v>570</v>
      </c>
      <c r="H372" s="1211" t="s">
        <v>797</v>
      </c>
      <c r="I372" s="1212" t="s">
        <v>798</v>
      </c>
    </row>
    <row r="373" spans="1:256" s="1186" customFormat="1" ht="18" customHeight="1" thickTop="1" thickBot="1" x14ac:dyDescent="0.25">
      <c r="A373" s="1181">
        <v>1</v>
      </c>
      <c r="B373" s="1182">
        <v>2</v>
      </c>
      <c r="C373" s="1182">
        <v>3</v>
      </c>
      <c r="D373" s="1182">
        <v>4</v>
      </c>
      <c r="E373" s="1182">
        <v>5</v>
      </c>
      <c r="F373" s="1183">
        <v>6</v>
      </c>
      <c r="G373" s="1183">
        <v>7</v>
      </c>
      <c r="H373" s="1184">
        <v>8</v>
      </c>
      <c r="I373" s="1185" t="s">
        <v>689</v>
      </c>
    </row>
    <row r="374" spans="1:256" s="1165" customFormat="1" ht="15.75" thickTop="1" x14ac:dyDescent="0.2">
      <c r="A374" s="1225">
        <v>1536</v>
      </c>
      <c r="B374" s="1226">
        <v>3122</v>
      </c>
      <c r="C374" s="1226">
        <v>5213</v>
      </c>
      <c r="D374" s="1227"/>
      <c r="E374" s="1216" t="s">
        <v>1054</v>
      </c>
      <c r="F374" s="1223"/>
      <c r="G374" s="1223">
        <f>SUM(G375:G376)</f>
        <v>7927</v>
      </c>
      <c r="H374" s="1223">
        <f>SUM(H375:H376)</f>
        <v>7927</v>
      </c>
      <c r="I374" s="1228">
        <f t="shared" ref="I374:I383" si="20">(H374/G374)*100</f>
        <v>100</v>
      </c>
      <c r="IV374" s="1177">
        <f>SUM(I374:IU374)</f>
        <v>100</v>
      </c>
    </row>
    <row r="375" spans="1:256" s="1165" customFormat="1" ht="28.5" x14ac:dyDescent="0.2">
      <c r="A375" s="1187"/>
      <c r="B375" s="1197"/>
      <c r="C375" s="1197"/>
      <c r="D375" s="649" t="s">
        <v>1851</v>
      </c>
      <c r="E375" s="2900" t="s">
        <v>1852</v>
      </c>
      <c r="F375" s="1221"/>
      <c r="G375" s="1062">
        <v>179</v>
      </c>
      <c r="H375" s="1067">
        <v>179</v>
      </c>
      <c r="I375" s="1063">
        <f>(H376/G376)*100</f>
        <v>100</v>
      </c>
      <c r="IV375" s="1177"/>
    </row>
    <row r="376" spans="1:256" s="1165" customFormat="1" x14ac:dyDescent="0.2">
      <c r="A376" s="1187"/>
      <c r="B376" s="1197"/>
      <c r="C376" s="1197"/>
      <c r="D376" s="518" t="s">
        <v>1853</v>
      </c>
      <c r="E376" s="441" t="s">
        <v>2</v>
      </c>
      <c r="F376" s="1062"/>
      <c r="G376" s="1062">
        <v>7748</v>
      </c>
      <c r="H376" s="1067">
        <v>7748</v>
      </c>
      <c r="I376" s="1063">
        <f>(H377/G377)*100</f>
        <v>100</v>
      </c>
      <c r="IV376" s="1165">
        <f>SUM(A376:IU376)</f>
        <v>15596</v>
      </c>
    </row>
    <row r="377" spans="1:256" s="1165" customFormat="1" ht="15" x14ac:dyDescent="0.2">
      <c r="A377" s="1187">
        <v>1536</v>
      </c>
      <c r="B377" s="1197">
        <v>3123</v>
      </c>
      <c r="C377" s="1197">
        <v>5213</v>
      </c>
      <c r="D377" s="1230"/>
      <c r="E377" s="1220" t="s">
        <v>1054</v>
      </c>
      <c r="F377" s="1221"/>
      <c r="G377" s="1221">
        <f>SUM(G378:G378)</f>
        <v>1607</v>
      </c>
      <c r="H377" s="1221">
        <f>SUM(H378:H378)</f>
        <v>1607</v>
      </c>
      <c r="I377" s="1222">
        <f t="shared" si="20"/>
        <v>100</v>
      </c>
      <c r="IV377" s="1177">
        <f>SUM(I377:IU377)</f>
        <v>100</v>
      </c>
    </row>
    <row r="378" spans="1:256" s="1165" customFormat="1" x14ac:dyDescent="0.2">
      <c r="A378" s="1187"/>
      <c r="B378" s="1197"/>
      <c r="C378" s="1197"/>
      <c r="D378" s="518" t="s">
        <v>1853</v>
      </c>
      <c r="E378" s="441" t="s">
        <v>2</v>
      </c>
      <c r="F378" s="1062"/>
      <c r="G378" s="1062">
        <v>1607</v>
      </c>
      <c r="H378" s="1062">
        <v>1607</v>
      </c>
      <c r="I378" s="1066">
        <f t="shared" si="20"/>
        <v>100</v>
      </c>
    </row>
    <row r="379" spans="1:256" s="1165" customFormat="1" ht="15" customHeight="1" x14ac:dyDescent="0.2">
      <c r="A379" s="1187">
        <v>1536</v>
      </c>
      <c r="B379" s="1188">
        <v>3141</v>
      </c>
      <c r="C379" s="1188">
        <v>5213</v>
      </c>
      <c r="D379" s="1231"/>
      <c r="E379" s="1220" t="s">
        <v>1054</v>
      </c>
      <c r="F379" s="1067"/>
      <c r="G379" s="1232">
        <f>G380</f>
        <v>59</v>
      </c>
      <c r="H379" s="1232">
        <f>H380</f>
        <v>59</v>
      </c>
      <c r="I379" s="1233">
        <f t="shared" si="20"/>
        <v>100</v>
      </c>
    </row>
    <row r="380" spans="1:256" s="1165" customFormat="1" x14ac:dyDescent="0.2">
      <c r="A380" s="1187"/>
      <c r="B380" s="1188"/>
      <c r="C380" s="1188"/>
      <c r="D380" s="518" t="s">
        <v>1853</v>
      </c>
      <c r="E380" s="441" t="s">
        <v>2</v>
      </c>
      <c r="F380" s="1067"/>
      <c r="G380" s="1067">
        <v>59</v>
      </c>
      <c r="H380" s="1067">
        <v>59</v>
      </c>
      <c r="I380" s="1063">
        <f t="shared" si="20"/>
        <v>100</v>
      </c>
    </row>
    <row r="381" spans="1:256" s="1165" customFormat="1" ht="15" x14ac:dyDescent="0.2">
      <c r="A381" s="1187">
        <v>1536</v>
      </c>
      <c r="B381" s="1188">
        <v>3429</v>
      </c>
      <c r="C381" s="1188">
        <v>5213</v>
      </c>
      <c r="D381" s="649"/>
      <c r="E381" s="1220" t="s">
        <v>1054</v>
      </c>
      <c r="F381" s="1067"/>
      <c r="G381" s="1232">
        <f>G382</f>
        <v>20</v>
      </c>
      <c r="H381" s="1232">
        <f>H382</f>
        <v>20</v>
      </c>
      <c r="I381" s="1233">
        <f t="shared" si="20"/>
        <v>100</v>
      </c>
    </row>
    <row r="382" spans="1:256" s="1165" customFormat="1" ht="15" thickBot="1" x14ac:dyDescent="0.25">
      <c r="A382" s="1187"/>
      <c r="B382" s="1188"/>
      <c r="C382" s="1188"/>
      <c r="D382" s="2903" t="s">
        <v>1788</v>
      </c>
      <c r="E382" s="2904" t="s">
        <v>1593</v>
      </c>
      <c r="F382" s="1067"/>
      <c r="G382" s="1067">
        <v>20</v>
      </c>
      <c r="H382" s="1067">
        <v>20</v>
      </c>
      <c r="I382" s="1063">
        <f t="shared" si="20"/>
        <v>100</v>
      </c>
    </row>
    <row r="383" spans="1:256" s="1165" customFormat="1" ht="16.5" thickTop="1" thickBot="1" x14ac:dyDescent="0.25">
      <c r="A383" s="3117" t="s">
        <v>1000</v>
      </c>
      <c r="B383" s="3118"/>
      <c r="C383" s="3118"/>
      <c r="D383" s="3118"/>
      <c r="E383" s="3118"/>
      <c r="F383" s="1175">
        <f>SUM(F374)</f>
        <v>0</v>
      </c>
      <c r="G383" s="1175">
        <f>SUM(G374,G377,G379,G381)</f>
        <v>9613</v>
      </c>
      <c r="H383" s="1175">
        <f>SUM(H374,H377,H379,H381)</f>
        <v>9613</v>
      </c>
      <c r="I383" s="1176">
        <f t="shared" si="20"/>
        <v>100</v>
      </c>
      <c r="IV383" s="1177">
        <f>SUM(IV374:IV376)</f>
        <v>15696</v>
      </c>
    </row>
    <row r="384" spans="1:256" s="1165" customFormat="1" ht="18" customHeight="1" thickTop="1" x14ac:dyDescent="0.2">
      <c r="A384" s="1164"/>
      <c r="B384" s="1164"/>
      <c r="C384" s="1164"/>
      <c r="D384" s="1164"/>
      <c r="E384" s="1164"/>
      <c r="F384" s="1195"/>
      <c r="G384" s="1195"/>
      <c r="H384" s="1195"/>
      <c r="I384" s="1196"/>
      <c r="IV384" s="1177"/>
    </row>
    <row r="385" spans="1:256" s="1165" customFormat="1" ht="18" customHeight="1" x14ac:dyDescent="0.2">
      <c r="A385" s="1164"/>
      <c r="B385" s="1164"/>
      <c r="C385" s="1164"/>
      <c r="D385" s="1164"/>
      <c r="E385" s="1164"/>
      <c r="F385" s="1195"/>
      <c r="G385" s="1195"/>
      <c r="H385" s="1195"/>
      <c r="I385" s="1196"/>
      <c r="IV385" s="1177"/>
    </row>
    <row r="386" spans="1:256" s="1165" customFormat="1" ht="18" customHeight="1" x14ac:dyDescent="0.2">
      <c r="A386" s="1164"/>
      <c r="B386" s="1164"/>
      <c r="C386" s="1164"/>
      <c r="D386" s="1164"/>
      <c r="E386" s="1164"/>
      <c r="F386" s="1195"/>
      <c r="G386" s="1195"/>
      <c r="H386" s="1195"/>
      <c r="I386" s="1196"/>
      <c r="IV386" s="1177"/>
    </row>
    <row r="387" spans="1:256" s="1165" customFormat="1" ht="18" customHeight="1" x14ac:dyDescent="0.2">
      <c r="A387" s="1164"/>
      <c r="B387" s="1164"/>
      <c r="C387" s="1164"/>
      <c r="D387" s="1164"/>
      <c r="E387" s="1164"/>
      <c r="F387" s="1195"/>
      <c r="G387" s="1195"/>
      <c r="H387" s="1195"/>
      <c r="I387" s="1196"/>
      <c r="IV387" s="1177"/>
    </row>
    <row r="388" spans="1:256" s="1165" customFormat="1" ht="18" customHeight="1" x14ac:dyDescent="0.2">
      <c r="A388" s="1164"/>
      <c r="B388" s="1164"/>
      <c r="C388" s="1164"/>
      <c r="D388" s="1164"/>
      <c r="E388" s="1164"/>
      <c r="F388" s="1195"/>
      <c r="G388" s="1195"/>
      <c r="H388" s="1195"/>
      <c r="I388" s="1196"/>
      <c r="IV388" s="1177"/>
    </row>
    <row r="389" spans="1:256" s="1165" customFormat="1" ht="18" customHeight="1" x14ac:dyDescent="0.2">
      <c r="A389" s="1164"/>
      <c r="B389" s="1164"/>
      <c r="C389" s="1164"/>
      <c r="D389" s="1164"/>
      <c r="E389" s="1164"/>
      <c r="F389" s="1195"/>
      <c r="G389" s="1195"/>
      <c r="H389" s="1195"/>
      <c r="I389" s="1196"/>
      <c r="IV389" s="1177"/>
    </row>
    <row r="390" spans="1:256" s="1165" customFormat="1" ht="18" customHeight="1" x14ac:dyDescent="0.2">
      <c r="A390" s="1164"/>
      <c r="B390" s="1164"/>
      <c r="C390" s="1164"/>
      <c r="D390" s="1164"/>
      <c r="E390" s="1164"/>
      <c r="F390" s="1195"/>
      <c r="G390" s="1195"/>
      <c r="H390" s="1195"/>
      <c r="I390" s="1196"/>
      <c r="IV390" s="1177"/>
    </row>
    <row r="391" spans="1:256" s="1165" customFormat="1" ht="15" thickBot="1" x14ac:dyDescent="0.25">
      <c r="A391" s="1190" t="s">
        <v>1297</v>
      </c>
      <c r="B391" s="1178"/>
      <c r="D391" s="1179"/>
      <c r="F391" s="1205"/>
      <c r="G391" s="1205"/>
      <c r="H391" s="1205"/>
      <c r="I391" s="1207" t="s">
        <v>148</v>
      </c>
    </row>
    <row r="392" spans="1:256" s="1213" customFormat="1" ht="20.25" customHeight="1" thickTop="1" thickBot="1" x14ac:dyDescent="0.25">
      <c r="A392" s="1208" t="s">
        <v>565</v>
      </c>
      <c r="B392" s="1209" t="s">
        <v>149</v>
      </c>
      <c r="C392" s="1210" t="s">
        <v>150</v>
      </c>
      <c r="D392" s="1211" t="s">
        <v>639</v>
      </c>
      <c r="E392" s="1211" t="s">
        <v>151</v>
      </c>
      <c r="F392" s="589" t="s">
        <v>569</v>
      </c>
      <c r="G392" s="589" t="s">
        <v>570</v>
      </c>
      <c r="H392" s="1211" t="s">
        <v>797</v>
      </c>
      <c r="I392" s="1212" t="s">
        <v>798</v>
      </c>
    </row>
    <row r="393" spans="1:256" s="1186" customFormat="1" ht="13.5" thickTop="1" thickBot="1" x14ac:dyDescent="0.25">
      <c r="A393" s="1181">
        <v>1</v>
      </c>
      <c r="B393" s="1182">
        <v>2</v>
      </c>
      <c r="C393" s="1182">
        <v>3</v>
      </c>
      <c r="D393" s="1182">
        <v>4</v>
      </c>
      <c r="E393" s="1182">
        <v>5</v>
      </c>
      <c r="F393" s="1183">
        <v>6</v>
      </c>
      <c r="G393" s="1183">
        <v>7</v>
      </c>
      <c r="H393" s="1184">
        <v>8</v>
      </c>
      <c r="I393" s="1185" t="s">
        <v>689</v>
      </c>
    </row>
    <row r="394" spans="1:256" s="1165" customFormat="1" ht="15.75" thickTop="1" x14ac:dyDescent="0.2">
      <c r="A394" s="1225">
        <v>1537</v>
      </c>
      <c r="B394" s="1226">
        <v>3122</v>
      </c>
      <c r="C394" s="1226">
        <v>5213</v>
      </c>
      <c r="D394" s="1227"/>
      <c r="E394" s="1216" t="s">
        <v>1054</v>
      </c>
      <c r="F394" s="1223"/>
      <c r="G394" s="1223">
        <f>SUM(G395:G397)</f>
        <v>8341</v>
      </c>
      <c r="H394" s="1223">
        <f>SUM(H395:H397)</f>
        <v>8341</v>
      </c>
      <c r="I394" s="1228">
        <f>(H394/G394)*100</f>
        <v>100</v>
      </c>
      <c r="IV394" s="1177">
        <f>SUM(I394:IU394)</f>
        <v>100</v>
      </c>
    </row>
    <row r="395" spans="1:256" s="1165" customFormat="1" ht="15" x14ac:dyDescent="0.2">
      <c r="A395" s="1187"/>
      <c r="B395" s="1197"/>
      <c r="C395" s="1197"/>
      <c r="D395" s="649" t="s">
        <v>1827</v>
      </c>
      <c r="E395" s="2900" t="s">
        <v>1407</v>
      </c>
      <c r="F395" s="1221"/>
      <c r="G395" s="1224">
        <v>2</v>
      </c>
      <c r="H395" s="1224">
        <v>2</v>
      </c>
      <c r="I395" s="1229">
        <v>100</v>
      </c>
      <c r="IV395" s="1177"/>
    </row>
    <row r="396" spans="1:256" s="1165" customFormat="1" ht="28.5" x14ac:dyDescent="0.2">
      <c r="A396" s="1187"/>
      <c r="B396" s="1197"/>
      <c r="C396" s="1197"/>
      <c r="D396" s="649" t="s">
        <v>1851</v>
      </c>
      <c r="E396" s="2900" t="s">
        <v>1852</v>
      </c>
      <c r="F396" s="1221"/>
      <c r="G396" s="1224">
        <v>95</v>
      </c>
      <c r="H396" s="1224">
        <v>95</v>
      </c>
      <c r="I396" s="1229">
        <v>100</v>
      </c>
      <c r="IV396" s="1177"/>
    </row>
    <row r="397" spans="1:256" s="1165" customFormat="1" ht="14.25" customHeight="1" x14ac:dyDescent="0.2">
      <c r="A397" s="1187"/>
      <c r="B397" s="1197"/>
      <c r="C397" s="1197"/>
      <c r="D397" s="518" t="s">
        <v>1853</v>
      </c>
      <c r="E397" s="441" t="s">
        <v>2</v>
      </c>
      <c r="F397" s="1062"/>
      <c r="G397" s="1062">
        <v>8244</v>
      </c>
      <c r="H397" s="1062">
        <v>8244</v>
      </c>
      <c r="I397" s="1229">
        <v>100</v>
      </c>
    </row>
    <row r="398" spans="1:256" s="1165" customFormat="1" ht="15" x14ac:dyDescent="0.2">
      <c r="A398" s="1187">
        <v>1537</v>
      </c>
      <c r="B398" s="1197">
        <v>3141</v>
      </c>
      <c r="C398" s="1197">
        <v>5213</v>
      </c>
      <c r="D398" s="649"/>
      <c r="E398" s="1220" t="s">
        <v>1054</v>
      </c>
      <c r="F398" s="1062"/>
      <c r="G398" s="1064">
        <f>G399</f>
        <v>160</v>
      </c>
      <c r="H398" s="1064">
        <f>H399</f>
        <v>160</v>
      </c>
      <c r="I398" s="1233">
        <v>100</v>
      </c>
    </row>
    <row r="399" spans="1:256" s="1165" customFormat="1" ht="15" thickBot="1" x14ac:dyDescent="0.25">
      <c r="A399" s="1187"/>
      <c r="B399" s="1197"/>
      <c r="C399" s="1197"/>
      <c r="D399" s="518" t="s">
        <v>1853</v>
      </c>
      <c r="E399" s="441" t="s">
        <v>2</v>
      </c>
      <c r="F399" s="1062"/>
      <c r="G399" s="1062">
        <v>160</v>
      </c>
      <c r="H399" s="1062">
        <v>160</v>
      </c>
      <c r="I399" s="1229">
        <v>100</v>
      </c>
    </row>
    <row r="400" spans="1:256" s="1165" customFormat="1" ht="16.5" thickTop="1" thickBot="1" x14ac:dyDescent="0.25">
      <c r="A400" s="3117" t="s">
        <v>1000</v>
      </c>
      <c r="B400" s="3118"/>
      <c r="C400" s="3118"/>
      <c r="D400" s="3118"/>
      <c r="E400" s="3118"/>
      <c r="F400" s="1175">
        <v>0</v>
      </c>
      <c r="G400" s="1175">
        <f>SUM(G394,G398)</f>
        <v>8501</v>
      </c>
      <c r="H400" s="1175">
        <f>SUM(H394,H398)</f>
        <v>8501</v>
      </c>
      <c r="I400" s="1176">
        <f>(H400/G400)*100</f>
        <v>100</v>
      </c>
      <c r="IV400" s="1177">
        <f>SUM(IV391:IV394)</f>
        <v>100</v>
      </c>
    </row>
    <row r="401" spans="1:256" s="1165" customFormat="1" ht="15" thickTop="1" x14ac:dyDescent="0.2">
      <c r="B401" s="1178"/>
      <c r="D401" s="1179"/>
      <c r="F401" s="1205"/>
      <c r="G401" s="1205"/>
      <c r="H401" s="1205"/>
      <c r="I401" s="1206"/>
    </row>
    <row r="402" spans="1:256" s="1165" customFormat="1" ht="18" customHeight="1" thickBot="1" x14ac:dyDescent="0.25">
      <c r="A402" s="1190" t="s">
        <v>490</v>
      </c>
      <c r="B402" s="1178"/>
      <c r="D402" s="1179"/>
      <c r="F402" s="1205"/>
      <c r="G402" s="1205"/>
      <c r="H402" s="1205"/>
      <c r="I402" s="1207" t="s">
        <v>148</v>
      </c>
    </row>
    <row r="403" spans="1:256" s="1213" customFormat="1" ht="12.75" thickTop="1" thickBot="1" x14ac:dyDescent="0.25">
      <c r="A403" s="1208" t="s">
        <v>565</v>
      </c>
      <c r="B403" s="1209" t="s">
        <v>149</v>
      </c>
      <c r="C403" s="1210" t="s">
        <v>150</v>
      </c>
      <c r="D403" s="1211" t="s">
        <v>639</v>
      </c>
      <c r="E403" s="1211" t="s">
        <v>151</v>
      </c>
      <c r="F403" s="589" t="s">
        <v>569</v>
      </c>
      <c r="G403" s="589" t="s">
        <v>570</v>
      </c>
      <c r="H403" s="1211" t="s">
        <v>797</v>
      </c>
      <c r="I403" s="1212" t="s">
        <v>798</v>
      </c>
    </row>
    <row r="404" spans="1:256" s="1186" customFormat="1" ht="20.25" customHeight="1" thickTop="1" thickBot="1" x14ac:dyDescent="0.25">
      <c r="A404" s="1181">
        <v>1</v>
      </c>
      <c r="B404" s="1182">
        <v>2</v>
      </c>
      <c r="C404" s="1182">
        <v>3</v>
      </c>
      <c r="D404" s="1182">
        <v>4</v>
      </c>
      <c r="E404" s="1182">
        <v>5</v>
      </c>
      <c r="F404" s="1183">
        <v>6</v>
      </c>
      <c r="G404" s="1183">
        <v>7</v>
      </c>
      <c r="H404" s="1184">
        <v>8</v>
      </c>
      <c r="I404" s="1185" t="s">
        <v>689</v>
      </c>
    </row>
    <row r="405" spans="1:256" s="1165" customFormat="1" ht="15.75" thickTop="1" x14ac:dyDescent="0.2">
      <c r="A405" s="1225">
        <v>1539</v>
      </c>
      <c r="B405" s="1226">
        <v>3122</v>
      </c>
      <c r="C405" s="1226">
        <v>5213</v>
      </c>
      <c r="D405" s="1227"/>
      <c r="E405" s="1216" t="s">
        <v>1054</v>
      </c>
      <c r="F405" s="1223"/>
      <c r="G405" s="1223">
        <f>SUM(G406:G408)</f>
        <v>9335</v>
      </c>
      <c r="H405" s="1223">
        <f>SUM(H406:H408)</f>
        <v>9335</v>
      </c>
      <c r="I405" s="1228">
        <f>(H405/G405)*100</f>
        <v>100</v>
      </c>
      <c r="IV405" s="1177">
        <f>SUM(I405:IU405)</f>
        <v>100</v>
      </c>
    </row>
    <row r="406" spans="1:256" s="1165" customFormat="1" ht="28.5" x14ac:dyDescent="0.2">
      <c r="A406" s="1187"/>
      <c r="B406" s="1197"/>
      <c r="C406" s="1188"/>
      <c r="D406" s="2044" t="s">
        <v>1821</v>
      </c>
      <c r="E406" s="2900" t="s">
        <v>1822</v>
      </c>
      <c r="F406" s="1217"/>
      <c r="G406" s="1117">
        <v>7</v>
      </c>
      <c r="H406" s="1117">
        <v>7</v>
      </c>
      <c r="I406" s="1063">
        <f>(H406/G406)*100</f>
        <v>100</v>
      </c>
      <c r="IV406" s="1177"/>
    </row>
    <row r="407" spans="1:256" s="1165" customFormat="1" ht="28.5" x14ac:dyDescent="0.2">
      <c r="A407" s="1187"/>
      <c r="B407" s="1197"/>
      <c r="C407" s="1188"/>
      <c r="D407" s="649" t="s">
        <v>1851</v>
      </c>
      <c r="E407" s="2900" t="s">
        <v>1852</v>
      </c>
      <c r="F407" s="1217"/>
      <c r="G407" s="1117">
        <v>125</v>
      </c>
      <c r="H407" s="1117">
        <v>125</v>
      </c>
      <c r="I407" s="1063">
        <f>(H407/G407)*100</f>
        <v>100</v>
      </c>
      <c r="IV407" s="1177"/>
    </row>
    <row r="408" spans="1:256" s="1165" customFormat="1" x14ac:dyDescent="0.2">
      <c r="A408" s="1187"/>
      <c r="B408" s="1197"/>
      <c r="C408" s="1188"/>
      <c r="D408" s="518" t="s">
        <v>1853</v>
      </c>
      <c r="E408" s="441" t="s">
        <v>2</v>
      </c>
      <c r="F408" s="1067"/>
      <c r="G408" s="1067">
        <v>9203</v>
      </c>
      <c r="H408" s="1067">
        <v>9203</v>
      </c>
      <c r="I408" s="1063">
        <f>(H408/G408)*100</f>
        <v>100</v>
      </c>
      <c r="IV408" s="1165">
        <f>SUM(A408:IU408)</f>
        <v>18506</v>
      </c>
    </row>
    <row r="409" spans="1:256" s="1165" customFormat="1" ht="15" customHeight="1" x14ac:dyDescent="0.2">
      <c r="A409" s="1187">
        <v>1539</v>
      </c>
      <c r="B409" s="1188">
        <v>3146</v>
      </c>
      <c r="C409" s="1188">
        <v>5213</v>
      </c>
      <c r="D409" s="1219"/>
      <c r="E409" s="1220" t="s">
        <v>1054</v>
      </c>
      <c r="F409" s="1232"/>
      <c r="G409" s="1232">
        <f>G411+G410</f>
        <v>1812</v>
      </c>
      <c r="H409" s="1232">
        <f>H411+H410</f>
        <v>1812</v>
      </c>
      <c r="I409" s="1233">
        <f>(H409/G409)*100</f>
        <v>100</v>
      </c>
    </row>
    <row r="410" spans="1:256" s="1165" customFormat="1" ht="15" customHeight="1" x14ac:dyDescent="0.2">
      <c r="A410" s="1187"/>
      <c r="B410" s="1188"/>
      <c r="C410" s="1188"/>
      <c r="D410" s="649" t="s">
        <v>1816</v>
      </c>
      <c r="E410" s="441" t="s">
        <v>1598</v>
      </c>
      <c r="F410" s="1232"/>
      <c r="G410" s="1067">
        <v>12</v>
      </c>
      <c r="H410" s="1067">
        <v>12</v>
      </c>
      <c r="I410" s="1063">
        <v>100</v>
      </c>
    </row>
    <row r="411" spans="1:256" s="1165" customFormat="1" ht="15" thickBot="1" x14ac:dyDescent="0.25">
      <c r="A411" s="1187"/>
      <c r="B411" s="1188"/>
      <c r="C411" s="1188"/>
      <c r="D411" s="518" t="s">
        <v>1853</v>
      </c>
      <c r="E411" s="441" t="s">
        <v>2</v>
      </c>
      <c r="F411" s="1067"/>
      <c r="G411" s="1067">
        <v>1800</v>
      </c>
      <c r="H411" s="1067">
        <v>1800</v>
      </c>
      <c r="I411" s="1063">
        <v>100</v>
      </c>
    </row>
    <row r="412" spans="1:256" s="1165" customFormat="1" ht="16.5" thickTop="1" thickBot="1" x14ac:dyDescent="0.25">
      <c r="A412" s="3117" t="s">
        <v>1000</v>
      </c>
      <c r="B412" s="3118"/>
      <c r="C412" s="3118"/>
      <c r="D412" s="3118"/>
      <c r="E412" s="3118"/>
      <c r="F412" s="1175">
        <f>SUM(F405)</f>
        <v>0</v>
      </c>
      <c r="G412" s="1175">
        <f>SUM(G405,G409)</f>
        <v>11147</v>
      </c>
      <c r="H412" s="1175">
        <f>SUM(H405,H409)</f>
        <v>11147</v>
      </c>
      <c r="I412" s="1176">
        <f>(H412/G412)*100</f>
        <v>100</v>
      </c>
      <c r="IV412" s="1177">
        <f>SUM(IV405:IV408)</f>
        <v>18606</v>
      </c>
    </row>
    <row r="413" spans="1:256" s="1165" customFormat="1" ht="15.75" thickTop="1" x14ac:dyDescent="0.2">
      <c r="A413" s="1164"/>
      <c r="B413" s="1164"/>
      <c r="C413" s="1164"/>
      <c r="D413" s="1164"/>
      <c r="E413" s="1164"/>
      <c r="F413" s="1195"/>
      <c r="G413" s="1195"/>
      <c r="H413" s="1195"/>
      <c r="I413" s="1196"/>
      <c r="IV413" s="1177"/>
    </row>
    <row r="414" spans="1:256" s="1165" customFormat="1" ht="15" x14ac:dyDescent="0.2">
      <c r="A414" s="1164"/>
      <c r="B414" s="1164"/>
      <c r="C414" s="1164"/>
      <c r="D414" s="1164"/>
      <c r="E414" s="1164"/>
      <c r="F414" s="1195"/>
      <c r="G414" s="1195"/>
      <c r="H414" s="1195"/>
      <c r="I414" s="1196"/>
      <c r="IV414" s="1177"/>
    </row>
    <row r="415" spans="1:256" s="1165" customFormat="1" ht="18" customHeight="1" thickBot="1" x14ac:dyDescent="0.25">
      <c r="A415" s="1190" t="s">
        <v>1734</v>
      </c>
      <c r="B415" s="1178"/>
      <c r="D415" s="1179"/>
      <c r="F415" s="1205"/>
      <c r="G415" s="1205"/>
      <c r="H415" s="1205"/>
      <c r="I415" s="1207" t="s">
        <v>148</v>
      </c>
    </row>
    <row r="416" spans="1:256" s="1213" customFormat="1" ht="12.75" thickTop="1" thickBot="1" x14ac:dyDescent="0.25">
      <c r="A416" s="1208" t="s">
        <v>565</v>
      </c>
      <c r="B416" s="1209" t="s">
        <v>149</v>
      </c>
      <c r="C416" s="1210" t="s">
        <v>150</v>
      </c>
      <c r="D416" s="1211" t="s">
        <v>639</v>
      </c>
      <c r="E416" s="1211" t="s">
        <v>151</v>
      </c>
      <c r="F416" s="589" t="s">
        <v>569</v>
      </c>
      <c r="G416" s="589" t="s">
        <v>570</v>
      </c>
      <c r="H416" s="1211" t="s">
        <v>797</v>
      </c>
      <c r="I416" s="1212" t="s">
        <v>798</v>
      </c>
    </row>
    <row r="417" spans="1:256" s="1186" customFormat="1" ht="13.5" thickTop="1" thickBot="1" x14ac:dyDescent="0.25">
      <c r="A417" s="1181">
        <v>1</v>
      </c>
      <c r="B417" s="1182">
        <v>2</v>
      </c>
      <c r="C417" s="1182">
        <v>3</v>
      </c>
      <c r="D417" s="1182">
        <v>4</v>
      </c>
      <c r="E417" s="1182">
        <v>5</v>
      </c>
      <c r="F417" s="1183">
        <v>6</v>
      </c>
      <c r="G417" s="1183">
        <v>7</v>
      </c>
      <c r="H417" s="1184">
        <v>8</v>
      </c>
      <c r="I417" s="1185" t="s">
        <v>689</v>
      </c>
    </row>
    <row r="418" spans="1:256" s="1186" customFormat="1" ht="15.75" thickTop="1" x14ac:dyDescent="0.2">
      <c r="A418" s="1187">
        <v>1540</v>
      </c>
      <c r="B418" s="1188">
        <v>3121</v>
      </c>
      <c r="C418" s="1188">
        <v>5213</v>
      </c>
      <c r="D418" s="1219"/>
      <c r="E418" s="1216" t="s">
        <v>1054</v>
      </c>
      <c r="F418" s="1217"/>
      <c r="G418" s="1217">
        <f>G419</f>
        <v>473</v>
      </c>
      <c r="H418" s="1217">
        <f>H419</f>
        <v>473</v>
      </c>
      <c r="I418" s="1218">
        <f>(H418/G418)*100</f>
        <v>100</v>
      </c>
    </row>
    <row r="419" spans="1:256" s="1186" customFormat="1" ht="15" x14ac:dyDescent="0.2">
      <c r="A419" s="1187"/>
      <c r="B419" s="1197"/>
      <c r="C419" s="1197"/>
      <c r="D419" s="518" t="s">
        <v>1853</v>
      </c>
      <c r="E419" s="441" t="s">
        <v>2</v>
      </c>
      <c r="F419" s="1221"/>
      <c r="G419" s="1224">
        <v>473</v>
      </c>
      <c r="H419" s="1224">
        <v>473</v>
      </c>
      <c r="I419" s="1229">
        <v>100</v>
      </c>
    </row>
    <row r="420" spans="1:256" s="1165" customFormat="1" ht="15" x14ac:dyDescent="0.2">
      <c r="A420" s="1187">
        <v>1540</v>
      </c>
      <c r="B420" s="1188">
        <v>3122</v>
      </c>
      <c r="C420" s="1188">
        <v>5213</v>
      </c>
      <c r="D420" s="1219"/>
      <c r="E420" s="1216" t="s">
        <v>1054</v>
      </c>
      <c r="F420" s="1217"/>
      <c r="G420" s="1217">
        <f>SUM(G421:G422)</f>
        <v>3177</v>
      </c>
      <c r="H420" s="1217">
        <f>SUM(H421:H422)</f>
        <v>3177</v>
      </c>
      <c r="I420" s="1218">
        <f>(H420/G420)*100</f>
        <v>100</v>
      </c>
      <c r="IV420" s="1177">
        <f>SUM(I420:IU420)</f>
        <v>100</v>
      </c>
    </row>
    <row r="421" spans="1:256" s="1165" customFormat="1" ht="28.5" x14ac:dyDescent="0.2">
      <c r="A421" s="1187"/>
      <c r="B421" s="1197"/>
      <c r="C421" s="1197"/>
      <c r="D421" s="649" t="s">
        <v>1851</v>
      </c>
      <c r="E421" s="2900" t="s">
        <v>1852</v>
      </c>
      <c r="F421" s="1217"/>
      <c r="G421" s="1224">
        <v>52</v>
      </c>
      <c r="H421" s="1224">
        <v>52</v>
      </c>
      <c r="I421" s="1229">
        <f>(H421/G421)*100</f>
        <v>100</v>
      </c>
      <c r="IV421" s="1177"/>
    </row>
    <row r="422" spans="1:256" s="1165" customFormat="1" ht="15" thickBot="1" x14ac:dyDescent="0.25">
      <c r="A422" s="1187"/>
      <c r="B422" s="1197"/>
      <c r="C422" s="1197"/>
      <c r="D422" s="518" t="s">
        <v>1853</v>
      </c>
      <c r="E422" s="2905" t="s">
        <v>2</v>
      </c>
      <c r="F422" s="1067"/>
      <c r="G422" s="1062">
        <v>3125</v>
      </c>
      <c r="H422" s="1062">
        <v>3125</v>
      </c>
      <c r="I422" s="1066">
        <f>(H422/G422)*100</f>
        <v>100</v>
      </c>
      <c r="IV422" s="1165">
        <f>SUM(A422:IU422)</f>
        <v>6350</v>
      </c>
    </row>
    <row r="423" spans="1:256" s="1165" customFormat="1" ht="16.5" thickTop="1" thickBot="1" x14ac:dyDescent="0.25">
      <c r="A423" s="3117" t="s">
        <v>1000</v>
      </c>
      <c r="B423" s="3118"/>
      <c r="C423" s="3118"/>
      <c r="D423" s="3118"/>
      <c r="E423" s="3130"/>
      <c r="F423" s="1175">
        <f>SUM(F420)</f>
        <v>0</v>
      </c>
      <c r="G423" s="1175">
        <f>SUM(G420,G418)</f>
        <v>3650</v>
      </c>
      <c r="H423" s="1175">
        <f>SUM(H420,H418)</f>
        <v>3650</v>
      </c>
      <c r="I423" s="1176">
        <f>(H423/G423)*100</f>
        <v>100</v>
      </c>
      <c r="IV423" s="1177">
        <f>SUM(IV420:IV422)</f>
        <v>6450</v>
      </c>
    </row>
    <row r="424" spans="1:256" s="1165" customFormat="1" ht="18" customHeight="1" thickTop="1" x14ac:dyDescent="0.2">
      <c r="B424" s="1178"/>
      <c r="D424" s="1179"/>
      <c r="F424" s="1205"/>
      <c r="G424" s="1205"/>
      <c r="H424" s="1205"/>
      <c r="I424" s="1206"/>
    </row>
    <row r="425" spans="1:256" s="1165" customFormat="1" ht="18" customHeight="1" x14ac:dyDescent="0.2">
      <c r="B425" s="1178"/>
      <c r="D425" s="1179"/>
      <c r="F425" s="1205"/>
      <c r="G425" s="1205"/>
      <c r="H425" s="1205"/>
      <c r="I425" s="1206"/>
    </row>
    <row r="426" spans="1:256" s="1165" customFormat="1" ht="15" thickBot="1" x14ac:dyDescent="0.25">
      <c r="A426" s="1190" t="s">
        <v>491</v>
      </c>
      <c r="B426" s="1178"/>
      <c r="D426" s="1179"/>
      <c r="F426" s="1205"/>
      <c r="G426" s="1205"/>
      <c r="H426" s="1205"/>
      <c r="I426" s="1207" t="s">
        <v>148</v>
      </c>
    </row>
    <row r="427" spans="1:256" s="1213" customFormat="1" ht="20.25" customHeight="1" thickTop="1" thickBot="1" x14ac:dyDescent="0.25">
      <c r="A427" s="1208" t="s">
        <v>565</v>
      </c>
      <c r="B427" s="1209" t="s">
        <v>149</v>
      </c>
      <c r="C427" s="1210" t="s">
        <v>150</v>
      </c>
      <c r="D427" s="1211" t="s">
        <v>639</v>
      </c>
      <c r="E427" s="1211" t="s">
        <v>151</v>
      </c>
      <c r="F427" s="589" t="s">
        <v>569</v>
      </c>
      <c r="G427" s="589" t="s">
        <v>570</v>
      </c>
      <c r="H427" s="1211" t="s">
        <v>797</v>
      </c>
      <c r="I427" s="1212" t="s">
        <v>798</v>
      </c>
    </row>
    <row r="428" spans="1:256" s="1186" customFormat="1" ht="13.5" thickTop="1" thickBot="1" x14ac:dyDescent="0.25">
      <c r="A428" s="1181">
        <v>1</v>
      </c>
      <c r="B428" s="1182">
        <v>2</v>
      </c>
      <c r="C428" s="1182">
        <v>3</v>
      </c>
      <c r="D428" s="1182">
        <v>4</v>
      </c>
      <c r="E428" s="1182">
        <v>5</v>
      </c>
      <c r="F428" s="1183">
        <v>6</v>
      </c>
      <c r="G428" s="1183">
        <v>7</v>
      </c>
      <c r="H428" s="1184">
        <v>8</v>
      </c>
      <c r="I428" s="1185" t="s">
        <v>689</v>
      </c>
    </row>
    <row r="429" spans="1:256" s="1165" customFormat="1" ht="15.75" thickTop="1" x14ac:dyDescent="0.2">
      <c r="A429" s="1225">
        <v>1542</v>
      </c>
      <c r="B429" s="1226">
        <v>3150</v>
      </c>
      <c r="C429" s="1226">
        <v>5213</v>
      </c>
      <c r="D429" s="1227"/>
      <c r="E429" s="1216" t="s">
        <v>1054</v>
      </c>
      <c r="F429" s="1223"/>
      <c r="G429" s="1223">
        <f>SUM(G430:G431)</f>
        <v>2666</v>
      </c>
      <c r="H429" s="1223">
        <f>SUM(H430:H431)</f>
        <v>2666</v>
      </c>
      <c r="I429" s="1228">
        <f>(H429/G429)*100</f>
        <v>100</v>
      </c>
      <c r="IV429" s="1177">
        <f>SUM(I429:IU429)</f>
        <v>100</v>
      </c>
    </row>
    <row r="430" spans="1:256" s="1165" customFormat="1" ht="28.5" x14ac:dyDescent="0.2">
      <c r="A430" s="1187"/>
      <c r="B430" s="1197"/>
      <c r="C430" s="1197"/>
      <c r="D430" s="649" t="s">
        <v>1851</v>
      </c>
      <c r="E430" s="2900" t="s">
        <v>1852</v>
      </c>
      <c r="F430" s="1221"/>
      <c r="G430" s="1224">
        <v>37</v>
      </c>
      <c r="H430" s="1224">
        <v>37</v>
      </c>
      <c r="I430" s="1229">
        <f>(H430/G430)*100</f>
        <v>100</v>
      </c>
      <c r="IV430" s="1177"/>
    </row>
    <row r="431" spans="1:256" s="1165" customFormat="1" ht="14.25" customHeight="1" thickBot="1" x14ac:dyDescent="0.25">
      <c r="A431" s="1187"/>
      <c r="B431" s="1197"/>
      <c r="C431" s="1197"/>
      <c r="D431" s="518" t="s">
        <v>1853</v>
      </c>
      <c r="E431" s="2905" t="s">
        <v>2</v>
      </c>
      <c r="F431" s="1062"/>
      <c r="G431" s="1062">
        <v>2629</v>
      </c>
      <c r="H431" s="1062">
        <v>2629</v>
      </c>
      <c r="I431" s="1066">
        <f>(H431/G431)*100</f>
        <v>100</v>
      </c>
      <c r="IV431" s="1177"/>
    </row>
    <row r="432" spans="1:256" s="1165" customFormat="1" ht="16.5" thickTop="1" thickBot="1" x14ac:dyDescent="0.25">
      <c r="A432" s="3117" t="s">
        <v>1000</v>
      </c>
      <c r="B432" s="3118"/>
      <c r="C432" s="3118"/>
      <c r="D432" s="3118"/>
      <c r="E432" s="3118"/>
      <c r="F432" s="1175">
        <f>SUM(F429)</f>
        <v>0</v>
      </c>
      <c r="G432" s="1175">
        <f>SUM(G429)</f>
        <v>2666</v>
      </c>
      <c r="H432" s="1175">
        <f>SUM(H429)</f>
        <v>2666</v>
      </c>
      <c r="I432" s="1176">
        <f>(H432/G432)*100</f>
        <v>100</v>
      </c>
      <c r="IV432" s="1177">
        <f>SUM(IV429:IV431)</f>
        <v>100</v>
      </c>
    </row>
    <row r="433" spans="1:256" s="1165" customFormat="1" ht="15.75" thickTop="1" x14ac:dyDescent="0.2">
      <c r="A433" s="1164"/>
      <c r="B433" s="1164"/>
      <c r="C433" s="1164"/>
      <c r="D433" s="1164"/>
      <c r="E433" s="1164"/>
      <c r="F433" s="1195"/>
      <c r="G433" s="1195"/>
      <c r="H433" s="1195"/>
      <c r="I433" s="1196"/>
      <c r="IV433" s="1177"/>
    </row>
    <row r="434" spans="1:256" s="1165" customFormat="1" ht="18" customHeight="1" x14ac:dyDescent="0.2">
      <c r="A434" s="1164"/>
      <c r="B434" s="1164"/>
      <c r="C434" s="1164"/>
      <c r="D434" s="1164"/>
      <c r="E434" s="1164"/>
      <c r="F434" s="1195"/>
      <c r="G434" s="1195"/>
      <c r="H434" s="1195"/>
      <c r="I434" s="1196"/>
      <c r="IV434" s="1177"/>
    </row>
    <row r="435" spans="1:256" s="1165" customFormat="1" ht="15" thickBot="1" x14ac:dyDescent="0.25">
      <c r="A435" s="1190" t="s">
        <v>146</v>
      </c>
      <c r="B435" s="1178"/>
      <c r="D435" s="1179"/>
      <c r="F435" s="1205"/>
      <c r="G435" s="1205"/>
      <c r="H435" s="1205"/>
      <c r="I435" s="1207" t="s">
        <v>148</v>
      </c>
    </row>
    <row r="436" spans="1:256" s="1213" customFormat="1" ht="12.75" thickTop="1" thickBot="1" x14ac:dyDescent="0.25">
      <c r="A436" s="1208" t="s">
        <v>565</v>
      </c>
      <c r="B436" s="1209" t="s">
        <v>149</v>
      </c>
      <c r="C436" s="1210" t="s">
        <v>150</v>
      </c>
      <c r="D436" s="1211" t="s">
        <v>639</v>
      </c>
      <c r="E436" s="1211" t="s">
        <v>151</v>
      </c>
      <c r="F436" s="589" t="s">
        <v>569</v>
      </c>
      <c r="G436" s="589" t="s">
        <v>570</v>
      </c>
      <c r="H436" s="1211" t="s">
        <v>797</v>
      </c>
      <c r="I436" s="1212" t="s">
        <v>798</v>
      </c>
    </row>
    <row r="437" spans="1:256" s="1186" customFormat="1" ht="13.5" thickTop="1" thickBot="1" x14ac:dyDescent="0.25">
      <c r="A437" s="1181">
        <v>1</v>
      </c>
      <c r="B437" s="1182">
        <v>2</v>
      </c>
      <c r="C437" s="1182">
        <v>3</v>
      </c>
      <c r="D437" s="1182">
        <v>4</v>
      </c>
      <c r="E437" s="1182">
        <v>5</v>
      </c>
      <c r="F437" s="1183">
        <v>6</v>
      </c>
      <c r="G437" s="1183">
        <v>7</v>
      </c>
      <c r="H437" s="1184">
        <v>8</v>
      </c>
      <c r="I437" s="1185" t="s">
        <v>689</v>
      </c>
    </row>
    <row r="438" spans="1:256" s="1165" customFormat="1" ht="15.75" thickTop="1" x14ac:dyDescent="0.2">
      <c r="A438" s="1225">
        <v>1543</v>
      </c>
      <c r="B438" s="1226">
        <v>3122</v>
      </c>
      <c r="C438" s="1226">
        <v>5213</v>
      </c>
      <c r="D438" s="1227"/>
      <c r="E438" s="1216" t="s">
        <v>1054</v>
      </c>
      <c r="F438" s="1223"/>
      <c r="G438" s="1223">
        <f>SUM(G439:G439)</f>
        <v>1820</v>
      </c>
      <c r="H438" s="1223">
        <f>SUM(H439:H439)</f>
        <v>1820</v>
      </c>
      <c r="I438" s="1228">
        <f>(H438/G438)*100</f>
        <v>100</v>
      </c>
      <c r="IV438" s="1177">
        <f>SUM(I438:IU438)</f>
        <v>100</v>
      </c>
    </row>
    <row r="439" spans="1:256" s="1165" customFormat="1" ht="15" thickBot="1" x14ac:dyDescent="0.25">
      <c r="A439" s="1187"/>
      <c r="B439" s="1197"/>
      <c r="C439" s="1197"/>
      <c r="D439" s="518" t="s">
        <v>1853</v>
      </c>
      <c r="E439" s="2905" t="s">
        <v>2</v>
      </c>
      <c r="F439" s="1062"/>
      <c r="G439" s="1062">
        <v>1820</v>
      </c>
      <c r="H439" s="1062">
        <v>1820</v>
      </c>
      <c r="I439" s="1066">
        <f>(H439/G439)*100</f>
        <v>100</v>
      </c>
    </row>
    <row r="440" spans="1:256" s="1165" customFormat="1" ht="16.5" thickTop="1" thickBot="1" x14ac:dyDescent="0.25">
      <c r="A440" s="3132" t="s">
        <v>1000</v>
      </c>
      <c r="B440" s="3133"/>
      <c r="C440" s="3133"/>
      <c r="D440" s="3133"/>
      <c r="E440" s="3134"/>
      <c r="F440" s="1175">
        <f>SUM(F438)</f>
        <v>0</v>
      </c>
      <c r="G440" s="1175">
        <f>SUM(G438)</f>
        <v>1820</v>
      </c>
      <c r="H440" s="1175">
        <f>H438</f>
        <v>1820</v>
      </c>
      <c r="I440" s="1176">
        <f>(H440/G440)*100</f>
        <v>100</v>
      </c>
      <c r="IV440" s="1177">
        <f>SUM(IV438:IV439)</f>
        <v>100</v>
      </c>
    </row>
    <row r="441" spans="1:256" s="1165" customFormat="1" ht="15" thickTop="1" x14ac:dyDescent="0.2">
      <c r="B441" s="1178"/>
      <c r="D441" s="1179"/>
      <c r="F441" s="1205"/>
      <c r="G441" s="1205"/>
      <c r="H441" s="1205"/>
      <c r="I441" s="1206"/>
    </row>
    <row r="442" spans="1:256" s="1165" customFormat="1" ht="15" customHeight="1" x14ac:dyDescent="0.2">
      <c r="B442" s="1178"/>
      <c r="D442" s="1179"/>
      <c r="F442" s="1205"/>
      <c r="G442" s="1205"/>
      <c r="H442" s="1205"/>
      <c r="I442" s="1206"/>
    </row>
    <row r="443" spans="1:256" s="1165" customFormat="1" ht="15" thickBot="1" x14ac:dyDescent="0.25">
      <c r="A443" s="1190" t="s">
        <v>492</v>
      </c>
      <c r="B443" s="1178"/>
      <c r="D443" s="1179"/>
      <c r="F443" s="1205"/>
      <c r="G443" s="1205"/>
      <c r="H443" s="1205"/>
      <c r="I443" s="1207" t="s">
        <v>148</v>
      </c>
    </row>
    <row r="444" spans="1:256" s="1213" customFormat="1" ht="12.75" thickTop="1" thickBot="1" x14ac:dyDescent="0.25">
      <c r="A444" s="1208" t="s">
        <v>565</v>
      </c>
      <c r="B444" s="1209" t="s">
        <v>149</v>
      </c>
      <c r="C444" s="1210" t="s">
        <v>150</v>
      </c>
      <c r="D444" s="1211" t="s">
        <v>639</v>
      </c>
      <c r="E444" s="1211" t="s">
        <v>151</v>
      </c>
      <c r="F444" s="589" t="s">
        <v>569</v>
      </c>
      <c r="G444" s="589" t="s">
        <v>570</v>
      </c>
      <c r="H444" s="1211" t="s">
        <v>797</v>
      </c>
      <c r="I444" s="1212" t="s">
        <v>798</v>
      </c>
    </row>
    <row r="445" spans="1:256" s="1186" customFormat="1" ht="18" customHeight="1" thickTop="1" thickBot="1" x14ac:dyDescent="0.25">
      <c r="A445" s="1181">
        <v>1</v>
      </c>
      <c r="B445" s="1182">
        <v>2</v>
      </c>
      <c r="C445" s="1182">
        <v>3</v>
      </c>
      <c r="D445" s="1182">
        <v>4</v>
      </c>
      <c r="E445" s="1182">
        <v>5</v>
      </c>
      <c r="F445" s="1183">
        <v>6</v>
      </c>
      <c r="G445" s="1183">
        <v>7</v>
      </c>
      <c r="H445" s="1184">
        <v>8</v>
      </c>
      <c r="I445" s="1185" t="s">
        <v>689</v>
      </c>
    </row>
    <row r="446" spans="1:256" s="1165" customFormat="1" ht="15.75" thickTop="1" x14ac:dyDescent="0.2">
      <c r="A446" s="1225">
        <v>1544</v>
      </c>
      <c r="B446" s="1226">
        <v>3122</v>
      </c>
      <c r="C446" s="1226">
        <v>5213</v>
      </c>
      <c r="D446" s="1227"/>
      <c r="E446" s="1216" t="s">
        <v>1054</v>
      </c>
      <c r="F446" s="1223"/>
      <c r="G446" s="1223">
        <f>SUM(G447:G448)</f>
        <v>6204</v>
      </c>
      <c r="H446" s="1223">
        <f>SUM(H447:H448)</f>
        <v>6204</v>
      </c>
      <c r="I446" s="1228">
        <f>(H446/G446)*100</f>
        <v>100</v>
      </c>
      <c r="IV446" s="1177">
        <f>SUM(I446:IU446)</f>
        <v>100</v>
      </c>
    </row>
    <row r="447" spans="1:256" s="1165" customFormat="1" ht="28.5" x14ac:dyDescent="0.2">
      <c r="A447" s="1187"/>
      <c r="B447" s="1197"/>
      <c r="C447" s="1197"/>
      <c r="D447" s="649" t="s">
        <v>1851</v>
      </c>
      <c r="E447" s="2900" t="s">
        <v>1852</v>
      </c>
      <c r="F447" s="1221"/>
      <c r="G447" s="1224">
        <v>64</v>
      </c>
      <c r="H447" s="1224">
        <v>64</v>
      </c>
      <c r="I447" s="1229">
        <f>(H447/G447)*100</f>
        <v>100</v>
      </c>
      <c r="IV447" s="1177"/>
    </row>
    <row r="448" spans="1:256" s="1165" customFormat="1" ht="15" thickBot="1" x14ac:dyDescent="0.25">
      <c r="A448" s="1187"/>
      <c r="B448" s="1197"/>
      <c r="C448" s="1197"/>
      <c r="D448" s="518" t="s">
        <v>1853</v>
      </c>
      <c r="E448" s="2905" t="s">
        <v>2</v>
      </c>
      <c r="F448" s="1062"/>
      <c r="G448" s="1062">
        <v>6140</v>
      </c>
      <c r="H448" s="1062">
        <v>6140</v>
      </c>
      <c r="I448" s="1066">
        <f>(H448/G448)*100</f>
        <v>100</v>
      </c>
      <c r="IV448" s="1165">
        <f>SUM(A448:IU448)</f>
        <v>12380</v>
      </c>
    </row>
    <row r="449" spans="1:256" s="1165" customFormat="1" ht="16.5" thickTop="1" thickBot="1" x14ac:dyDescent="0.25">
      <c r="A449" s="3117" t="s">
        <v>1000</v>
      </c>
      <c r="B449" s="3118"/>
      <c r="C449" s="3118"/>
      <c r="D449" s="3118"/>
      <c r="E449" s="3118"/>
      <c r="F449" s="1175">
        <f>SUM(F446)</f>
        <v>0</v>
      </c>
      <c r="G449" s="1175">
        <f>G446</f>
        <v>6204</v>
      </c>
      <c r="H449" s="1175">
        <f>H446</f>
        <v>6204</v>
      </c>
      <c r="I449" s="1176">
        <f>(H449/G449)*100</f>
        <v>100</v>
      </c>
      <c r="IV449" s="1177">
        <f>SUM(IV446:IV448)</f>
        <v>12480</v>
      </c>
    </row>
    <row r="450" spans="1:256" s="1165" customFormat="1" ht="15" thickTop="1" x14ac:dyDescent="0.2">
      <c r="B450" s="1178"/>
      <c r="D450" s="1179"/>
      <c r="F450" s="1205"/>
      <c r="G450" s="1205"/>
      <c r="H450" s="1205"/>
      <c r="I450" s="1206"/>
    </row>
    <row r="451" spans="1:256" s="1165" customFormat="1" x14ac:dyDescent="0.2">
      <c r="B451" s="1178"/>
      <c r="D451" s="1179"/>
      <c r="F451" s="1205"/>
      <c r="G451" s="1205"/>
      <c r="H451" s="1205"/>
      <c r="I451" s="1206"/>
    </row>
    <row r="452" spans="1:256" s="1165" customFormat="1" x14ac:dyDescent="0.2">
      <c r="B452" s="1178"/>
      <c r="D452" s="1179"/>
      <c r="F452" s="1205"/>
      <c r="G452" s="1205"/>
      <c r="H452" s="1205"/>
      <c r="I452" s="1206"/>
    </row>
    <row r="453" spans="1:256" s="1165" customFormat="1" ht="15.75" customHeight="1" x14ac:dyDescent="0.2">
      <c r="B453" s="1178"/>
      <c r="D453" s="1179"/>
      <c r="F453" s="1205"/>
      <c r="G453" s="1205"/>
      <c r="H453" s="1205"/>
      <c r="I453" s="1206"/>
    </row>
    <row r="454" spans="1:256" s="1165" customFormat="1" ht="15" thickBot="1" x14ac:dyDescent="0.25">
      <c r="A454" s="1190" t="s">
        <v>25</v>
      </c>
      <c r="B454" s="1178"/>
      <c r="D454" s="1179"/>
      <c r="F454" s="1205"/>
      <c r="G454" s="1205"/>
      <c r="H454" s="1205"/>
      <c r="I454" s="1207" t="s">
        <v>148</v>
      </c>
    </row>
    <row r="455" spans="1:256" s="1213" customFormat="1" ht="12.75" thickTop="1" thickBot="1" x14ac:dyDescent="0.25">
      <c r="A455" s="1208" t="s">
        <v>565</v>
      </c>
      <c r="B455" s="1209" t="s">
        <v>149</v>
      </c>
      <c r="C455" s="1210" t="s">
        <v>150</v>
      </c>
      <c r="D455" s="1211" t="s">
        <v>639</v>
      </c>
      <c r="E455" s="1211" t="s">
        <v>151</v>
      </c>
      <c r="F455" s="589" t="s">
        <v>569</v>
      </c>
      <c r="G455" s="589" t="s">
        <v>570</v>
      </c>
      <c r="H455" s="1211" t="s">
        <v>797</v>
      </c>
      <c r="I455" s="1212" t="s">
        <v>798</v>
      </c>
    </row>
    <row r="456" spans="1:256" s="1186" customFormat="1" ht="15" customHeight="1" thickTop="1" thickBot="1" x14ac:dyDescent="0.25">
      <c r="A456" s="1181">
        <v>1</v>
      </c>
      <c r="B456" s="1182">
        <v>2</v>
      </c>
      <c r="C456" s="1182">
        <v>3</v>
      </c>
      <c r="D456" s="1182">
        <v>4</v>
      </c>
      <c r="E456" s="1182">
        <v>5</v>
      </c>
      <c r="F456" s="1183">
        <v>6</v>
      </c>
      <c r="G456" s="1183">
        <v>7</v>
      </c>
      <c r="H456" s="1184">
        <v>8</v>
      </c>
      <c r="I456" s="1185" t="s">
        <v>689</v>
      </c>
    </row>
    <row r="457" spans="1:256" s="1165" customFormat="1" ht="15.75" thickTop="1" x14ac:dyDescent="0.2">
      <c r="A457" s="1225">
        <v>1545</v>
      </c>
      <c r="B457" s="1226">
        <v>3122</v>
      </c>
      <c r="C457" s="1226">
        <v>5213</v>
      </c>
      <c r="D457" s="1227"/>
      <c r="E457" s="1216" t="s">
        <v>1054</v>
      </c>
      <c r="F457" s="1223"/>
      <c r="G457" s="1223">
        <f>SUM(G458:G459)</f>
        <v>2208</v>
      </c>
      <c r="H457" s="1223">
        <f>SUM(H458:H459)</f>
        <v>2208</v>
      </c>
      <c r="I457" s="1228">
        <f>(H457/G457)*100</f>
        <v>100</v>
      </c>
      <c r="IV457" s="1177">
        <f>SUM(I457:IU457)</f>
        <v>100</v>
      </c>
    </row>
    <row r="458" spans="1:256" s="1165" customFormat="1" ht="28.5" x14ac:dyDescent="0.2">
      <c r="A458" s="1187"/>
      <c r="B458" s="1197"/>
      <c r="C458" s="1197"/>
      <c r="D458" s="649" t="s">
        <v>1851</v>
      </c>
      <c r="E458" s="2900" t="s">
        <v>1852</v>
      </c>
      <c r="F458" s="1221"/>
      <c r="G458" s="1224">
        <v>27</v>
      </c>
      <c r="H458" s="1224">
        <v>27</v>
      </c>
      <c r="I458" s="1229">
        <f>(H458/G458)*100</f>
        <v>100</v>
      </c>
      <c r="IV458" s="1177"/>
    </row>
    <row r="459" spans="1:256" s="1165" customFormat="1" ht="15" thickBot="1" x14ac:dyDescent="0.25">
      <c r="A459" s="1187"/>
      <c r="B459" s="1197"/>
      <c r="C459" s="1197"/>
      <c r="D459" s="518" t="s">
        <v>1853</v>
      </c>
      <c r="E459" s="2905" t="s">
        <v>2</v>
      </c>
      <c r="F459" s="1062"/>
      <c r="G459" s="1062">
        <v>2181</v>
      </c>
      <c r="H459" s="1062">
        <v>2181</v>
      </c>
      <c r="I459" s="1066">
        <f>(H459/G459)*100</f>
        <v>100</v>
      </c>
      <c r="IV459" s="1177"/>
    </row>
    <row r="460" spans="1:256" s="1165" customFormat="1" ht="16.5" thickTop="1" thickBot="1" x14ac:dyDescent="0.25">
      <c r="A460" s="3117" t="s">
        <v>1000</v>
      </c>
      <c r="B460" s="3118"/>
      <c r="C460" s="3118"/>
      <c r="D460" s="3118"/>
      <c r="E460" s="3118"/>
      <c r="F460" s="1175">
        <f>SUM(F457)</f>
        <v>0</v>
      </c>
      <c r="G460" s="1175">
        <f>SUM(G457)</f>
        <v>2208</v>
      </c>
      <c r="H460" s="1175">
        <f>SUM(H457)</f>
        <v>2208</v>
      </c>
      <c r="I460" s="1176">
        <f>(H460/G460)*100</f>
        <v>100</v>
      </c>
      <c r="IV460" s="1177">
        <f>SUM(IV457:IV459)</f>
        <v>100</v>
      </c>
    </row>
    <row r="461" spans="1:256" s="1165" customFormat="1" ht="15" thickTop="1" x14ac:dyDescent="0.2">
      <c r="B461" s="1178"/>
      <c r="D461" s="1179"/>
      <c r="F461" s="1205"/>
      <c r="G461" s="1205"/>
      <c r="H461" s="1205"/>
      <c r="I461" s="1206"/>
    </row>
    <row r="462" spans="1:256" s="1165" customFormat="1" x14ac:dyDescent="0.2">
      <c r="B462" s="1178"/>
      <c r="D462" s="1179"/>
      <c r="F462" s="1205"/>
      <c r="G462" s="1205"/>
      <c r="H462" s="1205"/>
      <c r="I462" s="1206"/>
    </row>
    <row r="463" spans="1:256" s="1165" customFormat="1" ht="15" thickBot="1" x14ac:dyDescent="0.25">
      <c r="A463" s="1190" t="s">
        <v>1594</v>
      </c>
      <c r="B463" s="1178"/>
      <c r="D463" s="1179"/>
      <c r="F463" s="1205"/>
      <c r="G463" s="1205"/>
      <c r="H463" s="1205"/>
      <c r="I463" s="1207" t="s">
        <v>148</v>
      </c>
    </row>
    <row r="464" spans="1:256" s="1213" customFormat="1" ht="12.75" thickTop="1" thickBot="1" x14ac:dyDescent="0.25">
      <c r="A464" s="1208" t="s">
        <v>565</v>
      </c>
      <c r="B464" s="1209" t="s">
        <v>149</v>
      </c>
      <c r="C464" s="1210" t="s">
        <v>150</v>
      </c>
      <c r="D464" s="1211" t="s">
        <v>639</v>
      </c>
      <c r="E464" s="1211" t="s">
        <v>151</v>
      </c>
      <c r="F464" s="589" t="s">
        <v>569</v>
      </c>
      <c r="G464" s="589" t="s">
        <v>570</v>
      </c>
      <c r="H464" s="1211" t="s">
        <v>797</v>
      </c>
      <c r="I464" s="1212" t="s">
        <v>798</v>
      </c>
    </row>
    <row r="465" spans="1:256" s="1186" customFormat="1" ht="20.25" customHeight="1" thickTop="1" thickBot="1" x14ac:dyDescent="0.25">
      <c r="A465" s="1181">
        <v>1</v>
      </c>
      <c r="B465" s="1182">
        <v>2</v>
      </c>
      <c r="C465" s="1182">
        <v>3</v>
      </c>
      <c r="D465" s="1182">
        <v>4</v>
      </c>
      <c r="E465" s="1182">
        <v>5</v>
      </c>
      <c r="F465" s="1183">
        <v>6</v>
      </c>
      <c r="G465" s="1183">
        <v>7</v>
      </c>
      <c r="H465" s="1184">
        <v>8</v>
      </c>
      <c r="I465" s="1185" t="s">
        <v>689</v>
      </c>
    </row>
    <row r="466" spans="1:256" s="1165" customFormat="1" ht="15.75" thickTop="1" x14ac:dyDescent="0.2">
      <c r="A466" s="1225">
        <v>1550</v>
      </c>
      <c r="B466" s="1226">
        <v>3123</v>
      </c>
      <c r="C466" s="1226">
        <v>5213</v>
      </c>
      <c r="D466" s="1227"/>
      <c r="E466" s="1216" t="s">
        <v>1054</v>
      </c>
      <c r="F466" s="1223"/>
      <c r="G466" s="1223">
        <f>SUM(G467:G468)</f>
        <v>9812</v>
      </c>
      <c r="H466" s="1223">
        <f>SUM(H467:H468)</f>
        <v>9812</v>
      </c>
      <c r="I466" s="1228">
        <f t="shared" ref="I466:I471" si="21">(H466/G466)*100</f>
        <v>100</v>
      </c>
      <c r="IV466" s="1177">
        <f>SUM(I466:IU466)</f>
        <v>100</v>
      </c>
    </row>
    <row r="467" spans="1:256" s="1165" customFormat="1" ht="28.5" x14ac:dyDescent="0.2">
      <c r="A467" s="1187"/>
      <c r="B467" s="1197"/>
      <c r="C467" s="1197"/>
      <c r="D467" s="649" t="s">
        <v>1851</v>
      </c>
      <c r="E467" s="2900" t="s">
        <v>1852</v>
      </c>
      <c r="F467" s="1217"/>
      <c r="G467" s="1067">
        <v>104</v>
      </c>
      <c r="H467" s="1067">
        <v>104</v>
      </c>
      <c r="I467" s="1063">
        <f t="shared" si="21"/>
        <v>100</v>
      </c>
      <c r="IV467" s="1177"/>
    </row>
    <row r="468" spans="1:256" s="1165" customFormat="1" x14ac:dyDescent="0.2">
      <c r="A468" s="1187"/>
      <c r="B468" s="1197"/>
      <c r="C468" s="1197"/>
      <c r="D468" s="518" t="s">
        <v>1853</v>
      </c>
      <c r="E468" s="441" t="s">
        <v>2</v>
      </c>
      <c r="F468" s="1067"/>
      <c r="G468" s="1067">
        <v>9708</v>
      </c>
      <c r="H468" s="1067">
        <v>9708</v>
      </c>
      <c r="I468" s="1063">
        <f t="shared" si="21"/>
        <v>100</v>
      </c>
      <c r="IV468" s="1165">
        <f>SUM(A468:IU468)</f>
        <v>19516</v>
      </c>
    </row>
    <row r="469" spans="1:256" s="1165" customFormat="1" ht="15" customHeight="1" x14ac:dyDescent="0.2">
      <c r="A469" s="1187">
        <v>1550</v>
      </c>
      <c r="B469" s="1197">
        <v>3141</v>
      </c>
      <c r="C469" s="1197">
        <v>5213</v>
      </c>
      <c r="D469" s="1219"/>
      <c r="E469" s="1220" t="s">
        <v>1054</v>
      </c>
      <c r="F469" s="1221"/>
      <c r="G469" s="1221">
        <f>SUM(G470)</f>
        <v>1846</v>
      </c>
      <c r="H469" s="1221">
        <f>SUM(H470)</f>
        <v>1846</v>
      </c>
      <c r="I469" s="1222">
        <f t="shared" si="21"/>
        <v>100</v>
      </c>
      <c r="IV469" s="1177">
        <f>SUM(I469:IU469)</f>
        <v>100</v>
      </c>
    </row>
    <row r="470" spans="1:256" s="1165" customFormat="1" ht="15" thickBot="1" x14ac:dyDescent="0.25">
      <c r="A470" s="1187"/>
      <c r="B470" s="1197"/>
      <c r="C470" s="1197"/>
      <c r="D470" s="518" t="s">
        <v>1853</v>
      </c>
      <c r="E470" s="441" t="s">
        <v>2</v>
      </c>
      <c r="F470" s="1062"/>
      <c r="G470" s="1062">
        <v>1846</v>
      </c>
      <c r="H470" s="1062">
        <v>1846</v>
      </c>
      <c r="I470" s="1066">
        <f t="shared" si="21"/>
        <v>100</v>
      </c>
      <c r="IV470" s="1165">
        <f>SUM(A470:IU470)</f>
        <v>3792</v>
      </c>
    </row>
    <row r="471" spans="1:256" s="1165" customFormat="1" ht="16.5" thickTop="1" thickBot="1" x14ac:dyDescent="0.25">
      <c r="A471" s="3117" t="s">
        <v>1000</v>
      </c>
      <c r="B471" s="3118"/>
      <c r="C471" s="3118"/>
      <c r="D471" s="3118"/>
      <c r="E471" s="3118"/>
      <c r="F471" s="1175">
        <f>SUM(F466)</f>
        <v>0</v>
      </c>
      <c r="G471" s="1175">
        <f>SUM(G469,G466)</f>
        <v>11658</v>
      </c>
      <c r="H471" s="1175">
        <f>SUM(H469,H466)</f>
        <v>11658</v>
      </c>
      <c r="I471" s="1176">
        <f t="shared" si="21"/>
        <v>100</v>
      </c>
      <c r="IV471" s="1177">
        <f>SUM(IV466:IV468)</f>
        <v>19616</v>
      </c>
    </row>
    <row r="472" spans="1:256" s="1165" customFormat="1" ht="15.75" thickTop="1" x14ac:dyDescent="0.2">
      <c r="A472" s="1164"/>
      <c r="B472" s="1164"/>
      <c r="C472" s="1164"/>
      <c r="D472" s="1164"/>
      <c r="E472" s="1164"/>
      <c r="F472" s="1195"/>
      <c r="G472" s="1195"/>
      <c r="H472" s="1195"/>
      <c r="I472" s="1196"/>
      <c r="IV472" s="1177"/>
    </row>
    <row r="473" spans="1:256" s="1165" customFormat="1" ht="15" x14ac:dyDescent="0.2">
      <c r="A473" s="1164"/>
      <c r="B473" s="1164"/>
      <c r="C473" s="1164"/>
      <c r="D473" s="1164"/>
      <c r="E473" s="1164"/>
      <c r="F473" s="1195"/>
      <c r="G473" s="1195"/>
      <c r="H473" s="1195"/>
      <c r="I473" s="1196"/>
      <c r="IV473" s="1177"/>
    </row>
    <row r="474" spans="1:256" s="1165" customFormat="1" ht="15" thickBot="1" x14ac:dyDescent="0.25">
      <c r="A474" s="1190" t="s">
        <v>493</v>
      </c>
      <c r="B474" s="1178"/>
      <c r="D474" s="1179"/>
      <c r="F474" s="1205"/>
      <c r="G474" s="1205"/>
      <c r="H474" s="1205"/>
      <c r="I474" s="1207" t="s">
        <v>148</v>
      </c>
    </row>
    <row r="475" spans="1:256" s="1213" customFormat="1" ht="18" customHeight="1" thickTop="1" thickBot="1" x14ac:dyDescent="0.25">
      <c r="A475" s="1208" t="s">
        <v>565</v>
      </c>
      <c r="B475" s="1209" t="s">
        <v>149</v>
      </c>
      <c r="C475" s="1210" t="s">
        <v>150</v>
      </c>
      <c r="D475" s="1211" t="s">
        <v>639</v>
      </c>
      <c r="E475" s="1211" t="s">
        <v>151</v>
      </c>
      <c r="F475" s="589" t="s">
        <v>569</v>
      </c>
      <c r="G475" s="589" t="s">
        <v>570</v>
      </c>
      <c r="H475" s="1211" t="s">
        <v>797</v>
      </c>
      <c r="I475" s="1212" t="s">
        <v>798</v>
      </c>
    </row>
    <row r="476" spans="1:256" s="1186" customFormat="1" ht="18" customHeight="1" thickTop="1" thickBot="1" x14ac:dyDescent="0.25">
      <c r="A476" s="1181">
        <v>1</v>
      </c>
      <c r="B476" s="1182">
        <v>2</v>
      </c>
      <c r="C476" s="1182">
        <v>3</v>
      </c>
      <c r="D476" s="1182">
        <v>4</v>
      </c>
      <c r="E476" s="1182">
        <v>5</v>
      </c>
      <c r="F476" s="1183">
        <v>6</v>
      </c>
      <c r="G476" s="1183">
        <v>7</v>
      </c>
      <c r="H476" s="1184">
        <v>8</v>
      </c>
      <c r="I476" s="1185" t="s">
        <v>689</v>
      </c>
    </row>
    <row r="477" spans="1:256" s="1165" customFormat="1" ht="15.75" thickTop="1" x14ac:dyDescent="0.2">
      <c r="A477" s="1225">
        <v>1551</v>
      </c>
      <c r="B477" s="1226">
        <v>3123</v>
      </c>
      <c r="C477" s="1226">
        <v>5213</v>
      </c>
      <c r="D477" s="1227"/>
      <c r="E477" s="1216" t="s">
        <v>1054</v>
      </c>
      <c r="F477" s="1223"/>
      <c r="G477" s="1223">
        <f>SUM(G478:G481)</f>
        <v>3433</v>
      </c>
      <c r="H477" s="1223">
        <f>SUM(H478:H481)</f>
        <v>3433</v>
      </c>
      <c r="I477" s="1228">
        <f>(H477/G477)*100</f>
        <v>100</v>
      </c>
      <c r="IV477" s="1177">
        <f>SUM(I477:IU477)</f>
        <v>100</v>
      </c>
    </row>
    <row r="478" spans="1:256" s="1165" customFormat="1" ht="15" x14ac:dyDescent="0.2">
      <c r="A478" s="1187"/>
      <c r="B478" s="1197"/>
      <c r="C478" s="1197"/>
      <c r="D478" s="2044" t="s">
        <v>1840</v>
      </c>
      <c r="E478" s="2906" t="s">
        <v>838</v>
      </c>
      <c r="F478" s="1217"/>
      <c r="G478" s="1117">
        <v>9</v>
      </c>
      <c r="H478" s="1117">
        <v>9</v>
      </c>
      <c r="I478" s="1229">
        <v>100</v>
      </c>
      <c r="IV478" s="1177"/>
    </row>
    <row r="479" spans="1:256" s="1165" customFormat="1" ht="15" x14ac:dyDescent="0.2">
      <c r="A479" s="1187"/>
      <c r="B479" s="1197"/>
      <c r="C479" s="1197"/>
      <c r="D479" s="649" t="s">
        <v>1818</v>
      </c>
      <c r="E479" s="2906" t="s">
        <v>1600</v>
      </c>
      <c r="F479" s="1217"/>
      <c r="G479" s="1117">
        <v>186</v>
      </c>
      <c r="H479" s="1117">
        <v>186</v>
      </c>
      <c r="I479" s="1229">
        <v>100</v>
      </c>
      <c r="IV479" s="1177"/>
    </row>
    <row r="480" spans="1:256" s="1165" customFormat="1" ht="28.5" x14ac:dyDescent="0.2">
      <c r="A480" s="1187"/>
      <c r="B480" s="1197"/>
      <c r="C480" s="1197"/>
      <c r="D480" s="649" t="s">
        <v>1851</v>
      </c>
      <c r="E480" s="2900" t="s">
        <v>1852</v>
      </c>
      <c r="F480" s="1217"/>
      <c r="G480" s="1067">
        <v>85</v>
      </c>
      <c r="H480" s="1067">
        <v>85</v>
      </c>
      <c r="I480" s="1063">
        <f t="shared" ref="I480:I481" si="22">(H480/G480)*100</f>
        <v>100</v>
      </c>
      <c r="IV480" s="1177"/>
    </row>
    <row r="481" spans="1:256" s="1165" customFormat="1" x14ac:dyDescent="0.2">
      <c r="A481" s="1187"/>
      <c r="B481" s="1197"/>
      <c r="C481" s="1197"/>
      <c r="D481" s="518" t="s">
        <v>1853</v>
      </c>
      <c r="E481" s="441" t="s">
        <v>2</v>
      </c>
      <c r="F481" s="1067"/>
      <c r="G481" s="1067">
        <v>3153</v>
      </c>
      <c r="H481" s="1067">
        <v>3153</v>
      </c>
      <c r="I481" s="1063">
        <f t="shared" si="22"/>
        <v>100</v>
      </c>
      <c r="IV481" s="1165">
        <f>SUM(A481:IU481)</f>
        <v>6406</v>
      </c>
    </row>
    <row r="482" spans="1:256" s="1165" customFormat="1" ht="15" x14ac:dyDescent="0.2">
      <c r="A482" s="1187">
        <v>1551</v>
      </c>
      <c r="B482" s="1197">
        <v>3124</v>
      </c>
      <c r="C482" s="1197">
        <v>5213</v>
      </c>
      <c r="D482" s="1231"/>
      <c r="E482" s="1220" t="s">
        <v>1054</v>
      </c>
      <c r="F482" s="1221"/>
      <c r="G482" s="1221">
        <f>SUM(G483:G483)</f>
        <v>1654</v>
      </c>
      <c r="H482" s="1221">
        <f>SUM(H483:H483)</f>
        <v>1654</v>
      </c>
      <c r="I482" s="1222">
        <f>(H482/G482)*100</f>
        <v>100</v>
      </c>
      <c r="IV482" s="1177">
        <f>SUM(I482:IU482)</f>
        <v>100</v>
      </c>
    </row>
    <row r="483" spans="1:256" s="1165" customFormat="1" ht="15" customHeight="1" thickBot="1" x14ac:dyDescent="0.25">
      <c r="A483" s="1187"/>
      <c r="B483" s="1197"/>
      <c r="C483" s="1197"/>
      <c r="D483" s="518" t="s">
        <v>1853</v>
      </c>
      <c r="E483" s="441" t="s">
        <v>2</v>
      </c>
      <c r="F483" s="1062"/>
      <c r="G483" s="1062">
        <v>1654</v>
      </c>
      <c r="H483" s="1062">
        <v>1654</v>
      </c>
      <c r="I483" s="1066">
        <f>(H483/G483)*100</f>
        <v>100</v>
      </c>
      <c r="IV483" s="1165">
        <f>SUM(A483:IU483)</f>
        <v>3408</v>
      </c>
    </row>
    <row r="484" spans="1:256" s="1165" customFormat="1" ht="16.5" thickTop="1" thickBot="1" x14ac:dyDescent="0.25">
      <c r="A484" s="3117" t="s">
        <v>1000</v>
      </c>
      <c r="B484" s="3118"/>
      <c r="C484" s="3118"/>
      <c r="D484" s="3118"/>
      <c r="E484" s="3118"/>
      <c r="F484" s="1175">
        <f>SUM(F477)</f>
        <v>0</v>
      </c>
      <c r="G484" s="1175">
        <f>SUM(G477,G482)</f>
        <v>5087</v>
      </c>
      <c r="H484" s="1175">
        <f>SUM(H477,H482)</f>
        <v>5087</v>
      </c>
      <c r="I484" s="1176">
        <f>(H484/G484)*100</f>
        <v>100</v>
      </c>
      <c r="IV484" s="1177">
        <f>SUM(IV477:IV481)</f>
        <v>6506</v>
      </c>
    </row>
    <row r="485" spans="1:256" s="1165" customFormat="1" ht="15" thickTop="1" x14ac:dyDescent="0.2">
      <c r="B485" s="1178"/>
      <c r="D485" s="1179"/>
      <c r="F485" s="1205"/>
      <c r="G485" s="1205"/>
      <c r="H485" s="1205"/>
      <c r="I485" s="1206"/>
    </row>
    <row r="486" spans="1:256" s="1165" customFormat="1" ht="15" thickBot="1" x14ac:dyDescent="0.25">
      <c r="A486" s="1190" t="s">
        <v>845</v>
      </c>
      <c r="B486" s="1178"/>
      <c r="D486" s="1179"/>
      <c r="F486" s="1205"/>
      <c r="G486" s="1205"/>
      <c r="H486" s="1205"/>
      <c r="I486" s="1207" t="s">
        <v>148</v>
      </c>
    </row>
    <row r="487" spans="1:256" s="1213" customFormat="1" ht="12.75" thickTop="1" thickBot="1" x14ac:dyDescent="0.25">
      <c r="A487" s="1208" t="s">
        <v>565</v>
      </c>
      <c r="B487" s="1209" t="s">
        <v>149</v>
      </c>
      <c r="C487" s="1210" t="s">
        <v>150</v>
      </c>
      <c r="D487" s="1211" t="s">
        <v>639</v>
      </c>
      <c r="E487" s="1211" t="s">
        <v>151</v>
      </c>
      <c r="F487" s="589" t="s">
        <v>569</v>
      </c>
      <c r="G487" s="589" t="s">
        <v>570</v>
      </c>
      <c r="H487" s="1211" t="s">
        <v>797</v>
      </c>
      <c r="I487" s="1212" t="s">
        <v>798</v>
      </c>
    </row>
    <row r="488" spans="1:256" s="1186" customFormat="1" ht="18" customHeight="1" thickTop="1" thickBot="1" x14ac:dyDescent="0.25">
      <c r="A488" s="1181">
        <v>1</v>
      </c>
      <c r="B488" s="1182">
        <v>2</v>
      </c>
      <c r="C488" s="1182">
        <v>3</v>
      </c>
      <c r="D488" s="1182">
        <v>4</v>
      </c>
      <c r="E488" s="1182">
        <v>5</v>
      </c>
      <c r="F488" s="1183">
        <v>6</v>
      </c>
      <c r="G488" s="1183">
        <v>7</v>
      </c>
      <c r="H488" s="1184">
        <v>8</v>
      </c>
      <c r="I488" s="1185" t="s">
        <v>689</v>
      </c>
    </row>
    <row r="489" spans="1:256" s="1165" customFormat="1" ht="15.75" thickTop="1" x14ac:dyDescent="0.2">
      <c r="A489" s="1225">
        <v>1552</v>
      </c>
      <c r="B489" s="1226">
        <v>3124</v>
      </c>
      <c r="C489" s="1226">
        <v>5213</v>
      </c>
      <c r="D489" s="1227"/>
      <c r="E489" s="1216" t="s">
        <v>1054</v>
      </c>
      <c r="F489" s="1223"/>
      <c r="G489" s="1223">
        <f>SUM(G490:G492)</f>
        <v>3152</v>
      </c>
      <c r="H489" s="1223">
        <f>SUM(H490:H492)</f>
        <v>3152</v>
      </c>
      <c r="I489" s="1228">
        <f>(H489/G489)*100</f>
        <v>100</v>
      </c>
      <c r="IV489" s="1177">
        <f>SUM(I489:IU489)</f>
        <v>100</v>
      </c>
    </row>
    <row r="490" spans="1:256" s="1165" customFormat="1" ht="15" x14ac:dyDescent="0.2">
      <c r="A490" s="1187"/>
      <c r="B490" s="1188"/>
      <c r="C490" s="1188"/>
      <c r="D490" s="649" t="s">
        <v>1818</v>
      </c>
      <c r="E490" s="2906" t="s">
        <v>1600</v>
      </c>
      <c r="F490" s="1217"/>
      <c r="G490" s="1117">
        <v>126</v>
      </c>
      <c r="H490" s="1117">
        <v>126</v>
      </c>
      <c r="I490" s="1229">
        <v>100</v>
      </c>
      <c r="IV490" s="1177"/>
    </row>
    <row r="491" spans="1:256" s="1165" customFormat="1" ht="28.5" x14ac:dyDescent="0.2">
      <c r="A491" s="1187"/>
      <c r="B491" s="1188"/>
      <c r="C491" s="1188"/>
      <c r="D491" s="649" t="s">
        <v>1851</v>
      </c>
      <c r="E491" s="2900" t="s">
        <v>1852</v>
      </c>
      <c r="F491" s="1217"/>
      <c r="G491" s="1117">
        <v>33</v>
      </c>
      <c r="H491" s="1117">
        <v>33</v>
      </c>
      <c r="I491" s="1229"/>
      <c r="IV491" s="1177"/>
    </row>
    <row r="492" spans="1:256" s="1165" customFormat="1" ht="14.25" customHeight="1" thickBot="1" x14ac:dyDescent="0.25">
      <c r="A492" s="1187"/>
      <c r="B492" s="1188"/>
      <c r="C492" s="1188"/>
      <c r="D492" s="518" t="s">
        <v>1853</v>
      </c>
      <c r="E492" s="441" t="s">
        <v>2</v>
      </c>
      <c r="F492" s="1067"/>
      <c r="G492" s="1067">
        <v>2993</v>
      </c>
      <c r="H492" s="1067">
        <v>2993</v>
      </c>
      <c r="I492" s="1063">
        <f>(H492/G492)*100</f>
        <v>100</v>
      </c>
      <c r="IV492" s="1165">
        <f>SUM(A492:IU492)</f>
        <v>6086</v>
      </c>
    </row>
    <row r="493" spans="1:256" s="1165" customFormat="1" ht="16.5" thickTop="1" thickBot="1" x14ac:dyDescent="0.25">
      <c r="A493" s="3117" t="s">
        <v>1000</v>
      </c>
      <c r="B493" s="3118"/>
      <c r="C493" s="3118"/>
      <c r="D493" s="3118"/>
      <c r="E493" s="3118"/>
      <c r="F493" s="1175">
        <f>SUM(F489)</f>
        <v>0</v>
      </c>
      <c r="G493" s="1175">
        <f>SUM(G489)</f>
        <v>3152</v>
      </c>
      <c r="H493" s="1175">
        <f>SUM(H489)</f>
        <v>3152</v>
      </c>
      <c r="I493" s="1176">
        <f>(H493/G493)*100</f>
        <v>100</v>
      </c>
      <c r="IV493" s="1177">
        <f>SUM(IV489:IV492)</f>
        <v>6186</v>
      </c>
    </row>
    <row r="494" spans="1:256" s="1165" customFormat="1" ht="15" thickTop="1" x14ac:dyDescent="0.2">
      <c r="B494" s="1178"/>
      <c r="D494" s="1179"/>
      <c r="F494" s="1205"/>
      <c r="G494" s="1205"/>
      <c r="H494" s="1205"/>
      <c r="I494" s="1206"/>
    </row>
    <row r="495" spans="1:256" s="1165" customFormat="1" ht="15" thickBot="1" x14ac:dyDescent="0.25">
      <c r="A495" s="1190" t="s">
        <v>1411</v>
      </c>
      <c r="B495" s="1178"/>
      <c r="D495" s="1179"/>
      <c r="F495" s="1205"/>
      <c r="G495" s="1205"/>
      <c r="H495" s="1205"/>
      <c r="I495" s="1207" t="s">
        <v>148</v>
      </c>
    </row>
    <row r="496" spans="1:256" s="1213" customFormat="1" ht="12.75" thickTop="1" thickBot="1" x14ac:dyDescent="0.25">
      <c r="A496" s="1208" t="s">
        <v>565</v>
      </c>
      <c r="B496" s="1209" t="s">
        <v>149</v>
      </c>
      <c r="C496" s="1210" t="s">
        <v>150</v>
      </c>
      <c r="D496" s="1211" t="s">
        <v>639</v>
      </c>
      <c r="E496" s="1211" t="s">
        <v>151</v>
      </c>
      <c r="F496" s="589" t="s">
        <v>569</v>
      </c>
      <c r="G496" s="589" t="s">
        <v>570</v>
      </c>
      <c r="H496" s="1211" t="s">
        <v>797</v>
      </c>
      <c r="I496" s="1212" t="s">
        <v>798</v>
      </c>
    </row>
    <row r="497" spans="1:256" s="1186" customFormat="1" ht="18" customHeight="1" thickTop="1" thickBot="1" x14ac:dyDescent="0.25">
      <c r="A497" s="1181">
        <v>1</v>
      </c>
      <c r="B497" s="1182">
        <v>2</v>
      </c>
      <c r="C497" s="1182">
        <v>3</v>
      </c>
      <c r="D497" s="1182">
        <v>4</v>
      </c>
      <c r="E497" s="1182">
        <v>5</v>
      </c>
      <c r="F497" s="1183">
        <v>6</v>
      </c>
      <c r="G497" s="1183">
        <v>7</v>
      </c>
      <c r="H497" s="1184">
        <v>8</v>
      </c>
      <c r="I497" s="1185" t="s">
        <v>689</v>
      </c>
    </row>
    <row r="498" spans="1:256" s="1165" customFormat="1" ht="15.75" thickTop="1" x14ac:dyDescent="0.2">
      <c r="A498" s="1225">
        <v>1553</v>
      </c>
      <c r="B498" s="1226">
        <v>3123</v>
      </c>
      <c r="C498" s="1226">
        <v>5213</v>
      </c>
      <c r="D498" s="1227"/>
      <c r="E498" s="1216" t="s">
        <v>1054</v>
      </c>
      <c r="F498" s="1223"/>
      <c r="G498" s="1223">
        <f>SUM(G499:G500)</f>
        <v>19022</v>
      </c>
      <c r="H498" s="1223">
        <f>SUM(H499:H500)</f>
        <v>19022</v>
      </c>
      <c r="I498" s="1228">
        <f>(H498/G498)*100</f>
        <v>100</v>
      </c>
      <c r="IV498" s="1177">
        <f>SUM(I498:IU498)</f>
        <v>100</v>
      </c>
    </row>
    <row r="499" spans="1:256" s="1165" customFormat="1" ht="28.5" x14ac:dyDescent="0.2">
      <c r="A499" s="1187"/>
      <c r="B499" s="1188"/>
      <c r="C499" s="1188"/>
      <c r="D499" s="649" t="s">
        <v>1851</v>
      </c>
      <c r="E499" s="2900" t="s">
        <v>1852</v>
      </c>
      <c r="F499" s="1217"/>
      <c r="G499" s="1067">
        <v>146</v>
      </c>
      <c r="H499" s="1067">
        <v>146</v>
      </c>
      <c r="I499" s="1063">
        <f>(H499/G499)*100</f>
        <v>100</v>
      </c>
      <c r="IV499" s="1177"/>
    </row>
    <row r="500" spans="1:256" s="1165" customFormat="1" ht="15" thickBot="1" x14ac:dyDescent="0.25">
      <c r="A500" s="1187"/>
      <c r="B500" s="1188"/>
      <c r="C500" s="1188"/>
      <c r="D500" s="518" t="s">
        <v>1853</v>
      </c>
      <c r="E500" s="441" t="s">
        <v>2</v>
      </c>
      <c r="F500" s="1067"/>
      <c r="G500" s="1067">
        <v>18876</v>
      </c>
      <c r="H500" s="1067">
        <v>18876</v>
      </c>
      <c r="I500" s="1063">
        <f>(H500/G500)*100</f>
        <v>100</v>
      </c>
      <c r="IV500" s="1165">
        <f>SUM(A500:IU500)</f>
        <v>37852</v>
      </c>
    </row>
    <row r="501" spans="1:256" s="1165" customFormat="1" ht="16.5" thickTop="1" thickBot="1" x14ac:dyDescent="0.25">
      <c r="A501" s="3117" t="s">
        <v>1000</v>
      </c>
      <c r="B501" s="3118"/>
      <c r="C501" s="3118"/>
      <c r="D501" s="3118"/>
      <c r="E501" s="3118"/>
      <c r="F501" s="1175">
        <f>SUM(F498)</f>
        <v>0</v>
      </c>
      <c r="G501" s="1175">
        <f>G498</f>
        <v>19022</v>
      </c>
      <c r="H501" s="1175">
        <f>H498</f>
        <v>19022</v>
      </c>
      <c r="I501" s="1176">
        <f>(H501/G501)*100</f>
        <v>100</v>
      </c>
      <c r="IV501" s="1177">
        <f>SUM(IV498:IV500)</f>
        <v>37952</v>
      </c>
    </row>
    <row r="502" spans="1:256" s="1165" customFormat="1" ht="20.25" customHeight="1" thickTop="1" x14ac:dyDescent="0.2">
      <c r="B502" s="1178"/>
      <c r="D502" s="1179"/>
      <c r="F502" s="1205"/>
      <c r="G502" s="1205"/>
      <c r="H502" s="1205"/>
      <c r="I502" s="1206"/>
    </row>
    <row r="503" spans="1:256" s="1165" customFormat="1" ht="14.25" customHeight="1" thickBot="1" x14ac:dyDescent="0.25">
      <c r="A503" s="1190" t="s">
        <v>846</v>
      </c>
      <c r="B503" s="1178"/>
      <c r="D503" s="1179"/>
      <c r="F503" s="1205"/>
      <c r="G503" s="1205"/>
      <c r="H503" s="1205"/>
      <c r="I503" s="1207" t="s">
        <v>148</v>
      </c>
    </row>
    <row r="504" spans="1:256" s="1213" customFormat="1" ht="12.75" thickTop="1" thickBot="1" x14ac:dyDescent="0.25">
      <c r="A504" s="1208" t="s">
        <v>565</v>
      </c>
      <c r="B504" s="1209" t="s">
        <v>149</v>
      </c>
      <c r="C504" s="1210" t="s">
        <v>150</v>
      </c>
      <c r="D504" s="1211" t="s">
        <v>639</v>
      </c>
      <c r="E504" s="1211" t="s">
        <v>151</v>
      </c>
      <c r="F504" s="589" t="s">
        <v>569</v>
      </c>
      <c r="G504" s="589" t="s">
        <v>570</v>
      </c>
      <c r="H504" s="1211" t="s">
        <v>797</v>
      </c>
      <c r="I504" s="1212" t="s">
        <v>798</v>
      </c>
    </row>
    <row r="505" spans="1:256" s="1186" customFormat="1" ht="13.5" thickTop="1" thickBot="1" x14ac:dyDescent="0.25">
      <c r="A505" s="1181">
        <v>1</v>
      </c>
      <c r="B505" s="1182">
        <v>2</v>
      </c>
      <c r="C505" s="1182">
        <v>3</v>
      </c>
      <c r="D505" s="1182">
        <v>4</v>
      </c>
      <c r="E505" s="1182">
        <v>5</v>
      </c>
      <c r="F505" s="1183">
        <v>6</v>
      </c>
      <c r="G505" s="1183">
        <v>7</v>
      </c>
      <c r="H505" s="1184">
        <v>8</v>
      </c>
      <c r="I505" s="1185" t="s">
        <v>689</v>
      </c>
    </row>
    <row r="506" spans="1:256" s="1165" customFormat="1" ht="18" customHeight="1" thickTop="1" x14ac:dyDescent="0.2">
      <c r="A506" s="1225">
        <v>1554</v>
      </c>
      <c r="B506" s="1226">
        <v>3123</v>
      </c>
      <c r="C506" s="1226">
        <v>5213</v>
      </c>
      <c r="D506" s="1227"/>
      <c r="E506" s="1216" t="s">
        <v>1054</v>
      </c>
      <c r="F506" s="1223"/>
      <c r="G506" s="1223">
        <f>SUM(G507:G508)</f>
        <v>9767</v>
      </c>
      <c r="H506" s="1223">
        <f>SUM(H507:H508)</f>
        <v>9767</v>
      </c>
      <c r="I506" s="1228">
        <f>(H506/G506)*100</f>
        <v>100</v>
      </c>
      <c r="IV506" s="1177">
        <f>SUM(I506:IU506)</f>
        <v>100</v>
      </c>
    </row>
    <row r="507" spans="1:256" s="1165" customFormat="1" ht="28.5" x14ac:dyDescent="0.2">
      <c r="A507" s="1187"/>
      <c r="B507" s="1197"/>
      <c r="C507" s="1197"/>
      <c r="D507" s="649" t="s">
        <v>1851</v>
      </c>
      <c r="E507" s="2900" t="s">
        <v>1852</v>
      </c>
      <c r="F507" s="1224"/>
      <c r="G507" s="1224">
        <v>93</v>
      </c>
      <c r="H507" s="1224">
        <v>93</v>
      </c>
      <c r="I507" s="1229">
        <v>100</v>
      </c>
      <c r="IV507" s="1177"/>
    </row>
    <row r="508" spans="1:256" s="1165" customFormat="1" ht="15" thickBot="1" x14ac:dyDescent="0.25">
      <c r="A508" s="1187"/>
      <c r="B508" s="1197"/>
      <c r="C508" s="1197"/>
      <c r="D508" s="518" t="s">
        <v>1853</v>
      </c>
      <c r="E508" s="441" t="s">
        <v>2</v>
      </c>
      <c r="F508" s="1062"/>
      <c r="G508" s="1062">
        <v>9674</v>
      </c>
      <c r="H508" s="1062">
        <v>9674</v>
      </c>
      <c r="I508" s="1229">
        <v>100</v>
      </c>
      <c r="IV508" s="1165">
        <f>SUM(A508:IU508)</f>
        <v>19448</v>
      </c>
    </row>
    <row r="509" spans="1:256" s="1165" customFormat="1" ht="16.5" thickTop="1" thickBot="1" x14ac:dyDescent="0.25">
      <c r="A509" s="3117" t="s">
        <v>1000</v>
      </c>
      <c r="B509" s="3118"/>
      <c r="C509" s="3118"/>
      <c r="D509" s="3118"/>
      <c r="E509" s="3118"/>
      <c r="F509" s="1175">
        <f>SUM(F506)</f>
        <v>0</v>
      </c>
      <c r="G509" s="1175">
        <f>SUM(G506,)</f>
        <v>9767</v>
      </c>
      <c r="H509" s="1175">
        <f>H506</f>
        <v>9767</v>
      </c>
      <c r="I509" s="1176">
        <f>(H509/G509)*100</f>
        <v>100</v>
      </c>
      <c r="IV509" s="1177">
        <f>SUM(IV506:IV508)</f>
        <v>19548</v>
      </c>
    </row>
    <row r="510" spans="1:256" s="1165" customFormat="1" ht="15.75" thickTop="1" x14ac:dyDescent="0.2">
      <c r="A510" s="1164"/>
      <c r="B510" s="1164"/>
      <c r="C510" s="1164"/>
      <c r="D510" s="1164"/>
      <c r="E510" s="1164"/>
      <c r="F510" s="1195"/>
      <c r="G510" s="1195"/>
      <c r="H510" s="1195"/>
      <c r="I510" s="1196"/>
      <c r="IV510" s="1177"/>
    </row>
    <row r="511" spans="1:256" s="1165" customFormat="1" ht="15" thickBot="1" x14ac:dyDescent="0.25">
      <c r="A511" s="1190" t="s">
        <v>1597</v>
      </c>
      <c r="B511" s="1178"/>
      <c r="D511" s="1179"/>
      <c r="F511" s="1205"/>
      <c r="G511" s="1205"/>
      <c r="H511" s="1205"/>
      <c r="I511" s="1207" t="s">
        <v>148</v>
      </c>
      <c r="IV511" s="1177"/>
    </row>
    <row r="512" spans="1:256" s="1165" customFormat="1" thickTop="1" thickBot="1" x14ac:dyDescent="0.25">
      <c r="A512" s="1208" t="s">
        <v>565</v>
      </c>
      <c r="B512" s="1209" t="s">
        <v>149</v>
      </c>
      <c r="C512" s="1210" t="s">
        <v>150</v>
      </c>
      <c r="D512" s="1211" t="s">
        <v>639</v>
      </c>
      <c r="E512" s="1211" t="s">
        <v>151</v>
      </c>
      <c r="F512" s="589" t="s">
        <v>569</v>
      </c>
      <c r="G512" s="589" t="s">
        <v>570</v>
      </c>
      <c r="H512" s="1211" t="s">
        <v>797</v>
      </c>
      <c r="I512" s="1212" t="s">
        <v>798</v>
      </c>
      <c r="IV512" s="1177"/>
    </row>
    <row r="513" spans="1:256" s="1165" customFormat="1" thickTop="1" thickBot="1" x14ac:dyDescent="0.25">
      <c r="A513" s="1181">
        <v>1</v>
      </c>
      <c r="B513" s="1182">
        <v>2</v>
      </c>
      <c r="C513" s="1182">
        <v>3</v>
      </c>
      <c r="D513" s="1182">
        <v>4</v>
      </c>
      <c r="E513" s="1182">
        <v>5</v>
      </c>
      <c r="F513" s="1183">
        <v>6</v>
      </c>
      <c r="G513" s="1183">
        <v>7</v>
      </c>
      <c r="H513" s="1184">
        <v>8</v>
      </c>
      <c r="I513" s="1185" t="s">
        <v>689</v>
      </c>
      <c r="IV513" s="1177"/>
    </row>
    <row r="514" spans="1:256" s="1165" customFormat="1" ht="15.75" thickTop="1" x14ac:dyDescent="0.25">
      <c r="A514" s="1225">
        <v>1555</v>
      </c>
      <c r="B514" s="1226">
        <v>3150</v>
      </c>
      <c r="C514" s="1226">
        <v>5221</v>
      </c>
      <c r="D514" s="1227"/>
      <c r="E514" s="2070" t="s">
        <v>2160</v>
      </c>
      <c r="F514" s="1223"/>
      <c r="G514" s="1223">
        <f>SUM(G515:G516)</f>
        <v>3648</v>
      </c>
      <c r="H514" s="1223">
        <f>SUM(H515:H516)</f>
        <v>3648</v>
      </c>
      <c r="I514" s="1228">
        <f>(H514/G514)*100</f>
        <v>100</v>
      </c>
      <c r="IV514" s="1177"/>
    </row>
    <row r="515" spans="1:256" s="1165" customFormat="1" ht="28.5" x14ac:dyDescent="0.2">
      <c r="A515" s="1187"/>
      <c r="B515" s="1197"/>
      <c r="C515" s="1197"/>
      <c r="D515" s="649" t="s">
        <v>1851</v>
      </c>
      <c r="E515" s="2900" t="s">
        <v>1852</v>
      </c>
      <c r="F515" s="1224"/>
      <c r="G515" s="1224">
        <v>45</v>
      </c>
      <c r="H515" s="1224">
        <v>45</v>
      </c>
      <c r="I515" s="1229">
        <v>100</v>
      </c>
      <c r="IV515" s="1177"/>
    </row>
    <row r="516" spans="1:256" s="1165" customFormat="1" ht="15" thickBot="1" x14ac:dyDescent="0.25">
      <c r="A516" s="1187"/>
      <c r="B516" s="1197"/>
      <c r="C516" s="1197"/>
      <c r="D516" s="518" t="s">
        <v>1853</v>
      </c>
      <c r="E516" s="441" t="s">
        <v>2</v>
      </c>
      <c r="F516" s="1062"/>
      <c r="G516" s="1062">
        <v>3603</v>
      </c>
      <c r="H516" s="1062">
        <v>3603</v>
      </c>
      <c r="I516" s="1229">
        <v>100</v>
      </c>
      <c r="IV516" s="1177"/>
    </row>
    <row r="517" spans="1:256" s="1165" customFormat="1" ht="16.5" thickTop="1" thickBot="1" x14ac:dyDescent="0.25">
      <c r="A517" s="3117" t="s">
        <v>1000</v>
      </c>
      <c r="B517" s="3118"/>
      <c r="C517" s="3118"/>
      <c r="D517" s="3118"/>
      <c r="E517" s="3118"/>
      <c r="F517" s="1175">
        <f>SUM(F514)</f>
        <v>0</v>
      </c>
      <c r="G517" s="1175">
        <f>SUM(G514,)</f>
        <v>3648</v>
      </c>
      <c r="H517" s="1175">
        <f>H514</f>
        <v>3648</v>
      </c>
      <c r="I517" s="1176">
        <f>(H517/G517)*100</f>
        <v>100</v>
      </c>
    </row>
    <row r="518" spans="1:256" s="1165" customFormat="1" ht="15" thickTop="1" x14ac:dyDescent="0.2">
      <c r="B518" s="1178"/>
      <c r="D518" s="1179"/>
      <c r="F518" s="1205"/>
      <c r="G518" s="1205"/>
      <c r="H518" s="1205"/>
      <c r="I518" s="1206"/>
    </row>
    <row r="519" spans="1:256" s="1165" customFormat="1" ht="28.5" customHeight="1" thickBot="1" x14ac:dyDescent="0.25">
      <c r="A519" s="3135" t="s">
        <v>2159</v>
      </c>
      <c r="B519" s="3135"/>
      <c r="C519" s="3135"/>
      <c r="D519" s="3135"/>
      <c r="E519" s="3135"/>
      <c r="F519" s="3135"/>
      <c r="G519" s="3135"/>
      <c r="H519" s="1205"/>
      <c r="I519" s="2898" t="s">
        <v>148</v>
      </c>
    </row>
    <row r="520" spans="1:256" s="1213" customFormat="1" ht="12.75" thickTop="1" thickBot="1" x14ac:dyDescent="0.25">
      <c r="A520" s="1208" t="s">
        <v>565</v>
      </c>
      <c r="B520" s="1209" t="s">
        <v>149</v>
      </c>
      <c r="C520" s="1210" t="s">
        <v>150</v>
      </c>
      <c r="D520" s="1211" t="s">
        <v>639</v>
      </c>
      <c r="E520" s="1211" t="s">
        <v>151</v>
      </c>
      <c r="F520" s="589" t="s">
        <v>569</v>
      </c>
      <c r="G520" s="589" t="s">
        <v>570</v>
      </c>
      <c r="H520" s="1211" t="s">
        <v>797</v>
      </c>
      <c r="I520" s="1212" t="s">
        <v>798</v>
      </c>
    </row>
    <row r="521" spans="1:256" s="1186" customFormat="1" ht="13.5" thickTop="1" thickBot="1" x14ac:dyDescent="0.25">
      <c r="A521" s="1181">
        <v>1</v>
      </c>
      <c r="B521" s="1182">
        <v>2</v>
      </c>
      <c r="C521" s="1182">
        <v>3</v>
      </c>
      <c r="D521" s="1182">
        <v>4</v>
      </c>
      <c r="E521" s="1182">
        <v>5</v>
      </c>
      <c r="F521" s="1183">
        <v>6</v>
      </c>
      <c r="G521" s="1183">
        <v>7</v>
      </c>
      <c r="H521" s="1184">
        <v>8</v>
      </c>
      <c r="I521" s="1185" t="s">
        <v>689</v>
      </c>
    </row>
    <row r="522" spans="1:256" s="1165" customFormat="1" ht="15.75" customHeight="1" thickTop="1" x14ac:dyDescent="0.2">
      <c r="A522" s="1225">
        <v>1556</v>
      </c>
      <c r="B522" s="1226">
        <v>3125</v>
      </c>
      <c r="C522" s="1226">
        <v>5213</v>
      </c>
      <c r="D522" s="1227"/>
      <c r="E522" s="2901" t="s">
        <v>1054</v>
      </c>
      <c r="F522" s="1223"/>
      <c r="G522" s="1223">
        <f>SUM(G523:G523)</f>
        <v>215</v>
      </c>
      <c r="H522" s="1223">
        <f>SUM(H523:H523)</f>
        <v>215</v>
      </c>
      <c r="I522" s="1228">
        <f>(H522/G522)*100</f>
        <v>100</v>
      </c>
      <c r="IV522" s="1177">
        <f>SUM(I522:IU522)</f>
        <v>100</v>
      </c>
    </row>
    <row r="523" spans="1:256" s="1165" customFormat="1" ht="15" thickBot="1" x14ac:dyDescent="0.25">
      <c r="A523" s="1187"/>
      <c r="B523" s="1197"/>
      <c r="C523" s="1197"/>
      <c r="D523" s="518" t="s">
        <v>1853</v>
      </c>
      <c r="E523" s="441" t="s">
        <v>2</v>
      </c>
      <c r="F523" s="1062"/>
      <c r="G523" s="1062">
        <v>215</v>
      </c>
      <c r="H523" s="1062">
        <v>215</v>
      </c>
      <c r="I523" s="1229">
        <v>100</v>
      </c>
      <c r="IV523" s="1165">
        <f>SUM(A523:IU523)</f>
        <v>530</v>
      </c>
    </row>
    <row r="524" spans="1:256" s="1165" customFormat="1" ht="16.5" thickTop="1" thickBot="1" x14ac:dyDescent="0.25">
      <c r="A524" s="3117" t="s">
        <v>1000</v>
      </c>
      <c r="B524" s="3118"/>
      <c r="C524" s="3118"/>
      <c r="D524" s="3118"/>
      <c r="E524" s="3118"/>
      <c r="F524" s="1175">
        <f>SUM(F522)</f>
        <v>0</v>
      </c>
      <c r="G524" s="1175">
        <f>SUM(G522,)</f>
        <v>215</v>
      </c>
      <c r="H524" s="1175">
        <f>H522</f>
        <v>215</v>
      </c>
      <c r="I524" s="1176">
        <f>(H524/G524)*100</f>
        <v>100</v>
      </c>
      <c r="IV524" s="1177">
        <f>SUM(IV522:IV523)</f>
        <v>630</v>
      </c>
    </row>
    <row r="525" spans="1:256" s="1165" customFormat="1" ht="15" thickTop="1" x14ac:dyDescent="0.2">
      <c r="B525" s="1178"/>
      <c r="D525" s="1179"/>
      <c r="F525" s="1205"/>
      <c r="G525" s="1205"/>
      <c r="H525" s="1205"/>
      <c r="I525" s="1206"/>
    </row>
    <row r="526" spans="1:256" s="1165" customFormat="1" ht="15" thickBot="1" x14ac:dyDescent="0.25">
      <c r="A526" s="1190" t="s">
        <v>147</v>
      </c>
      <c r="B526" s="1178"/>
      <c r="D526" s="1179"/>
      <c r="F526" s="1205"/>
      <c r="G526" s="1205"/>
      <c r="H526" s="1205"/>
      <c r="I526" s="1207" t="s">
        <v>148</v>
      </c>
    </row>
    <row r="527" spans="1:256" s="1213" customFormat="1" ht="12.75" thickTop="1" thickBot="1" x14ac:dyDescent="0.25">
      <c r="A527" s="1208" t="s">
        <v>565</v>
      </c>
      <c r="B527" s="1209" t="s">
        <v>149</v>
      </c>
      <c r="C527" s="1210" t="s">
        <v>150</v>
      </c>
      <c r="D527" s="1211" t="s">
        <v>639</v>
      </c>
      <c r="E527" s="1211" t="s">
        <v>151</v>
      </c>
      <c r="F527" s="589" t="s">
        <v>569</v>
      </c>
      <c r="G527" s="589" t="s">
        <v>570</v>
      </c>
      <c r="H527" s="1211" t="s">
        <v>797</v>
      </c>
      <c r="I527" s="1212" t="s">
        <v>798</v>
      </c>
    </row>
    <row r="528" spans="1:256" s="1186" customFormat="1" ht="13.5" thickTop="1" thickBot="1" x14ac:dyDescent="0.25">
      <c r="A528" s="1181">
        <v>1</v>
      </c>
      <c r="B528" s="1182">
        <v>2</v>
      </c>
      <c r="C528" s="1182">
        <v>3</v>
      </c>
      <c r="D528" s="1182">
        <v>4</v>
      </c>
      <c r="E528" s="1182">
        <v>5</v>
      </c>
      <c r="F528" s="1183">
        <v>6</v>
      </c>
      <c r="G528" s="1183">
        <v>7</v>
      </c>
      <c r="H528" s="1184">
        <v>8</v>
      </c>
      <c r="I528" s="1185" t="s">
        <v>689</v>
      </c>
    </row>
    <row r="529" spans="1:256" s="1165" customFormat="1" ht="15.75" thickTop="1" x14ac:dyDescent="0.2">
      <c r="A529" s="1225">
        <v>1560</v>
      </c>
      <c r="B529" s="1226">
        <v>3231</v>
      </c>
      <c r="C529" s="1226">
        <v>5213</v>
      </c>
      <c r="D529" s="1227"/>
      <c r="E529" s="1216" t="s">
        <v>1054</v>
      </c>
      <c r="F529" s="1223"/>
      <c r="G529" s="1223">
        <f>SUM(G530:G531)</f>
        <v>2017</v>
      </c>
      <c r="H529" s="1223">
        <f>SUM(H530:H531)</f>
        <v>2017</v>
      </c>
      <c r="I529" s="1228">
        <f>(H529/G529)*100</f>
        <v>100</v>
      </c>
      <c r="IV529" s="1177">
        <f>SUM(I529:IU529)</f>
        <v>100</v>
      </c>
    </row>
    <row r="530" spans="1:256" s="1165" customFormat="1" ht="28.5" x14ac:dyDescent="0.2">
      <c r="A530" s="1187"/>
      <c r="B530" s="1197"/>
      <c r="C530" s="1197"/>
      <c r="D530" s="887" t="s">
        <v>1851</v>
      </c>
      <c r="E530" s="1983" t="s">
        <v>1852</v>
      </c>
      <c r="F530" s="1221"/>
      <c r="G530" s="1062">
        <v>17</v>
      </c>
      <c r="H530" s="1062">
        <v>17</v>
      </c>
      <c r="I530" s="1066">
        <f>(H530/G530)*100</f>
        <v>100</v>
      </c>
      <c r="IV530" s="1177"/>
    </row>
    <row r="531" spans="1:256" s="1165" customFormat="1" ht="15" thickBot="1" x14ac:dyDescent="0.25">
      <c r="A531" s="1187"/>
      <c r="B531" s="1197"/>
      <c r="C531" s="1197"/>
      <c r="D531" s="888" t="s">
        <v>1853</v>
      </c>
      <c r="E531" s="1049" t="s">
        <v>2</v>
      </c>
      <c r="F531" s="1062"/>
      <c r="G531" s="1062">
        <v>2000</v>
      </c>
      <c r="H531" s="1062">
        <v>2000</v>
      </c>
      <c r="I531" s="1066">
        <f>(H531/G531)*100</f>
        <v>100</v>
      </c>
      <c r="IV531" s="1165">
        <f>SUM(A531:IU531)</f>
        <v>4100</v>
      </c>
    </row>
    <row r="532" spans="1:256" s="1165" customFormat="1" ht="16.5" thickTop="1" thickBot="1" x14ac:dyDescent="0.25">
      <c r="A532" s="3117" t="s">
        <v>1000</v>
      </c>
      <c r="B532" s="3118"/>
      <c r="C532" s="3118"/>
      <c r="D532" s="3118"/>
      <c r="E532" s="3118"/>
      <c r="F532" s="1175">
        <f>SUM(F529)</f>
        <v>0</v>
      </c>
      <c r="G532" s="1175">
        <f>SUM(G529)</f>
        <v>2017</v>
      </c>
      <c r="H532" s="1175">
        <f>SUM(H529)</f>
        <v>2017</v>
      </c>
      <c r="I532" s="1176">
        <f>(H532/G532)*100</f>
        <v>100</v>
      </c>
      <c r="IV532" s="1177">
        <f>SUM(IV529:IV531)</f>
        <v>4200</v>
      </c>
    </row>
    <row r="533" spans="1:256" s="1165" customFormat="1" ht="15" thickTop="1" x14ac:dyDescent="0.2">
      <c r="B533" s="1178"/>
      <c r="D533" s="1179"/>
      <c r="F533" s="1205"/>
      <c r="G533" s="1205"/>
      <c r="H533" s="1205"/>
      <c r="I533" s="1206"/>
    </row>
    <row r="534" spans="1:256" s="1165" customFormat="1" ht="20.25" customHeight="1" thickBot="1" x14ac:dyDescent="0.25">
      <c r="A534" s="1190" t="s">
        <v>714</v>
      </c>
      <c r="B534" s="1178"/>
      <c r="D534" s="1179"/>
      <c r="F534" s="1205"/>
      <c r="G534" s="1205"/>
      <c r="H534" s="1205"/>
      <c r="I534" s="1207" t="s">
        <v>148</v>
      </c>
    </row>
    <row r="535" spans="1:256" s="1213" customFormat="1" ht="12.75" thickTop="1" thickBot="1" x14ac:dyDescent="0.25">
      <c r="A535" s="1208" t="s">
        <v>565</v>
      </c>
      <c r="B535" s="1209" t="s">
        <v>149</v>
      </c>
      <c r="C535" s="1210" t="s">
        <v>150</v>
      </c>
      <c r="D535" s="1211" t="s">
        <v>639</v>
      </c>
      <c r="E535" s="1211" t="s">
        <v>151</v>
      </c>
      <c r="F535" s="589" t="s">
        <v>569</v>
      </c>
      <c r="G535" s="589" t="s">
        <v>570</v>
      </c>
      <c r="H535" s="1211" t="s">
        <v>797</v>
      </c>
      <c r="I535" s="1212" t="s">
        <v>798</v>
      </c>
    </row>
    <row r="536" spans="1:256" s="1186" customFormat="1" ht="13.5" thickTop="1" thickBot="1" x14ac:dyDescent="0.25">
      <c r="A536" s="1181">
        <v>1</v>
      </c>
      <c r="B536" s="1182">
        <v>2</v>
      </c>
      <c r="C536" s="1182">
        <v>3</v>
      </c>
      <c r="D536" s="1182">
        <v>4</v>
      </c>
      <c r="E536" s="1182">
        <v>5</v>
      </c>
      <c r="F536" s="1183">
        <v>6</v>
      </c>
      <c r="G536" s="1183">
        <v>7</v>
      </c>
      <c r="H536" s="1184">
        <v>8</v>
      </c>
      <c r="I536" s="1185" t="s">
        <v>689</v>
      </c>
    </row>
    <row r="537" spans="1:256" s="1165" customFormat="1" ht="15.75" thickTop="1" x14ac:dyDescent="0.2">
      <c r="A537" s="1225">
        <v>1561</v>
      </c>
      <c r="B537" s="1226">
        <v>3231</v>
      </c>
      <c r="C537" s="1226">
        <v>5213</v>
      </c>
      <c r="D537" s="1227"/>
      <c r="E537" s="1216" t="s">
        <v>1054</v>
      </c>
      <c r="F537" s="1223"/>
      <c r="G537" s="1223">
        <f>SUM(G538:G539)</f>
        <v>613</v>
      </c>
      <c r="H537" s="1223">
        <f>SUM(H538:H539)</f>
        <v>613</v>
      </c>
      <c r="I537" s="1228">
        <f>(H537/G537)*100</f>
        <v>100</v>
      </c>
      <c r="IV537" s="1177">
        <f>SUM(I537:IU537)</f>
        <v>100</v>
      </c>
    </row>
    <row r="538" spans="1:256" s="1165" customFormat="1" ht="28.5" x14ac:dyDescent="0.2">
      <c r="A538" s="1187"/>
      <c r="B538" s="1197"/>
      <c r="C538" s="1197"/>
      <c r="D538" s="887" t="s">
        <v>1851</v>
      </c>
      <c r="E538" s="1983" t="s">
        <v>1852</v>
      </c>
      <c r="F538" s="1221"/>
      <c r="G538" s="1062">
        <v>5</v>
      </c>
      <c r="H538" s="1062">
        <v>5</v>
      </c>
      <c r="I538" s="1066">
        <f>(H538/G538)*100</f>
        <v>100</v>
      </c>
      <c r="IV538" s="1177"/>
    </row>
    <row r="539" spans="1:256" s="1165" customFormat="1" ht="18" customHeight="1" thickBot="1" x14ac:dyDescent="0.25">
      <c r="A539" s="1187"/>
      <c r="B539" s="1197"/>
      <c r="C539" s="1197"/>
      <c r="D539" s="888" t="s">
        <v>1853</v>
      </c>
      <c r="E539" s="1049" t="s">
        <v>2</v>
      </c>
      <c r="F539" s="1062"/>
      <c r="G539" s="1062">
        <v>608</v>
      </c>
      <c r="H539" s="1062">
        <v>608</v>
      </c>
      <c r="I539" s="1066">
        <f>(H539/G539)*100</f>
        <v>100</v>
      </c>
      <c r="IV539" s="1165">
        <f>SUM(A539:IU539)</f>
        <v>1316</v>
      </c>
    </row>
    <row r="540" spans="1:256" s="1165" customFormat="1" ht="16.5" thickTop="1" thickBot="1" x14ac:dyDescent="0.25">
      <c r="A540" s="3117" t="s">
        <v>1000</v>
      </c>
      <c r="B540" s="3118"/>
      <c r="C540" s="3118"/>
      <c r="D540" s="3118"/>
      <c r="E540" s="3118"/>
      <c r="F540" s="1175">
        <f>SUM(F537)</f>
        <v>0</v>
      </c>
      <c r="G540" s="1175">
        <f>SUM(G537)</f>
        <v>613</v>
      </c>
      <c r="H540" s="1175">
        <f>SUM(H537)</f>
        <v>613</v>
      </c>
      <c r="I540" s="1176">
        <f>(H540/G540)*100</f>
        <v>100</v>
      </c>
      <c r="K540" s="1177">
        <f>SUM(G540,G532,G509,G501,G493,G484,G471,G440,G432,G423,G412,G449,G460,G400,G383,G369,G360,G351,G259,G243,G224,G277,G548,G290,G524,G311,G300,G341,G332,G320,G517)</f>
        <v>172219</v>
      </c>
      <c r="L540" s="1177">
        <f>SUM(H540,H532,H509,H501,H493,H484,H471,H440,H432,H423,H412,H449,H460,H400,H383,H369,H360,H351,H259,H243,H224,H277,H548,H290,H524,H311,H300,H341,H332,H320,H517)</f>
        <v>172219</v>
      </c>
      <c r="IV540" s="1177">
        <f>SUM(IV537:IV539)</f>
        <v>1416</v>
      </c>
    </row>
    <row r="541" spans="1:256" s="1165" customFormat="1" ht="15" thickTop="1" x14ac:dyDescent="0.2">
      <c r="B541" s="1178"/>
      <c r="D541" s="1179"/>
      <c r="F541" s="1205"/>
      <c r="G541" s="1205"/>
      <c r="H541" s="1205"/>
      <c r="I541" s="1206"/>
      <c r="K541" s="1177"/>
      <c r="L541" s="1177"/>
    </row>
    <row r="542" spans="1:256" s="1165" customFormat="1" ht="15" thickBot="1" x14ac:dyDescent="0.25">
      <c r="A542" s="1190" t="s">
        <v>1412</v>
      </c>
      <c r="B542" s="1178"/>
      <c r="D542" s="1179"/>
      <c r="F542" s="1205"/>
      <c r="G542" s="1205"/>
      <c r="H542" s="1205"/>
      <c r="I542" s="1207" t="s">
        <v>148</v>
      </c>
    </row>
    <row r="543" spans="1:256" s="1213" customFormat="1" ht="12.75" thickTop="1" thickBot="1" x14ac:dyDescent="0.25">
      <c r="A543" s="1208" t="s">
        <v>565</v>
      </c>
      <c r="B543" s="1209" t="s">
        <v>149</v>
      </c>
      <c r="C543" s="1210" t="s">
        <v>150</v>
      </c>
      <c r="D543" s="1211" t="s">
        <v>639</v>
      </c>
      <c r="E543" s="1211" t="s">
        <v>151</v>
      </c>
      <c r="F543" s="589" t="s">
        <v>569</v>
      </c>
      <c r="G543" s="589" t="s">
        <v>570</v>
      </c>
      <c r="H543" s="1211" t="s">
        <v>797</v>
      </c>
      <c r="I543" s="1212" t="s">
        <v>798</v>
      </c>
    </row>
    <row r="544" spans="1:256" s="1186" customFormat="1" ht="13.5" thickTop="1" thickBot="1" x14ac:dyDescent="0.25">
      <c r="A544" s="1181">
        <v>1</v>
      </c>
      <c r="B544" s="1182">
        <v>2</v>
      </c>
      <c r="C544" s="1182">
        <v>3</v>
      </c>
      <c r="D544" s="1182">
        <v>4</v>
      </c>
      <c r="E544" s="1182">
        <v>5</v>
      </c>
      <c r="F544" s="1183">
        <v>6</v>
      </c>
      <c r="G544" s="1183">
        <v>7</v>
      </c>
      <c r="H544" s="1184">
        <v>8</v>
      </c>
      <c r="I544" s="1185" t="s">
        <v>689</v>
      </c>
    </row>
    <row r="545" spans="1:256" s="1165" customFormat="1" ht="20.25" customHeight="1" thickTop="1" x14ac:dyDescent="0.2">
      <c r="A545" s="1225">
        <v>1562</v>
      </c>
      <c r="B545" s="1226">
        <v>3231</v>
      </c>
      <c r="C545" s="1226">
        <v>5212</v>
      </c>
      <c r="D545" s="1227"/>
      <c r="E545" s="1216" t="s">
        <v>1413</v>
      </c>
      <c r="F545" s="1223"/>
      <c r="G545" s="1223">
        <f>SUM(G546:G547)</f>
        <v>4311</v>
      </c>
      <c r="H545" s="1223">
        <f>SUM(H546:H547)</f>
        <v>4311</v>
      </c>
      <c r="I545" s="1228">
        <f>(H545/G545)*100</f>
        <v>100</v>
      </c>
      <c r="IV545" s="1177">
        <f>SUM(I545:IU545)</f>
        <v>100</v>
      </c>
    </row>
    <row r="546" spans="1:256" s="1165" customFormat="1" ht="28.5" x14ac:dyDescent="0.2">
      <c r="A546" s="1187"/>
      <c r="B546" s="1197"/>
      <c r="C546" s="1197"/>
      <c r="D546" s="887" t="s">
        <v>1851</v>
      </c>
      <c r="E546" s="1983" t="s">
        <v>1852</v>
      </c>
      <c r="F546" s="1221"/>
      <c r="G546" s="1062">
        <v>32</v>
      </c>
      <c r="H546" s="1062">
        <v>32</v>
      </c>
      <c r="I546" s="1066">
        <f>(H546/G546)*100</f>
        <v>100</v>
      </c>
      <c r="IV546" s="1177"/>
    </row>
    <row r="547" spans="1:256" s="1165" customFormat="1" ht="15" thickBot="1" x14ac:dyDescent="0.25">
      <c r="A547" s="1187"/>
      <c r="B547" s="1197"/>
      <c r="C547" s="1197"/>
      <c r="D547" s="888" t="s">
        <v>1853</v>
      </c>
      <c r="E547" s="1049" t="s">
        <v>2</v>
      </c>
      <c r="F547" s="1062"/>
      <c r="G547" s="1062">
        <v>4279</v>
      </c>
      <c r="H547" s="1062">
        <v>4279</v>
      </c>
      <c r="I547" s="1066">
        <f>(H547/G547)*100</f>
        <v>100</v>
      </c>
      <c r="IV547" s="1165">
        <f>SUM(A547:IU547)</f>
        <v>8658</v>
      </c>
    </row>
    <row r="548" spans="1:256" s="1165" customFormat="1" ht="16.5" thickTop="1" thickBot="1" x14ac:dyDescent="0.25">
      <c r="A548" s="3117" t="s">
        <v>1000</v>
      </c>
      <c r="B548" s="3118"/>
      <c r="C548" s="3118"/>
      <c r="D548" s="3118"/>
      <c r="E548" s="3118"/>
      <c r="F548" s="1175">
        <f>SUM(F545)</f>
        <v>0</v>
      </c>
      <c r="G548" s="1175">
        <f>SUM(G545)</f>
        <v>4311</v>
      </c>
      <c r="H548" s="1175">
        <f>SUM(H545)</f>
        <v>4311</v>
      </c>
      <c r="I548" s="1176">
        <f>(H548/G548)*100</f>
        <v>100</v>
      </c>
      <c r="J548" s="1960">
        <v>0</v>
      </c>
      <c r="K548" s="1960">
        <f>K540+K210</f>
        <v>239975</v>
      </c>
      <c r="L548" s="1960">
        <f>L540+L210</f>
        <v>239975</v>
      </c>
      <c r="IV548" s="1177">
        <f>SUM(IV545:IV547)</f>
        <v>8758</v>
      </c>
    </row>
    <row r="549" spans="1:256" s="1165" customFormat="1" ht="15" thickTop="1" x14ac:dyDescent="0.2">
      <c r="B549" s="1178"/>
      <c r="D549" s="1179"/>
      <c r="F549" s="1205"/>
      <c r="G549" s="1205"/>
      <c r="H549" s="1205"/>
      <c r="I549" s="1206"/>
      <c r="J549" s="1961">
        <v>1350</v>
      </c>
      <c r="K549" s="1961">
        <f>P565</f>
        <v>764</v>
      </c>
      <c r="L549" s="1961">
        <f>Q565</f>
        <v>663</v>
      </c>
      <c r="N549" s="1087" t="s">
        <v>298</v>
      </c>
      <c r="O549" s="1165" t="s">
        <v>1089</v>
      </c>
      <c r="P549" s="1165">
        <v>684</v>
      </c>
      <c r="Q549" s="1165">
        <v>663</v>
      </c>
    </row>
    <row r="550" spans="1:256" ht="15" thickBot="1" x14ac:dyDescent="0.25">
      <c r="J550" s="1962">
        <f>J548+J549</f>
        <v>1350</v>
      </c>
      <c r="K550" s="1962">
        <f>K548+K549</f>
        <v>240739</v>
      </c>
      <c r="L550" s="1962">
        <f>L548+L549</f>
        <v>240638</v>
      </c>
      <c r="N550" s="1087" t="s">
        <v>1017</v>
      </c>
      <c r="O550" s="1165" t="s">
        <v>1089</v>
      </c>
      <c r="P550" s="1982">
        <v>80</v>
      </c>
      <c r="Q550" s="1982"/>
    </row>
    <row r="551" spans="1:256" ht="15.75" hidden="1" x14ac:dyDescent="0.2">
      <c r="A551" s="665" t="s">
        <v>1596</v>
      </c>
    </row>
    <row r="552" spans="1:256" ht="15" hidden="1" thickBot="1" x14ac:dyDescent="0.25"/>
    <row r="553" spans="1:256" s="1213" customFormat="1" ht="18" hidden="1" customHeight="1" thickTop="1" thickBot="1" x14ac:dyDescent="0.25">
      <c r="A553" s="1208" t="s">
        <v>565</v>
      </c>
      <c r="B553" s="1209" t="s">
        <v>149</v>
      </c>
      <c r="C553" s="1210" t="s">
        <v>150</v>
      </c>
      <c r="D553" s="1211" t="s">
        <v>639</v>
      </c>
      <c r="E553" s="1211" t="s">
        <v>151</v>
      </c>
      <c r="F553" s="1211" t="s">
        <v>152</v>
      </c>
      <c r="G553" s="1211" t="s">
        <v>796</v>
      </c>
      <c r="H553" s="1211" t="s">
        <v>797</v>
      </c>
      <c r="I553" s="1212" t="s">
        <v>798</v>
      </c>
    </row>
    <row r="554" spans="1:256" s="1186" customFormat="1" ht="18" hidden="1" customHeight="1" thickTop="1" thickBot="1" x14ac:dyDescent="0.25">
      <c r="A554" s="1181">
        <v>1</v>
      </c>
      <c r="B554" s="1182">
        <v>2</v>
      </c>
      <c r="C554" s="1182">
        <v>3</v>
      </c>
      <c r="D554" s="1182">
        <v>4</v>
      </c>
      <c r="E554" s="1182">
        <v>5</v>
      </c>
      <c r="F554" s="1183">
        <v>6</v>
      </c>
      <c r="G554" s="1183">
        <v>7</v>
      </c>
      <c r="H554" s="1184">
        <v>8</v>
      </c>
      <c r="I554" s="1185" t="s">
        <v>689</v>
      </c>
    </row>
    <row r="555" spans="1:256" s="1165" customFormat="1" ht="15.75" hidden="1" thickTop="1" x14ac:dyDescent="0.2">
      <c r="A555" s="1225"/>
      <c r="B555" s="1226">
        <v>3299</v>
      </c>
      <c r="C555" s="1226">
        <v>5213</v>
      </c>
      <c r="D555" s="1227"/>
      <c r="E555" s="1216" t="s">
        <v>1054</v>
      </c>
      <c r="F555" s="1223"/>
      <c r="G555" s="1223">
        <f>SUM(G556:G557)</f>
        <v>185</v>
      </c>
      <c r="H555" s="1223">
        <f>SUM(H556:H557)</f>
        <v>15</v>
      </c>
      <c r="I555" s="1228">
        <f>(H555/G555)*100</f>
        <v>8.1081081081081088</v>
      </c>
      <c r="IV555" s="1177">
        <f>SUM(I555:IU555)</f>
        <v>8.1081081081081088</v>
      </c>
    </row>
    <row r="556" spans="1:256" s="1165" customFormat="1" ht="14.25" hidden="1" customHeight="1" x14ac:dyDescent="0.2">
      <c r="A556" s="1187"/>
      <c r="B556" s="1197"/>
      <c r="C556" s="1197"/>
      <c r="D556" s="1726" t="s">
        <v>1079</v>
      </c>
      <c r="E556" s="1727" t="s">
        <v>1593</v>
      </c>
      <c r="F556" s="1217"/>
      <c r="G556" s="1117">
        <v>15</v>
      </c>
      <c r="H556" s="1117">
        <v>15</v>
      </c>
      <c r="I556" s="1229">
        <v>100</v>
      </c>
      <c r="IV556" s="1177"/>
    </row>
    <row r="557" spans="1:256" s="1165" customFormat="1" hidden="1" x14ac:dyDescent="0.2">
      <c r="A557" s="1187"/>
      <c r="B557" s="1197"/>
      <c r="C557" s="1197"/>
      <c r="D557" s="887" t="s">
        <v>1017</v>
      </c>
      <c r="E557" s="1060" t="s">
        <v>0</v>
      </c>
      <c r="F557" s="1067"/>
      <c r="G557" s="1067">
        <v>170</v>
      </c>
      <c r="H557" s="1067">
        <v>0</v>
      </c>
      <c r="I557" s="1063">
        <f>(H557/G557)*100</f>
        <v>0</v>
      </c>
      <c r="IV557" s="1165">
        <f>SUM(A557:IU557)</f>
        <v>170</v>
      </c>
    </row>
    <row r="558" spans="1:256" s="1165" customFormat="1" ht="15" hidden="1" x14ac:dyDescent="0.2">
      <c r="A558" s="1187"/>
      <c r="B558" s="1197">
        <v>3299</v>
      </c>
      <c r="C558" s="1197">
        <v>5493</v>
      </c>
      <c r="D558" s="1231"/>
      <c r="E558" s="1220" t="s">
        <v>1595</v>
      </c>
      <c r="F558" s="1221"/>
      <c r="G558" s="1221">
        <f>SUM(G559:G561)</f>
        <v>1158</v>
      </c>
      <c r="H558" s="1221">
        <f>SUM(H559:H561)</f>
        <v>1132</v>
      </c>
      <c r="I558" s="1222">
        <f>(H558/G558)*100</f>
        <v>97.754749568221072</v>
      </c>
      <c r="IV558" s="1177">
        <f>SUM(I558:IU558)</f>
        <v>97.754749568221072</v>
      </c>
    </row>
    <row r="559" spans="1:256" s="1165" customFormat="1" ht="15" hidden="1" x14ac:dyDescent="0.2">
      <c r="A559" s="1187"/>
      <c r="B559" s="1197"/>
      <c r="C559" s="1197"/>
      <c r="D559" s="1726" t="s">
        <v>1079</v>
      </c>
      <c r="E559" s="1727" t="s">
        <v>1593</v>
      </c>
      <c r="F559" s="1221"/>
      <c r="G559" s="1224">
        <v>10</v>
      </c>
      <c r="H559" s="1224">
        <v>10</v>
      </c>
      <c r="I559" s="1234">
        <v>100</v>
      </c>
      <c r="IV559" s="1177"/>
    </row>
    <row r="560" spans="1:256" s="1165" customFormat="1" hidden="1" x14ac:dyDescent="0.2">
      <c r="A560" s="1187"/>
      <c r="B560" s="1197"/>
      <c r="C560" s="1197"/>
      <c r="D560" s="929" t="s">
        <v>1308</v>
      </c>
      <c r="E560" s="1364" t="s">
        <v>1307</v>
      </c>
      <c r="F560" s="1224">
        <v>500</v>
      </c>
      <c r="G560" s="1224">
        <v>48</v>
      </c>
      <c r="H560" s="1224">
        <v>48</v>
      </c>
      <c r="I560" s="1234">
        <v>100</v>
      </c>
      <c r="IV560" s="1177"/>
    </row>
    <row r="561" spans="1:256" s="1165" customFormat="1" ht="15" hidden="1" thickBot="1" x14ac:dyDescent="0.25">
      <c r="A561" s="1187"/>
      <c r="B561" s="1197"/>
      <c r="C561" s="1197"/>
      <c r="D561" s="888" t="s">
        <v>298</v>
      </c>
      <c r="E561" s="936" t="s">
        <v>299</v>
      </c>
      <c r="F561" s="1224">
        <v>1500</v>
      </c>
      <c r="G561" s="1224">
        <v>1100</v>
      </c>
      <c r="H561" s="1224">
        <v>1074</v>
      </c>
      <c r="I561" s="1234">
        <v>100</v>
      </c>
      <c r="IV561" s="1177"/>
    </row>
    <row r="562" spans="1:256" s="1165" customFormat="1" ht="16.5" hidden="1" thickTop="1" thickBot="1" x14ac:dyDescent="0.25">
      <c r="A562" s="3117" t="s">
        <v>1000</v>
      </c>
      <c r="B562" s="3118"/>
      <c r="C562" s="3118"/>
      <c r="D562" s="3118"/>
      <c r="E562" s="3118"/>
      <c r="F562" s="1175">
        <f>F560+F561</f>
        <v>2000</v>
      </c>
      <c r="G562" s="1175">
        <f>SUM(G555,G558)</f>
        <v>1343</v>
      </c>
      <c r="H562" s="1175">
        <f>SUM(H555,H558)</f>
        <v>1147</v>
      </c>
      <c r="I562" s="1176">
        <f>(H562/G562)*100</f>
        <v>85.405807892777361</v>
      </c>
      <c r="K562" s="1177">
        <f>K548+G562</f>
        <v>241318</v>
      </c>
      <c r="L562" s="1177">
        <f>L548+H562</f>
        <v>241122</v>
      </c>
      <c r="IV562" s="1177">
        <f>SUM(IV555:IV557)</f>
        <v>178.1081081081081</v>
      </c>
    </row>
    <row r="563" spans="1:256" ht="15" hidden="1" thickTop="1" x14ac:dyDescent="0.2">
      <c r="K563" s="374">
        <v>235461</v>
      </c>
      <c r="L563" s="374">
        <v>235245</v>
      </c>
    </row>
    <row r="564" spans="1:256" hidden="1" x14ac:dyDescent="0.2">
      <c r="K564" s="374">
        <f>K563-K562</f>
        <v>-5857</v>
      </c>
      <c r="L564" s="374">
        <f>L563-L562</f>
        <v>-5877</v>
      </c>
    </row>
    <row r="565" spans="1:256" ht="15" thickTop="1" x14ac:dyDescent="0.2">
      <c r="P565" s="373">
        <f>P549+P550</f>
        <v>764</v>
      </c>
      <c r="Q565" s="373">
        <f>Q549+Q550</f>
        <v>663</v>
      </c>
    </row>
    <row r="567" spans="1:256" x14ac:dyDescent="0.2">
      <c r="K567" s="2899"/>
      <c r="L567" s="2899"/>
    </row>
    <row r="586" spans="5:5" x14ac:dyDescent="0.2">
      <c r="E586" s="373" t="s">
        <v>473</v>
      </c>
    </row>
  </sheetData>
  <mergeCells count="48">
    <mergeCell ref="A562:E562"/>
    <mergeCell ref="A524:E524"/>
    <mergeCell ref="A440:E440"/>
    <mergeCell ref="A449:E449"/>
    <mergeCell ref="A471:E471"/>
    <mergeCell ref="A484:E484"/>
    <mergeCell ref="A493:E493"/>
    <mergeCell ref="A460:E460"/>
    <mergeCell ref="A532:E532"/>
    <mergeCell ref="A540:E540"/>
    <mergeCell ref="A548:E548"/>
    <mergeCell ref="A501:E501"/>
    <mergeCell ref="A509:E509"/>
    <mergeCell ref="A519:G519"/>
    <mergeCell ref="A517:E517"/>
    <mergeCell ref="A300:E300"/>
    <mergeCell ref="A311:E311"/>
    <mergeCell ref="A383:E383"/>
    <mergeCell ref="A320:E320"/>
    <mergeCell ref="A332:E332"/>
    <mergeCell ref="A194:E194"/>
    <mergeCell ref="A210:E210"/>
    <mergeCell ref="A224:E224"/>
    <mergeCell ref="A243:E243"/>
    <mergeCell ref="A290:E290"/>
    <mergeCell ref="E271:E272"/>
    <mergeCell ref="A400:E400"/>
    <mergeCell ref="A412:E412"/>
    <mergeCell ref="A341:E341"/>
    <mergeCell ref="A423:E423"/>
    <mergeCell ref="A432:E432"/>
    <mergeCell ref="A351:E351"/>
    <mergeCell ref="A13:E13"/>
    <mergeCell ref="A369:E369"/>
    <mergeCell ref="A360:E360"/>
    <mergeCell ref="A259:E259"/>
    <mergeCell ref="A277:E277"/>
    <mergeCell ref="A24:E24"/>
    <mergeCell ref="A36:E36"/>
    <mergeCell ref="A48:E48"/>
    <mergeCell ref="A59:E59"/>
    <mergeCell ref="A75:E75"/>
    <mergeCell ref="A84:E84"/>
    <mergeCell ref="A96:E96"/>
    <mergeCell ref="A119:E119"/>
    <mergeCell ref="A141:E141"/>
    <mergeCell ref="A156:E156"/>
    <mergeCell ref="A176:E176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7" firstPageNumber="76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  <rowBreaks count="2" manualBreakCount="2">
    <brk id="130" max="8" man="1"/>
    <brk id="194" max="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U683"/>
  <sheetViews>
    <sheetView showGridLines="0" tabSelected="1" view="pageBreakPreview" zoomScaleNormal="100" zoomScaleSheetLayoutView="100" workbookViewId="0">
      <selection activeCell="J23" sqref="J23"/>
    </sheetView>
  </sheetViews>
  <sheetFormatPr defaultColWidth="9.140625" defaultRowHeight="14.25" x14ac:dyDescent="0.2"/>
  <cols>
    <col min="1" max="1" width="5" style="2121" customWidth="1"/>
    <col min="2" max="2" width="5.28515625" style="2121" customWidth="1"/>
    <col min="3" max="3" width="8.7109375" style="2120" customWidth="1"/>
    <col min="4" max="4" width="44.28515625" style="1249" customWidth="1"/>
    <col min="5" max="5" width="14.85546875" style="2119" customWidth="1"/>
    <col min="6" max="6" width="14.140625" style="2119" customWidth="1"/>
    <col min="7" max="7" width="15.5703125" style="2119" customWidth="1"/>
    <col min="8" max="8" width="8.140625" style="2118" customWidth="1"/>
    <col min="9" max="9" width="9.140625" style="1249"/>
    <col min="10" max="10" width="17.85546875" style="1249" bestFit="1" customWidth="1"/>
    <col min="11" max="11" width="16" style="1249" customWidth="1"/>
    <col min="12" max="12" width="15.5703125" style="1249" customWidth="1"/>
    <col min="13" max="13" width="10.42578125" style="1249" customWidth="1"/>
    <col min="14" max="14" width="17.85546875" style="1249" bestFit="1" customWidth="1"/>
    <col min="15" max="15" width="20.28515625" style="1249" customWidth="1"/>
    <col min="16" max="16384" width="9.140625" style="1249"/>
  </cols>
  <sheetData>
    <row r="1" spans="1:9" s="2318" customFormat="1" ht="18.75" thickBot="1" x14ac:dyDescent="0.3">
      <c r="A1" s="2324" t="s">
        <v>794</v>
      </c>
      <c r="B1" s="2323"/>
      <c r="C1" s="2322"/>
      <c r="D1" s="2321"/>
      <c r="E1" s="2320"/>
      <c r="F1" s="2319" t="s">
        <v>801</v>
      </c>
      <c r="G1" s="2205"/>
      <c r="H1" s="2204"/>
    </row>
    <row r="2" spans="1:9" x14ac:dyDescent="0.2">
      <c r="A2" s="2156"/>
    </row>
    <row r="3" spans="1:9" s="2141" customFormat="1" x14ac:dyDescent="0.2">
      <c r="A3" s="2317" t="s">
        <v>336</v>
      </c>
      <c r="B3" s="2316"/>
      <c r="C3" s="2315" t="s">
        <v>1884</v>
      </c>
      <c r="E3" s="2119"/>
      <c r="F3" s="2119"/>
      <c r="G3" s="2119"/>
      <c r="H3" s="2118"/>
    </row>
    <row r="4" spans="1:9" x14ac:dyDescent="0.2">
      <c r="A4" s="2156"/>
      <c r="C4" s="2315" t="s">
        <v>1449</v>
      </c>
    </row>
    <row r="5" spans="1:9" x14ac:dyDescent="0.2">
      <c r="A5" s="2156"/>
      <c r="C5" s="2314"/>
    </row>
    <row r="6" spans="1:9" x14ac:dyDescent="0.2">
      <c r="A6" s="2156"/>
      <c r="C6" s="2314"/>
    </row>
    <row r="7" spans="1:9" s="2163" customFormat="1" ht="15.75" x14ac:dyDescent="0.25">
      <c r="A7" s="2245" t="s">
        <v>799</v>
      </c>
      <c r="B7" s="2212"/>
      <c r="C7" s="2211"/>
      <c r="E7" s="2205"/>
      <c r="F7" s="2205"/>
      <c r="G7" s="2205"/>
      <c r="H7" s="2204"/>
    </row>
    <row r="9" spans="1:9" ht="15" thickBot="1" x14ac:dyDescent="0.25">
      <c r="H9" s="2203" t="s">
        <v>148</v>
      </c>
    </row>
    <row r="10" spans="1:9" s="1298" customFormat="1" ht="20.25" customHeight="1" thickTop="1" thickBot="1" x14ac:dyDescent="0.25">
      <c r="A10" s="1302" t="s">
        <v>149</v>
      </c>
      <c r="B10" s="1301" t="s">
        <v>150</v>
      </c>
      <c r="C10" s="2263" t="s">
        <v>639</v>
      </c>
      <c r="D10" s="1324" t="s">
        <v>151</v>
      </c>
      <c r="E10" s="1324" t="s">
        <v>569</v>
      </c>
      <c r="F10" s="1324" t="s">
        <v>570</v>
      </c>
      <c r="G10" s="1324" t="s">
        <v>797</v>
      </c>
      <c r="H10" s="2262" t="s">
        <v>798</v>
      </c>
    </row>
    <row r="11" spans="1:9" s="1292" customFormat="1" ht="13.5" thickTop="1" thickBot="1" x14ac:dyDescent="0.25">
      <c r="A11" s="1297">
        <v>1</v>
      </c>
      <c r="B11" s="1296">
        <v>2</v>
      </c>
      <c r="C11" s="1296">
        <v>3</v>
      </c>
      <c r="D11" s="1296">
        <v>4</v>
      </c>
      <c r="E11" s="1296">
        <v>5</v>
      </c>
      <c r="F11" s="1295">
        <v>6</v>
      </c>
      <c r="G11" s="1295">
        <v>7</v>
      </c>
      <c r="H11" s="1294" t="s">
        <v>54</v>
      </c>
      <c r="I11" s="1298"/>
    </row>
    <row r="12" spans="1:9" s="1292" customFormat="1" ht="15.75" thickTop="1" x14ac:dyDescent="0.25">
      <c r="A12" s="2281">
        <v>4324</v>
      </c>
      <c r="B12" s="1280">
        <v>5222</v>
      </c>
      <c r="C12" s="2313"/>
      <c r="D12" s="2294" t="s">
        <v>300</v>
      </c>
      <c r="E12" s="1288"/>
      <c r="F12" s="1284">
        <v>7650</v>
      </c>
      <c r="G12" s="1283">
        <v>7427</v>
      </c>
      <c r="H12" s="1313">
        <f>(G12/F12)*100</f>
        <v>97.084967320261441</v>
      </c>
      <c r="I12" s="1298"/>
    </row>
    <row r="13" spans="1:9" s="1292" customFormat="1" ht="15" x14ac:dyDescent="0.25">
      <c r="A13" s="2281"/>
      <c r="B13" s="1280"/>
      <c r="C13" s="2182" t="s">
        <v>522</v>
      </c>
      <c r="D13" s="3143" t="s">
        <v>523</v>
      </c>
      <c r="E13" s="1288"/>
      <c r="F13" s="1275">
        <v>7650</v>
      </c>
      <c r="G13" s="1274">
        <v>7427</v>
      </c>
      <c r="H13" s="1316">
        <f>(G13/F13)*100</f>
        <v>97.084967320261441</v>
      </c>
      <c r="I13" s="1298"/>
    </row>
    <row r="14" spans="1:9" s="1292" customFormat="1" ht="15" x14ac:dyDescent="0.25">
      <c r="A14" s="2281"/>
      <c r="B14" s="1280"/>
      <c r="C14" s="2182"/>
      <c r="D14" s="3143"/>
      <c r="E14" s="1288"/>
      <c r="F14" s="1284"/>
      <c r="G14" s="1283"/>
      <c r="H14" s="1313"/>
      <c r="I14" s="1298"/>
    </row>
    <row r="15" spans="1:9" s="2272" customFormat="1" ht="15" x14ac:dyDescent="0.25">
      <c r="A15" s="2281">
        <v>4339</v>
      </c>
      <c r="B15" s="1280">
        <v>5169</v>
      </c>
      <c r="C15" s="2313"/>
      <c r="D15" s="2309" t="s">
        <v>769</v>
      </c>
      <c r="E15" s="1288">
        <v>590</v>
      </c>
      <c r="F15" s="1284">
        <v>590</v>
      </c>
      <c r="G15" s="1283">
        <v>586</v>
      </c>
      <c r="H15" s="1313">
        <f t="shared" ref="H15:H23" si="0">(G15/F15)*100</f>
        <v>99.322033898305079</v>
      </c>
    </row>
    <row r="16" spans="1:9" s="2272" customFormat="1" ht="15" x14ac:dyDescent="0.25">
      <c r="A16" s="2281">
        <v>4349</v>
      </c>
      <c r="B16" s="1280">
        <v>5139</v>
      </c>
      <c r="C16" s="2313"/>
      <c r="D16" s="2309" t="s">
        <v>1614</v>
      </c>
      <c r="E16" s="1288"/>
      <c r="F16" s="1283">
        <f>F17+F18</f>
        <v>85</v>
      </c>
      <c r="G16" s="1283">
        <f>G17+G18</f>
        <v>85</v>
      </c>
      <c r="H16" s="1313">
        <f t="shared" si="0"/>
        <v>100</v>
      </c>
    </row>
    <row r="17" spans="1:21" s="2272" customFormat="1" ht="15" x14ac:dyDescent="0.25">
      <c r="A17" s="2281"/>
      <c r="B17" s="1280"/>
      <c r="C17" s="1277" t="s">
        <v>1451</v>
      </c>
      <c r="D17" s="2300" t="s">
        <v>1452</v>
      </c>
      <c r="E17" s="1288"/>
      <c r="F17" s="1275">
        <v>30</v>
      </c>
      <c r="G17" s="1274">
        <v>30</v>
      </c>
      <c r="H17" s="1316">
        <f t="shared" si="0"/>
        <v>100</v>
      </c>
    </row>
    <row r="18" spans="1:21" s="2272" customFormat="1" ht="15" x14ac:dyDescent="0.25">
      <c r="A18" s="2281"/>
      <c r="B18" s="1280"/>
      <c r="C18" s="2256" t="s">
        <v>1631</v>
      </c>
      <c r="D18" s="2300" t="s">
        <v>1632</v>
      </c>
      <c r="E18" s="1288"/>
      <c r="F18" s="1275">
        <v>55</v>
      </c>
      <c r="G18" s="1274">
        <v>55</v>
      </c>
      <c r="H18" s="1316">
        <f t="shared" si="0"/>
        <v>100</v>
      </c>
    </row>
    <row r="19" spans="1:21" s="2272" customFormat="1" ht="15" x14ac:dyDescent="0.25">
      <c r="A19" s="2281">
        <v>4349</v>
      </c>
      <c r="B19" s="1280">
        <v>5164</v>
      </c>
      <c r="C19" s="2256"/>
      <c r="D19" s="2309" t="s">
        <v>157</v>
      </c>
      <c r="E19" s="1288"/>
      <c r="F19" s="1283">
        <f>F20+F21</f>
        <v>136</v>
      </c>
      <c r="G19" s="1283">
        <f>G20+G21</f>
        <v>136</v>
      </c>
      <c r="H19" s="1313">
        <f t="shared" si="0"/>
        <v>100</v>
      </c>
    </row>
    <row r="20" spans="1:21" s="2272" customFormat="1" ht="15" x14ac:dyDescent="0.25">
      <c r="A20" s="2281"/>
      <c r="B20" s="1280"/>
      <c r="C20" s="1277" t="s">
        <v>1451</v>
      </c>
      <c r="D20" s="2300" t="s">
        <v>1452</v>
      </c>
      <c r="E20" s="1288"/>
      <c r="F20" s="1275">
        <v>19</v>
      </c>
      <c r="G20" s="1274">
        <v>19</v>
      </c>
      <c r="H20" s="1316">
        <f t="shared" si="0"/>
        <v>100</v>
      </c>
    </row>
    <row r="21" spans="1:21" s="2272" customFormat="1" ht="15" x14ac:dyDescent="0.25">
      <c r="A21" s="2281"/>
      <c r="B21" s="1280"/>
      <c r="C21" s="2256" t="s">
        <v>1631</v>
      </c>
      <c r="D21" s="2300" t="s">
        <v>1632</v>
      </c>
      <c r="E21" s="1288"/>
      <c r="F21" s="1275">
        <v>117</v>
      </c>
      <c r="G21" s="1274">
        <v>117</v>
      </c>
      <c r="H21" s="1316">
        <f t="shared" si="0"/>
        <v>100</v>
      </c>
    </row>
    <row r="22" spans="1:21" s="2272" customFormat="1" ht="15" x14ac:dyDescent="0.25">
      <c r="A22" s="2281">
        <v>4349</v>
      </c>
      <c r="B22" s="2287">
        <v>5169</v>
      </c>
      <c r="C22" s="2313"/>
      <c r="D22" s="2309" t="s">
        <v>769</v>
      </c>
      <c r="E22" s="1288">
        <f>E23+E24</f>
        <v>330</v>
      </c>
      <c r="F22" s="1288">
        <f>F23+F24+F25</f>
        <v>158</v>
      </c>
      <c r="G22" s="1288">
        <f>G23+G24+G25</f>
        <v>98</v>
      </c>
      <c r="H22" s="1313">
        <f t="shared" si="0"/>
        <v>62.025316455696199</v>
      </c>
    </row>
    <row r="23" spans="1:21" s="2312" customFormat="1" x14ac:dyDescent="0.2">
      <c r="A23" s="2281"/>
      <c r="B23" s="1280"/>
      <c r="C23" s="1281" t="s">
        <v>681</v>
      </c>
      <c r="D23" s="1287" t="s">
        <v>1127</v>
      </c>
      <c r="E23" s="1276">
        <v>200</v>
      </c>
      <c r="F23" s="1275">
        <v>132</v>
      </c>
      <c r="G23" s="1274">
        <v>72</v>
      </c>
      <c r="H23" s="1316">
        <f t="shared" si="0"/>
        <v>54.54545454545454</v>
      </c>
    </row>
    <row r="24" spans="1:21" s="2312" customFormat="1" x14ac:dyDescent="0.2">
      <c r="A24" s="2281"/>
      <c r="B24" s="1280"/>
      <c r="C24" s="1277" t="s">
        <v>1451</v>
      </c>
      <c r="D24" s="2300" t="s">
        <v>1452</v>
      </c>
      <c r="E24" s="1276">
        <v>130</v>
      </c>
      <c r="F24" s="1275">
        <v>0</v>
      </c>
      <c r="G24" s="1274">
        <v>0</v>
      </c>
      <c r="H24" s="1316">
        <v>0</v>
      </c>
    </row>
    <row r="25" spans="1:21" s="2312" customFormat="1" x14ac:dyDescent="0.2">
      <c r="A25" s="2281"/>
      <c r="B25" s="1280"/>
      <c r="C25" s="2256" t="s">
        <v>1631</v>
      </c>
      <c r="D25" s="2300" t="s">
        <v>1632</v>
      </c>
      <c r="E25" s="1276"/>
      <c r="F25" s="1275">
        <v>26</v>
      </c>
      <c r="G25" s="1274">
        <v>26</v>
      </c>
      <c r="H25" s="1316">
        <f>(G25/F25)*100</f>
        <v>100</v>
      </c>
    </row>
    <row r="26" spans="1:21" s="2312" customFormat="1" ht="15" x14ac:dyDescent="0.25">
      <c r="A26" s="2281">
        <v>4349</v>
      </c>
      <c r="B26" s="1280">
        <v>5213</v>
      </c>
      <c r="C26" s="2256"/>
      <c r="D26" s="2297" t="s">
        <v>301</v>
      </c>
      <c r="E26" s="1288">
        <v>250</v>
      </c>
      <c r="F26" s="1284">
        <v>250</v>
      </c>
      <c r="G26" s="1283">
        <v>250</v>
      </c>
      <c r="H26" s="1313">
        <f>(G26/F26)*100</f>
        <v>100</v>
      </c>
    </row>
    <row r="27" spans="1:21" s="2312" customFormat="1" x14ac:dyDescent="0.2">
      <c r="A27" s="2281"/>
      <c r="B27" s="1280"/>
      <c r="C27" s="1286" t="s">
        <v>228</v>
      </c>
      <c r="D27" s="1287" t="s">
        <v>292</v>
      </c>
      <c r="E27" s="1276">
        <v>250</v>
      </c>
      <c r="F27" s="1275">
        <v>250</v>
      </c>
      <c r="G27" s="1274">
        <v>250</v>
      </c>
      <c r="H27" s="1316">
        <f>(G27/F27)*100</f>
        <v>100</v>
      </c>
    </row>
    <row r="28" spans="1:21" s="2272" customFormat="1" ht="15" x14ac:dyDescent="0.25">
      <c r="A28" s="2288">
        <v>4349</v>
      </c>
      <c r="B28" s="2287">
        <v>5221</v>
      </c>
      <c r="C28" s="2310"/>
      <c r="D28" s="3142" t="s">
        <v>626</v>
      </c>
      <c r="E28" s="2293">
        <v>550</v>
      </c>
      <c r="F28" s="1283">
        <f>F30+F31+F33</f>
        <v>4681</v>
      </c>
      <c r="G28" s="1283">
        <f>G30+G31+G33</f>
        <v>4681</v>
      </c>
      <c r="H28" s="1313">
        <f>(G28/F28)*100</f>
        <v>100</v>
      </c>
      <c r="I28" s="2271"/>
      <c r="J28" s="2271"/>
      <c r="K28" s="2271"/>
      <c r="L28" s="2271"/>
      <c r="M28" s="2271"/>
      <c r="N28" s="2271"/>
      <c r="O28" s="2271"/>
      <c r="P28" s="2271"/>
      <c r="Q28" s="2271"/>
      <c r="R28" s="2271"/>
      <c r="S28" s="2271"/>
      <c r="T28" s="2271"/>
      <c r="U28" s="2271"/>
    </row>
    <row r="29" spans="1:21" s="2312" customFormat="1" x14ac:dyDescent="0.2">
      <c r="A29" s="2288"/>
      <c r="B29" s="2287"/>
      <c r="C29" s="1277"/>
      <c r="D29" s="3142"/>
      <c r="E29" s="2286"/>
      <c r="F29" s="1275"/>
      <c r="G29" s="1274"/>
      <c r="H29" s="1316"/>
      <c r="I29" s="2283"/>
      <c r="J29" s="2283"/>
      <c r="K29" s="2283"/>
      <c r="L29" s="2283"/>
      <c r="M29" s="2283"/>
      <c r="N29" s="2283"/>
      <c r="O29" s="2283"/>
      <c r="P29" s="2283"/>
      <c r="Q29" s="2283"/>
      <c r="R29" s="2283"/>
      <c r="S29" s="2283"/>
      <c r="T29" s="2283"/>
      <c r="U29" s="2283"/>
    </row>
    <row r="30" spans="1:21" s="2312" customFormat="1" x14ac:dyDescent="0.2">
      <c r="A30" s="2288"/>
      <c r="B30" s="2287"/>
      <c r="C30" s="1286" t="s">
        <v>228</v>
      </c>
      <c r="D30" s="1287" t="s">
        <v>292</v>
      </c>
      <c r="E30" s="2286">
        <v>550</v>
      </c>
      <c r="F30" s="1275">
        <v>550</v>
      </c>
      <c r="G30" s="1274">
        <v>550</v>
      </c>
      <c r="H30" s="1316">
        <f>(G30/F30)*100</f>
        <v>100</v>
      </c>
      <c r="I30" s="2283"/>
      <c r="J30" s="2283"/>
      <c r="K30" s="2283"/>
      <c r="L30" s="2283"/>
      <c r="M30" s="2283"/>
      <c r="N30" s="2283"/>
      <c r="O30" s="2283"/>
      <c r="P30" s="2283"/>
      <c r="Q30" s="2283"/>
      <c r="R30" s="2283"/>
      <c r="S30" s="2283"/>
      <c r="T30" s="2283"/>
      <c r="U30" s="2283"/>
    </row>
    <row r="31" spans="1:21" s="2312" customFormat="1" x14ac:dyDescent="0.2">
      <c r="A31" s="2288"/>
      <c r="B31" s="2287"/>
      <c r="C31" s="1277" t="s">
        <v>60</v>
      </c>
      <c r="D31" s="3144" t="s">
        <v>1883</v>
      </c>
      <c r="E31" s="2286"/>
      <c r="F31" s="1275">
        <v>90</v>
      </c>
      <c r="G31" s="1274">
        <v>90</v>
      </c>
      <c r="H31" s="1316">
        <f>(G31/F31)*100</f>
        <v>100</v>
      </c>
      <c r="I31" s="2283"/>
      <c r="J31" s="2283"/>
      <c r="K31" s="2283"/>
      <c r="L31" s="2283"/>
      <c r="M31" s="2283"/>
      <c r="N31" s="2283"/>
      <c r="O31" s="2283"/>
      <c r="P31" s="2283"/>
      <c r="Q31" s="2283"/>
      <c r="R31" s="2283"/>
      <c r="S31" s="2283"/>
      <c r="T31" s="2283"/>
      <c r="U31" s="2283"/>
    </row>
    <row r="32" spans="1:21" s="2312" customFormat="1" x14ac:dyDescent="0.2">
      <c r="A32" s="2288"/>
      <c r="B32" s="2287"/>
      <c r="C32" s="1277"/>
      <c r="D32" s="3144"/>
      <c r="E32" s="2286"/>
      <c r="F32" s="1275"/>
      <c r="G32" s="1274"/>
      <c r="H32" s="1316"/>
      <c r="I32" s="2283"/>
      <c r="J32" s="2283"/>
      <c r="K32" s="2283"/>
      <c r="L32" s="2283"/>
      <c r="M32" s="2283"/>
      <c r="N32" s="2283"/>
      <c r="O32" s="2283"/>
      <c r="P32" s="2283"/>
      <c r="Q32" s="2283"/>
      <c r="R32" s="2283"/>
      <c r="S32" s="2283"/>
      <c r="T32" s="2283"/>
      <c r="U32" s="2283"/>
    </row>
    <row r="33" spans="1:21" s="2312" customFormat="1" x14ac:dyDescent="0.2">
      <c r="A33" s="2288"/>
      <c r="B33" s="2287"/>
      <c r="C33" s="1277" t="s">
        <v>1882</v>
      </c>
      <c r="D33" s="3145" t="s">
        <v>1881</v>
      </c>
      <c r="E33" s="2286"/>
      <c r="F33" s="1275">
        <v>4041</v>
      </c>
      <c r="G33" s="1274">
        <v>4041</v>
      </c>
      <c r="H33" s="1316">
        <f>(G33/F33)*100</f>
        <v>100</v>
      </c>
      <c r="I33" s="2283"/>
      <c r="J33" s="2283"/>
      <c r="K33" s="2283"/>
      <c r="L33" s="2283"/>
      <c r="M33" s="2283"/>
      <c r="N33" s="2283"/>
      <c r="O33" s="2283"/>
      <c r="P33" s="2283"/>
      <c r="Q33" s="2283"/>
      <c r="R33" s="2283"/>
      <c r="S33" s="2283"/>
      <c r="T33" s="2283"/>
      <c r="U33" s="2283"/>
    </row>
    <row r="34" spans="1:21" s="2312" customFormat="1" x14ac:dyDescent="0.2">
      <c r="A34" s="2288"/>
      <c r="B34" s="2287"/>
      <c r="C34" s="1277"/>
      <c r="D34" s="3144"/>
      <c r="E34" s="2286"/>
      <c r="F34" s="1275"/>
      <c r="G34" s="1274"/>
      <c r="H34" s="1316"/>
      <c r="I34" s="2283"/>
      <c r="J34" s="2283"/>
      <c r="K34" s="2283"/>
      <c r="L34" s="2283"/>
      <c r="M34" s="2283"/>
      <c r="N34" s="2283"/>
      <c r="O34" s="2283"/>
      <c r="P34" s="2283"/>
      <c r="Q34" s="2283"/>
      <c r="R34" s="2283"/>
      <c r="S34" s="2283"/>
      <c r="T34" s="2283"/>
      <c r="U34" s="2283"/>
    </row>
    <row r="35" spans="1:21" s="2272" customFormat="1" ht="15" x14ac:dyDescent="0.25">
      <c r="A35" s="2288">
        <v>4349</v>
      </c>
      <c r="B35" s="2287">
        <v>5222</v>
      </c>
      <c r="C35" s="2310"/>
      <c r="D35" s="2294" t="s">
        <v>300</v>
      </c>
      <c r="E35" s="2293">
        <v>300</v>
      </c>
      <c r="F35" s="1283">
        <f>F37+F39+F36</f>
        <v>4783</v>
      </c>
      <c r="G35" s="1283">
        <f>G37+G39+G36</f>
        <v>4783</v>
      </c>
      <c r="H35" s="1313">
        <f>(G35/F35)*100</f>
        <v>100</v>
      </c>
      <c r="I35" s="2271"/>
      <c r="J35" s="2271"/>
      <c r="K35" s="2271"/>
      <c r="L35" s="2271"/>
      <c r="M35" s="2271"/>
      <c r="N35" s="2271"/>
      <c r="O35" s="2271"/>
      <c r="P35" s="2271"/>
      <c r="Q35" s="2271"/>
      <c r="R35" s="2271"/>
      <c r="S35" s="2271"/>
      <c r="T35" s="2271"/>
      <c r="U35" s="2271"/>
    </row>
    <row r="36" spans="1:21" s="2272" customFormat="1" x14ac:dyDescent="0.2">
      <c r="A36" s="2288"/>
      <c r="B36" s="2287"/>
      <c r="C36" s="1286" t="s">
        <v>228</v>
      </c>
      <c r="D36" s="1287" t="s">
        <v>292</v>
      </c>
      <c r="E36" s="2286">
        <v>300</v>
      </c>
      <c r="F36" s="1275">
        <v>300</v>
      </c>
      <c r="G36" s="1274">
        <v>300</v>
      </c>
      <c r="H36" s="1316">
        <f>(G36/F36)*100</f>
        <v>100</v>
      </c>
      <c r="I36" s="2271"/>
      <c r="J36" s="2271"/>
      <c r="K36" s="2271"/>
      <c r="L36" s="2271"/>
      <c r="M36" s="2271"/>
      <c r="N36" s="2271"/>
      <c r="O36" s="2271"/>
      <c r="P36" s="2271"/>
      <c r="Q36" s="2271"/>
      <c r="R36" s="2271"/>
      <c r="S36" s="2271"/>
      <c r="T36" s="2271"/>
      <c r="U36" s="2271"/>
    </row>
    <row r="37" spans="1:21" s="2312" customFormat="1" ht="13.9" customHeight="1" x14ac:dyDescent="0.2">
      <c r="A37" s="2288"/>
      <c r="B37" s="2287"/>
      <c r="C37" s="1277" t="s">
        <v>60</v>
      </c>
      <c r="D37" s="3144" t="s">
        <v>1883</v>
      </c>
      <c r="E37" s="2286"/>
      <c r="F37" s="1275">
        <v>30</v>
      </c>
      <c r="G37" s="1274">
        <v>30</v>
      </c>
      <c r="H37" s="1316">
        <f>(G37/F37)*100</f>
        <v>100</v>
      </c>
      <c r="I37" s="2283"/>
      <c r="J37" s="2283"/>
      <c r="K37" s="2283"/>
      <c r="L37" s="2283"/>
      <c r="M37" s="2283"/>
      <c r="N37" s="2283"/>
      <c r="O37" s="2283"/>
      <c r="P37" s="2283"/>
      <c r="Q37" s="2283"/>
      <c r="R37" s="2283"/>
      <c r="S37" s="2283"/>
      <c r="T37" s="2283"/>
      <c r="U37" s="2283"/>
    </row>
    <row r="38" spans="1:21" s="2312" customFormat="1" x14ac:dyDescent="0.2">
      <c r="A38" s="2288"/>
      <c r="B38" s="2287"/>
      <c r="C38" s="1277"/>
      <c r="D38" s="3144"/>
      <c r="E38" s="2286"/>
      <c r="F38" s="1275"/>
      <c r="G38" s="1274"/>
      <c r="H38" s="1316"/>
      <c r="I38" s="2283"/>
      <c r="J38" s="2283"/>
      <c r="K38" s="2283"/>
      <c r="L38" s="2283"/>
      <c r="M38" s="2283"/>
      <c r="N38" s="2283"/>
      <c r="O38" s="2283"/>
      <c r="P38" s="2283"/>
      <c r="Q38" s="2283"/>
      <c r="R38" s="2283"/>
      <c r="S38" s="2283"/>
      <c r="T38" s="2283"/>
      <c r="U38" s="2283"/>
    </row>
    <row r="39" spans="1:21" s="2312" customFormat="1" ht="13.9" customHeight="1" x14ac:dyDescent="0.2">
      <c r="A39" s="2288"/>
      <c r="B39" s="2287"/>
      <c r="C39" s="1277" t="s">
        <v>1882</v>
      </c>
      <c r="D39" s="3145" t="s">
        <v>1881</v>
      </c>
      <c r="E39" s="2286"/>
      <c r="F39" s="1275">
        <v>4453</v>
      </c>
      <c r="G39" s="1274">
        <v>4453</v>
      </c>
      <c r="H39" s="1316">
        <f>(G39/F39)*100</f>
        <v>100</v>
      </c>
      <c r="I39" s="2283"/>
      <c r="J39" s="2283"/>
      <c r="K39" s="2283"/>
      <c r="L39" s="2283"/>
      <c r="M39" s="2283"/>
      <c r="N39" s="2283"/>
      <c r="O39" s="2283"/>
      <c r="P39" s="2283"/>
      <c r="Q39" s="2283"/>
      <c r="R39" s="2283"/>
      <c r="S39" s="2283"/>
      <c r="T39" s="2283"/>
      <c r="U39" s="2283"/>
    </row>
    <row r="40" spans="1:21" s="2312" customFormat="1" x14ac:dyDescent="0.2">
      <c r="A40" s="2288"/>
      <c r="B40" s="2287"/>
      <c r="C40" s="1277"/>
      <c r="D40" s="3144"/>
      <c r="E40" s="2286"/>
      <c r="F40" s="1275"/>
      <c r="G40" s="1274"/>
      <c r="H40" s="1316"/>
      <c r="I40" s="2283"/>
      <c r="J40" s="2283"/>
      <c r="K40" s="2283"/>
      <c r="L40" s="2283"/>
      <c r="M40" s="2283"/>
      <c r="N40" s="2283"/>
      <c r="O40" s="2283"/>
      <c r="P40" s="2283"/>
      <c r="Q40" s="2283"/>
      <c r="R40" s="2283"/>
      <c r="S40" s="2283"/>
      <c r="T40" s="2283"/>
      <c r="U40" s="2283"/>
    </row>
    <row r="41" spans="1:21" s="2272" customFormat="1" ht="15" x14ac:dyDescent="0.25">
      <c r="A41" s="2288">
        <v>4349</v>
      </c>
      <c r="B41" s="2287">
        <v>5223</v>
      </c>
      <c r="C41" s="2310"/>
      <c r="D41" s="1327" t="s">
        <v>1114</v>
      </c>
      <c r="E41" s="2293"/>
      <c r="F41" s="1283">
        <f>F42+F44</f>
        <v>5853</v>
      </c>
      <c r="G41" s="1283">
        <f>G42+G44</f>
        <v>5853</v>
      </c>
      <c r="H41" s="1313">
        <f>(G41/F41)*100</f>
        <v>100</v>
      </c>
      <c r="I41" s="2271"/>
      <c r="J41" s="2271"/>
      <c r="K41" s="2271"/>
      <c r="L41" s="2271"/>
      <c r="M41" s="2271"/>
      <c r="N41" s="2271"/>
      <c r="O41" s="2271"/>
      <c r="P41" s="2271"/>
      <c r="Q41" s="2271"/>
      <c r="R41" s="2271"/>
      <c r="S41" s="2271"/>
      <c r="T41" s="2271"/>
      <c r="U41" s="2271"/>
    </row>
    <row r="42" spans="1:21" s="2312" customFormat="1" ht="13.9" customHeight="1" x14ac:dyDescent="0.2">
      <c r="A42" s="2288"/>
      <c r="B42" s="2287"/>
      <c r="C42" s="1277" t="s">
        <v>60</v>
      </c>
      <c r="D42" s="3144" t="s">
        <v>1883</v>
      </c>
      <c r="E42" s="2286"/>
      <c r="F42" s="1275">
        <v>30</v>
      </c>
      <c r="G42" s="1274">
        <v>30</v>
      </c>
      <c r="H42" s="1316">
        <f>(G42/F42)*100</f>
        <v>100</v>
      </c>
      <c r="I42" s="2283"/>
      <c r="J42" s="2283"/>
      <c r="K42" s="2283"/>
      <c r="L42" s="2283"/>
      <c r="M42" s="2283"/>
      <c r="N42" s="2283"/>
      <c r="O42" s="2283"/>
      <c r="P42" s="2283"/>
      <c r="Q42" s="2283"/>
      <c r="R42" s="2283"/>
      <c r="S42" s="2283"/>
      <c r="T42" s="2283"/>
      <c r="U42" s="2283"/>
    </row>
    <row r="43" spans="1:21" s="2312" customFormat="1" x14ac:dyDescent="0.2">
      <c r="A43" s="2288"/>
      <c r="B43" s="2287"/>
      <c r="C43" s="1277"/>
      <c r="D43" s="3144"/>
      <c r="E43" s="2286"/>
      <c r="F43" s="1275"/>
      <c r="G43" s="1274"/>
      <c r="H43" s="1316"/>
      <c r="I43" s="2283"/>
      <c r="J43" s="2283"/>
      <c r="K43" s="2283"/>
      <c r="L43" s="2283"/>
      <c r="M43" s="2283"/>
      <c r="N43" s="2283"/>
      <c r="O43" s="2283"/>
      <c r="P43" s="2283"/>
      <c r="Q43" s="2283"/>
      <c r="R43" s="2283"/>
      <c r="S43" s="2283"/>
      <c r="T43" s="2283"/>
      <c r="U43" s="2283"/>
    </row>
    <row r="44" spans="1:21" s="2312" customFormat="1" ht="13.9" customHeight="1" x14ac:dyDescent="0.2">
      <c r="A44" s="2288"/>
      <c r="B44" s="2287"/>
      <c r="C44" s="1277" t="s">
        <v>1882</v>
      </c>
      <c r="D44" s="3145" t="s">
        <v>1881</v>
      </c>
      <c r="E44" s="2286"/>
      <c r="F44" s="1275">
        <v>5823</v>
      </c>
      <c r="G44" s="1274">
        <v>5823</v>
      </c>
      <c r="H44" s="1316">
        <f>(G44/F44)*100</f>
        <v>100</v>
      </c>
      <c r="I44" s="2283"/>
      <c r="J44" s="2283"/>
      <c r="K44" s="2283"/>
      <c r="L44" s="2283"/>
      <c r="M44" s="2283"/>
      <c r="N44" s="2283"/>
      <c r="O44" s="2283"/>
      <c r="P44" s="2283"/>
      <c r="Q44" s="2283"/>
      <c r="R44" s="2283"/>
      <c r="S44" s="2283"/>
      <c r="T44" s="2283"/>
      <c r="U44" s="2283"/>
    </row>
    <row r="45" spans="1:21" s="2312" customFormat="1" x14ac:dyDescent="0.2">
      <c r="A45" s="2288"/>
      <c r="B45" s="2287"/>
      <c r="C45" s="1277"/>
      <c r="D45" s="3144"/>
      <c r="E45" s="2286"/>
      <c r="F45" s="1275"/>
      <c r="G45" s="1274"/>
      <c r="H45" s="1316"/>
      <c r="I45" s="2283"/>
      <c r="J45" s="2283"/>
      <c r="K45" s="2283"/>
      <c r="L45" s="2283"/>
      <c r="M45" s="2283"/>
      <c r="N45" s="2283"/>
      <c r="O45" s="2283"/>
      <c r="P45" s="2283"/>
      <c r="Q45" s="2283"/>
      <c r="R45" s="2283"/>
      <c r="S45" s="2283"/>
      <c r="T45" s="2283"/>
      <c r="U45" s="2283"/>
    </row>
    <row r="46" spans="1:21" s="2272" customFormat="1" ht="12.75" customHeight="1" x14ac:dyDescent="0.25">
      <c r="A46" s="2288">
        <v>4349</v>
      </c>
      <c r="B46" s="2287">
        <v>5229</v>
      </c>
      <c r="C46" s="2310"/>
      <c r="D46" s="1327" t="s">
        <v>61</v>
      </c>
      <c r="E46" s="2293">
        <f>E47+E49+E51</f>
        <v>15950</v>
      </c>
      <c r="F46" s="1283">
        <f>F47+F49+F51+F53</f>
        <v>603</v>
      </c>
      <c r="G46" s="1283">
        <f>G47+G49+G51+G53</f>
        <v>603</v>
      </c>
      <c r="H46" s="1313">
        <f>(G46/F46)*100</f>
        <v>100</v>
      </c>
      <c r="I46" s="2271"/>
      <c r="J46" s="2271"/>
      <c r="K46" s="2271"/>
      <c r="L46" s="2271"/>
      <c r="M46" s="2271"/>
      <c r="N46" s="2271"/>
      <c r="O46" s="2271"/>
      <c r="P46" s="2271"/>
      <c r="Q46" s="2271"/>
      <c r="R46" s="2271"/>
      <c r="S46" s="2271"/>
      <c r="T46" s="2271"/>
      <c r="U46" s="2271"/>
    </row>
    <row r="47" spans="1:21" s="2312" customFormat="1" x14ac:dyDescent="0.2">
      <c r="A47" s="2288"/>
      <c r="B47" s="2287"/>
      <c r="C47" s="2256" t="s">
        <v>655</v>
      </c>
      <c r="D47" s="3144" t="s">
        <v>1879</v>
      </c>
      <c r="E47" s="2286">
        <v>800</v>
      </c>
      <c r="F47" s="1275">
        <v>0</v>
      </c>
      <c r="G47" s="1274">
        <v>0</v>
      </c>
      <c r="H47" s="1316">
        <v>0</v>
      </c>
      <c r="I47" s="2283"/>
      <c r="J47" s="2283"/>
      <c r="K47" s="2283"/>
      <c r="L47" s="2283"/>
      <c r="M47" s="2283"/>
      <c r="N47" s="2283"/>
      <c r="O47" s="2283"/>
      <c r="P47" s="2283"/>
      <c r="Q47" s="2283"/>
      <c r="R47" s="2283"/>
      <c r="S47" s="2283"/>
      <c r="T47" s="2283"/>
      <c r="U47" s="2283"/>
    </row>
    <row r="48" spans="1:21" s="2312" customFormat="1" x14ac:dyDescent="0.2">
      <c r="A48" s="2288"/>
      <c r="B48" s="2287"/>
      <c r="C48" s="2256"/>
      <c r="D48" s="3144"/>
      <c r="E48" s="2286"/>
      <c r="F48" s="1275"/>
      <c r="G48" s="1274"/>
      <c r="H48" s="1316"/>
      <c r="I48" s="2283"/>
      <c r="J48" s="2283"/>
      <c r="K48" s="2283"/>
      <c r="L48" s="2283"/>
      <c r="M48" s="2283"/>
      <c r="N48" s="2283"/>
      <c r="O48" s="2283"/>
      <c r="P48" s="2283"/>
      <c r="Q48" s="2283"/>
      <c r="R48" s="2283"/>
      <c r="S48" s="2283"/>
      <c r="T48" s="2283"/>
      <c r="U48" s="2283"/>
    </row>
    <row r="49" spans="1:21" s="2312" customFormat="1" x14ac:dyDescent="0.2">
      <c r="A49" s="2288"/>
      <c r="B49" s="2287"/>
      <c r="C49" s="1277" t="s">
        <v>60</v>
      </c>
      <c r="D49" s="3144" t="s">
        <v>1883</v>
      </c>
      <c r="E49" s="2286">
        <v>150</v>
      </c>
      <c r="F49" s="1275">
        <v>0</v>
      </c>
      <c r="G49" s="1274">
        <v>0</v>
      </c>
      <c r="H49" s="1316">
        <v>0</v>
      </c>
      <c r="I49" s="2283"/>
      <c r="J49" s="2283"/>
      <c r="K49" s="2283"/>
      <c r="L49" s="2283"/>
      <c r="M49" s="2283"/>
      <c r="N49" s="2283"/>
      <c r="O49" s="2283"/>
      <c r="P49" s="2283"/>
      <c r="Q49" s="2283"/>
      <c r="R49" s="2283"/>
      <c r="S49" s="2283"/>
      <c r="T49" s="2283"/>
      <c r="U49" s="2283"/>
    </row>
    <row r="50" spans="1:21" s="2312" customFormat="1" x14ac:dyDescent="0.2">
      <c r="A50" s="2288"/>
      <c r="B50" s="2287"/>
      <c r="C50" s="1277"/>
      <c r="D50" s="3144"/>
      <c r="E50" s="2286"/>
      <c r="F50" s="1275"/>
      <c r="G50" s="1274"/>
      <c r="H50" s="1316"/>
      <c r="I50" s="2283"/>
      <c r="J50" s="2283"/>
      <c r="K50" s="2283"/>
      <c r="L50" s="2283"/>
      <c r="M50" s="2283"/>
      <c r="N50" s="2283"/>
      <c r="O50" s="2283"/>
      <c r="P50" s="2283"/>
      <c r="Q50" s="2283"/>
      <c r="R50" s="2283"/>
      <c r="S50" s="2283"/>
      <c r="T50" s="2283"/>
      <c r="U50" s="2283"/>
    </row>
    <row r="51" spans="1:21" s="2312" customFormat="1" x14ac:dyDescent="0.2">
      <c r="A51" s="2288"/>
      <c r="B51" s="2287"/>
      <c r="C51" s="1277" t="s">
        <v>1310</v>
      </c>
      <c r="D51" s="3145" t="s">
        <v>1311</v>
      </c>
      <c r="E51" s="2286">
        <v>15000</v>
      </c>
      <c r="F51" s="1275">
        <v>0</v>
      </c>
      <c r="G51" s="1274">
        <v>0</v>
      </c>
      <c r="H51" s="1316">
        <v>0</v>
      </c>
      <c r="I51" s="2283"/>
      <c r="J51" s="2283"/>
      <c r="K51" s="2283"/>
      <c r="L51" s="2283"/>
      <c r="M51" s="2283"/>
      <c r="N51" s="2283"/>
      <c r="O51" s="2283"/>
      <c r="P51" s="2283"/>
      <c r="Q51" s="2283"/>
      <c r="R51" s="2283"/>
      <c r="S51" s="2283"/>
      <c r="T51" s="2283"/>
      <c r="U51" s="2283"/>
    </row>
    <row r="52" spans="1:21" s="2312" customFormat="1" x14ac:dyDescent="0.2">
      <c r="A52" s="2288"/>
      <c r="B52" s="2287"/>
      <c r="C52" s="1277"/>
      <c r="D52" s="3144"/>
      <c r="E52" s="2286"/>
      <c r="F52" s="1274"/>
      <c r="G52" s="2290"/>
      <c r="H52" s="1316"/>
      <c r="I52" s="2283"/>
      <c r="J52" s="2283"/>
      <c r="K52" s="2283"/>
      <c r="L52" s="2283"/>
      <c r="M52" s="2283"/>
      <c r="N52" s="2283"/>
      <c r="O52" s="2283"/>
      <c r="P52" s="2283"/>
      <c r="Q52" s="2283"/>
      <c r="R52" s="2283"/>
      <c r="S52" s="2283"/>
      <c r="T52" s="2283"/>
      <c r="U52" s="2283"/>
    </row>
    <row r="53" spans="1:21" s="2312" customFormat="1" ht="13.9" customHeight="1" x14ac:dyDescent="0.2">
      <c r="A53" s="2288"/>
      <c r="B53" s="2287"/>
      <c r="C53" s="1277" t="s">
        <v>1882</v>
      </c>
      <c r="D53" s="3145" t="s">
        <v>1881</v>
      </c>
      <c r="E53" s="2286"/>
      <c r="F53" s="1274">
        <v>603</v>
      </c>
      <c r="G53" s="2290">
        <v>603</v>
      </c>
      <c r="H53" s="1316">
        <f>(G53/F53)*100</f>
        <v>100</v>
      </c>
      <c r="I53" s="2283"/>
      <c r="J53" s="2283"/>
      <c r="K53" s="2283"/>
      <c r="L53" s="2283"/>
      <c r="M53" s="2283"/>
      <c r="N53" s="2283"/>
      <c r="O53" s="2283"/>
      <c r="P53" s="2283"/>
      <c r="Q53" s="2283"/>
      <c r="R53" s="2283"/>
      <c r="S53" s="2283"/>
      <c r="T53" s="2283"/>
      <c r="U53" s="2283"/>
    </row>
    <row r="54" spans="1:21" s="2312" customFormat="1" x14ac:dyDescent="0.2">
      <c r="A54" s="2288"/>
      <c r="B54" s="2287"/>
      <c r="C54" s="1277"/>
      <c r="D54" s="3144"/>
      <c r="E54" s="2286"/>
      <c r="F54" s="1274"/>
      <c r="G54" s="2290"/>
      <c r="H54" s="1316"/>
      <c r="I54" s="2283"/>
      <c r="J54" s="2283"/>
      <c r="K54" s="2283"/>
      <c r="L54" s="2283"/>
      <c r="M54" s="2283"/>
      <c r="N54" s="2283"/>
      <c r="O54" s="2283"/>
      <c r="P54" s="2283"/>
      <c r="Q54" s="2283"/>
      <c r="R54" s="2283"/>
      <c r="S54" s="2283"/>
      <c r="T54" s="2283"/>
      <c r="U54" s="2283"/>
    </row>
    <row r="55" spans="1:21" s="2312" customFormat="1" ht="15" x14ac:dyDescent="0.25">
      <c r="A55" s="2288">
        <v>4399</v>
      </c>
      <c r="B55" s="2287">
        <v>5136</v>
      </c>
      <c r="C55" s="1277"/>
      <c r="D55" s="2301" t="s">
        <v>552</v>
      </c>
      <c r="E55" s="2286"/>
      <c r="F55" s="1283">
        <f>F56+F57</f>
        <v>45</v>
      </c>
      <c r="G55" s="1283">
        <f>G56+G57</f>
        <v>13</v>
      </c>
      <c r="H55" s="1313">
        <f t="shared" ref="H55:H68" si="1">(G55/F55)*100</f>
        <v>28.888888888888886</v>
      </c>
      <c r="I55" s="2283"/>
      <c r="J55" s="2283"/>
      <c r="K55" s="2283"/>
      <c r="L55" s="2283"/>
      <c r="M55" s="2283"/>
      <c r="N55" s="2283"/>
      <c r="O55" s="2283"/>
      <c r="P55" s="2283"/>
      <c r="Q55" s="2283"/>
      <c r="R55" s="2283"/>
      <c r="S55" s="2283"/>
      <c r="T55" s="2283"/>
      <c r="U55" s="2283"/>
    </row>
    <row r="56" spans="1:21" s="2312" customFormat="1" x14ac:dyDescent="0.2">
      <c r="A56" s="2288"/>
      <c r="B56" s="2287"/>
      <c r="C56" s="2182" t="s">
        <v>1210</v>
      </c>
      <c r="D56" s="2187" t="s">
        <v>1211</v>
      </c>
      <c r="E56" s="2286"/>
      <c r="F56" s="1274">
        <v>7</v>
      </c>
      <c r="G56" s="2290">
        <v>2</v>
      </c>
      <c r="H56" s="1316">
        <f t="shared" si="1"/>
        <v>28.571428571428569</v>
      </c>
      <c r="I56" s="2283"/>
      <c r="J56" s="2283"/>
      <c r="K56" s="2283"/>
      <c r="L56" s="2283"/>
      <c r="M56" s="2283"/>
      <c r="N56" s="2283"/>
      <c r="O56" s="2283"/>
      <c r="P56" s="2283"/>
      <c r="Q56" s="2283"/>
      <c r="R56" s="2283"/>
      <c r="S56" s="2283"/>
      <c r="T56" s="2283"/>
      <c r="U56" s="2283"/>
    </row>
    <row r="57" spans="1:21" s="2312" customFormat="1" x14ac:dyDescent="0.2">
      <c r="A57" s="2288"/>
      <c r="B57" s="2287"/>
      <c r="C57" s="2182" t="s">
        <v>1212</v>
      </c>
      <c r="D57" s="2185" t="s">
        <v>1213</v>
      </c>
      <c r="E57" s="2286"/>
      <c r="F57" s="1274">
        <v>38</v>
      </c>
      <c r="G57" s="2290">
        <v>11</v>
      </c>
      <c r="H57" s="1316">
        <f t="shared" si="1"/>
        <v>28.947368421052634</v>
      </c>
      <c r="I57" s="2283"/>
      <c r="J57" s="2283"/>
      <c r="K57" s="2283"/>
      <c r="L57" s="2283"/>
      <c r="M57" s="2283"/>
      <c r="N57" s="2283"/>
      <c r="O57" s="2283"/>
      <c r="P57" s="2283"/>
      <c r="Q57" s="2283"/>
      <c r="R57" s="2283"/>
      <c r="S57" s="2283"/>
      <c r="T57" s="2283"/>
      <c r="U57" s="2283"/>
    </row>
    <row r="58" spans="1:21" s="2312" customFormat="1" ht="15" x14ac:dyDescent="0.25">
      <c r="A58" s="2288">
        <v>4399</v>
      </c>
      <c r="B58" s="2287">
        <v>5139</v>
      </c>
      <c r="C58" s="2182"/>
      <c r="D58" s="2301" t="s">
        <v>1614</v>
      </c>
      <c r="E58" s="2286"/>
      <c r="F58" s="1283">
        <f>F59+F60</f>
        <v>69</v>
      </c>
      <c r="G58" s="1283">
        <f>G59+G60</f>
        <v>6</v>
      </c>
      <c r="H58" s="1313">
        <f t="shared" si="1"/>
        <v>8.695652173913043</v>
      </c>
      <c r="I58" s="2283"/>
      <c r="J58" s="2283"/>
      <c r="K58" s="2283"/>
      <c r="L58" s="2283"/>
      <c r="M58" s="2283"/>
      <c r="N58" s="2283"/>
      <c r="O58" s="2283"/>
      <c r="P58" s="2283"/>
      <c r="Q58" s="2283"/>
      <c r="R58" s="2283"/>
      <c r="S58" s="2283"/>
      <c r="T58" s="2283"/>
      <c r="U58" s="2283"/>
    </row>
    <row r="59" spans="1:21" s="2312" customFormat="1" x14ac:dyDescent="0.2">
      <c r="A59" s="2288"/>
      <c r="B59" s="2287"/>
      <c r="C59" s="2182" t="s">
        <v>1210</v>
      </c>
      <c r="D59" s="2187" t="s">
        <v>1211</v>
      </c>
      <c r="E59" s="2286"/>
      <c r="F59" s="1274">
        <v>10</v>
      </c>
      <c r="G59" s="2290">
        <v>1</v>
      </c>
      <c r="H59" s="1316">
        <f t="shared" si="1"/>
        <v>10</v>
      </c>
      <c r="I59" s="2283"/>
      <c r="J59" s="2283"/>
      <c r="K59" s="2283"/>
      <c r="L59" s="2283"/>
      <c r="M59" s="2283"/>
      <c r="N59" s="2283"/>
      <c r="O59" s="2283"/>
      <c r="P59" s="2283"/>
      <c r="Q59" s="2283"/>
      <c r="R59" s="2283"/>
      <c r="S59" s="2283"/>
      <c r="T59" s="2283"/>
      <c r="U59" s="2283"/>
    </row>
    <row r="60" spans="1:21" s="2312" customFormat="1" x14ac:dyDescent="0.2">
      <c r="A60" s="2288"/>
      <c r="B60" s="2287"/>
      <c r="C60" s="2182" t="s">
        <v>1212</v>
      </c>
      <c r="D60" s="2185" t="s">
        <v>1213</v>
      </c>
      <c r="E60" s="2286"/>
      <c r="F60" s="1274">
        <v>59</v>
      </c>
      <c r="G60" s="2290">
        <v>5</v>
      </c>
      <c r="H60" s="1316">
        <f t="shared" si="1"/>
        <v>8.4745762711864394</v>
      </c>
      <c r="I60" s="2283"/>
      <c r="J60" s="2283"/>
      <c r="K60" s="2283"/>
      <c r="L60" s="2283"/>
      <c r="M60" s="2283"/>
      <c r="N60" s="2283"/>
      <c r="O60" s="2283"/>
      <c r="P60" s="2283"/>
      <c r="Q60" s="2283"/>
      <c r="R60" s="2283"/>
      <c r="S60" s="2283"/>
      <c r="T60" s="2283"/>
      <c r="U60" s="2283"/>
    </row>
    <row r="61" spans="1:21" s="2272" customFormat="1" ht="15" x14ac:dyDescent="0.25">
      <c r="A61" s="2288">
        <v>4399</v>
      </c>
      <c r="B61" s="2287">
        <v>5164</v>
      </c>
      <c r="C61" s="2310"/>
      <c r="D61" s="1285" t="s">
        <v>157</v>
      </c>
      <c r="E61" s="2293"/>
      <c r="F61" s="1283">
        <v>4</v>
      </c>
      <c r="G61" s="2311">
        <v>4</v>
      </c>
      <c r="H61" s="1313">
        <f t="shared" si="1"/>
        <v>100</v>
      </c>
      <c r="I61" s="2271"/>
      <c r="J61" s="2271"/>
      <c r="K61" s="2271"/>
      <c r="L61" s="2271"/>
      <c r="M61" s="2271"/>
      <c r="N61" s="2271"/>
      <c r="O61" s="2271"/>
      <c r="P61" s="2271"/>
      <c r="Q61" s="2271"/>
      <c r="R61" s="2271"/>
      <c r="S61" s="2271"/>
      <c r="T61" s="2271"/>
      <c r="U61" s="2271"/>
    </row>
    <row r="62" spans="1:21" s="2272" customFormat="1" ht="15" x14ac:dyDescent="0.25">
      <c r="A62" s="2288">
        <v>4399</v>
      </c>
      <c r="B62" s="2287">
        <v>5166</v>
      </c>
      <c r="C62" s="2310"/>
      <c r="D62" s="1285" t="s">
        <v>553</v>
      </c>
      <c r="E62" s="2293"/>
      <c r="F62" s="1283">
        <f>F63+F64</f>
        <v>50</v>
      </c>
      <c r="G62" s="1283">
        <f>G63+G64</f>
        <v>45</v>
      </c>
      <c r="H62" s="1313">
        <f t="shared" si="1"/>
        <v>90</v>
      </c>
      <c r="I62" s="2271"/>
      <c r="J62" s="2271"/>
      <c r="K62" s="2271"/>
      <c r="L62" s="2271"/>
      <c r="M62" s="2271"/>
      <c r="N62" s="2271"/>
      <c r="O62" s="2271"/>
      <c r="P62" s="2271"/>
      <c r="Q62" s="2271"/>
      <c r="R62" s="2271"/>
      <c r="S62" s="2271"/>
      <c r="T62" s="2271"/>
      <c r="U62" s="2271"/>
    </row>
    <row r="63" spans="1:21" s="2272" customFormat="1" x14ac:dyDescent="0.2">
      <c r="A63" s="2288"/>
      <c r="B63" s="2287"/>
      <c r="C63" s="2182" t="s">
        <v>1210</v>
      </c>
      <c r="D63" s="2187" t="s">
        <v>1211</v>
      </c>
      <c r="E63" s="2286"/>
      <c r="F63" s="1274">
        <v>7</v>
      </c>
      <c r="G63" s="2290">
        <v>7</v>
      </c>
      <c r="H63" s="1316">
        <f t="shared" si="1"/>
        <v>100</v>
      </c>
      <c r="I63" s="2271"/>
      <c r="J63" s="2271"/>
      <c r="K63" s="2271"/>
      <c r="L63" s="2271"/>
      <c r="M63" s="2271"/>
      <c r="N63" s="2271"/>
      <c r="O63" s="2271"/>
      <c r="P63" s="2271"/>
      <c r="Q63" s="2271"/>
      <c r="R63" s="2271"/>
      <c r="S63" s="2271"/>
      <c r="T63" s="2271"/>
      <c r="U63" s="2271"/>
    </row>
    <row r="64" spans="1:21" s="2272" customFormat="1" x14ac:dyDescent="0.2">
      <c r="A64" s="2288"/>
      <c r="B64" s="2287"/>
      <c r="C64" s="2182" t="s">
        <v>1212</v>
      </c>
      <c r="D64" s="2185" t="s">
        <v>1213</v>
      </c>
      <c r="E64" s="2286"/>
      <c r="F64" s="1274">
        <v>43</v>
      </c>
      <c r="G64" s="2290">
        <v>38</v>
      </c>
      <c r="H64" s="1316">
        <f t="shared" si="1"/>
        <v>88.372093023255815</v>
      </c>
      <c r="I64" s="2271"/>
      <c r="J64" s="2271"/>
      <c r="K64" s="2271"/>
      <c r="L64" s="2271"/>
      <c r="M64" s="2271"/>
      <c r="N64" s="2271"/>
      <c r="O64" s="2271"/>
      <c r="P64" s="2271"/>
      <c r="Q64" s="2271"/>
      <c r="R64" s="2271"/>
      <c r="S64" s="2271"/>
      <c r="T64" s="2271"/>
      <c r="U64" s="2271"/>
    </row>
    <row r="65" spans="1:21" s="2272" customFormat="1" ht="15" x14ac:dyDescent="0.25">
      <c r="A65" s="2288">
        <v>4399</v>
      </c>
      <c r="B65" s="2287">
        <v>5167</v>
      </c>
      <c r="C65" s="2310"/>
      <c r="D65" s="1285" t="s">
        <v>1633</v>
      </c>
      <c r="E65" s="2293"/>
      <c r="F65" s="1283">
        <f>F66+F67</f>
        <v>42</v>
      </c>
      <c r="G65" s="1283">
        <f>G66+G67</f>
        <v>31</v>
      </c>
      <c r="H65" s="1313">
        <f t="shared" si="1"/>
        <v>73.80952380952381</v>
      </c>
      <c r="I65" s="2271"/>
      <c r="J65" s="2271"/>
      <c r="K65" s="2271"/>
      <c r="L65" s="2271"/>
      <c r="M65" s="2271"/>
      <c r="N65" s="2271"/>
      <c r="O65" s="2271"/>
      <c r="P65" s="2271"/>
      <c r="Q65" s="2271"/>
      <c r="R65" s="2271"/>
      <c r="S65" s="2271"/>
      <c r="T65" s="2271"/>
      <c r="U65" s="2271"/>
    </row>
    <row r="66" spans="1:21" s="2272" customFormat="1" ht="15" x14ac:dyDescent="0.25">
      <c r="A66" s="2288"/>
      <c r="B66" s="2287"/>
      <c r="C66" s="2182" t="s">
        <v>1210</v>
      </c>
      <c r="D66" s="2187" t="s">
        <v>1211</v>
      </c>
      <c r="E66" s="2293"/>
      <c r="F66" s="1274">
        <v>6</v>
      </c>
      <c r="G66" s="2290">
        <v>5</v>
      </c>
      <c r="H66" s="1316">
        <f t="shared" si="1"/>
        <v>83.333333333333343</v>
      </c>
      <c r="I66" s="2271"/>
      <c r="J66" s="2271"/>
      <c r="K66" s="2271"/>
      <c r="L66" s="2271"/>
      <c r="M66" s="2271"/>
      <c r="N66" s="2271"/>
      <c r="O66" s="2271"/>
      <c r="P66" s="2271"/>
      <c r="Q66" s="2271"/>
      <c r="R66" s="2271"/>
      <c r="S66" s="2271"/>
      <c r="T66" s="2271"/>
      <c r="U66" s="2271"/>
    </row>
    <row r="67" spans="1:21" s="2272" customFormat="1" ht="15" x14ac:dyDescent="0.25">
      <c r="A67" s="2288"/>
      <c r="B67" s="2287"/>
      <c r="C67" s="2182" t="s">
        <v>1212</v>
      </c>
      <c r="D67" s="2185" t="s">
        <v>1213</v>
      </c>
      <c r="E67" s="2293"/>
      <c r="F67" s="1275">
        <v>36</v>
      </c>
      <c r="G67" s="1274">
        <v>26</v>
      </c>
      <c r="H67" s="1316">
        <f t="shared" si="1"/>
        <v>72.222222222222214</v>
      </c>
      <c r="I67" s="2271"/>
      <c r="J67" s="2271"/>
      <c r="K67" s="2271"/>
      <c r="L67" s="2271"/>
      <c r="M67" s="2271"/>
      <c r="N67" s="2271"/>
      <c r="O67" s="2271"/>
      <c r="P67" s="2271"/>
      <c r="Q67" s="2271"/>
      <c r="R67" s="2271"/>
      <c r="S67" s="2271"/>
      <c r="T67" s="2271"/>
      <c r="U67" s="2271"/>
    </row>
    <row r="68" spans="1:21" s="2272" customFormat="1" ht="15" x14ac:dyDescent="0.25">
      <c r="A68" s="2288">
        <v>4399</v>
      </c>
      <c r="B68" s="2287">
        <v>5168</v>
      </c>
      <c r="C68" s="2310"/>
      <c r="D68" s="3067" t="s">
        <v>1606</v>
      </c>
      <c r="E68" s="2293"/>
      <c r="F68" s="1284">
        <v>200</v>
      </c>
      <c r="G68" s="1283">
        <v>161</v>
      </c>
      <c r="H68" s="1313">
        <f t="shared" si="1"/>
        <v>80.5</v>
      </c>
      <c r="I68" s="2271"/>
      <c r="J68" s="2271"/>
      <c r="K68" s="2271"/>
      <c r="L68" s="2271"/>
      <c r="M68" s="2271"/>
      <c r="N68" s="2271"/>
      <c r="O68" s="2271"/>
      <c r="P68" s="2271"/>
      <c r="Q68" s="2271"/>
      <c r="R68" s="2271"/>
      <c r="S68" s="2271"/>
      <c r="T68" s="2271"/>
      <c r="U68" s="2271"/>
    </row>
    <row r="69" spans="1:21" s="2272" customFormat="1" ht="15" x14ac:dyDescent="0.25">
      <c r="A69" s="2288"/>
      <c r="B69" s="2287"/>
      <c r="C69" s="2310"/>
      <c r="D69" s="3147"/>
      <c r="E69" s="2293"/>
      <c r="F69" s="1284"/>
      <c r="G69" s="1283"/>
      <c r="H69" s="1313"/>
      <c r="I69" s="2271"/>
      <c r="J69" s="2271"/>
      <c r="K69" s="2271"/>
      <c r="L69" s="2271"/>
      <c r="M69" s="2271"/>
      <c r="N69" s="2271"/>
      <c r="O69" s="2271"/>
      <c r="P69" s="2271"/>
      <c r="Q69" s="2271"/>
      <c r="R69" s="2271"/>
      <c r="S69" s="2271"/>
      <c r="T69" s="2271"/>
      <c r="U69" s="2271"/>
    </row>
    <row r="70" spans="1:21" s="2272" customFormat="1" ht="15.75" thickBot="1" x14ac:dyDescent="0.3">
      <c r="A70" s="2308"/>
      <c r="B70" s="2307"/>
      <c r="C70" s="2407" t="s">
        <v>608</v>
      </c>
      <c r="D70" s="3019" t="s">
        <v>609</v>
      </c>
      <c r="E70" s="2613"/>
      <c r="F70" s="2304">
        <v>200</v>
      </c>
      <c r="G70" s="2303">
        <v>161</v>
      </c>
      <c r="H70" s="2497">
        <f>(G70/F70)*100</f>
        <v>80.5</v>
      </c>
      <c r="I70" s="2271"/>
      <c r="J70" s="2271"/>
      <c r="K70" s="2271"/>
      <c r="L70" s="2271"/>
      <c r="M70" s="2271"/>
      <c r="N70" s="2271"/>
      <c r="O70" s="2271"/>
      <c r="P70" s="2271"/>
      <c r="Q70" s="2271"/>
      <c r="R70" s="2271"/>
      <c r="S70" s="2271"/>
      <c r="T70" s="2271"/>
      <c r="U70" s="2271"/>
    </row>
    <row r="71" spans="1:21" ht="15.75" thickTop="1" thickBot="1" x14ac:dyDescent="0.25">
      <c r="H71" s="2203" t="s">
        <v>148</v>
      </c>
    </row>
    <row r="72" spans="1:21" s="1298" customFormat="1" ht="20.25" customHeight="1" thickTop="1" thickBot="1" x14ac:dyDescent="0.25">
      <c r="A72" s="1302" t="s">
        <v>149</v>
      </c>
      <c r="B72" s="1301" t="s">
        <v>150</v>
      </c>
      <c r="C72" s="2263" t="s">
        <v>639</v>
      </c>
      <c r="D72" s="1324" t="s">
        <v>151</v>
      </c>
      <c r="E72" s="1324" t="s">
        <v>569</v>
      </c>
      <c r="F72" s="1324" t="s">
        <v>570</v>
      </c>
      <c r="G72" s="1324" t="s">
        <v>797</v>
      </c>
      <c r="H72" s="2262" t="s">
        <v>798</v>
      </c>
    </row>
    <row r="73" spans="1:21" s="1292" customFormat="1" ht="13.5" thickTop="1" thickBot="1" x14ac:dyDescent="0.25">
      <c r="A73" s="1297">
        <v>1</v>
      </c>
      <c r="B73" s="1296">
        <v>2</v>
      </c>
      <c r="C73" s="1296">
        <v>3</v>
      </c>
      <c r="D73" s="1296">
        <v>4</v>
      </c>
      <c r="E73" s="1296">
        <v>5</v>
      </c>
      <c r="F73" s="1295">
        <v>6</v>
      </c>
      <c r="G73" s="1295">
        <v>7</v>
      </c>
      <c r="H73" s="1294" t="s">
        <v>54</v>
      </c>
      <c r="I73" s="1298"/>
    </row>
    <row r="74" spans="1:21" s="2271" customFormat="1" ht="14.25" customHeight="1" thickTop="1" x14ac:dyDescent="0.25">
      <c r="A74" s="3020">
        <v>4399</v>
      </c>
      <c r="B74" s="3021">
        <v>5169</v>
      </c>
      <c r="C74" s="3022"/>
      <c r="D74" s="2598" t="s">
        <v>769</v>
      </c>
      <c r="E74" s="2597">
        <f>E75+E76</f>
        <v>4456</v>
      </c>
      <c r="F74" s="2597">
        <f>F75+F76+F77+F78</f>
        <v>4371</v>
      </c>
      <c r="G74" s="2597">
        <f>G75+G76+G77+G78</f>
        <v>4313</v>
      </c>
      <c r="H74" s="2457">
        <f>(G74/F74)*100</f>
        <v>98.673072523450017</v>
      </c>
      <c r="I74" s="2292"/>
      <c r="J74" s="2291"/>
    </row>
    <row r="75" spans="1:21" s="2283" customFormat="1" ht="14.25" customHeight="1" x14ac:dyDescent="0.2">
      <c r="A75" s="2288"/>
      <c r="B75" s="2287"/>
      <c r="C75" s="1277" t="s">
        <v>681</v>
      </c>
      <c r="D75" s="2072" t="s">
        <v>1127</v>
      </c>
      <c r="E75" s="2286">
        <v>4156</v>
      </c>
      <c r="F75" s="1275">
        <v>4346</v>
      </c>
      <c r="G75" s="1274">
        <v>4308</v>
      </c>
      <c r="H75" s="1316">
        <f>(G75/F75)*100</f>
        <v>99.125632765761623</v>
      </c>
      <c r="I75" s="2285"/>
      <c r="J75" s="2284"/>
    </row>
    <row r="76" spans="1:21" s="2283" customFormat="1" ht="14.25" customHeight="1" x14ac:dyDescent="0.2">
      <c r="A76" s="2288"/>
      <c r="B76" s="2287"/>
      <c r="C76" s="1277" t="s">
        <v>608</v>
      </c>
      <c r="D76" s="2300" t="s">
        <v>609</v>
      </c>
      <c r="E76" s="2286">
        <v>300</v>
      </c>
      <c r="F76" s="1275">
        <v>0</v>
      </c>
      <c r="G76" s="1274">
        <v>0</v>
      </c>
      <c r="H76" s="2296">
        <v>0</v>
      </c>
      <c r="I76" s="2285"/>
      <c r="J76" s="2284"/>
    </row>
    <row r="77" spans="1:21" s="2283" customFormat="1" ht="14.25" customHeight="1" x14ac:dyDescent="0.2">
      <c r="A77" s="2288"/>
      <c r="B77" s="2287"/>
      <c r="C77" s="2182" t="s">
        <v>1210</v>
      </c>
      <c r="D77" s="3023" t="s">
        <v>1211</v>
      </c>
      <c r="E77" s="2286"/>
      <c r="F77" s="1275">
        <v>4</v>
      </c>
      <c r="G77" s="1274">
        <v>1</v>
      </c>
      <c r="H77" s="2296">
        <f>(G77/F77)*100</f>
        <v>25</v>
      </c>
      <c r="I77" s="2285"/>
      <c r="J77" s="2284"/>
    </row>
    <row r="78" spans="1:21" s="2283" customFormat="1" ht="14.25" customHeight="1" x14ac:dyDescent="0.2">
      <c r="A78" s="2288"/>
      <c r="B78" s="2287"/>
      <c r="C78" s="2182" t="s">
        <v>1212</v>
      </c>
      <c r="D78" s="2937" t="s">
        <v>1213</v>
      </c>
      <c r="E78" s="2286"/>
      <c r="F78" s="1275">
        <v>21</v>
      </c>
      <c r="G78" s="1274">
        <v>4</v>
      </c>
      <c r="H78" s="2296">
        <f>(G78/F78)*100</f>
        <v>19.047619047619047</v>
      </c>
      <c r="I78" s="2285"/>
      <c r="J78" s="2284"/>
    </row>
    <row r="79" spans="1:21" s="2283" customFormat="1" ht="14.25" customHeight="1" x14ac:dyDescent="0.25">
      <c r="A79" s="2288">
        <v>4399</v>
      </c>
      <c r="B79" s="2287">
        <v>5172</v>
      </c>
      <c r="C79" s="2182"/>
      <c r="D79" s="2301" t="s">
        <v>812</v>
      </c>
      <c r="E79" s="2286"/>
      <c r="F79" s="1283">
        <f>F80+F81</f>
        <v>14</v>
      </c>
      <c r="G79" s="1283">
        <f>G80+G81</f>
        <v>11</v>
      </c>
      <c r="H79" s="1313">
        <v>0</v>
      </c>
      <c r="I79" s="2285"/>
      <c r="J79" s="2284"/>
    </row>
    <row r="80" spans="1:21" s="2283" customFormat="1" ht="14.25" customHeight="1" x14ac:dyDescent="0.2">
      <c r="A80" s="2288"/>
      <c r="B80" s="2287"/>
      <c r="C80" s="2182" t="s">
        <v>1210</v>
      </c>
      <c r="D80" s="2187" t="s">
        <v>1211</v>
      </c>
      <c r="E80" s="2286"/>
      <c r="F80" s="1275">
        <v>2</v>
      </c>
      <c r="G80" s="1274">
        <v>2</v>
      </c>
      <c r="H80" s="1316">
        <v>0</v>
      </c>
      <c r="I80" s="2285"/>
      <c r="J80" s="2284"/>
    </row>
    <row r="81" spans="1:10" s="2283" customFormat="1" ht="14.25" customHeight="1" x14ac:dyDescent="0.2">
      <c r="A81" s="2288"/>
      <c r="B81" s="2287"/>
      <c r="C81" s="2182" t="s">
        <v>1212</v>
      </c>
      <c r="D81" s="2185" t="s">
        <v>1213</v>
      </c>
      <c r="E81" s="2286"/>
      <c r="F81" s="1275">
        <v>12</v>
      </c>
      <c r="G81" s="1274">
        <v>9</v>
      </c>
      <c r="H81" s="1316">
        <v>0</v>
      </c>
      <c r="I81" s="2285"/>
      <c r="J81" s="2284"/>
    </row>
    <row r="82" spans="1:10" s="2283" customFormat="1" ht="14.25" customHeight="1" x14ac:dyDescent="0.25">
      <c r="A82" s="2288">
        <v>4399</v>
      </c>
      <c r="B82" s="2287">
        <v>5175</v>
      </c>
      <c r="C82" s="2182"/>
      <c r="D82" s="2301" t="s">
        <v>1618</v>
      </c>
      <c r="E82" s="2293">
        <v>60</v>
      </c>
      <c r="F82" s="1283">
        <f>F83+F84+F85+F86</f>
        <v>117</v>
      </c>
      <c r="G82" s="1283">
        <f>G83+G84+G85+G86</f>
        <v>69</v>
      </c>
      <c r="H82" s="1313">
        <f t="shared" ref="H82:H92" si="2">(G82/F82)*100</f>
        <v>58.974358974358978</v>
      </c>
      <c r="I82" s="2285"/>
      <c r="J82" s="2284"/>
    </row>
    <row r="83" spans="1:10" s="2283" customFormat="1" ht="14.25" customHeight="1" x14ac:dyDescent="0.2">
      <c r="A83" s="2288"/>
      <c r="B83" s="2287"/>
      <c r="C83" s="1277" t="s">
        <v>681</v>
      </c>
      <c r="D83" s="2072" t="s">
        <v>1127</v>
      </c>
      <c r="E83" s="2286">
        <v>60</v>
      </c>
      <c r="F83" s="1275">
        <v>56</v>
      </c>
      <c r="G83" s="1274">
        <v>44</v>
      </c>
      <c r="H83" s="1316">
        <f t="shared" si="2"/>
        <v>78.571428571428569</v>
      </c>
      <c r="I83" s="2285"/>
      <c r="J83" s="2284"/>
    </row>
    <row r="84" spans="1:10" s="2283" customFormat="1" ht="14.25" customHeight="1" x14ac:dyDescent="0.2">
      <c r="A84" s="2288"/>
      <c r="B84" s="2287"/>
      <c r="C84" s="1277" t="s">
        <v>608</v>
      </c>
      <c r="D84" s="2300" t="s">
        <v>609</v>
      </c>
      <c r="E84" s="2286"/>
      <c r="F84" s="1275">
        <v>6</v>
      </c>
      <c r="G84" s="1274">
        <v>3</v>
      </c>
      <c r="H84" s="2296">
        <f t="shared" si="2"/>
        <v>50</v>
      </c>
      <c r="I84" s="2285"/>
      <c r="J84" s="2284"/>
    </row>
    <row r="85" spans="1:10" s="2283" customFormat="1" ht="14.25" customHeight="1" x14ac:dyDescent="0.2">
      <c r="A85" s="2288"/>
      <c r="B85" s="2287"/>
      <c r="C85" s="2182" t="s">
        <v>1210</v>
      </c>
      <c r="D85" s="2187" t="s">
        <v>1211</v>
      </c>
      <c r="E85" s="2286"/>
      <c r="F85" s="1275">
        <v>8</v>
      </c>
      <c r="G85" s="1274">
        <v>3</v>
      </c>
      <c r="H85" s="2296">
        <f t="shared" si="2"/>
        <v>37.5</v>
      </c>
      <c r="I85" s="2285"/>
      <c r="J85" s="2284"/>
    </row>
    <row r="86" spans="1:10" s="2283" customFormat="1" ht="14.25" customHeight="1" x14ac:dyDescent="0.2">
      <c r="A86" s="2288"/>
      <c r="B86" s="2287"/>
      <c r="C86" s="2182" t="s">
        <v>1212</v>
      </c>
      <c r="D86" s="2185" t="s">
        <v>1213</v>
      </c>
      <c r="E86" s="2286"/>
      <c r="F86" s="1275">
        <v>47</v>
      </c>
      <c r="G86" s="1274">
        <v>19</v>
      </c>
      <c r="H86" s="2296">
        <f t="shared" si="2"/>
        <v>40.425531914893611</v>
      </c>
      <c r="I86" s="2285"/>
      <c r="J86" s="2284"/>
    </row>
    <row r="87" spans="1:10" s="2283" customFormat="1" ht="14.25" customHeight="1" x14ac:dyDescent="0.25">
      <c r="A87" s="2288">
        <v>4399</v>
      </c>
      <c r="B87" s="2287">
        <v>5212</v>
      </c>
      <c r="C87" s="2182"/>
      <c r="D87" s="2299" t="s">
        <v>1634</v>
      </c>
      <c r="E87" s="2286"/>
      <c r="F87" s="1284">
        <v>50</v>
      </c>
      <c r="G87" s="1283">
        <v>50</v>
      </c>
      <c r="H87" s="2298">
        <f t="shared" si="2"/>
        <v>100</v>
      </c>
      <c r="I87" s="2285"/>
      <c r="J87" s="2284"/>
    </row>
    <row r="88" spans="1:10" s="2283" customFormat="1" ht="14.25" customHeight="1" x14ac:dyDescent="0.2">
      <c r="A88" s="2288"/>
      <c r="B88" s="2287"/>
      <c r="C88" s="1286" t="s">
        <v>228</v>
      </c>
      <c r="D88" s="1287" t="s">
        <v>292</v>
      </c>
      <c r="E88" s="2286"/>
      <c r="F88" s="1275">
        <v>50</v>
      </c>
      <c r="G88" s="1274">
        <v>50</v>
      </c>
      <c r="H88" s="2296">
        <f t="shared" si="2"/>
        <v>100</v>
      </c>
      <c r="I88" s="2285"/>
      <c r="J88" s="2284"/>
    </row>
    <row r="89" spans="1:10" s="2283" customFormat="1" ht="14.25" customHeight="1" x14ac:dyDescent="0.25">
      <c r="A89" s="2288">
        <v>4399</v>
      </c>
      <c r="B89" s="2287">
        <v>5213</v>
      </c>
      <c r="C89" s="2256"/>
      <c r="D89" s="2297" t="s">
        <v>301</v>
      </c>
      <c r="E89" s="2286"/>
      <c r="F89" s="1283">
        <f>F90+F91</f>
        <v>8359</v>
      </c>
      <c r="G89" s="1283">
        <f>G90+G91</f>
        <v>8359</v>
      </c>
      <c r="H89" s="1313">
        <f t="shared" si="2"/>
        <v>100</v>
      </c>
      <c r="I89" s="2285"/>
      <c r="J89" s="2284"/>
    </row>
    <row r="90" spans="1:10" s="2283" customFormat="1" ht="14.25" customHeight="1" x14ac:dyDescent="0.2">
      <c r="A90" s="2288"/>
      <c r="B90" s="2287"/>
      <c r="C90" s="1286" t="s">
        <v>228</v>
      </c>
      <c r="D90" s="1287" t="s">
        <v>292</v>
      </c>
      <c r="E90" s="2286"/>
      <c r="F90" s="1275">
        <v>200</v>
      </c>
      <c r="G90" s="1274">
        <v>200</v>
      </c>
      <c r="H90" s="1316">
        <f t="shared" si="2"/>
        <v>100</v>
      </c>
      <c r="I90" s="2285"/>
      <c r="J90" s="2284"/>
    </row>
    <row r="91" spans="1:10" s="2283" customFormat="1" ht="14.25" customHeight="1" x14ac:dyDescent="0.2">
      <c r="A91" s="2288"/>
      <c r="B91" s="2287"/>
      <c r="C91" s="2182" t="s">
        <v>1623</v>
      </c>
      <c r="D91" s="2237" t="s">
        <v>1635</v>
      </c>
      <c r="E91" s="2286"/>
      <c r="F91" s="1275">
        <v>8159</v>
      </c>
      <c r="G91" s="1274">
        <v>8159</v>
      </c>
      <c r="H91" s="2296">
        <f t="shared" si="2"/>
        <v>100</v>
      </c>
      <c r="I91" s="2285"/>
      <c r="J91" s="2284"/>
    </row>
    <row r="92" spans="1:10" s="2271" customFormat="1" ht="14.25" customHeight="1" x14ac:dyDescent="0.25">
      <c r="A92" s="2288">
        <v>4399</v>
      </c>
      <c r="B92" s="2287">
        <v>5221</v>
      </c>
      <c r="C92" s="2280"/>
      <c r="D92" s="3142" t="s">
        <v>626</v>
      </c>
      <c r="E92" s="2293"/>
      <c r="F92" s="1283">
        <f>F94+F95+F96</f>
        <v>49198</v>
      </c>
      <c r="G92" s="1283">
        <f>G94+G95+G96</f>
        <v>48772</v>
      </c>
      <c r="H92" s="1313">
        <f t="shared" si="2"/>
        <v>99.134111142729381</v>
      </c>
      <c r="I92" s="2292"/>
      <c r="J92" s="2291"/>
    </row>
    <row r="93" spans="1:10" s="2283" customFormat="1" ht="14.25" customHeight="1" x14ac:dyDescent="0.2">
      <c r="A93" s="2288"/>
      <c r="B93" s="2287"/>
      <c r="C93" s="1281"/>
      <c r="D93" s="3142"/>
      <c r="E93" s="2286"/>
      <c r="F93" s="1275"/>
      <c r="G93" s="1274"/>
      <c r="H93" s="1316"/>
      <c r="I93" s="2285"/>
      <c r="J93" s="2284"/>
    </row>
    <row r="94" spans="1:10" s="2283" customFormat="1" ht="14.25" customHeight="1" x14ac:dyDescent="0.2">
      <c r="A94" s="2288"/>
      <c r="B94" s="2295"/>
      <c r="C94" s="1286" t="s">
        <v>228</v>
      </c>
      <c r="D94" s="1287" t="s">
        <v>292</v>
      </c>
      <c r="E94" s="2286"/>
      <c r="F94" s="1275">
        <v>200</v>
      </c>
      <c r="G94" s="1274">
        <v>200</v>
      </c>
      <c r="H94" s="1316">
        <f t="shared" ref="H94:H112" si="3">(G94/F94)*100</f>
        <v>100</v>
      </c>
      <c r="I94" s="2285"/>
      <c r="J94" s="2284"/>
    </row>
    <row r="95" spans="1:10" s="2283" customFormat="1" ht="14.25" customHeight="1" x14ac:dyDescent="0.2">
      <c r="A95" s="2288"/>
      <c r="B95" s="2295"/>
      <c r="C95" s="1286" t="s">
        <v>1079</v>
      </c>
      <c r="D95" s="1287" t="s">
        <v>1437</v>
      </c>
      <c r="E95" s="2286"/>
      <c r="F95" s="1275">
        <v>35</v>
      </c>
      <c r="G95" s="1274">
        <v>35</v>
      </c>
      <c r="H95" s="1316">
        <f t="shared" si="3"/>
        <v>100</v>
      </c>
      <c r="I95" s="2285"/>
      <c r="J95" s="2284"/>
    </row>
    <row r="96" spans="1:10" s="2283" customFormat="1" ht="14.25" customHeight="1" x14ac:dyDescent="0.2">
      <c r="A96" s="2288"/>
      <c r="B96" s="2287"/>
      <c r="C96" s="2182" t="s">
        <v>1623</v>
      </c>
      <c r="D96" s="2237" t="s">
        <v>1635</v>
      </c>
      <c r="E96" s="2286"/>
      <c r="F96" s="1275">
        <v>48963</v>
      </c>
      <c r="G96" s="1274">
        <v>48537</v>
      </c>
      <c r="H96" s="1316">
        <f t="shared" si="3"/>
        <v>99.129955272348511</v>
      </c>
      <c r="I96" s="2285"/>
      <c r="J96" s="2284"/>
    </row>
    <row r="97" spans="1:21" s="2271" customFormat="1" ht="14.25" customHeight="1" x14ac:dyDescent="0.25">
      <c r="A97" s="2288">
        <v>4399</v>
      </c>
      <c r="B97" s="2287">
        <v>5222</v>
      </c>
      <c r="C97" s="2280"/>
      <c r="D97" s="2294" t="s">
        <v>300</v>
      </c>
      <c r="E97" s="2293"/>
      <c r="F97" s="1283">
        <f>F98+F99+F100</f>
        <v>70412</v>
      </c>
      <c r="G97" s="1283">
        <f>G98+G99+G100</f>
        <v>70412</v>
      </c>
      <c r="H97" s="1313">
        <f t="shared" si="3"/>
        <v>100</v>
      </c>
      <c r="I97" s="2292"/>
      <c r="J97" s="2291"/>
    </row>
    <row r="98" spans="1:21" s="2283" customFormat="1" ht="14.25" customHeight="1" x14ac:dyDescent="0.2">
      <c r="A98" s="2288"/>
      <c r="B98" s="2287"/>
      <c r="C98" s="1286" t="s">
        <v>228</v>
      </c>
      <c r="D98" s="1287" t="s">
        <v>292</v>
      </c>
      <c r="E98" s="2286"/>
      <c r="F98" s="1275">
        <v>180</v>
      </c>
      <c r="G98" s="1274">
        <v>180</v>
      </c>
      <c r="H98" s="1316">
        <f t="shared" si="3"/>
        <v>100</v>
      </c>
      <c r="I98" s="2285"/>
      <c r="J98" s="2284"/>
    </row>
    <row r="99" spans="1:21" s="2283" customFormat="1" ht="14.25" customHeight="1" x14ac:dyDescent="0.2">
      <c r="A99" s="2288"/>
      <c r="B99" s="2287"/>
      <c r="C99" s="1286" t="s">
        <v>1079</v>
      </c>
      <c r="D99" s="1287" t="s">
        <v>1437</v>
      </c>
      <c r="E99" s="2286"/>
      <c r="F99" s="1275">
        <v>598</v>
      </c>
      <c r="G99" s="1274">
        <v>598</v>
      </c>
      <c r="H99" s="1316">
        <f t="shared" si="3"/>
        <v>100</v>
      </c>
      <c r="I99" s="2285"/>
      <c r="J99" s="2284"/>
    </row>
    <row r="100" spans="1:21" s="2283" customFormat="1" ht="14.25" customHeight="1" x14ac:dyDescent="0.2">
      <c r="A100" s="2288"/>
      <c r="B100" s="2287"/>
      <c r="C100" s="2182" t="s">
        <v>1623</v>
      </c>
      <c r="D100" s="2237" t="s">
        <v>1635</v>
      </c>
      <c r="E100" s="2286"/>
      <c r="F100" s="1274">
        <v>69634</v>
      </c>
      <c r="G100" s="2290">
        <v>69634</v>
      </c>
      <c r="H100" s="1316">
        <f t="shared" si="3"/>
        <v>100</v>
      </c>
      <c r="I100" s="2285"/>
      <c r="J100" s="2284"/>
    </row>
    <row r="101" spans="1:21" s="2283" customFormat="1" ht="14.25" customHeight="1" x14ac:dyDescent="0.25">
      <c r="A101" s="2288">
        <v>4399</v>
      </c>
      <c r="B101" s="2287">
        <v>5223</v>
      </c>
      <c r="C101" s="1286"/>
      <c r="D101" s="1327" t="s">
        <v>1114</v>
      </c>
      <c r="E101" s="2286"/>
      <c r="F101" s="1283">
        <f>F102+F103</f>
        <v>97415</v>
      </c>
      <c r="G101" s="1283">
        <f>G102+G103</f>
        <v>97415</v>
      </c>
      <c r="H101" s="1313">
        <f t="shared" si="3"/>
        <v>100</v>
      </c>
      <c r="I101" s="2285"/>
      <c r="J101" s="2284"/>
    </row>
    <row r="102" spans="1:21" s="2283" customFormat="1" ht="14.25" customHeight="1" x14ac:dyDescent="0.2">
      <c r="A102" s="2288"/>
      <c r="B102" s="2287"/>
      <c r="C102" s="1286" t="s">
        <v>1079</v>
      </c>
      <c r="D102" s="1287" t="s">
        <v>1437</v>
      </c>
      <c r="E102" s="2286"/>
      <c r="F102" s="1274">
        <v>45</v>
      </c>
      <c r="G102" s="1274">
        <v>45</v>
      </c>
      <c r="H102" s="1316">
        <f t="shared" si="3"/>
        <v>100</v>
      </c>
      <c r="I102" s="2285"/>
      <c r="J102" s="2284"/>
    </row>
    <row r="103" spans="1:21" s="2283" customFormat="1" ht="14.25" customHeight="1" x14ac:dyDescent="0.2">
      <c r="A103" s="2288"/>
      <c r="B103" s="2287"/>
      <c r="C103" s="2182" t="s">
        <v>1623</v>
      </c>
      <c r="D103" s="2237" t="s">
        <v>1635</v>
      </c>
      <c r="E103" s="2286"/>
      <c r="F103" s="1274">
        <v>97370</v>
      </c>
      <c r="G103" s="1274">
        <v>97370</v>
      </c>
      <c r="H103" s="1316">
        <f t="shared" si="3"/>
        <v>100</v>
      </c>
      <c r="I103" s="2285"/>
      <c r="J103" s="2284"/>
    </row>
    <row r="104" spans="1:21" s="2283" customFormat="1" ht="14.25" customHeight="1" x14ac:dyDescent="0.25">
      <c r="A104" s="2288">
        <v>4399</v>
      </c>
      <c r="B104" s="2287">
        <v>5229</v>
      </c>
      <c r="C104" s="1286"/>
      <c r="D104" s="1327" t="s">
        <v>61</v>
      </c>
      <c r="E104" s="2286"/>
      <c r="F104" s="1283">
        <f>F105</f>
        <v>25</v>
      </c>
      <c r="G104" s="1283">
        <f>G105</f>
        <v>25</v>
      </c>
      <c r="H104" s="1313">
        <f t="shared" si="3"/>
        <v>100</v>
      </c>
      <c r="I104" s="2285"/>
      <c r="J104" s="2284"/>
    </row>
    <row r="105" spans="1:21" s="2283" customFormat="1" ht="14.25" customHeight="1" x14ac:dyDescent="0.2">
      <c r="A105" s="2288"/>
      <c r="B105" s="2287"/>
      <c r="C105" s="1286" t="s">
        <v>1079</v>
      </c>
      <c r="D105" s="1287" t="s">
        <v>1437</v>
      </c>
      <c r="E105" s="2286"/>
      <c r="F105" s="1274">
        <v>25</v>
      </c>
      <c r="G105" s="1274">
        <v>25</v>
      </c>
      <c r="H105" s="1316">
        <f t="shared" si="3"/>
        <v>100</v>
      </c>
      <c r="I105" s="2285"/>
      <c r="J105" s="2284"/>
    </row>
    <row r="106" spans="1:21" s="2283" customFormat="1" ht="14.25" customHeight="1" x14ac:dyDescent="0.25">
      <c r="A106" s="2288">
        <v>4399</v>
      </c>
      <c r="B106" s="2287">
        <v>5321</v>
      </c>
      <c r="C106" s="1286"/>
      <c r="D106" s="1285" t="s">
        <v>1078</v>
      </c>
      <c r="E106" s="2286"/>
      <c r="F106" s="1284">
        <v>95067</v>
      </c>
      <c r="G106" s="1283">
        <v>95067</v>
      </c>
      <c r="H106" s="1313">
        <f t="shared" si="3"/>
        <v>100</v>
      </c>
      <c r="I106" s="2285"/>
      <c r="J106" s="2284"/>
    </row>
    <row r="107" spans="1:21" s="2283" customFormat="1" ht="14.25" customHeight="1" x14ac:dyDescent="0.2">
      <c r="A107" s="2288"/>
      <c r="B107" s="2287"/>
      <c r="C107" s="2182" t="s">
        <v>1623</v>
      </c>
      <c r="D107" s="2237" t="s">
        <v>1635</v>
      </c>
      <c r="E107" s="2286"/>
      <c r="F107" s="1275">
        <v>95067</v>
      </c>
      <c r="G107" s="1274">
        <v>95067</v>
      </c>
      <c r="H107" s="1316">
        <f t="shared" si="3"/>
        <v>100</v>
      </c>
      <c r="I107" s="2285"/>
      <c r="J107" s="2284"/>
    </row>
    <row r="108" spans="1:21" s="2283" customFormat="1" ht="14.25" customHeight="1" x14ac:dyDescent="0.25">
      <c r="A108" s="2288">
        <v>4399</v>
      </c>
      <c r="B108" s="2287">
        <v>5336</v>
      </c>
      <c r="C108" s="2182"/>
      <c r="D108" s="2243" t="s">
        <v>1453</v>
      </c>
      <c r="E108" s="2286"/>
      <c r="F108" s="1284">
        <v>1325</v>
      </c>
      <c r="G108" s="1283">
        <v>1325</v>
      </c>
      <c r="H108" s="1313">
        <f t="shared" si="3"/>
        <v>100</v>
      </c>
      <c r="I108" s="2285"/>
      <c r="J108" s="2284"/>
    </row>
    <row r="109" spans="1:21" s="2283" customFormat="1" ht="14.25" customHeight="1" x14ac:dyDescent="0.2">
      <c r="A109" s="2288"/>
      <c r="B109" s="2287"/>
      <c r="C109" s="2182" t="s">
        <v>1623</v>
      </c>
      <c r="D109" s="2237" t="s">
        <v>1635</v>
      </c>
      <c r="E109" s="2286"/>
      <c r="F109" s="1275">
        <v>1325</v>
      </c>
      <c r="G109" s="1274">
        <v>1325</v>
      </c>
      <c r="H109" s="1316">
        <f t="shared" si="3"/>
        <v>100</v>
      </c>
      <c r="I109" s="2285"/>
      <c r="J109" s="2284"/>
    </row>
    <row r="110" spans="1:21" s="2283" customFormat="1" ht="14.25" customHeight="1" x14ac:dyDescent="0.25">
      <c r="A110" s="2288">
        <v>4399</v>
      </c>
      <c r="B110" s="2287">
        <v>5339</v>
      </c>
      <c r="C110" s="2182"/>
      <c r="D110" s="2289" t="s">
        <v>1880</v>
      </c>
      <c r="E110" s="2286"/>
      <c r="F110" s="1284">
        <v>603</v>
      </c>
      <c r="G110" s="1283">
        <v>603</v>
      </c>
      <c r="H110" s="1313">
        <f t="shared" si="3"/>
        <v>100</v>
      </c>
      <c r="I110" s="2285"/>
      <c r="J110" s="2284"/>
    </row>
    <row r="111" spans="1:21" s="2283" customFormat="1" ht="14.25" customHeight="1" x14ac:dyDescent="0.2">
      <c r="A111" s="2288"/>
      <c r="B111" s="2287"/>
      <c r="C111" s="2182" t="s">
        <v>1623</v>
      </c>
      <c r="D111" s="2237" t="s">
        <v>1635</v>
      </c>
      <c r="E111" s="2286"/>
      <c r="F111" s="1275">
        <v>603</v>
      </c>
      <c r="G111" s="1274">
        <v>603</v>
      </c>
      <c r="H111" s="1316">
        <f t="shared" si="3"/>
        <v>100</v>
      </c>
      <c r="I111" s="2285"/>
      <c r="J111" s="2284"/>
    </row>
    <row r="112" spans="1:21" s="2271" customFormat="1" ht="14.25" customHeight="1" x14ac:dyDescent="0.25">
      <c r="A112" s="2281">
        <v>6172</v>
      </c>
      <c r="B112" s="1280">
        <v>5161</v>
      </c>
      <c r="C112" s="2280"/>
      <c r="D112" s="2282" t="s">
        <v>1607</v>
      </c>
      <c r="E112" s="1288">
        <v>5</v>
      </c>
      <c r="F112" s="1284">
        <v>5</v>
      </c>
      <c r="G112" s="1283">
        <v>0</v>
      </c>
      <c r="H112" s="1313">
        <f t="shared" si="3"/>
        <v>0</v>
      </c>
      <c r="I112" s="2272"/>
      <c r="J112" s="2272"/>
      <c r="K112" s="2272"/>
      <c r="L112" s="2272"/>
      <c r="M112" s="2272"/>
      <c r="N112" s="2272"/>
      <c r="O112" s="2272"/>
      <c r="P112" s="2272"/>
      <c r="Q112" s="2272"/>
      <c r="R112" s="2272"/>
      <c r="S112" s="2272"/>
      <c r="T112" s="2272"/>
      <c r="U112" s="2272"/>
    </row>
    <row r="113" spans="1:21" s="2271" customFormat="1" ht="14.25" customHeight="1" x14ac:dyDescent="0.25">
      <c r="A113" s="2281">
        <v>6172</v>
      </c>
      <c r="B113" s="1280">
        <v>5169</v>
      </c>
      <c r="C113" s="2280"/>
      <c r="D113" s="1285" t="s">
        <v>769</v>
      </c>
      <c r="E113" s="1288">
        <v>10</v>
      </c>
      <c r="F113" s="1284">
        <v>10</v>
      </c>
      <c r="G113" s="1283">
        <v>0</v>
      </c>
      <c r="H113" s="1313">
        <v>0</v>
      </c>
      <c r="I113" s="2272"/>
      <c r="J113" s="2272"/>
      <c r="K113" s="2272"/>
      <c r="L113" s="2272"/>
      <c r="M113" s="2272"/>
      <c r="N113" s="2272"/>
      <c r="O113" s="2272"/>
      <c r="P113" s="2272"/>
      <c r="Q113" s="2272"/>
      <c r="R113" s="2272"/>
      <c r="S113" s="2272"/>
      <c r="T113" s="2272"/>
      <c r="U113" s="2272"/>
    </row>
    <row r="114" spans="1:21" s="2271" customFormat="1" ht="14.25" customHeight="1" x14ac:dyDescent="0.25">
      <c r="A114" s="2281">
        <v>6172</v>
      </c>
      <c r="B114" s="1280">
        <v>5192</v>
      </c>
      <c r="C114" s="2280"/>
      <c r="D114" s="1285" t="s">
        <v>1612</v>
      </c>
      <c r="E114" s="1288">
        <v>20</v>
      </c>
      <c r="F114" s="1284">
        <v>20</v>
      </c>
      <c r="G114" s="1283">
        <v>18</v>
      </c>
      <c r="H114" s="1313">
        <v>0</v>
      </c>
      <c r="I114" s="2272"/>
      <c r="J114" s="2272"/>
      <c r="K114" s="2272"/>
      <c r="L114" s="2272"/>
      <c r="M114" s="2272"/>
      <c r="N114" s="2272"/>
      <c r="O114" s="2272"/>
      <c r="P114" s="2272"/>
      <c r="Q114" s="2272"/>
      <c r="R114" s="2272"/>
      <c r="S114" s="2272"/>
      <c r="T114" s="2272"/>
      <c r="U114" s="2272"/>
    </row>
    <row r="115" spans="1:21" s="2271" customFormat="1" ht="14.25" customHeight="1" thickBot="1" x14ac:dyDescent="0.3">
      <c r="A115" s="2279">
        <v>6330</v>
      </c>
      <c r="B115" s="2254">
        <v>5345</v>
      </c>
      <c r="C115" s="2278"/>
      <c r="D115" s="2277" t="s">
        <v>693</v>
      </c>
      <c r="E115" s="2276"/>
      <c r="F115" s="2275"/>
      <c r="G115" s="2274">
        <v>570</v>
      </c>
      <c r="H115" s="2273">
        <v>0</v>
      </c>
      <c r="I115" s="2272"/>
      <c r="J115" s="2272"/>
      <c r="K115" s="2272"/>
      <c r="L115" s="2272"/>
      <c r="M115" s="2272"/>
      <c r="N115" s="2272"/>
      <c r="O115" s="2272"/>
      <c r="P115" s="2272"/>
      <c r="Q115" s="2272"/>
      <c r="R115" s="2272"/>
      <c r="S115" s="2272"/>
      <c r="T115" s="2272"/>
      <c r="U115" s="2272"/>
    </row>
    <row r="116" spans="1:21" s="2265" customFormat="1" ht="35.25" customHeight="1" thickTop="1" thickBot="1" x14ac:dyDescent="0.3">
      <c r="A116" s="2270" t="s">
        <v>223</v>
      </c>
      <c r="B116" s="2268"/>
      <c r="C116" s="2269"/>
      <c r="D116" s="2268"/>
      <c r="E116" s="2267">
        <f>E15+E22+E26+E35+E46+E74+E82+E112+E113+E114+E28</f>
        <v>22521</v>
      </c>
      <c r="F116" s="2267">
        <f>F12+F15+F16+F22+F26+F28+F35+F41+F55+F58+F61+F65+F68+F74+F79+F82+F87+F92+F97+F101+F104+F112+F113+F114+F115+F19+F46+F62+F89+F106+F110+F108</f>
        <v>352190</v>
      </c>
      <c r="G116" s="2267">
        <f>G12+G15+G16+G22+G26+G28+G35+G41+G55+G58+G61+G65+G68+G74+G79+G82+G87+G92+G97+G101+G104+G112+G113+G114+G115+G19+G46+G62+G89+G106+G110+G108</f>
        <v>351771</v>
      </c>
      <c r="H116" s="2266">
        <f>(G116/F116)*100</f>
        <v>99.881030125784378</v>
      </c>
      <c r="J116" s="2123">
        <v>22521000</v>
      </c>
      <c r="K116" s="2123">
        <v>352189628.60000002</v>
      </c>
      <c r="L116" s="2123">
        <v>351771037.97000003</v>
      </c>
    </row>
    <row r="117" spans="1:21" ht="15" thickTop="1" x14ac:dyDescent="0.2"/>
    <row r="119" spans="1:21" ht="15.75" x14ac:dyDescent="0.25">
      <c r="A119" s="1312" t="s">
        <v>1120</v>
      </c>
      <c r="B119" s="1312"/>
      <c r="E119" s="2264"/>
      <c r="F119" s="2264"/>
      <c r="G119" s="2264"/>
      <c r="H119" s="2203"/>
    </row>
    <row r="120" spans="1:21" ht="13.5" thickBot="1" x14ac:dyDescent="0.25">
      <c r="E120" s="2264"/>
      <c r="F120" s="2264"/>
      <c r="G120" s="2264"/>
      <c r="H120" s="2203" t="s">
        <v>148</v>
      </c>
    </row>
    <row r="121" spans="1:21" s="1298" customFormat="1" ht="20.25" customHeight="1" thickTop="1" thickBot="1" x14ac:dyDescent="0.25">
      <c r="A121" s="1302" t="s">
        <v>149</v>
      </c>
      <c r="B121" s="1301" t="s">
        <v>150</v>
      </c>
      <c r="C121" s="2263" t="s">
        <v>639</v>
      </c>
      <c r="D121" s="1324" t="s">
        <v>151</v>
      </c>
      <c r="E121" s="1324" t="s">
        <v>569</v>
      </c>
      <c r="F121" s="1324" t="s">
        <v>570</v>
      </c>
      <c r="G121" s="1324" t="s">
        <v>797</v>
      </c>
      <c r="H121" s="2262" t="s">
        <v>798</v>
      </c>
    </row>
    <row r="122" spans="1:21" s="1292" customFormat="1" ht="13.5" thickTop="1" thickBot="1" x14ac:dyDescent="0.25">
      <c r="A122" s="1297">
        <v>1</v>
      </c>
      <c r="B122" s="1296">
        <v>2</v>
      </c>
      <c r="C122" s="1296">
        <v>3</v>
      </c>
      <c r="D122" s="1296">
        <v>4</v>
      </c>
      <c r="E122" s="1296">
        <v>5</v>
      </c>
      <c r="F122" s="1295">
        <v>6</v>
      </c>
      <c r="G122" s="1295">
        <v>7</v>
      </c>
      <c r="H122" s="1294" t="s">
        <v>54</v>
      </c>
      <c r="I122" s="1298"/>
    </row>
    <row r="123" spans="1:21" s="1292" customFormat="1" ht="15.75" thickTop="1" x14ac:dyDescent="0.25">
      <c r="A123" s="1279">
        <v>4349</v>
      </c>
      <c r="B123" s="2261">
        <v>6341</v>
      </c>
      <c r="C123" s="2256"/>
      <c r="D123" s="2260" t="s">
        <v>227</v>
      </c>
      <c r="E123" s="1421"/>
      <c r="F123" s="2259">
        <v>800</v>
      </c>
      <c r="G123" s="2258">
        <v>800</v>
      </c>
      <c r="H123" s="1282">
        <f>G123/F123*100</f>
        <v>100</v>
      </c>
      <c r="I123" s="1298"/>
    </row>
    <row r="124" spans="1:21" s="1292" customFormat="1" x14ac:dyDescent="0.2">
      <c r="A124" s="1331"/>
      <c r="B124" s="2257"/>
      <c r="C124" s="2256" t="s">
        <v>655</v>
      </c>
      <c r="D124" s="3144" t="s">
        <v>1879</v>
      </c>
      <c r="E124" s="2252"/>
      <c r="F124" s="2251">
        <v>800</v>
      </c>
      <c r="G124" s="2250">
        <v>800</v>
      </c>
      <c r="H124" s="1273">
        <f>G124/F124*100</f>
        <v>100</v>
      </c>
      <c r="I124" s="1298"/>
    </row>
    <row r="125" spans="1:21" s="1292" customFormat="1" ht="15" thickBot="1" x14ac:dyDescent="0.25">
      <c r="A125" s="2255"/>
      <c r="B125" s="2254"/>
      <c r="C125" s="2253"/>
      <c r="D125" s="3144"/>
      <c r="E125" s="2252"/>
      <c r="F125" s="2251"/>
      <c r="G125" s="2250"/>
      <c r="H125" s="1273"/>
      <c r="I125" s="1298"/>
    </row>
    <row r="126" spans="1:21" s="1266" customFormat="1" ht="33.75" customHeight="1" thickTop="1" thickBot="1" x14ac:dyDescent="0.3">
      <c r="A126" s="1272" t="s">
        <v>224</v>
      </c>
      <c r="B126" s="1271"/>
      <c r="C126" s="2249"/>
      <c r="D126" s="1271"/>
      <c r="E126" s="2248">
        <v>0</v>
      </c>
      <c r="F126" s="2248">
        <v>800</v>
      </c>
      <c r="G126" s="2248">
        <v>800</v>
      </c>
      <c r="H126" s="2247">
        <f>(G126/F126)*100</f>
        <v>100</v>
      </c>
      <c r="J126" s="2246"/>
      <c r="K126" s="2246"/>
      <c r="L126" s="2246"/>
      <c r="M126" s="2246"/>
    </row>
    <row r="127" spans="1:21" ht="15" thickTop="1" x14ac:dyDescent="0.2"/>
    <row r="138" spans="1:9" s="2163" customFormat="1" ht="15.75" x14ac:dyDescent="0.25">
      <c r="A138" s="2245" t="s">
        <v>564</v>
      </c>
      <c r="B138" s="2212"/>
      <c r="C138" s="2211"/>
      <c r="E138" s="2205"/>
      <c r="F138" s="2205"/>
      <c r="G138" s="2205"/>
      <c r="H138" s="2204"/>
    </row>
    <row r="139" spans="1:9" ht="15" x14ac:dyDescent="0.2">
      <c r="A139" s="2244"/>
    </row>
    <row r="140" spans="1:9" s="2163" customFormat="1" ht="15.75" x14ac:dyDescent="0.25">
      <c r="A140" s="2137" t="s">
        <v>1175</v>
      </c>
      <c r="B140" s="2212"/>
      <c r="C140" s="2211"/>
      <c r="E140" s="2205" t="s">
        <v>1174</v>
      </c>
      <c r="F140" s="2205"/>
      <c r="G140" s="2205"/>
      <c r="H140" s="2204"/>
    </row>
    <row r="141" spans="1:9" ht="15" thickBot="1" x14ac:dyDescent="0.25">
      <c r="A141" s="2156"/>
      <c r="H141" s="2203" t="s">
        <v>148</v>
      </c>
    </row>
    <row r="142" spans="1:9" s="2196" customFormat="1" ht="20.25" customHeight="1" thickTop="1" thickBot="1" x14ac:dyDescent="0.25">
      <c r="A142" s="2202" t="s">
        <v>149</v>
      </c>
      <c r="B142" s="2201" t="s">
        <v>150</v>
      </c>
      <c r="C142" s="2200" t="s">
        <v>639</v>
      </c>
      <c r="D142" s="2199" t="s">
        <v>151</v>
      </c>
      <c r="E142" s="1324" t="s">
        <v>569</v>
      </c>
      <c r="F142" s="1324" t="s">
        <v>570</v>
      </c>
      <c r="G142" s="2198" t="s">
        <v>797</v>
      </c>
      <c r="H142" s="2238" t="s">
        <v>798</v>
      </c>
    </row>
    <row r="143" spans="1:9" s="1292" customFormat="1" ht="13.5" thickTop="1" thickBot="1" x14ac:dyDescent="0.25">
      <c r="A143" s="1297">
        <v>1</v>
      </c>
      <c r="B143" s="1296">
        <v>2</v>
      </c>
      <c r="C143" s="1296">
        <v>3</v>
      </c>
      <c r="D143" s="1296">
        <v>4</v>
      </c>
      <c r="E143" s="1296">
        <v>5</v>
      </c>
      <c r="F143" s="1295">
        <v>6</v>
      </c>
      <c r="G143" s="1295">
        <v>7</v>
      </c>
      <c r="H143" s="1294" t="s">
        <v>54</v>
      </c>
      <c r="I143" s="1298"/>
    </row>
    <row r="144" spans="1:9" s="2163" customFormat="1" ht="15.75" thickTop="1" x14ac:dyDescent="0.25">
      <c r="A144" s="2177">
        <v>4350</v>
      </c>
      <c r="B144" s="2176">
        <v>5331</v>
      </c>
      <c r="C144" s="2175"/>
      <c r="D144" s="2174" t="s">
        <v>216</v>
      </c>
      <c r="E144" s="2173">
        <f>E145+E146</f>
        <v>2330</v>
      </c>
      <c r="F144" s="2173">
        <f>F145+F146</f>
        <v>3127</v>
      </c>
      <c r="G144" s="2173">
        <f>G145+G146</f>
        <v>3127</v>
      </c>
      <c r="H144" s="2195">
        <f>G144/F144*100</f>
        <v>100</v>
      </c>
    </row>
    <row r="145" spans="1:9" x14ac:dyDescent="0.2">
      <c r="A145" s="2170"/>
      <c r="B145" s="2169"/>
      <c r="C145" s="2191" t="s">
        <v>521</v>
      </c>
      <c r="D145" s="2190" t="s">
        <v>1128</v>
      </c>
      <c r="E145" s="2166">
        <v>634</v>
      </c>
      <c r="F145" s="2166">
        <v>631</v>
      </c>
      <c r="G145" s="2166">
        <v>631</v>
      </c>
      <c r="H145" s="2165">
        <f>(G145/F145)*100</f>
        <v>100</v>
      </c>
    </row>
    <row r="146" spans="1:9" x14ac:dyDescent="0.2">
      <c r="A146" s="2170"/>
      <c r="B146" s="2241"/>
      <c r="C146" s="2182" t="s">
        <v>517</v>
      </c>
      <c r="D146" s="2237" t="s">
        <v>984</v>
      </c>
      <c r="E146" s="2166">
        <v>1696</v>
      </c>
      <c r="F146" s="2166">
        <v>2496</v>
      </c>
      <c r="G146" s="2166">
        <v>2496</v>
      </c>
      <c r="H146" s="2165">
        <f>(G146/F146)*100</f>
        <v>100</v>
      </c>
    </row>
    <row r="147" spans="1:9" ht="15" x14ac:dyDescent="0.25">
      <c r="A147" s="2170">
        <v>4399</v>
      </c>
      <c r="B147" s="2241">
        <v>5336</v>
      </c>
      <c r="C147" s="2182"/>
      <c r="D147" s="2243" t="s">
        <v>1453</v>
      </c>
      <c r="E147" s="2166"/>
      <c r="F147" s="2180">
        <v>3958</v>
      </c>
      <c r="G147" s="2180">
        <v>3958</v>
      </c>
      <c r="H147" s="2172">
        <f>(G147/F147)*100</f>
        <v>100</v>
      </c>
    </row>
    <row r="148" spans="1:9" ht="15" thickBot="1" x14ac:dyDescent="0.25">
      <c r="A148" s="2170"/>
      <c r="B148" s="2241"/>
      <c r="C148" s="2182" t="s">
        <v>1623</v>
      </c>
      <c r="D148" s="2237" t="s">
        <v>1635</v>
      </c>
      <c r="E148" s="2166"/>
      <c r="F148" s="2166">
        <v>3958</v>
      </c>
      <c r="G148" s="2166">
        <v>3958</v>
      </c>
      <c r="H148" s="2165">
        <f>(G148/F148)*100</f>
        <v>100</v>
      </c>
    </row>
    <row r="149" spans="1:9" s="2131" customFormat="1" ht="18" thickTop="1" thickBot="1" x14ac:dyDescent="0.3">
      <c r="A149" s="2162" t="s">
        <v>1000</v>
      </c>
      <c r="B149" s="2161"/>
      <c r="C149" s="2160"/>
      <c r="D149" s="2159"/>
      <c r="E149" s="2158">
        <f>SUM(E144)</f>
        <v>2330</v>
      </c>
      <c r="F149" s="2158">
        <f>F144+F147</f>
        <v>7085</v>
      </c>
      <c r="G149" s="2158">
        <f>G144+G147</f>
        <v>7085</v>
      </c>
      <c r="H149" s="2157">
        <f>G149/F149*100</f>
        <v>100</v>
      </c>
    </row>
    <row r="150" spans="1:9" s="2131" customFormat="1" ht="17.25" thickTop="1" x14ac:dyDescent="0.25">
      <c r="A150" s="2145"/>
      <c r="B150" s="2144"/>
      <c r="C150" s="2143"/>
      <c r="D150" s="2142"/>
      <c r="E150" s="2221"/>
      <c r="F150" s="2221"/>
      <c r="G150" s="2221"/>
      <c r="H150" s="2220"/>
    </row>
    <row r="151" spans="1:9" s="2131" customFormat="1" ht="27.75" customHeight="1" thickBot="1" x14ac:dyDescent="0.3">
      <c r="A151" s="2155" t="s">
        <v>1177</v>
      </c>
      <c r="B151" s="2217"/>
      <c r="C151" s="2216"/>
      <c r="D151" s="2215"/>
      <c r="E151" s="2153">
        <f>SUM(E149)</f>
        <v>2330</v>
      </c>
      <c r="F151" s="2153">
        <f>SUM(F149)</f>
        <v>7085</v>
      </c>
      <c r="G151" s="2153">
        <f>SUM(G149)</f>
        <v>7085</v>
      </c>
      <c r="H151" s="2152">
        <f>(G151/F151)*100</f>
        <v>100</v>
      </c>
    </row>
    <row r="152" spans="1:9" ht="15" thickTop="1" x14ac:dyDescent="0.2"/>
    <row r="153" spans="1:9" s="2163" customFormat="1" ht="15.75" x14ac:dyDescent="0.25">
      <c r="A153" s="2137" t="s">
        <v>269</v>
      </c>
      <c r="B153" s="2212"/>
      <c r="C153" s="2211"/>
      <c r="E153" s="2205" t="s">
        <v>1176</v>
      </c>
      <c r="F153" s="2205"/>
      <c r="G153" s="2205"/>
      <c r="H153" s="2204"/>
    </row>
    <row r="154" spans="1:9" ht="15" thickBot="1" x14ac:dyDescent="0.25">
      <c r="A154" s="2156"/>
      <c r="H154" s="2203" t="s">
        <v>148</v>
      </c>
    </row>
    <row r="155" spans="1:9" s="2196" customFormat="1" ht="20.25" customHeight="1" thickTop="1" thickBot="1" x14ac:dyDescent="0.25">
      <c r="A155" s="2202" t="s">
        <v>149</v>
      </c>
      <c r="B155" s="2201" t="s">
        <v>150</v>
      </c>
      <c r="C155" s="2200" t="s">
        <v>639</v>
      </c>
      <c r="D155" s="2199" t="s">
        <v>151</v>
      </c>
      <c r="E155" s="1324" t="s">
        <v>569</v>
      </c>
      <c r="F155" s="1324" t="s">
        <v>570</v>
      </c>
      <c r="G155" s="2198" t="s">
        <v>797</v>
      </c>
      <c r="H155" s="2238" t="s">
        <v>798</v>
      </c>
    </row>
    <row r="156" spans="1:9" s="1292" customFormat="1" ht="13.5" thickTop="1" thickBot="1" x14ac:dyDescent="0.25">
      <c r="A156" s="1297">
        <v>1</v>
      </c>
      <c r="B156" s="1296">
        <v>2</v>
      </c>
      <c r="C156" s="1296">
        <v>3</v>
      </c>
      <c r="D156" s="1296">
        <v>4</v>
      </c>
      <c r="E156" s="1296">
        <v>5</v>
      </c>
      <c r="F156" s="1295">
        <v>6</v>
      </c>
      <c r="G156" s="1295">
        <v>7</v>
      </c>
      <c r="H156" s="1294" t="s">
        <v>54</v>
      </c>
      <c r="I156" s="1298"/>
    </row>
    <row r="157" spans="1:9" s="2163" customFormat="1" ht="15.75" thickTop="1" x14ac:dyDescent="0.25">
      <c r="A157" s="2177">
        <v>4350</v>
      </c>
      <c r="B157" s="2176">
        <v>5331</v>
      </c>
      <c r="C157" s="2175"/>
      <c r="D157" s="2174" t="s">
        <v>216</v>
      </c>
      <c r="E157" s="2173">
        <f>E158+E160</f>
        <v>4683</v>
      </c>
      <c r="F157" s="2173">
        <f>F158+F160+F159</f>
        <v>4834</v>
      </c>
      <c r="G157" s="2173">
        <f>G158+G160+G159</f>
        <v>4834</v>
      </c>
      <c r="H157" s="2195">
        <f>G157/F157*100</f>
        <v>100</v>
      </c>
    </row>
    <row r="158" spans="1:9" x14ac:dyDescent="0.2">
      <c r="A158" s="2170"/>
      <c r="B158" s="2169"/>
      <c r="C158" s="2191" t="s">
        <v>521</v>
      </c>
      <c r="D158" s="2190" t="s">
        <v>1128</v>
      </c>
      <c r="E158" s="2166">
        <v>902</v>
      </c>
      <c r="F158" s="2166">
        <v>903</v>
      </c>
      <c r="G158" s="2166">
        <v>903</v>
      </c>
      <c r="H158" s="2165">
        <f>(G158/F158)*100</f>
        <v>100</v>
      </c>
    </row>
    <row r="159" spans="1:9" x14ac:dyDescent="0.2">
      <c r="A159" s="2170"/>
      <c r="B159" s="2241"/>
      <c r="C159" s="2168" t="s">
        <v>682</v>
      </c>
      <c r="D159" s="2167" t="s">
        <v>805</v>
      </c>
      <c r="E159" s="2166"/>
      <c r="F159" s="2166">
        <v>29</v>
      </c>
      <c r="G159" s="2166">
        <v>29</v>
      </c>
      <c r="H159" s="2165">
        <f>(G159/F159)*100</f>
        <v>100</v>
      </c>
    </row>
    <row r="160" spans="1:9" x14ac:dyDescent="0.2">
      <c r="A160" s="2170"/>
      <c r="B160" s="2241"/>
      <c r="C160" s="2182" t="s">
        <v>517</v>
      </c>
      <c r="D160" s="2237" t="s">
        <v>984</v>
      </c>
      <c r="E160" s="2166">
        <v>3781</v>
      </c>
      <c r="F160" s="2166">
        <v>3902</v>
      </c>
      <c r="G160" s="2166">
        <v>3902</v>
      </c>
      <c r="H160" s="2165">
        <f>(G160/F160)*100</f>
        <v>100</v>
      </c>
    </row>
    <row r="161" spans="1:12" ht="15" x14ac:dyDescent="0.25">
      <c r="A161" s="2170">
        <v>4350</v>
      </c>
      <c r="B161" s="2241">
        <v>5336</v>
      </c>
      <c r="C161" s="2184"/>
      <c r="D161" s="2239" t="s">
        <v>1453</v>
      </c>
      <c r="E161" s="2180"/>
      <c r="F161" s="2180">
        <f>F162+F163</f>
        <v>346</v>
      </c>
      <c r="G161" s="2180">
        <f>G162+G163</f>
        <v>346</v>
      </c>
      <c r="H161" s="2192">
        <f>G161/F161*100</f>
        <v>100</v>
      </c>
    </row>
    <row r="162" spans="1:12" x14ac:dyDescent="0.2">
      <c r="A162" s="2170"/>
      <c r="B162" s="2241"/>
      <c r="C162" s="2182" t="s">
        <v>1210</v>
      </c>
      <c r="D162" s="2187" t="s">
        <v>1211</v>
      </c>
      <c r="E162" s="2166"/>
      <c r="F162" s="2166">
        <v>52</v>
      </c>
      <c r="G162" s="2166">
        <v>52</v>
      </c>
      <c r="H162" s="2165">
        <f>(G162/F162)*100</f>
        <v>100</v>
      </c>
    </row>
    <row r="163" spans="1:12" x14ac:dyDescent="0.2">
      <c r="A163" s="2170"/>
      <c r="B163" s="2241"/>
      <c r="C163" s="2182" t="s">
        <v>1212</v>
      </c>
      <c r="D163" s="2185" t="s">
        <v>1213</v>
      </c>
      <c r="E163" s="2166"/>
      <c r="F163" s="2166">
        <v>294</v>
      </c>
      <c r="G163" s="2166">
        <v>294</v>
      </c>
      <c r="H163" s="2165">
        <f>(G163/F163)*100</f>
        <v>100</v>
      </c>
    </row>
    <row r="164" spans="1:12" ht="15" x14ac:dyDescent="0.25">
      <c r="A164" s="2170">
        <v>4399</v>
      </c>
      <c r="B164" s="2241">
        <v>5336</v>
      </c>
      <c r="C164" s="2182"/>
      <c r="D164" s="2243" t="s">
        <v>1453</v>
      </c>
      <c r="E164" s="2166"/>
      <c r="F164" s="2180">
        <v>6165</v>
      </c>
      <c r="G164" s="2180">
        <v>6165</v>
      </c>
      <c r="H164" s="2172">
        <f>(G164/F164)*100</f>
        <v>100</v>
      </c>
    </row>
    <row r="165" spans="1:12" ht="15" thickBot="1" x14ac:dyDescent="0.25">
      <c r="A165" s="2170"/>
      <c r="B165" s="2241"/>
      <c r="C165" s="2182" t="s">
        <v>1623</v>
      </c>
      <c r="D165" s="2237" t="s">
        <v>1635</v>
      </c>
      <c r="E165" s="2166"/>
      <c r="F165" s="2166">
        <v>6165</v>
      </c>
      <c r="G165" s="2166">
        <v>6165</v>
      </c>
      <c r="H165" s="2165">
        <f>(G165/F165)*100</f>
        <v>100</v>
      </c>
    </row>
    <row r="166" spans="1:12" s="2131" customFormat="1" ht="20.25" customHeight="1" thickTop="1" thickBot="1" x14ac:dyDescent="0.3">
      <c r="A166" s="2162" t="s">
        <v>1000</v>
      </c>
      <c r="B166" s="2161"/>
      <c r="C166" s="2160"/>
      <c r="D166" s="2159"/>
      <c r="E166" s="2158">
        <f>SUM(E157)</f>
        <v>4683</v>
      </c>
      <c r="F166" s="2158">
        <f>F157+F161+F164</f>
        <v>11345</v>
      </c>
      <c r="G166" s="2158">
        <f>G157+G161+G164</f>
        <v>11345</v>
      </c>
      <c r="H166" s="2157">
        <f>(G166/F166)*100</f>
        <v>100</v>
      </c>
      <c r="J166" s="2178"/>
      <c r="K166" s="2178"/>
      <c r="L166" s="2178"/>
    </row>
    <row r="167" spans="1:12" ht="15" thickTop="1" x14ac:dyDescent="0.2">
      <c r="A167" s="2156"/>
    </row>
    <row r="168" spans="1:12" s="2131" customFormat="1" ht="27.75" customHeight="1" thickBot="1" x14ac:dyDescent="0.3">
      <c r="A168" s="2155" t="s">
        <v>270</v>
      </c>
      <c r="B168" s="2217"/>
      <c r="C168" s="2216"/>
      <c r="D168" s="2215"/>
      <c r="E168" s="2153">
        <f>E166</f>
        <v>4683</v>
      </c>
      <c r="F168" s="2153">
        <f>F166</f>
        <v>11345</v>
      </c>
      <c r="G168" s="2153">
        <f>G166</f>
        <v>11345</v>
      </c>
      <c r="H168" s="2152">
        <f>(G168/F168)*100</f>
        <v>100</v>
      </c>
    </row>
    <row r="169" spans="1:12" ht="15" thickTop="1" x14ac:dyDescent="0.2"/>
    <row r="171" spans="1:12" s="1465" customFormat="1" ht="15.75" x14ac:dyDescent="0.25">
      <c r="A171" s="2137" t="s">
        <v>1454</v>
      </c>
      <c r="B171" s="2218"/>
      <c r="C171" s="2211"/>
      <c r="E171" s="2205" t="s">
        <v>1178</v>
      </c>
      <c r="F171" s="2205"/>
      <c r="G171" s="2205"/>
      <c r="H171" s="2204"/>
    </row>
    <row r="172" spans="1:12" ht="15" thickBot="1" x14ac:dyDescent="0.25">
      <c r="A172" s="2156"/>
      <c r="H172" s="2203" t="s">
        <v>148</v>
      </c>
    </row>
    <row r="173" spans="1:12" s="2196" customFormat="1" ht="20.25" customHeight="1" thickTop="1" thickBot="1" x14ac:dyDescent="0.25">
      <c r="A173" s="2202" t="s">
        <v>149</v>
      </c>
      <c r="B173" s="2201" t="s">
        <v>150</v>
      </c>
      <c r="C173" s="2200" t="s">
        <v>639</v>
      </c>
      <c r="D173" s="2199" t="s">
        <v>151</v>
      </c>
      <c r="E173" s="1324" t="s">
        <v>569</v>
      </c>
      <c r="F173" s="1324" t="s">
        <v>570</v>
      </c>
      <c r="G173" s="2198" t="s">
        <v>797</v>
      </c>
      <c r="H173" s="2238" t="s">
        <v>798</v>
      </c>
    </row>
    <row r="174" spans="1:12" s="1292" customFormat="1" ht="13.5" thickTop="1" thickBot="1" x14ac:dyDescent="0.25">
      <c r="A174" s="1297">
        <v>1</v>
      </c>
      <c r="B174" s="1296">
        <v>2</v>
      </c>
      <c r="C174" s="1296">
        <v>3</v>
      </c>
      <c r="D174" s="1296">
        <v>4</v>
      </c>
      <c r="E174" s="1296">
        <v>5</v>
      </c>
      <c r="F174" s="1295">
        <v>6</v>
      </c>
      <c r="G174" s="1295">
        <v>7</v>
      </c>
      <c r="H174" s="1294" t="s">
        <v>54</v>
      </c>
      <c r="I174" s="1298"/>
    </row>
    <row r="175" spans="1:12" s="2163" customFormat="1" ht="15.75" thickTop="1" x14ac:dyDescent="0.25">
      <c r="A175" s="2177">
        <v>4357</v>
      </c>
      <c r="B175" s="2176">
        <v>5331</v>
      </c>
      <c r="C175" s="2175"/>
      <c r="D175" s="2174" t="s">
        <v>216</v>
      </c>
      <c r="E175" s="2173">
        <f>E176+E178</f>
        <v>3670</v>
      </c>
      <c r="F175" s="2173">
        <f>F176+F178+F177</f>
        <v>3266</v>
      </c>
      <c r="G175" s="2173">
        <f>G176+G178+G177</f>
        <v>3266</v>
      </c>
      <c r="H175" s="2195">
        <f>G175/F175*100</f>
        <v>100</v>
      </c>
    </row>
    <row r="176" spans="1:12" x14ac:dyDescent="0.2">
      <c r="A176" s="2170"/>
      <c r="B176" s="2169"/>
      <c r="C176" s="2191" t="s">
        <v>521</v>
      </c>
      <c r="D176" s="2190" t="s">
        <v>1128</v>
      </c>
      <c r="E176" s="2166">
        <v>1426</v>
      </c>
      <c r="F176" s="2166">
        <v>1422</v>
      </c>
      <c r="G176" s="2166">
        <v>1422</v>
      </c>
      <c r="H176" s="2165">
        <f t="shared" ref="H176:H181" si="4">(G176/F176)*100</f>
        <v>100</v>
      </c>
    </row>
    <row r="177" spans="1:9" x14ac:dyDescent="0.2">
      <c r="A177" s="2170"/>
      <c r="B177" s="2241"/>
      <c r="C177" s="2168" t="s">
        <v>682</v>
      </c>
      <c r="D177" s="2167" t="s">
        <v>805</v>
      </c>
      <c r="E177" s="2166"/>
      <c r="F177" s="2166">
        <v>155</v>
      </c>
      <c r="G177" s="2166">
        <v>155</v>
      </c>
      <c r="H177" s="2165">
        <f t="shared" si="4"/>
        <v>100</v>
      </c>
    </row>
    <row r="178" spans="1:9" x14ac:dyDescent="0.2">
      <c r="A178" s="2170"/>
      <c r="B178" s="2241"/>
      <c r="C178" s="2182" t="s">
        <v>517</v>
      </c>
      <c r="D178" s="2237" t="s">
        <v>984</v>
      </c>
      <c r="E178" s="2166">
        <v>2244</v>
      </c>
      <c r="F178" s="2166">
        <v>1689</v>
      </c>
      <c r="G178" s="2166">
        <v>1689</v>
      </c>
      <c r="H178" s="2165">
        <f t="shared" si="4"/>
        <v>100</v>
      </c>
    </row>
    <row r="179" spans="1:9" ht="15" x14ac:dyDescent="0.25">
      <c r="A179" s="2170">
        <v>4399</v>
      </c>
      <c r="B179" s="2241">
        <v>5336</v>
      </c>
      <c r="C179" s="2184"/>
      <c r="D179" s="2239" t="s">
        <v>1453</v>
      </c>
      <c r="E179" s="2166"/>
      <c r="F179" s="2180">
        <v>8658</v>
      </c>
      <c r="G179" s="2180">
        <v>8658</v>
      </c>
      <c r="H179" s="2172">
        <f t="shared" si="4"/>
        <v>100</v>
      </c>
    </row>
    <row r="180" spans="1:9" ht="15" thickBot="1" x14ac:dyDescent="0.25">
      <c r="A180" s="2170"/>
      <c r="B180" s="2241"/>
      <c r="C180" s="2182" t="s">
        <v>1623</v>
      </c>
      <c r="D180" s="2237" t="s">
        <v>1635</v>
      </c>
      <c r="E180" s="2166"/>
      <c r="F180" s="2166">
        <v>8658</v>
      </c>
      <c r="G180" s="2166">
        <v>8658</v>
      </c>
      <c r="H180" s="2165">
        <f t="shared" si="4"/>
        <v>100</v>
      </c>
    </row>
    <row r="181" spans="1:9" s="2131" customFormat="1" ht="20.25" customHeight="1" thickTop="1" thickBot="1" x14ac:dyDescent="0.3">
      <c r="A181" s="2162" t="s">
        <v>1000</v>
      </c>
      <c r="B181" s="2161"/>
      <c r="C181" s="2160"/>
      <c r="D181" s="2159"/>
      <c r="E181" s="2158">
        <f>E175+E179</f>
        <v>3670</v>
      </c>
      <c r="F181" s="2158">
        <f>F175+F179</f>
        <v>11924</v>
      </c>
      <c r="G181" s="2158">
        <f>G175+G179</f>
        <v>11924</v>
      </c>
      <c r="H181" s="2157">
        <f t="shared" si="4"/>
        <v>100</v>
      </c>
    </row>
    <row r="182" spans="1:9" s="2126" customFormat="1" ht="20.25" customHeight="1" thickTop="1" x14ac:dyDescent="0.25">
      <c r="A182" s="2149"/>
      <c r="B182" s="2210"/>
      <c r="C182" s="2219"/>
      <c r="D182" s="2208"/>
      <c r="E182" s="2150"/>
      <c r="F182" s="2150"/>
      <c r="G182" s="2150"/>
      <c r="H182" s="2147"/>
    </row>
    <row r="183" spans="1:9" s="2131" customFormat="1" ht="27.75" customHeight="1" thickBot="1" x14ac:dyDescent="0.3">
      <c r="A183" s="2155" t="s">
        <v>1070</v>
      </c>
      <c r="B183" s="2217"/>
      <c r="C183" s="2216"/>
      <c r="D183" s="2215"/>
      <c r="E183" s="2153">
        <f>SUM(E181)</f>
        <v>3670</v>
      </c>
      <c r="F183" s="2153">
        <f>SUM(F181)</f>
        <v>11924</v>
      </c>
      <c r="G183" s="2153">
        <f>SUM(G181)</f>
        <v>11924</v>
      </c>
      <c r="H183" s="2152">
        <f>(G183/F183)*100</f>
        <v>100</v>
      </c>
    </row>
    <row r="184" spans="1:9" s="2126" customFormat="1" ht="15" customHeight="1" thickTop="1" x14ac:dyDescent="0.25">
      <c r="A184" s="2149"/>
      <c r="B184" s="2210"/>
      <c r="C184" s="2219"/>
      <c r="D184" s="2208"/>
      <c r="E184" s="2150"/>
      <c r="F184" s="2150"/>
      <c r="G184" s="2150"/>
      <c r="H184" s="2147"/>
    </row>
    <row r="185" spans="1:9" s="2126" customFormat="1" ht="15" customHeight="1" x14ac:dyDescent="0.25">
      <c r="A185" s="2149"/>
      <c r="B185" s="2210"/>
      <c r="C185" s="2219"/>
      <c r="D185" s="2208"/>
      <c r="E185" s="2150"/>
      <c r="F185" s="2150"/>
      <c r="G185" s="2150"/>
      <c r="H185" s="2147"/>
    </row>
    <row r="186" spans="1:9" s="2163" customFormat="1" ht="15.75" x14ac:dyDescent="0.25">
      <c r="A186" s="2137" t="s">
        <v>1071</v>
      </c>
      <c r="B186" s="2212"/>
      <c r="C186" s="2211"/>
      <c r="E186" s="2205" t="s">
        <v>1179</v>
      </c>
      <c r="F186" s="2205"/>
      <c r="G186" s="2205"/>
      <c r="H186" s="2204"/>
    </row>
    <row r="187" spans="1:9" ht="15" thickBot="1" x14ac:dyDescent="0.25">
      <c r="A187" s="2156"/>
      <c r="H187" s="2203" t="s">
        <v>148</v>
      </c>
    </row>
    <row r="188" spans="1:9" s="2196" customFormat="1" ht="20.25" customHeight="1" thickTop="1" thickBot="1" x14ac:dyDescent="0.25">
      <c r="A188" s="2202" t="s">
        <v>149</v>
      </c>
      <c r="B188" s="2201" t="s">
        <v>150</v>
      </c>
      <c r="C188" s="2200" t="s">
        <v>639</v>
      </c>
      <c r="D188" s="2199" t="s">
        <v>151</v>
      </c>
      <c r="E188" s="1324" t="s">
        <v>569</v>
      </c>
      <c r="F188" s="1324" t="s">
        <v>570</v>
      </c>
      <c r="G188" s="2198" t="s">
        <v>797</v>
      </c>
      <c r="H188" s="2238" t="s">
        <v>798</v>
      </c>
    </row>
    <row r="189" spans="1:9" s="1292" customFormat="1" ht="13.5" thickTop="1" thickBot="1" x14ac:dyDescent="0.25">
      <c r="A189" s="1297">
        <v>1</v>
      </c>
      <c r="B189" s="1296">
        <v>2</v>
      </c>
      <c r="C189" s="1296">
        <v>3</v>
      </c>
      <c r="D189" s="1296">
        <v>4</v>
      </c>
      <c r="E189" s="1296">
        <v>5</v>
      </c>
      <c r="F189" s="1295">
        <v>6</v>
      </c>
      <c r="G189" s="1295">
        <v>7</v>
      </c>
      <c r="H189" s="1294" t="s">
        <v>54</v>
      </c>
      <c r="I189" s="1298"/>
    </row>
    <row r="190" spans="1:9" s="2163" customFormat="1" ht="15.75" thickTop="1" x14ac:dyDescent="0.25">
      <c r="A190" s="2177">
        <v>4351</v>
      </c>
      <c r="B190" s="2176">
        <v>5331</v>
      </c>
      <c r="C190" s="2175"/>
      <c r="D190" s="2174" t="s">
        <v>216</v>
      </c>
      <c r="E190" s="2173">
        <f>E191+E192</f>
        <v>702</v>
      </c>
      <c r="F190" s="2173">
        <f>F191+F192</f>
        <v>408</v>
      </c>
      <c r="G190" s="2173">
        <f>G191+G192</f>
        <v>408</v>
      </c>
      <c r="H190" s="2195">
        <f>G190/F190*100</f>
        <v>100</v>
      </c>
    </row>
    <row r="191" spans="1:9" x14ac:dyDescent="0.2">
      <c r="A191" s="2170"/>
      <c r="B191" s="2169"/>
      <c r="C191" s="2191" t="s">
        <v>521</v>
      </c>
      <c r="D191" s="2190" t="s">
        <v>1128</v>
      </c>
      <c r="E191" s="2166">
        <v>125</v>
      </c>
      <c r="F191" s="2166">
        <v>106</v>
      </c>
      <c r="G191" s="2166">
        <v>106</v>
      </c>
      <c r="H191" s="2165">
        <f>(G191/F191)*100</f>
        <v>100</v>
      </c>
    </row>
    <row r="192" spans="1:9" x14ac:dyDescent="0.2">
      <c r="A192" s="2170"/>
      <c r="B192" s="2169"/>
      <c r="C192" s="2182" t="s">
        <v>517</v>
      </c>
      <c r="D192" s="2237" t="s">
        <v>984</v>
      </c>
      <c r="E192" s="2166">
        <v>577</v>
      </c>
      <c r="F192" s="2166">
        <v>302</v>
      </c>
      <c r="G192" s="2166">
        <v>302</v>
      </c>
      <c r="H192" s="2165">
        <f>(G192/F192)*100</f>
        <v>100</v>
      </c>
    </row>
    <row r="193" spans="1:9" ht="15" x14ac:dyDescent="0.25">
      <c r="A193" s="2170">
        <v>4399</v>
      </c>
      <c r="B193" s="2241">
        <v>5336</v>
      </c>
      <c r="C193" s="2184"/>
      <c r="D193" s="2239" t="s">
        <v>1453</v>
      </c>
      <c r="E193" s="2166"/>
      <c r="F193" s="2180">
        <v>2256</v>
      </c>
      <c r="G193" s="2180">
        <v>2256</v>
      </c>
      <c r="H193" s="2172">
        <f>(G193/F193)*100</f>
        <v>100</v>
      </c>
    </row>
    <row r="194" spans="1:9" ht="15" thickBot="1" x14ac:dyDescent="0.25">
      <c r="A194" s="2170"/>
      <c r="B194" s="2241"/>
      <c r="C194" s="2182" t="s">
        <v>1623</v>
      </c>
      <c r="D194" s="2237" t="s">
        <v>1635</v>
      </c>
      <c r="E194" s="2166"/>
      <c r="F194" s="2166">
        <v>2256</v>
      </c>
      <c r="G194" s="2166">
        <v>2256</v>
      </c>
      <c r="H194" s="2165">
        <f>(G194/F194)*100</f>
        <v>100</v>
      </c>
    </row>
    <row r="195" spans="1:9" s="2131" customFormat="1" ht="20.25" customHeight="1" thickTop="1" thickBot="1" x14ac:dyDescent="0.3">
      <c r="A195" s="2162" t="s">
        <v>1000</v>
      </c>
      <c r="B195" s="2161"/>
      <c r="C195" s="2160"/>
      <c r="D195" s="2159"/>
      <c r="E195" s="2158">
        <f>SUM(E190)</f>
        <v>702</v>
      </c>
      <c r="F195" s="2158">
        <f>F190+F193</f>
        <v>2664</v>
      </c>
      <c r="G195" s="2158">
        <f>G190+G193</f>
        <v>2664</v>
      </c>
      <c r="H195" s="2157">
        <f>(G195/F195)*100</f>
        <v>100</v>
      </c>
    </row>
    <row r="196" spans="1:9" s="2163" customFormat="1" ht="15.75" thickTop="1" x14ac:dyDescent="0.25">
      <c r="A196" s="2212"/>
      <c r="B196" s="2212"/>
      <c r="C196" s="2211"/>
      <c r="E196" s="2205"/>
      <c r="F196" s="2205"/>
      <c r="G196" s="2205"/>
      <c r="H196" s="2204"/>
    </row>
    <row r="197" spans="1:9" s="2131" customFormat="1" ht="27.75" customHeight="1" thickBot="1" x14ac:dyDescent="0.3">
      <c r="A197" s="2155" t="s">
        <v>366</v>
      </c>
      <c r="B197" s="2217"/>
      <c r="C197" s="2216"/>
      <c r="D197" s="2215"/>
      <c r="E197" s="2153">
        <f>SUM(E195)</f>
        <v>702</v>
      </c>
      <c r="F197" s="2153">
        <f>SUM(F195)</f>
        <v>2664</v>
      </c>
      <c r="G197" s="2153">
        <f>SUM(G195)</f>
        <v>2664</v>
      </c>
      <c r="H197" s="2152">
        <f>(G197/F197)*100</f>
        <v>100</v>
      </c>
    </row>
    <row r="198" spans="1:9" s="2126" customFormat="1" ht="14.25" customHeight="1" thickTop="1" x14ac:dyDescent="0.25">
      <c r="A198" s="2149"/>
      <c r="B198" s="2210"/>
      <c r="C198" s="2219"/>
      <c r="D198" s="2208"/>
      <c r="E198" s="2150"/>
      <c r="F198" s="2150"/>
      <c r="G198" s="2150"/>
      <c r="H198" s="2147"/>
    </row>
    <row r="199" spans="1:9" s="2126" customFormat="1" ht="14.25" customHeight="1" x14ac:dyDescent="0.25">
      <c r="A199" s="2149"/>
      <c r="B199" s="2210"/>
      <c r="C199" s="2219"/>
      <c r="D199" s="2208"/>
      <c r="E199" s="2150"/>
      <c r="F199" s="2150"/>
      <c r="G199" s="2150"/>
      <c r="H199" s="2147"/>
    </row>
    <row r="200" spans="1:9" s="2126" customFormat="1" ht="14.25" customHeight="1" x14ac:dyDescent="0.25">
      <c r="A200" s="2149"/>
      <c r="B200" s="2210"/>
      <c r="C200" s="2219"/>
      <c r="D200" s="2208"/>
      <c r="E200" s="2150"/>
      <c r="F200" s="2150"/>
      <c r="G200" s="2150"/>
      <c r="H200" s="2147"/>
    </row>
    <row r="201" spans="1:9" s="1465" customFormat="1" ht="15.75" x14ac:dyDescent="0.25">
      <c r="A201" s="2137" t="s">
        <v>367</v>
      </c>
      <c r="B201" s="2218"/>
      <c r="C201" s="2211"/>
      <c r="E201" s="2205" t="s">
        <v>1180</v>
      </c>
      <c r="F201" s="2205"/>
      <c r="G201" s="2205"/>
      <c r="H201" s="2204"/>
    </row>
    <row r="202" spans="1:9" ht="15" thickBot="1" x14ac:dyDescent="0.25">
      <c r="A202" s="2156"/>
      <c r="H202" s="2203" t="s">
        <v>148</v>
      </c>
    </row>
    <row r="203" spans="1:9" s="2196" customFormat="1" ht="20.25" customHeight="1" thickTop="1" thickBot="1" x14ac:dyDescent="0.25">
      <c r="A203" s="2202" t="s">
        <v>149</v>
      </c>
      <c r="B203" s="2201" t="s">
        <v>150</v>
      </c>
      <c r="C203" s="2200" t="s">
        <v>639</v>
      </c>
      <c r="D203" s="2199" t="s">
        <v>151</v>
      </c>
      <c r="E203" s="1324" t="s">
        <v>569</v>
      </c>
      <c r="F203" s="1324" t="s">
        <v>570</v>
      </c>
      <c r="G203" s="2198" t="s">
        <v>797</v>
      </c>
      <c r="H203" s="2238" t="s">
        <v>798</v>
      </c>
    </row>
    <row r="204" spans="1:9" s="1292" customFormat="1" ht="13.5" thickTop="1" thickBot="1" x14ac:dyDescent="0.25">
      <c r="A204" s="1297">
        <v>1</v>
      </c>
      <c r="B204" s="1296">
        <v>2</v>
      </c>
      <c r="C204" s="1296">
        <v>3</v>
      </c>
      <c r="D204" s="1296">
        <v>4</v>
      </c>
      <c r="E204" s="1296">
        <v>5</v>
      </c>
      <c r="F204" s="1295">
        <v>6</v>
      </c>
      <c r="G204" s="1295">
        <v>7</v>
      </c>
      <c r="H204" s="1294" t="s">
        <v>54</v>
      </c>
      <c r="I204" s="1298"/>
    </row>
    <row r="205" spans="1:9" s="2163" customFormat="1" ht="15.75" thickTop="1" x14ac:dyDescent="0.25">
      <c r="A205" s="2177">
        <v>4350</v>
      </c>
      <c r="B205" s="2176">
        <v>5331</v>
      </c>
      <c r="C205" s="2175"/>
      <c r="D205" s="2174" t="s">
        <v>216</v>
      </c>
      <c r="E205" s="2173">
        <f>E206+E208</f>
        <v>5821</v>
      </c>
      <c r="F205" s="2173">
        <f>F206+F208+F207</f>
        <v>6465</v>
      </c>
      <c r="G205" s="2173">
        <f>G206+G208+G207</f>
        <v>6465</v>
      </c>
      <c r="H205" s="2195">
        <f>G205/F205*100</f>
        <v>100</v>
      </c>
    </row>
    <row r="206" spans="1:9" x14ac:dyDescent="0.2">
      <c r="A206" s="2170"/>
      <c r="B206" s="2169"/>
      <c r="C206" s="2191" t="s">
        <v>521</v>
      </c>
      <c r="D206" s="2190" t="s">
        <v>1128</v>
      </c>
      <c r="E206" s="2166">
        <v>1183</v>
      </c>
      <c r="F206" s="2166">
        <v>1059</v>
      </c>
      <c r="G206" s="2166">
        <v>1059</v>
      </c>
      <c r="H206" s="2165">
        <f t="shared" ref="H206:H213" si="5">(G206/F206)*100</f>
        <v>100</v>
      </c>
    </row>
    <row r="207" spans="1:9" x14ac:dyDescent="0.2">
      <c r="A207" s="2170"/>
      <c r="B207" s="2169"/>
      <c r="C207" s="2168" t="s">
        <v>682</v>
      </c>
      <c r="D207" s="2167" t="s">
        <v>805</v>
      </c>
      <c r="E207" s="2166"/>
      <c r="F207" s="2166">
        <v>100</v>
      </c>
      <c r="G207" s="2166">
        <v>100</v>
      </c>
      <c r="H207" s="2165">
        <f t="shared" si="5"/>
        <v>100</v>
      </c>
    </row>
    <row r="208" spans="1:9" x14ac:dyDescent="0.2">
      <c r="A208" s="2170"/>
      <c r="B208" s="2169"/>
      <c r="C208" s="2182" t="s">
        <v>517</v>
      </c>
      <c r="D208" s="2237" t="s">
        <v>984</v>
      </c>
      <c r="E208" s="2166">
        <v>4638</v>
      </c>
      <c r="F208" s="2166">
        <v>5306</v>
      </c>
      <c r="G208" s="2166">
        <v>5306</v>
      </c>
      <c r="H208" s="2165">
        <f t="shared" si="5"/>
        <v>100</v>
      </c>
    </row>
    <row r="209" spans="1:19" ht="15" x14ac:dyDescent="0.25">
      <c r="A209" s="2170">
        <v>4399</v>
      </c>
      <c r="B209" s="2241">
        <v>5336</v>
      </c>
      <c r="C209" s="2184"/>
      <c r="D209" s="2239" t="s">
        <v>1453</v>
      </c>
      <c r="E209" s="2166"/>
      <c r="F209" s="2180">
        <v>11303</v>
      </c>
      <c r="G209" s="2180">
        <v>11303</v>
      </c>
      <c r="H209" s="2172">
        <f t="shared" si="5"/>
        <v>100</v>
      </c>
    </row>
    <row r="210" spans="1:19" ht="15" thickBot="1" x14ac:dyDescent="0.25">
      <c r="A210" s="2170"/>
      <c r="B210" s="2241"/>
      <c r="C210" s="2182" t="s">
        <v>1623</v>
      </c>
      <c r="D210" s="2237" t="s">
        <v>1635</v>
      </c>
      <c r="E210" s="2166"/>
      <c r="F210" s="2166">
        <v>11303</v>
      </c>
      <c r="G210" s="2166">
        <v>11303</v>
      </c>
      <c r="H210" s="2165">
        <f t="shared" si="5"/>
        <v>100</v>
      </c>
    </row>
    <row r="211" spans="1:19" s="2131" customFormat="1" ht="20.25" customHeight="1" thickTop="1" thickBot="1" x14ac:dyDescent="0.3">
      <c r="A211" s="2162" t="s">
        <v>1000</v>
      </c>
      <c r="B211" s="2161"/>
      <c r="C211" s="2160"/>
      <c r="D211" s="2159"/>
      <c r="E211" s="2158">
        <f>SUM(E205)</f>
        <v>5821</v>
      </c>
      <c r="F211" s="2158">
        <f>SUM(F205,F209)</f>
        <v>17768</v>
      </c>
      <c r="G211" s="2158">
        <f>SUM(G205,G209)</f>
        <v>17768</v>
      </c>
      <c r="H211" s="2157">
        <f t="shared" si="5"/>
        <v>100</v>
      </c>
    </row>
    <row r="212" spans="1:19" s="2163" customFormat="1" ht="15.75" thickTop="1" x14ac:dyDescent="0.25">
      <c r="A212" s="2177">
        <v>4350</v>
      </c>
      <c r="B212" s="2176">
        <v>6351</v>
      </c>
      <c r="C212" s="2175"/>
      <c r="D212" s="2174" t="s">
        <v>1056</v>
      </c>
      <c r="E212" s="2173"/>
      <c r="F212" s="2173">
        <v>200</v>
      </c>
      <c r="G212" s="2173">
        <v>200</v>
      </c>
      <c r="H212" s="2172">
        <f t="shared" si="5"/>
        <v>100</v>
      </c>
      <c r="I212" s="2171"/>
      <c r="J212" s="2171"/>
    </row>
    <row r="213" spans="1:19" ht="15" thickBot="1" x14ac:dyDescent="0.25">
      <c r="A213" s="2170"/>
      <c r="B213" s="2169"/>
      <c r="C213" s="2168" t="s">
        <v>682</v>
      </c>
      <c r="D213" s="2167" t="s">
        <v>805</v>
      </c>
      <c r="E213" s="2166"/>
      <c r="F213" s="2166">
        <v>200</v>
      </c>
      <c r="G213" s="2166">
        <v>200</v>
      </c>
      <c r="H213" s="2165">
        <f t="shared" si="5"/>
        <v>100</v>
      </c>
    </row>
    <row r="214" spans="1:19" s="2131" customFormat="1" ht="20.25" customHeight="1" thickTop="1" thickBot="1" x14ac:dyDescent="0.3">
      <c r="A214" s="2162" t="s">
        <v>1001</v>
      </c>
      <c r="B214" s="2161"/>
      <c r="C214" s="2160"/>
      <c r="D214" s="2159"/>
      <c r="E214" s="2158">
        <f>E212</f>
        <v>0</v>
      </c>
      <c r="F214" s="2158">
        <f>SUM(F212)</f>
        <v>200</v>
      </c>
      <c r="G214" s="2158">
        <f>SUM(G212)</f>
        <v>200</v>
      </c>
      <c r="H214" s="2157">
        <f>SUM(H212)</f>
        <v>100</v>
      </c>
      <c r="S214" s="2131">
        <v>0</v>
      </c>
    </row>
    <row r="215" spans="1:19" s="2131" customFormat="1" ht="27.75" customHeight="1" thickTop="1" thickBot="1" x14ac:dyDescent="0.3">
      <c r="A215" s="2155" t="s">
        <v>368</v>
      </c>
      <c r="B215" s="2217"/>
      <c r="C215" s="2216"/>
      <c r="D215" s="2215"/>
      <c r="E215" s="2153">
        <f>E211</f>
        <v>5821</v>
      </c>
      <c r="F215" s="2153">
        <f>F211+F214</f>
        <v>17968</v>
      </c>
      <c r="G215" s="2153">
        <f>G211+G214</f>
        <v>17968</v>
      </c>
      <c r="H215" s="2152">
        <f>(G215/F215)*100</f>
        <v>100</v>
      </c>
    </row>
    <row r="216" spans="1:19" ht="15" thickTop="1" x14ac:dyDescent="0.2">
      <c r="A216" s="2156"/>
    </row>
    <row r="217" spans="1:19" x14ac:dyDescent="0.2">
      <c r="A217" s="2156"/>
    </row>
    <row r="218" spans="1:19" s="1465" customFormat="1" ht="15.75" x14ac:dyDescent="0.25">
      <c r="A218" s="2137" t="s">
        <v>1214</v>
      </c>
      <c r="B218" s="2218"/>
      <c r="C218" s="2211"/>
      <c r="E218" s="2205" t="s">
        <v>1072</v>
      </c>
      <c r="F218" s="2205"/>
      <c r="G218" s="2205"/>
      <c r="H218" s="2204"/>
    </row>
    <row r="219" spans="1:19" ht="15" thickBot="1" x14ac:dyDescent="0.25">
      <c r="A219" s="2156"/>
      <c r="H219" s="2203" t="s">
        <v>148</v>
      </c>
    </row>
    <row r="220" spans="1:19" s="2196" customFormat="1" ht="20.25" customHeight="1" thickTop="1" thickBot="1" x14ac:dyDescent="0.25">
      <c r="A220" s="2202" t="s">
        <v>149</v>
      </c>
      <c r="B220" s="2201" t="s">
        <v>150</v>
      </c>
      <c r="C220" s="2200" t="s">
        <v>639</v>
      </c>
      <c r="D220" s="2199" t="s">
        <v>151</v>
      </c>
      <c r="E220" s="1324" t="s">
        <v>569</v>
      </c>
      <c r="F220" s="1324" t="s">
        <v>570</v>
      </c>
      <c r="G220" s="2198" t="s">
        <v>797</v>
      </c>
      <c r="H220" s="2238" t="s">
        <v>798</v>
      </c>
    </row>
    <row r="221" spans="1:19" s="1292" customFormat="1" ht="13.5" thickTop="1" thickBot="1" x14ac:dyDescent="0.25">
      <c r="A221" s="1297">
        <v>1</v>
      </c>
      <c r="B221" s="1296">
        <v>2</v>
      </c>
      <c r="C221" s="1296">
        <v>3</v>
      </c>
      <c r="D221" s="1296">
        <v>4</v>
      </c>
      <c r="E221" s="1296">
        <v>5</v>
      </c>
      <c r="F221" s="1295">
        <v>6</v>
      </c>
      <c r="G221" s="1295">
        <v>7</v>
      </c>
      <c r="H221" s="1294" t="s">
        <v>54</v>
      </c>
      <c r="I221" s="1298"/>
    </row>
    <row r="222" spans="1:19" s="2163" customFormat="1" ht="15.75" thickTop="1" x14ac:dyDescent="0.25">
      <c r="A222" s="2177">
        <v>4350</v>
      </c>
      <c r="B222" s="2176">
        <v>5331</v>
      </c>
      <c r="C222" s="2175"/>
      <c r="D222" s="2174" t="s">
        <v>216</v>
      </c>
      <c r="E222" s="2173">
        <f>E223+E224</f>
        <v>1779</v>
      </c>
      <c r="F222" s="2173">
        <f>F223+F224</f>
        <v>1615</v>
      </c>
      <c r="G222" s="2173">
        <f>G223+G224</f>
        <v>1615</v>
      </c>
      <c r="H222" s="2195">
        <f>G222/F222*100</f>
        <v>100</v>
      </c>
    </row>
    <row r="223" spans="1:19" x14ac:dyDescent="0.2">
      <c r="A223" s="2170"/>
      <c r="B223" s="2169"/>
      <c r="C223" s="2191" t="s">
        <v>521</v>
      </c>
      <c r="D223" s="2190" t="s">
        <v>1128</v>
      </c>
      <c r="E223" s="2166">
        <v>314</v>
      </c>
      <c r="F223" s="2166">
        <v>314</v>
      </c>
      <c r="G223" s="2166">
        <v>314</v>
      </c>
      <c r="H223" s="2165">
        <f>(G223/F223)*100</f>
        <v>100</v>
      </c>
    </row>
    <row r="224" spans="1:19" x14ac:dyDescent="0.2">
      <c r="A224" s="2170"/>
      <c r="B224" s="2169"/>
      <c r="C224" s="2182" t="s">
        <v>517</v>
      </c>
      <c r="D224" s="2237" t="s">
        <v>984</v>
      </c>
      <c r="E224" s="2166">
        <v>1465</v>
      </c>
      <c r="F224" s="2166">
        <v>1301</v>
      </c>
      <c r="G224" s="2166">
        <v>1301</v>
      </c>
      <c r="H224" s="2165">
        <f>(G224/F224)*100</f>
        <v>100</v>
      </c>
    </row>
    <row r="225" spans="1:9" ht="15" x14ac:dyDescent="0.25">
      <c r="A225" s="2170">
        <v>4399</v>
      </c>
      <c r="B225" s="2241">
        <v>5336</v>
      </c>
      <c r="C225" s="2184"/>
      <c r="D225" s="2239" t="s">
        <v>1453</v>
      </c>
      <c r="E225" s="2166"/>
      <c r="F225" s="2180">
        <v>2719</v>
      </c>
      <c r="G225" s="2180">
        <v>2719</v>
      </c>
      <c r="H225" s="2172">
        <f>(G225/F225)*100</f>
        <v>100</v>
      </c>
    </row>
    <row r="226" spans="1:9" ht="15" thickBot="1" x14ac:dyDescent="0.25">
      <c r="A226" s="2170"/>
      <c r="B226" s="2241"/>
      <c r="C226" s="2182" t="s">
        <v>1623</v>
      </c>
      <c r="D226" s="2237" t="s">
        <v>1635</v>
      </c>
      <c r="E226" s="2166"/>
      <c r="F226" s="2166">
        <v>2719</v>
      </c>
      <c r="G226" s="2166">
        <v>2719</v>
      </c>
      <c r="H226" s="2165">
        <f>(G226/F226)*100</f>
        <v>100</v>
      </c>
    </row>
    <row r="227" spans="1:9" s="2131" customFormat="1" ht="20.25" customHeight="1" thickTop="1" thickBot="1" x14ac:dyDescent="0.3">
      <c r="A227" s="2162" t="s">
        <v>1000</v>
      </c>
      <c r="B227" s="2161"/>
      <c r="C227" s="2160"/>
      <c r="D227" s="2159"/>
      <c r="E227" s="2158">
        <f>SUM(E222)</f>
        <v>1779</v>
      </c>
      <c r="F227" s="2158">
        <f>SUM(F222,F225)</f>
        <v>4334</v>
      </c>
      <c r="G227" s="2158">
        <f>SUM(G222,G225)</f>
        <v>4334</v>
      </c>
      <c r="H227" s="2157">
        <f>(G227/F227)*100</f>
        <v>100</v>
      </c>
    </row>
    <row r="228" spans="1:9" s="2126" customFormat="1" ht="20.25" customHeight="1" thickTop="1" x14ac:dyDescent="0.25">
      <c r="A228" s="2149"/>
      <c r="B228" s="2210"/>
      <c r="C228" s="2219"/>
      <c r="D228" s="2208"/>
      <c r="E228" s="2150"/>
      <c r="F228" s="2150"/>
      <c r="G228" s="2150"/>
      <c r="H228" s="2147"/>
    </row>
    <row r="229" spans="1:9" s="2131" customFormat="1" ht="27.75" customHeight="1" thickBot="1" x14ac:dyDescent="0.3">
      <c r="A229" s="2155" t="s">
        <v>1215</v>
      </c>
      <c r="B229" s="2217"/>
      <c r="C229" s="2216"/>
      <c r="D229" s="2215"/>
      <c r="E229" s="2153">
        <f>SUM(E227)</f>
        <v>1779</v>
      </c>
      <c r="F229" s="2153">
        <f>SUM(F227)</f>
        <v>4334</v>
      </c>
      <c r="G229" s="2153">
        <f>SUM(G227)</f>
        <v>4334</v>
      </c>
      <c r="H229" s="2152">
        <f>(G229/F229)*100</f>
        <v>100</v>
      </c>
    </row>
    <row r="230" spans="1:9" s="1436" customFormat="1" ht="15.75" thickTop="1" x14ac:dyDescent="0.2">
      <c r="F230" s="2119"/>
      <c r="G230" s="2119"/>
      <c r="H230" s="2118"/>
    </row>
    <row r="231" spans="1:9" s="1436" customFormat="1" ht="15" x14ac:dyDescent="0.2">
      <c r="F231" s="2119"/>
      <c r="G231" s="2119"/>
      <c r="H231" s="2118"/>
    </row>
    <row r="232" spans="1:9" s="1436" customFormat="1" ht="15" x14ac:dyDescent="0.2">
      <c r="F232" s="2119"/>
      <c r="G232" s="2119"/>
      <c r="H232" s="2118"/>
    </row>
    <row r="233" spans="1:9" s="1465" customFormat="1" ht="15.75" x14ac:dyDescent="0.25">
      <c r="A233" s="2137" t="s">
        <v>369</v>
      </c>
      <c r="B233" s="2218"/>
      <c r="C233" s="2211"/>
      <c r="E233" s="2205" t="s">
        <v>1073</v>
      </c>
      <c r="F233" s="2205"/>
      <c r="G233" s="2205"/>
      <c r="H233" s="2204"/>
    </row>
    <row r="234" spans="1:9" ht="15" thickBot="1" x14ac:dyDescent="0.25">
      <c r="A234" s="2156"/>
      <c r="H234" s="2203" t="s">
        <v>148</v>
      </c>
    </row>
    <row r="235" spans="1:9" s="2196" customFormat="1" ht="20.25" customHeight="1" thickTop="1" thickBot="1" x14ac:dyDescent="0.25">
      <c r="A235" s="2202" t="s">
        <v>149</v>
      </c>
      <c r="B235" s="2201" t="s">
        <v>150</v>
      </c>
      <c r="C235" s="2200" t="s">
        <v>639</v>
      </c>
      <c r="D235" s="2199" t="s">
        <v>151</v>
      </c>
      <c r="E235" s="1324" t="s">
        <v>569</v>
      </c>
      <c r="F235" s="1324" t="s">
        <v>570</v>
      </c>
      <c r="G235" s="2198" t="s">
        <v>797</v>
      </c>
      <c r="H235" s="2238" t="s">
        <v>798</v>
      </c>
    </row>
    <row r="236" spans="1:9" s="1292" customFormat="1" ht="13.5" thickTop="1" thickBot="1" x14ac:dyDescent="0.25">
      <c r="A236" s="1297">
        <v>1</v>
      </c>
      <c r="B236" s="1296">
        <v>2</v>
      </c>
      <c r="C236" s="1296">
        <v>3</v>
      </c>
      <c r="D236" s="1296">
        <v>4</v>
      </c>
      <c r="E236" s="1296">
        <v>5</v>
      </c>
      <c r="F236" s="1295">
        <v>6</v>
      </c>
      <c r="G236" s="1295">
        <v>7</v>
      </c>
      <c r="H236" s="1294" t="s">
        <v>54</v>
      </c>
      <c r="I236" s="1298"/>
    </row>
    <row r="237" spans="1:9" s="2163" customFormat="1" ht="15.75" thickTop="1" x14ac:dyDescent="0.25">
      <c r="A237" s="2177">
        <v>4350</v>
      </c>
      <c r="B237" s="2176">
        <v>5331</v>
      </c>
      <c r="C237" s="2175"/>
      <c r="D237" s="2174" t="s">
        <v>216</v>
      </c>
      <c r="E237" s="2173">
        <f>E238+E239</f>
        <v>3773</v>
      </c>
      <c r="F237" s="2173">
        <f>F238+F239</f>
        <v>4572</v>
      </c>
      <c r="G237" s="2173">
        <f>G238+G239</f>
        <v>4572</v>
      </c>
      <c r="H237" s="2195">
        <f>G237/F237*100</f>
        <v>100</v>
      </c>
    </row>
    <row r="238" spans="1:9" x14ac:dyDescent="0.2">
      <c r="A238" s="2170"/>
      <c r="B238" s="2169"/>
      <c r="C238" s="2191" t="s">
        <v>521</v>
      </c>
      <c r="D238" s="2190" t="s">
        <v>1128</v>
      </c>
      <c r="E238" s="2166">
        <v>1487</v>
      </c>
      <c r="F238" s="2166">
        <v>1498</v>
      </c>
      <c r="G238" s="2166">
        <v>1498</v>
      </c>
      <c r="H238" s="2165">
        <f>(G238/F238)*100</f>
        <v>100</v>
      </c>
    </row>
    <row r="239" spans="1:9" x14ac:dyDescent="0.2">
      <c r="A239" s="2170"/>
      <c r="B239" s="2241"/>
      <c r="C239" s="2182" t="s">
        <v>517</v>
      </c>
      <c r="D239" s="2237" t="s">
        <v>984</v>
      </c>
      <c r="E239" s="2166">
        <v>2286</v>
      </c>
      <c r="F239" s="2166">
        <v>3074</v>
      </c>
      <c r="G239" s="2166">
        <v>3074</v>
      </c>
      <c r="H239" s="2165">
        <f>(G239/F239)*100</f>
        <v>100</v>
      </c>
    </row>
    <row r="240" spans="1:9" ht="15" x14ac:dyDescent="0.25">
      <c r="A240" s="2170">
        <v>4399</v>
      </c>
      <c r="B240" s="2241">
        <v>5336</v>
      </c>
      <c r="C240" s="2184"/>
      <c r="D240" s="2239" t="s">
        <v>1453</v>
      </c>
      <c r="E240" s="2166"/>
      <c r="F240" s="2180">
        <v>5991</v>
      </c>
      <c r="G240" s="2180">
        <v>5991</v>
      </c>
      <c r="H240" s="2172">
        <f>(G240/F240)*100</f>
        <v>100</v>
      </c>
    </row>
    <row r="241" spans="1:9" ht="15" thickBot="1" x14ac:dyDescent="0.25">
      <c r="A241" s="2170"/>
      <c r="B241" s="2241"/>
      <c r="C241" s="2182" t="s">
        <v>1623</v>
      </c>
      <c r="D241" s="2237" t="s">
        <v>1635</v>
      </c>
      <c r="E241" s="2166"/>
      <c r="F241" s="2166">
        <v>5991</v>
      </c>
      <c r="G241" s="2166">
        <v>5991</v>
      </c>
      <c r="H241" s="2165">
        <f>(G241/F241)*100</f>
        <v>100</v>
      </c>
    </row>
    <row r="242" spans="1:9" s="2131" customFormat="1" ht="20.25" customHeight="1" thickTop="1" thickBot="1" x14ac:dyDescent="0.3">
      <c r="A242" s="2162" t="s">
        <v>1000</v>
      </c>
      <c r="B242" s="2161"/>
      <c r="C242" s="2160"/>
      <c r="D242" s="2159"/>
      <c r="E242" s="2158">
        <f>SUM(E237)</f>
        <v>3773</v>
      </c>
      <c r="F242" s="2158">
        <f>SUM(F237,F240)</f>
        <v>10563</v>
      </c>
      <c r="G242" s="2158">
        <f>SUM(G237,G240)</f>
        <v>10563</v>
      </c>
      <c r="H242" s="2157">
        <f>(G242/F242)*100</f>
        <v>100</v>
      </c>
    </row>
    <row r="243" spans="1:9" s="2131" customFormat="1" ht="20.25" customHeight="1" thickTop="1" x14ac:dyDescent="0.25">
      <c r="A243" s="2145"/>
      <c r="B243" s="2144"/>
      <c r="C243" s="2143"/>
      <c r="D243" s="2142"/>
      <c r="E243" s="2221"/>
      <c r="F243" s="2221"/>
      <c r="G243" s="2221"/>
      <c r="H243" s="2220"/>
    </row>
    <row r="244" spans="1:9" s="2131" customFormat="1" ht="27.75" customHeight="1" thickBot="1" x14ac:dyDescent="0.3">
      <c r="A244" s="2155" t="s">
        <v>652</v>
      </c>
      <c r="B244" s="2217"/>
      <c r="C244" s="2216"/>
      <c r="D244" s="2215"/>
      <c r="E244" s="2153">
        <f>SUM(E242)</f>
        <v>3773</v>
      </c>
      <c r="F244" s="2153">
        <f>SUM(F242)</f>
        <v>10563</v>
      </c>
      <c r="G244" s="2153">
        <f>SUM(G242)</f>
        <v>10563</v>
      </c>
      <c r="H244" s="2152">
        <f>(G244/F244)*100</f>
        <v>100</v>
      </c>
    </row>
    <row r="245" spans="1:9" ht="15" thickTop="1" x14ac:dyDescent="0.2"/>
    <row r="248" spans="1:9" s="1465" customFormat="1" ht="15.75" x14ac:dyDescent="0.25">
      <c r="A248" s="2137" t="s">
        <v>403</v>
      </c>
      <c r="B248" s="2218"/>
      <c r="C248" s="2211"/>
      <c r="E248" s="2205" t="s">
        <v>404</v>
      </c>
      <c r="F248" s="2205"/>
      <c r="G248" s="2205"/>
      <c r="H248" s="2204"/>
    </row>
    <row r="249" spans="1:9" ht="15" thickBot="1" x14ac:dyDescent="0.25">
      <c r="A249" s="2156"/>
      <c r="H249" s="2203" t="s">
        <v>148</v>
      </c>
    </row>
    <row r="250" spans="1:9" s="2196" customFormat="1" ht="20.25" customHeight="1" thickTop="1" thickBot="1" x14ac:dyDescent="0.25">
      <c r="A250" s="2202" t="s">
        <v>149</v>
      </c>
      <c r="B250" s="2201" t="s">
        <v>150</v>
      </c>
      <c r="C250" s="2200" t="s">
        <v>639</v>
      </c>
      <c r="D250" s="2199" t="s">
        <v>151</v>
      </c>
      <c r="E250" s="1324" t="s">
        <v>569</v>
      </c>
      <c r="F250" s="1324" t="s">
        <v>570</v>
      </c>
      <c r="G250" s="2198" t="s">
        <v>797</v>
      </c>
      <c r="H250" s="2238" t="s">
        <v>798</v>
      </c>
    </row>
    <row r="251" spans="1:9" s="1292" customFormat="1" ht="13.5" thickTop="1" thickBot="1" x14ac:dyDescent="0.25">
      <c r="A251" s="1297">
        <v>1</v>
      </c>
      <c r="B251" s="1296">
        <v>2</v>
      </c>
      <c r="C251" s="1296">
        <v>3</v>
      </c>
      <c r="D251" s="1296">
        <v>4</v>
      </c>
      <c r="E251" s="1296">
        <v>5</v>
      </c>
      <c r="F251" s="1295">
        <v>6</v>
      </c>
      <c r="G251" s="1295">
        <v>7</v>
      </c>
      <c r="H251" s="1294" t="s">
        <v>54</v>
      </c>
      <c r="I251" s="1298"/>
    </row>
    <row r="252" spans="1:9" s="2163" customFormat="1" ht="15.75" thickTop="1" x14ac:dyDescent="0.25">
      <c r="A252" s="2177">
        <v>4350</v>
      </c>
      <c r="B252" s="2176">
        <v>5331</v>
      </c>
      <c r="C252" s="2175"/>
      <c r="D252" s="2174" t="s">
        <v>216</v>
      </c>
      <c r="E252" s="2173">
        <f>E253+E255</f>
        <v>29423</v>
      </c>
      <c r="F252" s="2173">
        <f>F253+F255+F254</f>
        <v>34656</v>
      </c>
      <c r="G252" s="2173">
        <f>G253+G255+G254</f>
        <v>34656</v>
      </c>
      <c r="H252" s="2195">
        <f>G252/F252*100</f>
        <v>100</v>
      </c>
    </row>
    <row r="253" spans="1:9" x14ac:dyDescent="0.2">
      <c r="A253" s="2170"/>
      <c r="B253" s="2169"/>
      <c r="C253" s="2191" t="s">
        <v>521</v>
      </c>
      <c r="D253" s="2190" t="s">
        <v>1128</v>
      </c>
      <c r="E253" s="2166">
        <v>8545</v>
      </c>
      <c r="F253" s="2166">
        <v>9474</v>
      </c>
      <c r="G253" s="2166">
        <v>9474</v>
      </c>
      <c r="H253" s="2165">
        <f t="shared" ref="H253:H258" si="6">(G253/F253)*100</f>
        <v>100</v>
      </c>
    </row>
    <row r="254" spans="1:9" x14ac:dyDescent="0.2">
      <c r="A254" s="2170"/>
      <c r="B254" s="2169"/>
      <c r="C254" s="2168" t="s">
        <v>682</v>
      </c>
      <c r="D254" s="2167" t="s">
        <v>805</v>
      </c>
      <c r="E254" s="2166"/>
      <c r="F254" s="2166">
        <v>287</v>
      </c>
      <c r="G254" s="2166">
        <v>287</v>
      </c>
      <c r="H254" s="2165">
        <f t="shared" si="6"/>
        <v>100</v>
      </c>
    </row>
    <row r="255" spans="1:9" x14ac:dyDescent="0.2">
      <c r="A255" s="2170"/>
      <c r="B255" s="2169"/>
      <c r="C255" s="2182" t="s">
        <v>517</v>
      </c>
      <c r="D255" s="2237" t="s">
        <v>984</v>
      </c>
      <c r="E255" s="2166">
        <v>20878</v>
      </c>
      <c r="F255" s="2166">
        <v>24895</v>
      </c>
      <c r="G255" s="2166">
        <v>24895</v>
      </c>
      <c r="H255" s="2165">
        <f t="shared" si="6"/>
        <v>100</v>
      </c>
    </row>
    <row r="256" spans="1:9" ht="15" x14ac:dyDescent="0.25">
      <c r="A256" s="2170">
        <v>4399</v>
      </c>
      <c r="B256" s="2241">
        <v>5336</v>
      </c>
      <c r="C256" s="2184"/>
      <c r="D256" s="2239" t="s">
        <v>1453</v>
      </c>
      <c r="E256" s="2166"/>
      <c r="F256" s="2180">
        <v>21625</v>
      </c>
      <c r="G256" s="2180">
        <v>21625</v>
      </c>
      <c r="H256" s="2172">
        <f t="shared" si="6"/>
        <v>100</v>
      </c>
    </row>
    <row r="257" spans="1:9" ht="15" thickBot="1" x14ac:dyDescent="0.25">
      <c r="A257" s="2170"/>
      <c r="B257" s="2241"/>
      <c r="C257" s="2182" t="s">
        <v>1623</v>
      </c>
      <c r="D257" s="2237" t="s">
        <v>1635</v>
      </c>
      <c r="E257" s="2166"/>
      <c r="F257" s="2166">
        <v>21625</v>
      </c>
      <c r="G257" s="2166">
        <v>21625</v>
      </c>
      <c r="H257" s="2165">
        <f t="shared" si="6"/>
        <v>100</v>
      </c>
    </row>
    <row r="258" spans="1:9" s="2131" customFormat="1" ht="20.25" customHeight="1" thickTop="1" thickBot="1" x14ac:dyDescent="0.3">
      <c r="A258" s="2162" t="s">
        <v>1000</v>
      </c>
      <c r="B258" s="2161"/>
      <c r="C258" s="2160"/>
      <c r="D258" s="2159"/>
      <c r="E258" s="2158">
        <f>SUM(E252)</f>
        <v>29423</v>
      </c>
      <c r="F258" s="2158">
        <f>SUM(F252,F256)</f>
        <v>56281</v>
      </c>
      <c r="G258" s="2158">
        <f>SUM(G252,G256)</f>
        <v>56281</v>
      </c>
      <c r="H258" s="2157">
        <f t="shared" si="6"/>
        <v>100</v>
      </c>
    </row>
    <row r="259" spans="1:9" s="2163" customFormat="1" ht="15.75" thickTop="1" x14ac:dyDescent="0.25">
      <c r="A259" s="2213"/>
      <c r="B259" s="2212"/>
      <c r="C259" s="2211"/>
      <c r="E259" s="2205"/>
      <c r="F259" s="2205"/>
      <c r="G259" s="2205"/>
      <c r="H259" s="2204"/>
    </row>
    <row r="260" spans="1:9" s="2131" customFormat="1" ht="27.75" customHeight="1" thickBot="1" x14ac:dyDescent="0.3">
      <c r="A260" s="2155" t="s">
        <v>1185</v>
      </c>
      <c r="B260" s="2217"/>
      <c r="C260" s="2216"/>
      <c r="D260" s="2215"/>
      <c r="E260" s="2153">
        <f>SUM(E258)</f>
        <v>29423</v>
      </c>
      <c r="F260" s="2153">
        <f>SUM(F258)</f>
        <v>56281</v>
      </c>
      <c r="G260" s="2153">
        <f>SUM(G258)</f>
        <v>56281</v>
      </c>
      <c r="H260" s="2152">
        <f>(G260/F260)*100</f>
        <v>100</v>
      </c>
    </row>
    <row r="261" spans="1:9" s="2126" customFormat="1" ht="14.25" customHeight="1" thickTop="1" x14ac:dyDescent="0.25">
      <c r="A261" s="2149"/>
      <c r="B261" s="2210"/>
      <c r="C261" s="2209"/>
      <c r="D261" s="2208"/>
      <c r="E261" s="2140"/>
      <c r="F261" s="2140"/>
      <c r="G261" s="2140"/>
      <c r="H261" s="2139"/>
    </row>
    <row r="262" spans="1:9" s="1465" customFormat="1" ht="15.75" x14ac:dyDescent="0.25">
      <c r="A262" s="2137" t="s">
        <v>64</v>
      </c>
      <c r="B262" s="2242"/>
      <c r="C262" s="2242"/>
      <c r="D262" s="2242"/>
      <c r="E262" s="2205" t="s">
        <v>405</v>
      </c>
      <c r="F262" s="2205"/>
      <c r="G262" s="2205"/>
      <c r="H262" s="2204"/>
    </row>
    <row r="263" spans="1:9" ht="15" thickBot="1" x14ac:dyDescent="0.25">
      <c r="A263" s="2156"/>
      <c r="H263" s="2203" t="s">
        <v>148</v>
      </c>
    </row>
    <row r="264" spans="1:9" s="2196" customFormat="1" ht="20.25" customHeight="1" thickTop="1" thickBot="1" x14ac:dyDescent="0.25">
      <c r="A264" s="2202" t="s">
        <v>149</v>
      </c>
      <c r="B264" s="2201" t="s">
        <v>150</v>
      </c>
      <c r="C264" s="2200" t="s">
        <v>639</v>
      </c>
      <c r="D264" s="2199" t="s">
        <v>151</v>
      </c>
      <c r="E264" s="1324" t="s">
        <v>569</v>
      </c>
      <c r="F264" s="1324" t="s">
        <v>570</v>
      </c>
      <c r="G264" s="2198" t="s">
        <v>797</v>
      </c>
      <c r="H264" s="2238" t="s">
        <v>798</v>
      </c>
    </row>
    <row r="265" spans="1:9" s="1292" customFormat="1" ht="13.5" thickTop="1" thickBot="1" x14ac:dyDescent="0.25">
      <c r="A265" s="1297">
        <v>1</v>
      </c>
      <c r="B265" s="1296">
        <v>2</v>
      </c>
      <c r="C265" s="1296">
        <v>3</v>
      </c>
      <c r="D265" s="1296">
        <v>4</v>
      </c>
      <c r="E265" s="1296">
        <v>5</v>
      </c>
      <c r="F265" s="1295">
        <v>6</v>
      </c>
      <c r="G265" s="1295">
        <v>7</v>
      </c>
      <c r="H265" s="1294" t="s">
        <v>54</v>
      </c>
      <c r="I265" s="1298"/>
    </row>
    <row r="266" spans="1:9" s="2163" customFormat="1" ht="15.75" thickTop="1" x14ac:dyDescent="0.25">
      <c r="A266" s="2177">
        <v>4351</v>
      </c>
      <c r="B266" s="2176">
        <v>5331</v>
      </c>
      <c r="C266" s="2175"/>
      <c r="D266" s="2174" t="s">
        <v>216</v>
      </c>
      <c r="E266" s="2173">
        <f>E267+E268</f>
        <v>8961</v>
      </c>
      <c r="F266" s="2173">
        <f>F267+F268</f>
        <v>10274</v>
      </c>
      <c r="G266" s="2173">
        <f>G267+G268</f>
        <v>10274</v>
      </c>
      <c r="H266" s="2195">
        <f>G266/F266*100</f>
        <v>100</v>
      </c>
    </row>
    <row r="267" spans="1:9" x14ac:dyDescent="0.2">
      <c r="A267" s="2170"/>
      <c r="B267" s="2169"/>
      <c r="C267" s="2191" t="s">
        <v>521</v>
      </c>
      <c r="D267" s="2190" t="s">
        <v>1128</v>
      </c>
      <c r="E267" s="2166">
        <v>1634</v>
      </c>
      <c r="F267" s="2166">
        <v>1839</v>
      </c>
      <c r="G267" s="2166">
        <v>1839</v>
      </c>
      <c r="H267" s="2165">
        <f t="shared" ref="H267:H273" si="7">(G267/F267)*100</f>
        <v>100</v>
      </c>
    </row>
    <row r="268" spans="1:9" x14ac:dyDescent="0.2">
      <c r="A268" s="2170"/>
      <c r="B268" s="2169"/>
      <c r="C268" s="2182" t="s">
        <v>517</v>
      </c>
      <c r="D268" s="2237" t="s">
        <v>984</v>
      </c>
      <c r="E268" s="2166">
        <v>7327</v>
      </c>
      <c r="F268" s="2166">
        <v>8435</v>
      </c>
      <c r="G268" s="2166">
        <v>8435</v>
      </c>
      <c r="H268" s="2165">
        <f t="shared" si="7"/>
        <v>100</v>
      </c>
    </row>
    <row r="269" spans="1:9" ht="15" x14ac:dyDescent="0.25">
      <c r="A269" s="2170">
        <v>4351</v>
      </c>
      <c r="B269" s="2241">
        <v>5336</v>
      </c>
      <c r="C269" s="2182"/>
      <c r="D269" s="2239" t="s">
        <v>1453</v>
      </c>
      <c r="E269" s="2166"/>
      <c r="F269" s="2180">
        <v>40</v>
      </c>
      <c r="G269" s="2180">
        <v>40</v>
      </c>
      <c r="H269" s="2172">
        <f t="shared" si="7"/>
        <v>100</v>
      </c>
    </row>
    <row r="270" spans="1:9" x14ac:dyDescent="0.2">
      <c r="A270" s="2170"/>
      <c r="B270" s="2241"/>
      <c r="C270" s="2182" t="s">
        <v>316</v>
      </c>
      <c r="D270" s="2237" t="s">
        <v>1878</v>
      </c>
      <c r="E270" s="2166"/>
      <c r="F270" s="2166">
        <v>40</v>
      </c>
      <c r="G270" s="2166">
        <v>40</v>
      </c>
      <c r="H270" s="2165">
        <f t="shared" si="7"/>
        <v>100</v>
      </c>
    </row>
    <row r="271" spans="1:9" ht="15" x14ac:dyDescent="0.25">
      <c r="A271" s="2170">
        <v>4399</v>
      </c>
      <c r="B271" s="2241">
        <v>5336</v>
      </c>
      <c r="C271" s="2184"/>
      <c r="D271" s="2239" t="s">
        <v>1453</v>
      </c>
      <c r="E271" s="2166"/>
      <c r="F271" s="2180">
        <v>20792</v>
      </c>
      <c r="G271" s="2180">
        <v>20792</v>
      </c>
      <c r="H271" s="2172">
        <f t="shared" si="7"/>
        <v>100</v>
      </c>
    </row>
    <row r="272" spans="1:9" ht="15" thickBot="1" x14ac:dyDescent="0.25">
      <c r="A272" s="2170"/>
      <c r="B272" s="2241"/>
      <c r="C272" s="2182" t="s">
        <v>1623</v>
      </c>
      <c r="D272" s="2237" t="s">
        <v>1635</v>
      </c>
      <c r="E272" s="2166"/>
      <c r="F272" s="2166">
        <v>20792</v>
      </c>
      <c r="G272" s="2166">
        <v>20792</v>
      </c>
      <c r="H272" s="2165">
        <f t="shared" si="7"/>
        <v>100</v>
      </c>
    </row>
    <row r="273" spans="1:12" s="2131" customFormat="1" ht="20.25" customHeight="1" thickTop="1" thickBot="1" x14ac:dyDescent="0.3">
      <c r="A273" s="2162" t="s">
        <v>1000</v>
      </c>
      <c r="B273" s="2161"/>
      <c r="C273" s="2160"/>
      <c r="D273" s="2159"/>
      <c r="E273" s="2158">
        <f>SUM(E266)</f>
        <v>8961</v>
      </c>
      <c r="F273" s="2158">
        <f>SUM(F266,F271,F269)</f>
        <v>31106</v>
      </c>
      <c r="G273" s="2158">
        <f>SUM(G266,G271,G269)</f>
        <v>31106</v>
      </c>
      <c r="H273" s="2157">
        <f t="shared" si="7"/>
        <v>100</v>
      </c>
    </row>
    <row r="274" spans="1:12" ht="15" thickTop="1" x14ac:dyDescent="0.2">
      <c r="A274" s="2156"/>
    </row>
    <row r="275" spans="1:12" s="2131" customFormat="1" ht="27.75" customHeight="1" thickBot="1" x14ac:dyDescent="0.3">
      <c r="A275" s="2155" t="s">
        <v>65</v>
      </c>
      <c r="B275" s="2217"/>
      <c r="C275" s="2216"/>
      <c r="D275" s="2215"/>
      <c r="E275" s="2153">
        <f>SUM(E273)</f>
        <v>8961</v>
      </c>
      <c r="F275" s="2153">
        <f>SUM(F273)</f>
        <v>31106</v>
      </c>
      <c r="G275" s="2153">
        <f>SUM(G273)</f>
        <v>31106</v>
      </c>
      <c r="H275" s="2152">
        <f>(G275/F275)*100</f>
        <v>100</v>
      </c>
      <c r="J275" s="2178"/>
      <c r="K275" s="2178"/>
      <c r="L275" s="2178"/>
    </row>
    <row r="276" spans="1:12" s="2126" customFormat="1" ht="14.25" customHeight="1" thickTop="1" x14ac:dyDescent="0.25">
      <c r="A276" s="2149"/>
      <c r="B276" s="2210"/>
      <c r="C276" s="2219"/>
      <c r="D276" s="2208"/>
      <c r="E276" s="2150"/>
      <c r="F276" s="2150"/>
      <c r="G276" s="2150"/>
      <c r="H276" s="2147"/>
      <c r="J276" s="2146"/>
      <c r="K276" s="2146"/>
      <c r="L276" s="2146"/>
    </row>
    <row r="277" spans="1:12" s="2126" customFormat="1" ht="14.25" customHeight="1" x14ac:dyDescent="0.25">
      <c r="A277" s="2149"/>
      <c r="B277" s="2210"/>
      <c r="C277" s="2219"/>
      <c r="D277" s="2208"/>
      <c r="E277" s="2150"/>
      <c r="F277" s="2150"/>
      <c r="G277" s="2150"/>
      <c r="H277" s="2147"/>
      <c r="J277" s="2146"/>
      <c r="K277" s="2146"/>
      <c r="L277" s="2146"/>
    </row>
    <row r="278" spans="1:12" s="1465" customFormat="1" ht="14.25" customHeight="1" x14ac:dyDescent="0.25">
      <c r="A278" s="2137" t="s">
        <v>231</v>
      </c>
      <c r="B278" s="2218"/>
      <c r="C278" s="2211"/>
      <c r="E278" s="2205" t="s">
        <v>1186</v>
      </c>
      <c r="F278" s="2205"/>
      <c r="G278" s="2205"/>
      <c r="H278" s="2204"/>
    </row>
    <row r="279" spans="1:12" ht="15" thickBot="1" x14ac:dyDescent="0.25">
      <c r="A279" s="2156"/>
      <c r="H279" s="2203" t="s">
        <v>148</v>
      </c>
    </row>
    <row r="280" spans="1:12" s="2196" customFormat="1" ht="20.25" customHeight="1" thickTop="1" thickBot="1" x14ac:dyDescent="0.25">
      <c r="A280" s="2202" t="s">
        <v>149</v>
      </c>
      <c r="B280" s="2201" t="s">
        <v>150</v>
      </c>
      <c r="C280" s="2200" t="s">
        <v>639</v>
      </c>
      <c r="D280" s="2199" t="s">
        <v>151</v>
      </c>
      <c r="E280" s="1324" t="s">
        <v>569</v>
      </c>
      <c r="F280" s="1324" t="s">
        <v>570</v>
      </c>
      <c r="G280" s="2198" t="s">
        <v>797</v>
      </c>
      <c r="H280" s="2238" t="s">
        <v>798</v>
      </c>
    </row>
    <row r="281" spans="1:12" s="1292" customFormat="1" ht="13.5" thickTop="1" thickBot="1" x14ac:dyDescent="0.25">
      <c r="A281" s="1297">
        <v>1</v>
      </c>
      <c r="B281" s="1296">
        <v>2</v>
      </c>
      <c r="C281" s="1296">
        <v>3</v>
      </c>
      <c r="D281" s="1296">
        <v>4</v>
      </c>
      <c r="E281" s="1296">
        <v>5</v>
      </c>
      <c r="F281" s="1295">
        <v>6</v>
      </c>
      <c r="G281" s="1295">
        <v>7</v>
      </c>
      <c r="H281" s="1294" t="s">
        <v>54</v>
      </c>
      <c r="I281" s="1298"/>
    </row>
    <row r="282" spans="1:12" s="2163" customFormat="1" ht="15.75" thickTop="1" x14ac:dyDescent="0.25">
      <c r="A282" s="2177">
        <v>4357</v>
      </c>
      <c r="B282" s="2176">
        <v>5331</v>
      </c>
      <c r="C282" s="2175"/>
      <c r="D282" s="2174" t="s">
        <v>216</v>
      </c>
      <c r="E282" s="2173">
        <f>E283+E285</f>
        <v>17529</v>
      </c>
      <c r="F282" s="2173">
        <f>F283+F285+F284</f>
        <v>25142</v>
      </c>
      <c r="G282" s="2173">
        <f>G283+G285+G284</f>
        <v>25142</v>
      </c>
      <c r="H282" s="2195">
        <f>G282/F282*100</f>
        <v>100</v>
      </c>
    </row>
    <row r="283" spans="1:12" x14ac:dyDescent="0.2">
      <c r="A283" s="2170"/>
      <c r="B283" s="2169"/>
      <c r="C283" s="2191" t="s">
        <v>521</v>
      </c>
      <c r="D283" s="2190" t="s">
        <v>1128</v>
      </c>
      <c r="E283" s="2166">
        <v>3286</v>
      </c>
      <c r="F283" s="2166">
        <v>3563</v>
      </c>
      <c r="G283" s="2166">
        <v>3563</v>
      </c>
      <c r="H283" s="2165">
        <f t="shared" ref="H283:H291" si="8">(G283/F283)*100</f>
        <v>100</v>
      </c>
    </row>
    <row r="284" spans="1:12" x14ac:dyDescent="0.2">
      <c r="A284" s="2170"/>
      <c r="B284" s="2169"/>
      <c r="C284" s="2168" t="s">
        <v>682</v>
      </c>
      <c r="D284" s="2167" t="s">
        <v>805</v>
      </c>
      <c r="E284" s="2166"/>
      <c r="F284" s="2166">
        <v>89</v>
      </c>
      <c r="G284" s="2166">
        <v>89</v>
      </c>
      <c r="H284" s="2165">
        <f t="shared" si="8"/>
        <v>100</v>
      </c>
    </row>
    <row r="285" spans="1:12" x14ac:dyDescent="0.2">
      <c r="A285" s="2170"/>
      <c r="B285" s="2169"/>
      <c r="C285" s="2182" t="s">
        <v>517</v>
      </c>
      <c r="D285" s="2237" t="s">
        <v>984</v>
      </c>
      <c r="E285" s="2166">
        <v>14243</v>
      </c>
      <c r="F285" s="2166">
        <v>21490</v>
      </c>
      <c r="G285" s="2166">
        <v>21490</v>
      </c>
      <c r="H285" s="2165">
        <f t="shared" si="8"/>
        <v>100</v>
      </c>
    </row>
    <row r="286" spans="1:12" ht="15" x14ac:dyDescent="0.25">
      <c r="A286" s="2170">
        <v>4357</v>
      </c>
      <c r="B286" s="2241">
        <v>5336</v>
      </c>
      <c r="C286" s="2182"/>
      <c r="D286" s="2239" t="s">
        <v>1453</v>
      </c>
      <c r="E286" s="2166"/>
      <c r="F286" s="2180">
        <f>F287+F288</f>
        <v>2108</v>
      </c>
      <c r="G286" s="2180">
        <f>G287+G288</f>
        <v>2108</v>
      </c>
      <c r="H286" s="2172">
        <f t="shared" si="8"/>
        <v>100</v>
      </c>
    </row>
    <row r="287" spans="1:12" x14ac:dyDescent="0.2">
      <c r="A287" s="2170"/>
      <c r="B287" s="2241"/>
      <c r="C287" s="2182" t="s">
        <v>1210</v>
      </c>
      <c r="D287" s="2187" t="s">
        <v>1211</v>
      </c>
      <c r="E287" s="2166"/>
      <c r="F287" s="2166">
        <v>316</v>
      </c>
      <c r="G287" s="2166">
        <v>316</v>
      </c>
      <c r="H287" s="2165">
        <f t="shared" si="8"/>
        <v>100</v>
      </c>
    </row>
    <row r="288" spans="1:12" x14ac:dyDescent="0.2">
      <c r="A288" s="2170"/>
      <c r="B288" s="2241"/>
      <c r="C288" s="2182" t="s">
        <v>1212</v>
      </c>
      <c r="D288" s="2185" t="s">
        <v>1213</v>
      </c>
      <c r="E288" s="2166"/>
      <c r="F288" s="2166">
        <v>1792</v>
      </c>
      <c r="G288" s="2166">
        <v>1792</v>
      </c>
      <c r="H288" s="2165">
        <f t="shared" si="8"/>
        <v>100</v>
      </c>
    </row>
    <row r="289" spans="1:9" ht="15" x14ac:dyDescent="0.25">
      <c r="A289" s="2170">
        <v>4399</v>
      </c>
      <c r="B289" s="2241">
        <v>5336</v>
      </c>
      <c r="C289" s="2184"/>
      <c r="D289" s="2239" t="s">
        <v>1453</v>
      </c>
      <c r="E289" s="2166"/>
      <c r="F289" s="2180">
        <f>F290</f>
        <v>28591</v>
      </c>
      <c r="G289" s="2180">
        <f>G290</f>
        <v>28591</v>
      </c>
      <c r="H289" s="2172">
        <f t="shared" si="8"/>
        <v>100</v>
      </c>
    </row>
    <row r="290" spans="1:9" ht="15" thickBot="1" x14ac:dyDescent="0.25">
      <c r="A290" s="2170"/>
      <c r="B290" s="2241"/>
      <c r="C290" s="2182" t="s">
        <v>1623</v>
      </c>
      <c r="D290" s="2237" t="s">
        <v>1635</v>
      </c>
      <c r="E290" s="2166"/>
      <c r="F290" s="2166">
        <v>28591</v>
      </c>
      <c r="G290" s="2166">
        <v>28591</v>
      </c>
      <c r="H290" s="2165">
        <f t="shared" si="8"/>
        <v>100</v>
      </c>
    </row>
    <row r="291" spans="1:9" s="2131" customFormat="1" ht="20.25" customHeight="1" thickTop="1" thickBot="1" x14ac:dyDescent="0.3">
      <c r="A291" s="2162" t="s">
        <v>1000</v>
      </c>
      <c r="B291" s="2161"/>
      <c r="C291" s="2160"/>
      <c r="D291" s="2159"/>
      <c r="E291" s="2158">
        <f>SUM(E282)</f>
        <v>17529</v>
      </c>
      <c r="F291" s="2158">
        <f>SUM(F282,F289,F286)</f>
        <v>55841</v>
      </c>
      <c r="G291" s="2158">
        <f>SUM(G282,G289,G286)</f>
        <v>55841</v>
      </c>
      <c r="H291" s="2157">
        <f t="shared" si="8"/>
        <v>100</v>
      </c>
    </row>
    <row r="292" spans="1:9" s="2163" customFormat="1" ht="15.75" thickTop="1" x14ac:dyDescent="0.25">
      <c r="A292" s="2213"/>
      <c r="B292" s="2212"/>
      <c r="C292" s="2211"/>
      <c r="E292" s="2205"/>
      <c r="F292" s="2205"/>
      <c r="G292" s="2205"/>
      <c r="H292" s="2204"/>
    </row>
    <row r="293" spans="1:9" s="2131" customFormat="1" ht="27.75" customHeight="1" thickBot="1" x14ac:dyDescent="0.3">
      <c r="A293" s="2155" t="s">
        <v>232</v>
      </c>
      <c r="B293" s="2217"/>
      <c r="C293" s="2216"/>
      <c r="D293" s="2215"/>
      <c r="E293" s="2153">
        <f>SUM(E291)</f>
        <v>17529</v>
      </c>
      <c r="F293" s="2153">
        <f>SUM(F291)</f>
        <v>55841</v>
      </c>
      <c r="G293" s="2153">
        <f>SUM(G291)</f>
        <v>55841</v>
      </c>
      <c r="H293" s="2152">
        <f>(G293/F293)*100</f>
        <v>100</v>
      </c>
    </row>
    <row r="294" spans="1:9" s="2126" customFormat="1" ht="15" customHeight="1" thickTop="1" x14ac:dyDescent="0.25">
      <c r="A294" s="2149"/>
      <c r="B294" s="2210"/>
      <c r="C294" s="2219"/>
      <c r="D294" s="2208"/>
      <c r="E294" s="2150"/>
      <c r="F294" s="2150"/>
      <c r="G294" s="2150"/>
      <c r="H294" s="2147"/>
    </row>
    <row r="295" spans="1:9" s="2126" customFormat="1" ht="13.5" customHeight="1" x14ac:dyDescent="0.25">
      <c r="A295" s="2149"/>
      <c r="B295" s="2210"/>
      <c r="C295" s="2219"/>
      <c r="D295" s="2208"/>
      <c r="E295" s="2150"/>
      <c r="F295" s="2150"/>
      <c r="G295" s="2150"/>
      <c r="H295" s="2147"/>
    </row>
    <row r="296" spans="1:9" s="2163" customFormat="1" ht="15.75" x14ac:dyDescent="0.25">
      <c r="A296" s="2137" t="s">
        <v>1187</v>
      </c>
      <c r="B296" s="2218"/>
      <c r="C296" s="2211"/>
      <c r="D296" s="1465"/>
      <c r="E296" s="2205" t="s">
        <v>1188</v>
      </c>
      <c r="F296" s="2205"/>
      <c r="G296" s="2205"/>
      <c r="H296" s="2204"/>
    </row>
    <row r="297" spans="1:9" ht="15.75" thickBot="1" x14ac:dyDescent="0.25">
      <c r="A297" s="1262"/>
      <c r="B297" s="1265"/>
      <c r="D297" s="1436"/>
      <c r="H297" s="2203" t="s">
        <v>148</v>
      </c>
    </row>
    <row r="298" spans="1:9" s="2196" customFormat="1" ht="20.25" customHeight="1" thickTop="1" thickBot="1" x14ac:dyDescent="0.25">
      <c r="A298" s="2202" t="s">
        <v>149</v>
      </c>
      <c r="B298" s="2201" t="s">
        <v>150</v>
      </c>
      <c r="C298" s="2200" t="s">
        <v>639</v>
      </c>
      <c r="D298" s="2199" t="s">
        <v>151</v>
      </c>
      <c r="E298" s="1324" t="s">
        <v>569</v>
      </c>
      <c r="F298" s="1324" t="s">
        <v>570</v>
      </c>
      <c r="G298" s="2198" t="s">
        <v>797</v>
      </c>
      <c r="H298" s="2238" t="s">
        <v>798</v>
      </c>
    </row>
    <row r="299" spans="1:9" s="1292" customFormat="1" ht="13.5" thickTop="1" thickBot="1" x14ac:dyDescent="0.25">
      <c r="A299" s="1297">
        <v>1</v>
      </c>
      <c r="B299" s="1296">
        <v>2</v>
      </c>
      <c r="C299" s="1296">
        <v>3</v>
      </c>
      <c r="D299" s="1296">
        <v>4</v>
      </c>
      <c r="E299" s="1296">
        <v>5</v>
      </c>
      <c r="F299" s="1295">
        <v>6</v>
      </c>
      <c r="G299" s="1295">
        <v>7</v>
      </c>
      <c r="H299" s="1294" t="s">
        <v>54</v>
      </c>
      <c r="I299" s="1298"/>
    </row>
    <row r="300" spans="1:9" s="2163" customFormat="1" ht="15.75" thickTop="1" x14ac:dyDescent="0.25">
      <c r="A300" s="2177">
        <v>4357</v>
      </c>
      <c r="B300" s="2176">
        <v>5331</v>
      </c>
      <c r="C300" s="2175"/>
      <c r="D300" s="2174" t="s">
        <v>216</v>
      </c>
      <c r="E300" s="2173">
        <f>E301+E302</f>
        <v>5426</v>
      </c>
      <c r="F300" s="2173">
        <f>F301+F302</f>
        <v>5533</v>
      </c>
      <c r="G300" s="2173">
        <f>G301+G302</f>
        <v>5533</v>
      </c>
      <c r="H300" s="2195">
        <f>G300/F300*100</f>
        <v>100</v>
      </c>
    </row>
    <row r="301" spans="1:9" x14ac:dyDescent="0.2">
      <c r="A301" s="2170"/>
      <c r="B301" s="2169"/>
      <c r="C301" s="2191" t="s">
        <v>521</v>
      </c>
      <c r="D301" s="2190" t="s">
        <v>1128</v>
      </c>
      <c r="E301" s="2166">
        <v>903</v>
      </c>
      <c r="F301" s="2166">
        <v>900</v>
      </c>
      <c r="G301" s="2166">
        <v>900</v>
      </c>
      <c r="H301" s="2165">
        <f>(G301/F301)*100</f>
        <v>100</v>
      </c>
    </row>
    <row r="302" spans="1:9" x14ac:dyDescent="0.2">
      <c r="A302" s="2170"/>
      <c r="B302" s="2169"/>
      <c r="C302" s="2182" t="s">
        <v>517</v>
      </c>
      <c r="D302" s="2240" t="s">
        <v>984</v>
      </c>
      <c r="E302" s="2166">
        <v>4523</v>
      </c>
      <c r="F302" s="2166">
        <v>4633</v>
      </c>
      <c r="G302" s="2166">
        <v>4633</v>
      </c>
      <c r="H302" s="2165">
        <f>(G302/F302)*100</f>
        <v>100</v>
      </c>
    </row>
    <row r="303" spans="1:9" ht="15" x14ac:dyDescent="0.25">
      <c r="A303" s="2170">
        <v>4399</v>
      </c>
      <c r="B303" s="2169">
        <v>5336</v>
      </c>
      <c r="C303" s="2182"/>
      <c r="D303" s="2239" t="s">
        <v>1453</v>
      </c>
      <c r="E303" s="2166"/>
      <c r="F303" s="2180">
        <v>9973</v>
      </c>
      <c r="G303" s="2180">
        <v>9973</v>
      </c>
      <c r="H303" s="2172">
        <f>(G303/F303)*100</f>
        <v>100</v>
      </c>
    </row>
    <row r="304" spans="1:9" ht="15" thickBot="1" x14ac:dyDescent="0.25">
      <c r="A304" s="2170"/>
      <c r="B304" s="2169"/>
      <c r="C304" s="2182" t="s">
        <v>1623</v>
      </c>
      <c r="D304" s="2237" t="s">
        <v>1635</v>
      </c>
      <c r="E304" s="2166"/>
      <c r="F304" s="2166">
        <v>9973</v>
      </c>
      <c r="G304" s="2166">
        <v>9973</v>
      </c>
      <c r="H304" s="2165">
        <f>(G304/F304)*100</f>
        <v>100</v>
      </c>
    </row>
    <row r="305" spans="1:9" s="2131" customFormat="1" ht="20.25" customHeight="1" thickTop="1" thickBot="1" x14ac:dyDescent="0.3">
      <c r="A305" s="2162" t="s">
        <v>1000</v>
      </c>
      <c r="B305" s="2161"/>
      <c r="C305" s="2160"/>
      <c r="D305" s="2159"/>
      <c r="E305" s="2158">
        <f>E300</f>
        <v>5426</v>
      </c>
      <c r="F305" s="2158">
        <f>SUM(F300,F303)</f>
        <v>15506</v>
      </c>
      <c r="G305" s="2158">
        <f>SUM(G300,G303)</f>
        <v>15506</v>
      </c>
      <c r="H305" s="2157">
        <f>(G305/F305)*100</f>
        <v>100</v>
      </c>
    </row>
    <row r="306" spans="1:9" s="2131" customFormat="1" ht="20.25" customHeight="1" thickTop="1" x14ac:dyDescent="0.25">
      <c r="A306" s="2145"/>
      <c r="B306" s="2144"/>
      <c r="C306" s="2143"/>
      <c r="D306" s="2142"/>
      <c r="E306" s="2221"/>
      <c r="F306" s="2221"/>
      <c r="G306" s="2221"/>
      <c r="H306" s="2220"/>
    </row>
    <row r="307" spans="1:9" s="2131" customFormat="1" ht="27.75" customHeight="1" thickBot="1" x14ac:dyDescent="0.3">
      <c r="A307" s="2155" t="s">
        <v>1189</v>
      </c>
      <c r="B307" s="2217"/>
      <c r="C307" s="2216"/>
      <c r="D307" s="2215"/>
      <c r="E307" s="2153">
        <f>SUM(E305)</f>
        <v>5426</v>
      </c>
      <c r="F307" s="2153">
        <f>SUM(F305)</f>
        <v>15506</v>
      </c>
      <c r="G307" s="2153">
        <f>SUM(G305)</f>
        <v>15506</v>
      </c>
      <c r="H307" s="2152">
        <f>(G307/F307)*100</f>
        <v>100</v>
      </c>
    </row>
    <row r="308" spans="1:9" s="2126" customFormat="1" ht="15.75" customHeight="1" thickTop="1" x14ac:dyDescent="0.25">
      <c r="A308" s="2149"/>
      <c r="B308" s="2210"/>
      <c r="C308" s="2219"/>
      <c r="D308" s="2208"/>
      <c r="E308" s="2150"/>
      <c r="F308" s="2150"/>
      <c r="G308" s="2150"/>
      <c r="H308" s="2147"/>
    </row>
    <row r="309" spans="1:9" s="2126" customFormat="1" ht="12.75" customHeight="1" x14ac:dyDescent="0.25">
      <c r="A309" s="2149"/>
      <c r="B309" s="2210"/>
      <c r="C309" s="2219"/>
      <c r="D309" s="2208"/>
      <c r="E309" s="2150"/>
      <c r="F309" s="2150"/>
      <c r="G309" s="2150"/>
      <c r="H309" s="2147"/>
    </row>
    <row r="310" spans="1:9" s="1465" customFormat="1" ht="15.75" x14ac:dyDescent="0.25">
      <c r="A310" s="2137" t="s">
        <v>1191</v>
      </c>
      <c r="B310" s="2218"/>
      <c r="C310" s="2211"/>
      <c r="E310" s="2205" t="s">
        <v>1190</v>
      </c>
      <c r="F310" s="2205"/>
      <c r="G310" s="2205"/>
    </row>
    <row r="311" spans="1:9" s="1436" customFormat="1" ht="15.75" thickBot="1" x14ac:dyDescent="0.25">
      <c r="A311" s="1262"/>
      <c r="B311" s="1265"/>
      <c r="C311" s="2120"/>
      <c r="E311" s="2119"/>
      <c r="F311" s="2119"/>
      <c r="G311" s="2119"/>
      <c r="H311" s="2203" t="s">
        <v>148</v>
      </c>
    </row>
    <row r="312" spans="1:9" s="2196" customFormat="1" ht="20.25" customHeight="1" thickTop="1" thickBot="1" x14ac:dyDescent="0.25">
      <c r="A312" s="2202" t="s">
        <v>149</v>
      </c>
      <c r="B312" s="2201" t="s">
        <v>150</v>
      </c>
      <c r="C312" s="2200" t="s">
        <v>639</v>
      </c>
      <c r="D312" s="2199" t="s">
        <v>151</v>
      </c>
      <c r="E312" s="1324" t="s">
        <v>569</v>
      </c>
      <c r="F312" s="1324" t="s">
        <v>570</v>
      </c>
      <c r="G312" s="2198" t="s">
        <v>797</v>
      </c>
      <c r="H312" s="2238" t="s">
        <v>798</v>
      </c>
    </row>
    <row r="313" spans="1:9" s="1292" customFormat="1" ht="13.5" thickTop="1" thickBot="1" x14ac:dyDescent="0.25">
      <c r="A313" s="1297">
        <v>1</v>
      </c>
      <c r="B313" s="1296">
        <v>2</v>
      </c>
      <c r="C313" s="1296">
        <v>3</v>
      </c>
      <c r="D313" s="1296">
        <v>4</v>
      </c>
      <c r="E313" s="1296">
        <v>5</v>
      </c>
      <c r="F313" s="1295">
        <v>6</v>
      </c>
      <c r="G313" s="1295">
        <v>7</v>
      </c>
      <c r="H313" s="1294" t="s">
        <v>54</v>
      </c>
      <c r="I313" s="1298"/>
    </row>
    <row r="314" spans="1:9" s="2163" customFormat="1" ht="15.75" thickTop="1" x14ac:dyDescent="0.25">
      <c r="A314" s="2177">
        <v>4357</v>
      </c>
      <c r="B314" s="2176">
        <v>5331</v>
      </c>
      <c r="C314" s="2175"/>
      <c r="D314" s="2174" t="s">
        <v>216</v>
      </c>
      <c r="E314" s="2173">
        <f>E315+E316</f>
        <v>13625</v>
      </c>
      <c r="F314" s="2173">
        <f>F315+F316</f>
        <v>16514</v>
      </c>
      <c r="G314" s="2173">
        <f>G315+G316</f>
        <v>16514</v>
      </c>
      <c r="H314" s="2195">
        <f>G314/F314*100</f>
        <v>100</v>
      </c>
    </row>
    <row r="315" spans="1:9" x14ac:dyDescent="0.2">
      <c r="A315" s="2170"/>
      <c r="B315" s="2169"/>
      <c r="C315" s="2191" t="s">
        <v>521</v>
      </c>
      <c r="D315" s="2190" t="s">
        <v>1128</v>
      </c>
      <c r="E315" s="2166">
        <v>3859</v>
      </c>
      <c r="F315" s="2166">
        <v>3863</v>
      </c>
      <c r="G315" s="2166">
        <v>3863</v>
      </c>
      <c r="H315" s="2165">
        <f t="shared" ref="H315:H322" si="9">(G315/F315)*100</f>
        <v>100</v>
      </c>
    </row>
    <row r="316" spans="1:9" x14ac:dyDescent="0.2">
      <c r="A316" s="2170"/>
      <c r="B316" s="2169"/>
      <c r="C316" s="2182" t="s">
        <v>517</v>
      </c>
      <c r="D316" s="2237" t="s">
        <v>984</v>
      </c>
      <c r="E316" s="2166">
        <v>9766</v>
      </c>
      <c r="F316" s="2166">
        <v>12651</v>
      </c>
      <c r="G316" s="2166">
        <v>12651</v>
      </c>
      <c r="H316" s="2165">
        <f t="shared" si="9"/>
        <v>100</v>
      </c>
    </row>
    <row r="317" spans="1:9" ht="15" x14ac:dyDescent="0.25">
      <c r="A317" s="2170">
        <v>4357</v>
      </c>
      <c r="B317" s="2169">
        <v>5336</v>
      </c>
      <c r="C317" s="2182"/>
      <c r="D317" s="2183" t="s">
        <v>1740</v>
      </c>
      <c r="E317" s="2166"/>
      <c r="F317" s="2180">
        <f>F318+F319</f>
        <v>879</v>
      </c>
      <c r="G317" s="2180">
        <f>G318+G319</f>
        <v>879</v>
      </c>
      <c r="H317" s="2172">
        <f t="shared" si="9"/>
        <v>100</v>
      </c>
    </row>
    <row r="318" spans="1:9" ht="15" x14ac:dyDescent="0.25">
      <c r="A318" s="2170"/>
      <c r="B318" s="2169"/>
      <c r="C318" s="2182" t="s">
        <v>1210</v>
      </c>
      <c r="D318" s="2187" t="s">
        <v>1211</v>
      </c>
      <c r="E318" s="2180"/>
      <c r="F318" s="2166">
        <v>132</v>
      </c>
      <c r="G318" s="2166">
        <v>132</v>
      </c>
      <c r="H318" s="2165">
        <f t="shared" si="9"/>
        <v>100</v>
      </c>
    </row>
    <row r="319" spans="1:9" x14ac:dyDescent="0.2">
      <c r="A319" s="2170"/>
      <c r="B319" s="2169"/>
      <c r="C319" s="2182" t="s">
        <v>1212</v>
      </c>
      <c r="D319" s="2185" t="s">
        <v>1213</v>
      </c>
      <c r="E319" s="2166"/>
      <c r="F319" s="2166">
        <v>747</v>
      </c>
      <c r="G319" s="2166">
        <v>747</v>
      </c>
      <c r="H319" s="2165">
        <f t="shared" si="9"/>
        <v>100</v>
      </c>
    </row>
    <row r="320" spans="1:9" s="2163" customFormat="1" ht="15" x14ac:dyDescent="0.25">
      <c r="A320" s="2170">
        <v>4399</v>
      </c>
      <c r="B320" s="2169">
        <v>5336</v>
      </c>
      <c r="C320" s="2184"/>
      <c r="D320" s="2183" t="s">
        <v>1740</v>
      </c>
      <c r="E320" s="2180"/>
      <c r="F320" s="2180">
        <v>20197</v>
      </c>
      <c r="G320" s="2180">
        <v>20197</v>
      </c>
      <c r="H320" s="2172">
        <f t="shared" si="9"/>
        <v>100</v>
      </c>
    </row>
    <row r="321" spans="1:11" s="2163" customFormat="1" ht="15.75" thickBot="1" x14ac:dyDescent="0.3">
      <c r="A321" s="2170"/>
      <c r="B321" s="2169"/>
      <c r="C321" s="2182" t="s">
        <v>1623</v>
      </c>
      <c r="D321" s="2237" t="s">
        <v>1635</v>
      </c>
      <c r="E321" s="2180"/>
      <c r="F321" s="2166">
        <v>20197</v>
      </c>
      <c r="G321" s="2166">
        <v>20197</v>
      </c>
      <c r="H321" s="2165">
        <f t="shared" si="9"/>
        <v>100</v>
      </c>
    </row>
    <row r="322" spans="1:11" s="2131" customFormat="1" ht="20.25" customHeight="1" thickTop="1" thickBot="1" x14ac:dyDescent="0.3">
      <c r="A322" s="2162" t="s">
        <v>1000</v>
      </c>
      <c r="B322" s="2161"/>
      <c r="C322" s="2160"/>
      <c r="D322" s="2159"/>
      <c r="E322" s="2158">
        <f>SUM(E314)</f>
        <v>13625</v>
      </c>
      <c r="F322" s="2158">
        <f>SUM(F314,F320,F317)</f>
        <v>37590</v>
      </c>
      <c r="G322" s="2158">
        <f>SUM(G314,G320,G317)</f>
        <v>37590</v>
      </c>
      <c r="H322" s="2157">
        <f t="shared" si="9"/>
        <v>100</v>
      </c>
      <c r="J322" s="2178"/>
      <c r="K322" s="2178"/>
    </row>
    <row r="323" spans="1:11" s="2131" customFormat="1" ht="20.25" customHeight="1" thickTop="1" x14ac:dyDescent="0.25">
      <c r="A323" s="2145"/>
      <c r="B323" s="2144"/>
      <c r="C323" s="2143"/>
      <c r="D323" s="2142"/>
      <c r="E323" s="2221"/>
      <c r="F323" s="2221"/>
      <c r="G323" s="2221"/>
      <c r="H323" s="2220"/>
      <c r="J323" s="2178"/>
      <c r="K323" s="2178"/>
    </row>
    <row r="324" spans="1:11" s="2131" customFormat="1" ht="20.25" customHeight="1" thickBot="1" x14ac:dyDescent="0.3">
      <c r="A324" s="2155" t="s">
        <v>1192</v>
      </c>
      <c r="B324" s="2217"/>
      <c r="C324" s="2216"/>
      <c r="D324" s="2215"/>
      <c r="E324" s="2153">
        <f>SUM(E322)</f>
        <v>13625</v>
      </c>
      <c r="F324" s="2153">
        <f>SUM(F322)</f>
        <v>37590</v>
      </c>
      <c r="G324" s="2153">
        <f>SUM(G322)</f>
        <v>37590</v>
      </c>
      <c r="H324" s="2152">
        <f>(G324/F324)*100</f>
        <v>100</v>
      </c>
    </row>
    <row r="325" spans="1:11" s="2126" customFormat="1" ht="20.25" customHeight="1" thickTop="1" x14ac:dyDescent="0.25">
      <c r="A325" s="2149"/>
      <c r="B325" s="2210"/>
      <c r="C325" s="2219"/>
      <c r="D325" s="2208"/>
      <c r="E325" s="2150"/>
      <c r="F325" s="2150"/>
      <c r="G325" s="2150"/>
      <c r="H325" s="2147"/>
    </row>
    <row r="326" spans="1:11" ht="12.75" customHeight="1" x14ac:dyDescent="0.2"/>
    <row r="327" spans="1:11" s="1465" customFormat="1" ht="13.5" customHeight="1" x14ac:dyDescent="0.25">
      <c r="A327" s="2137" t="s">
        <v>234</v>
      </c>
      <c r="B327" s="2218"/>
      <c r="C327" s="2211"/>
      <c r="E327" s="2205" t="s">
        <v>1196</v>
      </c>
      <c r="F327" s="2205"/>
      <c r="G327" s="2205"/>
      <c r="H327" s="2204"/>
    </row>
    <row r="328" spans="1:11" ht="13.5" customHeight="1" thickBot="1" x14ac:dyDescent="0.25">
      <c r="A328" s="2156"/>
      <c r="H328" s="2203" t="s">
        <v>148</v>
      </c>
    </row>
    <row r="329" spans="1:11" s="2196" customFormat="1" ht="20.25" customHeight="1" thickTop="1" thickBot="1" x14ac:dyDescent="0.25">
      <c r="A329" s="2202" t="s">
        <v>149</v>
      </c>
      <c r="B329" s="2201" t="s">
        <v>150</v>
      </c>
      <c r="C329" s="2200" t="s">
        <v>639</v>
      </c>
      <c r="D329" s="2199" t="s">
        <v>151</v>
      </c>
      <c r="E329" s="1324" t="s">
        <v>569</v>
      </c>
      <c r="F329" s="1324" t="s">
        <v>570</v>
      </c>
      <c r="G329" s="2198" t="s">
        <v>797</v>
      </c>
      <c r="H329" s="2238" t="s">
        <v>798</v>
      </c>
    </row>
    <row r="330" spans="1:11" s="1292" customFormat="1" ht="13.5" thickTop="1" thickBot="1" x14ac:dyDescent="0.25">
      <c r="A330" s="1297">
        <v>1</v>
      </c>
      <c r="B330" s="1296">
        <v>2</v>
      </c>
      <c r="C330" s="1296">
        <v>3</v>
      </c>
      <c r="D330" s="1296">
        <v>4</v>
      </c>
      <c r="E330" s="1296">
        <v>5</v>
      </c>
      <c r="F330" s="1295">
        <v>6</v>
      </c>
      <c r="G330" s="1295">
        <v>7</v>
      </c>
      <c r="H330" s="1294" t="s">
        <v>54</v>
      </c>
      <c r="I330" s="1298"/>
    </row>
    <row r="331" spans="1:11" s="1292" customFormat="1" ht="15.75" thickTop="1" x14ac:dyDescent="0.25">
      <c r="A331" s="2170">
        <v>4324</v>
      </c>
      <c r="B331" s="2169">
        <v>5331</v>
      </c>
      <c r="C331" s="2193"/>
      <c r="D331" s="1454" t="s">
        <v>216</v>
      </c>
      <c r="E331" s="2180">
        <f>E332+E333</f>
        <v>6921</v>
      </c>
      <c r="F331" s="2180">
        <f>F332+F333</f>
        <v>6639</v>
      </c>
      <c r="G331" s="2180">
        <f>G332+G333</f>
        <v>6639</v>
      </c>
      <c r="H331" s="2192">
        <f>G331/F331*100</f>
        <v>100</v>
      </c>
      <c r="I331" s="1298"/>
    </row>
    <row r="332" spans="1:11" s="1292" customFormat="1" x14ac:dyDescent="0.2">
      <c r="A332" s="2170"/>
      <c r="B332" s="2169"/>
      <c r="C332" s="2191" t="s">
        <v>521</v>
      </c>
      <c r="D332" s="2190" t="s">
        <v>1128</v>
      </c>
      <c r="E332" s="2166">
        <v>340</v>
      </c>
      <c r="F332" s="2166">
        <v>358</v>
      </c>
      <c r="G332" s="2166">
        <v>358</v>
      </c>
      <c r="H332" s="2165">
        <f>(G332/F332)*100</f>
        <v>100</v>
      </c>
      <c r="I332" s="1298"/>
    </row>
    <row r="333" spans="1:11" s="1292" customFormat="1" x14ac:dyDescent="0.2">
      <c r="A333" s="2170"/>
      <c r="B333" s="2169"/>
      <c r="C333" s="2182" t="s">
        <v>517</v>
      </c>
      <c r="D333" s="2188" t="s">
        <v>984</v>
      </c>
      <c r="E333" s="2166">
        <v>6581</v>
      </c>
      <c r="F333" s="2166">
        <v>6281</v>
      </c>
      <c r="G333" s="2166">
        <v>6281</v>
      </c>
      <c r="H333" s="2165">
        <f>(G333/F333)*100</f>
        <v>100</v>
      </c>
      <c r="I333" s="1298"/>
    </row>
    <row r="334" spans="1:11" s="1292" customFormat="1" ht="15" x14ac:dyDescent="0.25">
      <c r="A334" s="2170">
        <v>4324</v>
      </c>
      <c r="B334" s="2169">
        <v>5336</v>
      </c>
      <c r="C334" s="2184"/>
      <c r="D334" s="2239" t="s">
        <v>1282</v>
      </c>
      <c r="E334" s="2180"/>
      <c r="F334" s="2180">
        <v>714</v>
      </c>
      <c r="G334" s="2180">
        <v>714</v>
      </c>
      <c r="H334" s="2192">
        <f>G334/F334*100</f>
        <v>100</v>
      </c>
      <c r="I334" s="1298"/>
    </row>
    <row r="335" spans="1:11" s="1292" customFormat="1" x14ac:dyDescent="0.2">
      <c r="A335" s="2170"/>
      <c r="B335" s="2169"/>
      <c r="C335" s="2182" t="s">
        <v>522</v>
      </c>
      <c r="D335" s="3143" t="s">
        <v>523</v>
      </c>
      <c r="E335" s="2166"/>
      <c r="F335" s="2166">
        <v>714</v>
      </c>
      <c r="G335" s="2166">
        <v>714</v>
      </c>
      <c r="H335" s="2165">
        <f>(G335/F335)*100</f>
        <v>100</v>
      </c>
      <c r="I335" s="1298"/>
    </row>
    <row r="336" spans="1:11" s="1292" customFormat="1" x14ac:dyDescent="0.2">
      <c r="A336" s="2170"/>
      <c r="B336" s="2169"/>
      <c r="C336" s="2182"/>
      <c r="D336" s="3143"/>
      <c r="E336" s="2166"/>
      <c r="F336" s="2166"/>
      <c r="G336" s="2166"/>
      <c r="H336" s="2165"/>
      <c r="I336" s="1298"/>
    </row>
    <row r="337" spans="1:11" ht="15" x14ac:dyDescent="0.25">
      <c r="A337" s="2170">
        <v>4399</v>
      </c>
      <c r="B337" s="2169">
        <v>5336</v>
      </c>
      <c r="C337" s="2193"/>
      <c r="D337" s="2183" t="s">
        <v>1740</v>
      </c>
      <c r="E337" s="2180"/>
      <c r="F337" s="2180">
        <v>8173</v>
      </c>
      <c r="G337" s="2180">
        <v>8173</v>
      </c>
      <c r="H337" s="2192">
        <f>G337/F337*100</f>
        <v>100</v>
      </c>
    </row>
    <row r="338" spans="1:11" ht="15" thickBot="1" x14ac:dyDescent="0.25">
      <c r="A338" s="2170"/>
      <c r="B338" s="2169"/>
      <c r="C338" s="2182" t="s">
        <v>1623</v>
      </c>
      <c r="D338" s="2237" t="s">
        <v>1635</v>
      </c>
      <c r="E338" s="2166"/>
      <c r="F338" s="2166">
        <v>8173</v>
      </c>
      <c r="G338" s="2166">
        <v>8173</v>
      </c>
      <c r="H338" s="2165">
        <f>(G338/F338)*100</f>
        <v>100</v>
      </c>
    </row>
    <row r="339" spans="1:11" s="2131" customFormat="1" ht="20.25" customHeight="1" thickTop="1" thickBot="1" x14ac:dyDescent="0.3">
      <c r="A339" s="2162" t="s">
        <v>1000</v>
      </c>
      <c r="B339" s="2161"/>
      <c r="C339" s="2160"/>
      <c r="D339" s="2159"/>
      <c r="E339" s="2158">
        <f>E331</f>
        <v>6921</v>
      </c>
      <c r="F339" s="2158">
        <f>F331+F334+F337</f>
        <v>15526</v>
      </c>
      <c r="G339" s="2158">
        <f>G331+G334+G337</f>
        <v>15526</v>
      </c>
      <c r="H339" s="2157">
        <f>(G339/F339)*100</f>
        <v>100</v>
      </c>
      <c r="J339" s="2178"/>
      <c r="K339" s="2178"/>
    </row>
    <row r="340" spans="1:11" s="2163" customFormat="1" ht="15.75" thickTop="1" x14ac:dyDescent="0.25">
      <c r="A340" s="2213"/>
      <c r="B340" s="2212"/>
      <c r="C340" s="2211"/>
      <c r="E340" s="2205"/>
      <c r="F340" s="2205"/>
      <c r="G340" s="2205"/>
      <c r="H340" s="2204"/>
    </row>
    <row r="341" spans="1:11" s="2131" customFormat="1" ht="27.75" customHeight="1" thickBot="1" x14ac:dyDescent="0.3">
      <c r="A341" s="2155" t="s">
        <v>3</v>
      </c>
      <c r="B341" s="2217"/>
      <c r="C341" s="2216"/>
      <c r="D341" s="2215"/>
      <c r="E341" s="2153">
        <f>E339</f>
        <v>6921</v>
      </c>
      <c r="F341" s="2153">
        <f>F339</f>
        <v>15526</v>
      </c>
      <c r="G341" s="2153">
        <f>G339</f>
        <v>15526</v>
      </c>
      <c r="H341" s="2152">
        <f>(G341/F341)*100</f>
        <v>100</v>
      </c>
    </row>
    <row r="342" spans="1:11" ht="15" thickTop="1" x14ac:dyDescent="0.2"/>
    <row r="343" spans="1:11" s="1465" customFormat="1" ht="15.75" x14ac:dyDescent="0.25">
      <c r="A343" s="2137" t="s">
        <v>12</v>
      </c>
      <c r="B343" s="2218"/>
      <c r="C343" s="2211"/>
      <c r="E343" s="2205" t="s">
        <v>1193</v>
      </c>
      <c r="F343" s="2205"/>
      <c r="G343" s="2205"/>
      <c r="H343" s="2204"/>
    </row>
    <row r="344" spans="1:11" ht="15" thickBot="1" x14ac:dyDescent="0.25">
      <c r="A344" s="2156"/>
      <c r="H344" s="2203" t="s">
        <v>148</v>
      </c>
    </row>
    <row r="345" spans="1:11" s="2196" customFormat="1" ht="20.25" customHeight="1" thickTop="1" thickBot="1" x14ac:dyDescent="0.25">
      <c r="A345" s="2202" t="s">
        <v>149</v>
      </c>
      <c r="B345" s="2201" t="s">
        <v>150</v>
      </c>
      <c r="C345" s="2200" t="s">
        <v>639</v>
      </c>
      <c r="D345" s="2199" t="s">
        <v>151</v>
      </c>
      <c r="E345" s="1324" t="s">
        <v>569</v>
      </c>
      <c r="F345" s="1324" t="s">
        <v>570</v>
      </c>
      <c r="G345" s="2198" t="s">
        <v>797</v>
      </c>
      <c r="H345" s="2238" t="s">
        <v>798</v>
      </c>
    </row>
    <row r="346" spans="1:11" s="1292" customFormat="1" ht="13.5" thickTop="1" thickBot="1" x14ac:dyDescent="0.25">
      <c r="A346" s="1297">
        <v>1</v>
      </c>
      <c r="B346" s="1296">
        <v>2</v>
      </c>
      <c r="C346" s="1296">
        <v>3</v>
      </c>
      <c r="D346" s="1296">
        <v>4</v>
      </c>
      <c r="E346" s="1296">
        <v>5</v>
      </c>
      <c r="F346" s="1295">
        <v>6</v>
      </c>
      <c r="G346" s="1295">
        <v>7</v>
      </c>
      <c r="H346" s="1294" t="s">
        <v>54</v>
      </c>
      <c r="I346" s="1298"/>
    </row>
    <row r="347" spans="1:11" s="2163" customFormat="1" ht="15.75" thickTop="1" x14ac:dyDescent="0.25">
      <c r="A347" s="2177">
        <v>4350</v>
      </c>
      <c r="B347" s="2176">
        <v>5331</v>
      </c>
      <c r="C347" s="2175"/>
      <c r="D347" s="2174" t="s">
        <v>216</v>
      </c>
      <c r="E347" s="2173">
        <f>E348+E350</f>
        <v>5545</v>
      </c>
      <c r="F347" s="2173">
        <f>F348+F350+F349</f>
        <v>7456</v>
      </c>
      <c r="G347" s="2173">
        <f>G348+G350+G349</f>
        <v>7456</v>
      </c>
      <c r="H347" s="2195">
        <f>G347/F347*100</f>
        <v>100</v>
      </c>
    </row>
    <row r="348" spans="1:11" x14ac:dyDescent="0.2">
      <c r="A348" s="2170"/>
      <c r="B348" s="2169"/>
      <c r="C348" s="2191" t="s">
        <v>521</v>
      </c>
      <c r="D348" s="2190" t="s">
        <v>1128</v>
      </c>
      <c r="E348" s="2166">
        <v>2487</v>
      </c>
      <c r="F348" s="2166">
        <v>2639</v>
      </c>
      <c r="G348" s="2166">
        <v>2639</v>
      </c>
      <c r="H348" s="2165">
        <f t="shared" ref="H348:H356" si="10">(G348/F348)*100</f>
        <v>100</v>
      </c>
    </row>
    <row r="349" spans="1:11" x14ac:dyDescent="0.2">
      <c r="A349" s="2170"/>
      <c r="B349" s="2169"/>
      <c r="C349" s="2168" t="s">
        <v>682</v>
      </c>
      <c r="D349" s="2167" t="s">
        <v>805</v>
      </c>
      <c r="E349" s="2166"/>
      <c r="F349" s="2166">
        <v>200</v>
      </c>
      <c r="G349" s="2166">
        <v>200</v>
      </c>
      <c r="H349" s="2165">
        <f t="shared" si="10"/>
        <v>100</v>
      </c>
    </row>
    <row r="350" spans="1:11" x14ac:dyDescent="0.2">
      <c r="A350" s="2170"/>
      <c r="B350" s="2169"/>
      <c r="C350" s="2182" t="s">
        <v>517</v>
      </c>
      <c r="D350" s="2188" t="s">
        <v>984</v>
      </c>
      <c r="E350" s="2166">
        <v>3058</v>
      </c>
      <c r="F350" s="2166">
        <v>4617</v>
      </c>
      <c r="G350" s="2166">
        <v>4617</v>
      </c>
      <c r="H350" s="2165">
        <f t="shared" si="10"/>
        <v>100</v>
      </c>
    </row>
    <row r="351" spans="1:11" ht="15" x14ac:dyDescent="0.25">
      <c r="A351" s="2170">
        <v>4350</v>
      </c>
      <c r="B351" s="2169">
        <v>5336</v>
      </c>
      <c r="C351" s="2184"/>
      <c r="D351" s="2183" t="s">
        <v>1740</v>
      </c>
      <c r="E351" s="2180"/>
      <c r="F351" s="2180">
        <f>F353+F352</f>
        <v>801</v>
      </c>
      <c r="G351" s="2180">
        <f>G353+G352</f>
        <v>801</v>
      </c>
      <c r="H351" s="2172">
        <f t="shared" si="10"/>
        <v>100</v>
      </c>
    </row>
    <row r="352" spans="1:11" ht="15" x14ac:dyDescent="0.25">
      <c r="A352" s="2170"/>
      <c r="B352" s="2169"/>
      <c r="C352" s="2182" t="s">
        <v>1210</v>
      </c>
      <c r="D352" s="2187" t="s">
        <v>1211</v>
      </c>
      <c r="E352" s="2180"/>
      <c r="F352" s="2166">
        <v>120</v>
      </c>
      <c r="G352" s="2166">
        <v>120</v>
      </c>
      <c r="H352" s="2165">
        <f t="shared" si="10"/>
        <v>100</v>
      </c>
    </row>
    <row r="353" spans="1:9" x14ac:dyDescent="0.2">
      <c r="A353" s="2170"/>
      <c r="B353" s="2169"/>
      <c r="C353" s="2182" t="s">
        <v>1212</v>
      </c>
      <c r="D353" s="2185" t="s">
        <v>1213</v>
      </c>
      <c r="E353" s="2166"/>
      <c r="F353" s="2166">
        <v>681</v>
      </c>
      <c r="G353" s="2166">
        <v>681</v>
      </c>
      <c r="H353" s="2165">
        <f t="shared" si="10"/>
        <v>100</v>
      </c>
    </row>
    <row r="354" spans="1:9" ht="15" x14ac:dyDescent="0.25">
      <c r="A354" s="2170">
        <v>4399</v>
      </c>
      <c r="B354" s="2169">
        <v>5336</v>
      </c>
      <c r="C354" s="2184"/>
      <c r="D354" s="2183" t="s">
        <v>1740</v>
      </c>
      <c r="E354" s="2180"/>
      <c r="F354" s="2180">
        <v>21147</v>
      </c>
      <c r="G354" s="2180">
        <v>21147</v>
      </c>
      <c r="H354" s="2172">
        <f t="shared" si="10"/>
        <v>100</v>
      </c>
    </row>
    <row r="355" spans="1:9" ht="15.75" thickBot="1" x14ac:dyDescent="0.3">
      <c r="A355" s="2170"/>
      <c r="B355" s="2169"/>
      <c r="C355" s="2182" t="s">
        <v>1623</v>
      </c>
      <c r="D355" s="2181" t="s">
        <v>1635</v>
      </c>
      <c r="E355" s="2180"/>
      <c r="F355" s="2166">
        <v>21147</v>
      </c>
      <c r="G355" s="2166">
        <v>21147</v>
      </c>
      <c r="H355" s="2165">
        <f t="shared" si="10"/>
        <v>100</v>
      </c>
    </row>
    <row r="356" spans="1:9" s="2131" customFormat="1" ht="20.25" customHeight="1" thickTop="1" thickBot="1" x14ac:dyDescent="0.3">
      <c r="A356" s="2162" t="s">
        <v>1000</v>
      </c>
      <c r="B356" s="2161"/>
      <c r="C356" s="2160"/>
      <c r="D356" s="2179"/>
      <c r="E356" s="2158">
        <f>SUM(E347,E354)</f>
        <v>5545</v>
      </c>
      <c r="F356" s="2158">
        <f>SUM(F347,F354,F351)</f>
        <v>29404</v>
      </c>
      <c r="G356" s="2158">
        <f>SUM(G347,G354,G351)</f>
        <v>29404</v>
      </c>
      <c r="H356" s="2157">
        <f t="shared" si="10"/>
        <v>100</v>
      </c>
    </row>
    <row r="357" spans="1:9" s="2163" customFormat="1" ht="15.75" thickTop="1" x14ac:dyDescent="0.25">
      <c r="A357" s="2213"/>
      <c r="B357" s="2212"/>
      <c r="C357" s="2211"/>
      <c r="E357" s="2205"/>
      <c r="F357" s="2205"/>
      <c r="G357" s="2205"/>
      <c r="H357" s="2204"/>
    </row>
    <row r="358" spans="1:9" s="2131" customFormat="1" ht="27.75" customHeight="1" thickBot="1" x14ac:dyDescent="0.3">
      <c r="A358" s="2155" t="s">
        <v>13</v>
      </c>
      <c r="B358" s="2217"/>
      <c r="C358" s="2216"/>
      <c r="D358" s="2215"/>
      <c r="E358" s="2153">
        <f>SUM(E356)</f>
        <v>5545</v>
      </c>
      <c r="F358" s="2153">
        <f>SUM(F356)</f>
        <v>29404</v>
      </c>
      <c r="G358" s="2153">
        <f>SUM(G356)</f>
        <v>29404</v>
      </c>
      <c r="H358" s="2152">
        <f>(G358/F358)*100</f>
        <v>100</v>
      </c>
    </row>
    <row r="359" spans="1:9" ht="13.5" customHeight="1" thickTop="1" x14ac:dyDescent="0.2"/>
    <row r="360" spans="1:9" ht="13.5" customHeight="1" x14ac:dyDescent="0.2"/>
    <row r="361" spans="1:9" s="1465" customFormat="1" ht="14.25" customHeight="1" x14ac:dyDescent="0.25">
      <c r="A361" s="2137" t="s">
        <v>14</v>
      </c>
      <c r="B361" s="2218"/>
      <c r="C361" s="2211"/>
      <c r="E361" s="2205" t="s">
        <v>1194</v>
      </c>
      <c r="F361" s="2205"/>
      <c r="G361" s="2205"/>
      <c r="H361" s="2204"/>
    </row>
    <row r="362" spans="1:9" ht="15" thickBot="1" x14ac:dyDescent="0.25">
      <c r="A362" s="2156"/>
      <c r="H362" s="2203" t="s">
        <v>148</v>
      </c>
    </row>
    <row r="363" spans="1:9" s="2196" customFormat="1" ht="20.25" customHeight="1" thickTop="1" thickBot="1" x14ac:dyDescent="0.25">
      <c r="A363" s="2202" t="s">
        <v>149</v>
      </c>
      <c r="B363" s="2201" t="s">
        <v>150</v>
      </c>
      <c r="C363" s="2200" t="s">
        <v>639</v>
      </c>
      <c r="D363" s="2199" t="s">
        <v>151</v>
      </c>
      <c r="E363" s="1324" t="s">
        <v>569</v>
      </c>
      <c r="F363" s="1324" t="s">
        <v>570</v>
      </c>
      <c r="G363" s="2198" t="s">
        <v>797</v>
      </c>
      <c r="H363" s="2238" t="s">
        <v>798</v>
      </c>
    </row>
    <row r="364" spans="1:9" s="1292" customFormat="1" ht="13.5" thickTop="1" thickBot="1" x14ac:dyDescent="0.25">
      <c r="A364" s="1297">
        <v>1</v>
      </c>
      <c r="B364" s="1296">
        <v>2</v>
      </c>
      <c r="C364" s="1296">
        <v>3</v>
      </c>
      <c r="D364" s="1296">
        <v>4</v>
      </c>
      <c r="E364" s="1296">
        <v>5</v>
      </c>
      <c r="F364" s="1295">
        <v>6</v>
      </c>
      <c r="G364" s="1295">
        <v>7</v>
      </c>
      <c r="H364" s="1294" t="s">
        <v>54</v>
      </c>
      <c r="I364" s="1298"/>
    </row>
    <row r="365" spans="1:9" s="2163" customFormat="1" ht="15.75" thickTop="1" x14ac:dyDescent="0.25">
      <c r="A365" s="2177">
        <v>4350</v>
      </c>
      <c r="B365" s="2176">
        <v>5331</v>
      </c>
      <c r="C365" s="2175"/>
      <c r="D365" s="2174" t="s">
        <v>216</v>
      </c>
      <c r="E365" s="2173">
        <f>E366+E368</f>
        <v>3098</v>
      </c>
      <c r="F365" s="2173">
        <f>F366+F368+F367</f>
        <v>3778</v>
      </c>
      <c r="G365" s="2173">
        <f>G366+G368+G367</f>
        <v>3778</v>
      </c>
      <c r="H365" s="2195">
        <f>G365/F365*100</f>
        <v>100</v>
      </c>
    </row>
    <row r="366" spans="1:9" x14ac:dyDescent="0.2">
      <c r="A366" s="2170"/>
      <c r="B366" s="2169"/>
      <c r="C366" s="2191" t="s">
        <v>521</v>
      </c>
      <c r="D366" s="2190" t="s">
        <v>1128</v>
      </c>
      <c r="E366" s="2166">
        <v>181</v>
      </c>
      <c r="F366" s="2166">
        <v>181</v>
      </c>
      <c r="G366" s="2166">
        <v>181</v>
      </c>
      <c r="H366" s="2165">
        <f t="shared" ref="H366:H373" si="11">(G366/F366)*100</f>
        <v>100</v>
      </c>
    </row>
    <row r="367" spans="1:9" x14ac:dyDescent="0.2">
      <c r="A367" s="2170"/>
      <c r="B367" s="2169"/>
      <c r="C367" s="2168" t="s">
        <v>682</v>
      </c>
      <c r="D367" s="2167" t="s">
        <v>805</v>
      </c>
      <c r="E367" s="2166"/>
      <c r="F367" s="2166">
        <v>150</v>
      </c>
      <c r="G367" s="2166">
        <v>150</v>
      </c>
      <c r="H367" s="2165">
        <f t="shared" si="11"/>
        <v>100</v>
      </c>
    </row>
    <row r="368" spans="1:9" x14ac:dyDescent="0.2">
      <c r="A368" s="2170"/>
      <c r="B368" s="2169"/>
      <c r="C368" s="2182" t="s">
        <v>517</v>
      </c>
      <c r="D368" s="2188" t="s">
        <v>984</v>
      </c>
      <c r="E368" s="2166">
        <v>2917</v>
      </c>
      <c r="F368" s="2166">
        <v>3447</v>
      </c>
      <c r="G368" s="2166">
        <v>3447</v>
      </c>
      <c r="H368" s="2165">
        <f t="shared" si="11"/>
        <v>100</v>
      </c>
    </row>
    <row r="369" spans="1:19" ht="15" x14ac:dyDescent="0.25">
      <c r="A369" s="2170">
        <v>4399</v>
      </c>
      <c r="B369" s="2169">
        <v>5336</v>
      </c>
      <c r="C369" s="2184"/>
      <c r="D369" s="2183" t="s">
        <v>1740</v>
      </c>
      <c r="E369" s="2180"/>
      <c r="F369" s="2180">
        <v>7084</v>
      </c>
      <c r="G369" s="2180">
        <v>7084</v>
      </c>
      <c r="H369" s="2172">
        <f t="shared" si="11"/>
        <v>100</v>
      </c>
    </row>
    <row r="370" spans="1:19" ht="15.75" thickBot="1" x14ac:dyDescent="0.3">
      <c r="A370" s="2170"/>
      <c r="B370" s="2169"/>
      <c r="C370" s="2182" t="s">
        <v>1623</v>
      </c>
      <c r="D370" s="2237" t="s">
        <v>1635</v>
      </c>
      <c r="E370" s="2180"/>
      <c r="F370" s="2166">
        <v>7084</v>
      </c>
      <c r="G370" s="2166">
        <v>7084</v>
      </c>
      <c r="H370" s="2165">
        <f t="shared" si="11"/>
        <v>100</v>
      </c>
    </row>
    <row r="371" spans="1:19" s="2131" customFormat="1" ht="20.25" customHeight="1" thickTop="1" thickBot="1" x14ac:dyDescent="0.3">
      <c r="A371" s="2162" t="s">
        <v>1000</v>
      </c>
      <c r="B371" s="2161"/>
      <c r="C371" s="2160"/>
      <c r="D371" s="2159"/>
      <c r="E371" s="2158">
        <f>E365</f>
        <v>3098</v>
      </c>
      <c r="F371" s="2158">
        <f>F365+F369</f>
        <v>10862</v>
      </c>
      <c r="G371" s="2158">
        <f>G365+G369</f>
        <v>10862</v>
      </c>
      <c r="H371" s="2157">
        <f t="shared" si="11"/>
        <v>100</v>
      </c>
    </row>
    <row r="372" spans="1:19" s="2163" customFormat="1" ht="15.75" thickTop="1" x14ac:dyDescent="0.25">
      <c r="A372" s="2177">
        <v>4350</v>
      </c>
      <c r="B372" s="2176">
        <v>6351</v>
      </c>
      <c r="C372" s="2175"/>
      <c r="D372" s="2174" t="s">
        <v>1056</v>
      </c>
      <c r="E372" s="2173"/>
      <c r="F372" s="2173">
        <v>250</v>
      </c>
      <c r="G372" s="2173">
        <v>250</v>
      </c>
      <c r="H372" s="2172">
        <f t="shared" si="11"/>
        <v>100</v>
      </c>
      <c r="I372" s="2171"/>
      <c r="J372" s="2171"/>
    </row>
    <row r="373" spans="1:19" ht="15" thickBot="1" x14ac:dyDescent="0.25">
      <c r="A373" s="2170"/>
      <c r="B373" s="2169"/>
      <c r="C373" s="2168" t="s">
        <v>682</v>
      </c>
      <c r="D373" s="2167" t="s">
        <v>805</v>
      </c>
      <c r="E373" s="2166"/>
      <c r="F373" s="2166">
        <v>250</v>
      </c>
      <c r="G373" s="2166">
        <v>250</v>
      </c>
      <c r="H373" s="2165">
        <f t="shared" si="11"/>
        <v>100</v>
      </c>
    </row>
    <row r="374" spans="1:19" s="2131" customFormat="1" ht="20.25" customHeight="1" thickTop="1" thickBot="1" x14ac:dyDescent="0.3">
      <c r="A374" s="2162" t="s">
        <v>1001</v>
      </c>
      <c r="B374" s="2161"/>
      <c r="C374" s="2160"/>
      <c r="D374" s="2159"/>
      <c r="E374" s="2158">
        <f>E372</f>
        <v>0</v>
      </c>
      <c r="F374" s="2158">
        <f>SUM(F372)</f>
        <v>250</v>
      </c>
      <c r="G374" s="2158">
        <f>SUM(G372)</f>
        <v>250</v>
      </c>
      <c r="H374" s="2157">
        <f>SUM(H372)</f>
        <v>100</v>
      </c>
      <c r="S374" s="2131">
        <v>0</v>
      </c>
    </row>
    <row r="375" spans="1:19" s="2163" customFormat="1" ht="15.75" thickTop="1" x14ac:dyDescent="0.25">
      <c r="A375" s="2213"/>
      <c r="B375" s="2212"/>
      <c r="C375" s="2211"/>
      <c r="E375" s="2205"/>
      <c r="F375" s="2205"/>
      <c r="G375" s="2205"/>
      <c r="H375" s="2204"/>
    </row>
    <row r="376" spans="1:19" s="2131" customFormat="1" ht="27.75" customHeight="1" thickBot="1" x14ac:dyDescent="0.3">
      <c r="A376" s="2155" t="s">
        <v>15</v>
      </c>
      <c r="B376" s="2217"/>
      <c r="C376" s="2216"/>
      <c r="D376" s="2215"/>
      <c r="E376" s="2153">
        <f>E371</f>
        <v>3098</v>
      </c>
      <c r="F376" s="2153">
        <f>F371+F374</f>
        <v>11112</v>
      </c>
      <c r="G376" s="2153">
        <f>G371+G374</f>
        <v>11112</v>
      </c>
      <c r="H376" s="2152">
        <f>(G376/F376)*100</f>
        <v>100</v>
      </c>
    </row>
    <row r="377" spans="1:19" s="2126" customFormat="1" ht="15.6" customHeight="1" thickTop="1" x14ac:dyDescent="0.25">
      <c r="A377" s="2149"/>
      <c r="B377" s="2210"/>
      <c r="C377" s="2219"/>
      <c r="D377" s="2208"/>
      <c r="E377" s="2150"/>
      <c r="F377" s="2150"/>
      <c r="G377" s="2150"/>
      <c r="H377" s="2147"/>
    </row>
    <row r="378" spans="1:19" s="2126" customFormat="1" ht="13.9" customHeight="1" x14ac:dyDescent="0.25">
      <c r="A378" s="2149"/>
      <c r="B378" s="2210"/>
      <c r="C378" s="2219"/>
      <c r="D378" s="2208"/>
      <c r="E378" s="2150"/>
      <c r="F378" s="2150"/>
      <c r="G378" s="2150"/>
      <c r="H378" s="2147"/>
    </row>
    <row r="379" spans="1:19" s="2126" customFormat="1" ht="13.9" customHeight="1" x14ac:dyDescent="0.25">
      <c r="A379" s="2149"/>
      <c r="B379" s="2210"/>
      <c r="C379" s="2219"/>
      <c r="D379" s="2208"/>
      <c r="E379" s="2150"/>
      <c r="F379" s="2150"/>
      <c r="G379" s="2150"/>
      <c r="H379" s="2147"/>
    </row>
    <row r="380" spans="1:19" s="2126" customFormat="1" ht="13.9" customHeight="1" x14ac:dyDescent="0.25">
      <c r="A380" s="2149"/>
      <c r="B380" s="2210"/>
      <c r="C380" s="2219"/>
      <c r="D380" s="2208"/>
      <c r="E380" s="2150"/>
      <c r="F380" s="2150"/>
      <c r="G380" s="2150"/>
      <c r="H380" s="2147"/>
    </row>
    <row r="381" spans="1:19" s="2126" customFormat="1" ht="13.9" customHeight="1" x14ac:dyDescent="0.25">
      <c r="A381" s="2149"/>
      <c r="B381" s="2210"/>
      <c r="C381" s="2219"/>
      <c r="D381" s="2208"/>
      <c r="E381" s="2150"/>
      <c r="F381" s="2150"/>
      <c r="G381" s="2150"/>
      <c r="H381" s="2147"/>
    </row>
    <row r="382" spans="1:19" s="2126" customFormat="1" ht="13.9" customHeight="1" x14ac:dyDescent="0.25">
      <c r="A382" s="2149"/>
      <c r="B382" s="2210"/>
      <c r="C382" s="2219"/>
      <c r="D382" s="2208"/>
      <c r="E382" s="2150"/>
      <c r="F382" s="2150"/>
      <c r="G382" s="2150"/>
      <c r="H382" s="2147"/>
    </row>
    <row r="383" spans="1:19" s="2126" customFormat="1" ht="13.9" customHeight="1" x14ac:dyDescent="0.25">
      <c r="A383" s="2149"/>
      <c r="B383" s="2210"/>
      <c r="C383" s="2219"/>
      <c r="D383" s="2208"/>
      <c r="E383" s="2150"/>
      <c r="F383" s="2150"/>
      <c r="G383" s="2150"/>
      <c r="H383" s="2147"/>
    </row>
    <row r="384" spans="1:19" s="2126" customFormat="1" ht="13.9" customHeight="1" x14ac:dyDescent="0.25">
      <c r="A384" s="2149"/>
      <c r="B384" s="2210"/>
      <c r="C384" s="2219"/>
      <c r="D384" s="2208"/>
      <c r="E384" s="2150"/>
      <c r="F384" s="2150"/>
      <c r="G384" s="2150"/>
      <c r="H384" s="2147"/>
    </row>
    <row r="385" spans="1:13" s="2126" customFormat="1" ht="13.9" customHeight="1" x14ac:dyDescent="0.25">
      <c r="A385" s="2149"/>
      <c r="B385" s="2210"/>
      <c r="C385" s="2219"/>
      <c r="D385" s="2208"/>
      <c r="E385" s="2150"/>
      <c r="F385" s="2150"/>
      <c r="G385" s="2150"/>
      <c r="H385" s="2147"/>
    </row>
    <row r="386" spans="1:13" s="2126" customFormat="1" ht="13.9" customHeight="1" x14ac:dyDescent="0.25">
      <c r="A386" s="2149"/>
      <c r="B386" s="2210"/>
      <c r="C386" s="2219"/>
      <c r="D386" s="2208"/>
      <c r="E386" s="2150"/>
      <c r="F386" s="2150"/>
      <c r="G386" s="2150"/>
      <c r="H386" s="2147"/>
    </row>
    <row r="387" spans="1:13" s="2126" customFormat="1" ht="13.9" customHeight="1" x14ac:dyDescent="0.25">
      <c r="A387" s="2149"/>
      <c r="B387" s="2210"/>
      <c r="C387" s="2219"/>
      <c r="D387" s="2208"/>
      <c r="E387" s="2150"/>
      <c r="F387" s="2150"/>
      <c r="G387" s="2150"/>
      <c r="H387" s="2147"/>
    </row>
    <row r="388" spans="1:13" s="2126" customFormat="1" ht="13.9" customHeight="1" x14ac:dyDescent="0.25">
      <c r="A388" s="2149"/>
      <c r="B388" s="2210"/>
      <c r="C388" s="2219"/>
      <c r="D388" s="2208"/>
      <c r="E388" s="2150"/>
      <c r="F388" s="2150"/>
      <c r="G388" s="2150"/>
      <c r="H388" s="2147"/>
    </row>
    <row r="389" spans="1:13" s="2126" customFormat="1" ht="13.9" customHeight="1" x14ac:dyDescent="0.25">
      <c r="A389" s="2149"/>
      <c r="B389" s="2210"/>
      <c r="C389" s="2219"/>
      <c r="D389" s="2208"/>
      <c r="E389" s="2150"/>
      <c r="F389" s="2150"/>
      <c r="G389" s="2150"/>
      <c r="H389" s="2147"/>
    </row>
    <row r="390" spans="1:13" s="1465" customFormat="1" ht="15.75" x14ac:dyDescent="0.25">
      <c r="A390" s="2137" t="s">
        <v>16</v>
      </c>
      <c r="B390" s="2218"/>
      <c r="C390" s="2211"/>
      <c r="E390" s="2205" t="s">
        <v>1195</v>
      </c>
      <c r="F390" s="2205"/>
      <c r="G390" s="2205"/>
      <c r="H390" s="2204"/>
    </row>
    <row r="391" spans="1:13" ht="15" thickBot="1" x14ac:dyDescent="0.25">
      <c r="A391" s="2156"/>
      <c r="H391" s="2203" t="s">
        <v>148</v>
      </c>
    </row>
    <row r="392" spans="1:13" s="2196" customFormat="1" ht="20.25" customHeight="1" thickTop="1" thickBot="1" x14ac:dyDescent="0.25">
      <c r="A392" s="2202" t="s">
        <v>149</v>
      </c>
      <c r="B392" s="2201" t="s">
        <v>150</v>
      </c>
      <c r="C392" s="2200" t="s">
        <v>639</v>
      </c>
      <c r="D392" s="2199" t="s">
        <v>151</v>
      </c>
      <c r="E392" s="1324" t="s">
        <v>569</v>
      </c>
      <c r="F392" s="1324" t="s">
        <v>570</v>
      </c>
      <c r="G392" s="2198" t="s">
        <v>797</v>
      </c>
      <c r="H392" s="2238" t="s">
        <v>798</v>
      </c>
    </row>
    <row r="393" spans="1:13" s="1292" customFormat="1" ht="13.5" thickTop="1" thickBot="1" x14ac:dyDescent="0.25">
      <c r="A393" s="1297">
        <v>1</v>
      </c>
      <c r="B393" s="1296">
        <v>2</v>
      </c>
      <c r="C393" s="1296">
        <v>3</v>
      </c>
      <c r="D393" s="1296">
        <v>4</v>
      </c>
      <c r="E393" s="1296">
        <v>5</v>
      </c>
      <c r="F393" s="1295">
        <v>6</v>
      </c>
      <c r="G393" s="1295">
        <v>7</v>
      </c>
      <c r="H393" s="1294" t="s">
        <v>54</v>
      </c>
      <c r="I393" s="1298"/>
    </row>
    <row r="394" spans="1:13" s="2163" customFormat="1" ht="15.75" thickTop="1" x14ac:dyDescent="0.25">
      <c r="A394" s="2177">
        <v>4357</v>
      </c>
      <c r="B394" s="2176">
        <v>5331</v>
      </c>
      <c r="C394" s="2175"/>
      <c r="D394" s="2174" t="s">
        <v>216</v>
      </c>
      <c r="E394" s="2173">
        <f>E395+E396</f>
        <v>6023</v>
      </c>
      <c r="F394" s="2173">
        <f>F395+F396</f>
        <v>7150</v>
      </c>
      <c r="G394" s="2173">
        <f>G395+G396</f>
        <v>7150</v>
      </c>
      <c r="H394" s="2195">
        <f>G394/F394*100</f>
        <v>100</v>
      </c>
    </row>
    <row r="395" spans="1:13" x14ac:dyDescent="0.2">
      <c r="A395" s="2170"/>
      <c r="B395" s="2169"/>
      <c r="C395" s="2191" t="s">
        <v>521</v>
      </c>
      <c r="D395" s="2190" t="s">
        <v>1128</v>
      </c>
      <c r="E395" s="2166">
        <v>1215</v>
      </c>
      <c r="F395" s="2166">
        <v>1225</v>
      </c>
      <c r="G395" s="2166">
        <v>1225</v>
      </c>
      <c r="H395" s="2165">
        <f t="shared" ref="H395:H401" si="12">(G395/F395)*100</f>
        <v>100</v>
      </c>
    </row>
    <row r="396" spans="1:13" x14ac:dyDescent="0.2">
      <c r="A396" s="2170"/>
      <c r="B396" s="2169"/>
      <c r="C396" s="2182" t="s">
        <v>517</v>
      </c>
      <c r="D396" s="2188" t="s">
        <v>984</v>
      </c>
      <c r="E396" s="2166">
        <v>4808</v>
      </c>
      <c r="F396" s="2166">
        <v>5925</v>
      </c>
      <c r="G396" s="2166">
        <v>5925</v>
      </c>
      <c r="H396" s="2165">
        <f t="shared" si="12"/>
        <v>100</v>
      </c>
    </row>
    <row r="397" spans="1:13" ht="15" x14ac:dyDescent="0.25">
      <c r="A397" s="2170">
        <v>4399</v>
      </c>
      <c r="B397" s="2169">
        <v>5336</v>
      </c>
      <c r="C397" s="2184"/>
      <c r="D397" s="2183" t="s">
        <v>1740</v>
      </c>
      <c r="E397" s="2180"/>
      <c r="F397" s="2180">
        <v>10610</v>
      </c>
      <c r="G397" s="2180">
        <v>10610</v>
      </c>
      <c r="H397" s="2172">
        <f t="shared" si="12"/>
        <v>100</v>
      </c>
    </row>
    <row r="398" spans="1:13" ht="15.75" thickBot="1" x14ac:dyDescent="0.3">
      <c r="A398" s="2170"/>
      <c r="B398" s="2169"/>
      <c r="C398" s="2182" t="s">
        <v>1623</v>
      </c>
      <c r="D398" s="2181" t="s">
        <v>1635</v>
      </c>
      <c r="E398" s="2180"/>
      <c r="F398" s="2166">
        <v>10610</v>
      </c>
      <c r="G398" s="2166">
        <v>10610</v>
      </c>
      <c r="H398" s="2165">
        <f t="shared" si="12"/>
        <v>100</v>
      </c>
    </row>
    <row r="399" spans="1:13" s="2126" customFormat="1" ht="20.25" customHeight="1" thickTop="1" thickBot="1" x14ac:dyDescent="0.3">
      <c r="A399" s="2162" t="s">
        <v>1000</v>
      </c>
      <c r="B399" s="2161"/>
      <c r="C399" s="2160"/>
      <c r="D399" s="2179"/>
      <c r="E399" s="2158">
        <f>SUM(E394)</f>
        <v>6023</v>
      </c>
      <c r="F399" s="2158">
        <f>SUM(F394,F397)</f>
        <v>17760</v>
      </c>
      <c r="G399" s="2158">
        <f>SUM(G394,G397)</f>
        <v>17760</v>
      </c>
      <c r="H399" s="2157">
        <f t="shared" si="12"/>
        <v>100</v>
      </c>
      <c r="J399" s="1254">
        <f>E399+E371+E356+E339+E322+E305+E291+E273+E258+E242+E227+E211+E195+E181+E166+E149</f>
        <v>119309</v>
      </c>
      <c r="K399" s="1254">
        <f>F399+F371+F356+F339+F322+F305+F291+F273+F258+F242+F227+F211+F195+F181+F166+F149</f>
        <v>335559</v>
      </c>
      <c r="L399" s="1254">
        <f>G399+G371+G356+G339+G322+G305+G291+G273+G258+G242+G227+G211+G195+G181+G166+G149</f>
        <v>335559</v>
      </c>
      <c r="M399" s="1249" t="s">
        <v>579</v>
      </c>
    </row>
    <row r="400" spans="1:13" s="2163" customFormat="1" ht="15.75" thickTop="1" x14ac:dyDescent="0.25">
      <c r="A400" s="2177">
        <v>4357</v>
      </c>
      <c r="B400" s="2176">
        <v>6351</v>
      </c>
      <c r="C400" s="2175"/>
      <c r="D400" s="2174" t="s">
        <v>1056</v>
      </c>
      <c r="E400" s="2173"/>
      <c r="F400" s="2173">
        <v>100</v>
      </c>
      <c r="G400" s="2173">
        <v>100</v>
      </c>
      <c r="H400" s="2172">
        <f t="shared" si="12"/>
        <v>100</v>
      </c>
      <c r="I400" s="2171"/>
      <c r="J400" s="2171"/>
    </row>
    <row r="401" spans="1:19" ht="15" thickBot="1" x14ac:dyDescent="0.25">
      <c r="A401" s="2170"/>
      <c r="B401" s="2169"/>
      <c r="C401" s="2168" t="s">
        <v>682</v>
      </c>
      <c r="D401" s="2167" t="s">
        <v>805</v>
      </c>
      <c r="E401" s="2166"/>
      <c r="F401" s="2166">
        <v>100</v>
      </c>
      <c r="G401" s="2166">
        <v>100</v>
      </c>
      <c r="H401" s="2165">
        <f t="shared" si="12"/>
        <v>100</v>
      </c>
    </row>
    <row r="402" spans="1:19" s="2131" customFormat="1" ht="20.25" customHeight="1" thickTop="1" thickBot="1" x14ac:dyDescent="0.3">
      <c r="A402" s="2162" t="s">
        <v>1001</v>
      </c>
      <c r="B402" s="2161"/>
      <c r="C402" s="2160"/>
      <c r="D402" s="2159"/>
      <c r="E402" s="2158">
        <f>E400</f>
        <v>0</v>
      </c>
      <c r="F402" s="2158">
        <f>SUM(F400)</f>
        <v>100</v>
      </c>
      <c r="G402" s="2158">
        <f>SUM(G400)</f>
        <v>100</v>
      </c>
      <c r="H402" s="2157">
        <f>SUM(H400)</f>
        <v>100</v>
      </c>
      <c r="S402" s="2131">
        <v>0</v>
      </c>
    </row>
    <row r="403" spans="1:19" ht="15" thickTop="1" x14ac:dyDescent="0.2">
      <c r="A403" s="2156"/>
      <c r="J403" s="1254">
        <f>E402+E374+E214</f>
        <v>0</v>
      </c>
      <c r="K403" s="1254">
        <f>F402+F374+F214</f>
        <v>550</v>
      </c>
      <c r="L403" s="1254">
        <f>G402+G374+G214</f>
        <v>550</v>
      </c>
      <c r="M403" s="1249" t="s">
        <v>534</v>
      </c>
    </row>
    <row r="404" spans="1:19" s="2131" customFormat="1" ht="27.75" customHeight="1" thickBot="1" x14ac:dyDescent="0.3">
      <c r="A404" s="2155" t="s">
        <v>17</v>
      </c>
      <c r="B404" s="2217"/>
      <c r="C404" s="2216"/>
      <c r="D404" s="2215"/>
      <c r="E404" s="2153">
        <f>E399</f>
        <v>6023</v>
      </c>
      <c r="F404" s="2153">
        <f>F399+F402</f>
        <v>17860</v>
      </c>
      <c r="G404" s="2153">
        <f>G399+G402</f>
        <v>17860</v>
      </c>
      <c r="H404" s="2152">
        <f>(G404/F404)*100</f>
        <v>100</v>
      </c>
    </row>
    <row r="405" spans="1:19" s="2131" customFormat="1" ht="16.149999999999999" customHeight="1" thickTop="1" x14ac:dyDescent="0.25">
      <c r="A405" s="2145"/>
      <c r="B405" s="2144"/>
      <c r="C405" s="2143"/>
      <c r="D405" s="2142"/>
      <c r="E405" s="2221"/>
      <c r="F405" s="2221"/>
      <c r="G405" s="2221"/>
      <c r="H405" s="2220"/>
    </row>
    <row r="406" spans="1:19" s="2131" customFormat="1" ht="16.149999999999999" customHeight="1" x14ac:dyDescent="0.25">
      <c r="A406" s="2145"/>
      <c r="B406" s="2144"/>
      <c r="C406" s="2143"/>
      <c r="D406" s="2142"/>
      <c r="E406" s="2221"/>
      <c r="F406" s="2221"/>
      <c r="G406" s="2221"/>
      <c r="H406" s="2220"/>
    </row>
    <row r="407" spans="1:19" s="1465" customFormat="1" ht="15.75" x14ac:dyDescent="0.25">
      <c r="A407" s="2137" t="s">
        <v>744</v>
      </c>
      <c r="B407" s="2218"/>
      <c r="C407" s="2211"/>
      <c r="E407" s="2205" t="s">
        <v>1197</v>
      </c>
      <c r="F407" s="2205"/>
      <c r="G407" s="2205"/>
      <c r="H407" s="2204"/>
    </row>
    <row r="408" spans="1:19" ht="15" thickBot="1" x14ac:dyDescent="0.25">
      <c r="A408" s="2156"/>
      <c r="H408" s="2203" t="s">
        <v>148</v>
      </c>
    </row>
    <row r="409" spans="1:19" s="2196" customFormat="1" ht="20.25" customHeight="1" thickTop="1" thickBot="1" x14ac:dyDescent="0.25">
      <c r="A409" s="2202" t="s">
        <v>149</v>
      </c>
      <c r="B409" s="2201" t="s">
        <v>150</v>
      </c>
      <c r="C409" s="2200" t="s">
        <v>639</v>
      </c>
      <c r="D409" s="2199" t="s">
        <v>151</v>
      </c>
      <c r="E409" s="1324" t="s">
        <v>569</v>
      </c>
      <c r="F409" s="1324" t="s">
        <v>570</v>
      </c>
      <c r="G409" s="2198" t="s">
        <v>797</v>
      </c>
      <c r="H409" s="2238" t="s">
        <v>798</v>
      </c>
    </row>
    <row r="410" spans="1:19" s="1292" customFormat="1" ht="13.5" thickTop="1" thickBot="1" x14ac:dyDescent="0.25">
      <c r="A410" s="1297">
        <v>1</v>
      </c>
      <c r="B410" s="1296">
        <v>2</v>
      </c>
      <c r="C410" s="1296">
        <v>3</v>
      </c>
      <c r="D410" s="1296">
        <v>4</v>
      </c>
      <c r="E410" s="1296">
        <v>5</v>
      </c>
      <c r="F410" s="1295">
        <v>6</v>
      </c>
      <c r="G410" s="1295">
        <v>7</v>
      </c>
      <c r="H410" s="1294" t="s">
        <v>54</v>
      </c>
      <c r="I410" s="1298"/>
    </row>
    <row r="411" spans="1:19" s="2163" customFormat="1" ht="15.75" thickTop="1" x14ac:dyDescent="0.25">
      <c r="A411" s="2177">
        <v>4354</v>
      </c>
      <c r="B411" s="2176">
        <v>5331</v>
      </c>
      <c r="C411" s="2175"/>
      <c r="D411" s="2174" t="s">
        <v>216</v>
      </c>
      <c r="E411" s="2173">
        <f>E412+E413</f>
        <v>2439</v>
      </c>
      <c r="F411" s="2173">
        <f>F412+F413</f>
        <v>0</v>
      </c>
      <c r="G411" s="2173">
        <f>G412+G413</f>
        <v>0</v>
      </c>
      <c r="H411" s="2195">
        <v>0</v>
      </c>
    </row>
    <row r="412" spans="1:19" x14ac:dyDescent="0.2">
      <c r="A412" s="2170"/>
      <c r="B412" s="2169"/>
      <c r="C412" s="2191" t="s">
        <v>521</v>
      </c>
      <c r="D412" s="2190" t="s">
        <v>1128</v>
      </c>
      <c r="E412" s="2166">
        <v>330</v>
      </c>
      <c r="F412" s="2166">
        <v>0</v>
      </c>
      <c r="G412" s="2166">
        <v>0</v>
      </c>
      <c r="H412" s="2165">
        <v>0</v>
      </c>
    </row>
    <row r="413" spans="1:19" ht="15" thickBot="1" x14ac:dyDescent="0.25">
      <c r="A413" s="2170"/>
      <c r="B413" s="2169"/>
      <c r="C413" s="2182" t="s">
        <v>517</v>
      </c>
      <c r="D413" s="2237" t="s">
        <v>984</v>
      </c>
      <c r="E413" s="2166">
        <v>2109</v>
      </c>
      <c r="F413" s="2166">
        <v>0</v>
      </c>
      <c r="G413" s="2166">
        <v>0</v>
      </c>
      <c r="H413" s="2165">
        <v>0</v>
      </c>
    </row>
    <row r="414" spans="1:19" s="2131" customFormat="1" ht="20.25" customHeight="1" thickTop="1" thickBot="1" x14ac:dyDescent="0.3">
      <c r="A414" s="2162" t="s">
        <v>1000</v>
      </c>
      <c r="B414" s="2161"/>
      <c r="C414" s="2160"/>
      <c r="D414" s="2159"/>
      <c r="E414" s="2158">
        <f>SUM(E411)</f>
        <v>2439</v>
      </c>
      <c r="F414" s="2158">
        <v>0</v>
      </c>
      <c r="G414" s="2158">
        <v>0</v>
      </c>
      <c r="H414" s="2157">
        <v>0</v>
      </c>
    </row>
    <row r="415" spans="1:19" s="2163" customFormat="1" ht="15.75" thickTop="1" x14ac:dyDescent="0.25">
      <c r="A415" s="2212"/>
      <c r="B415" s="2212"/>
      <c r="C415" s="2211"/>
      <c r="E415" s="2205"/>
      <c r="F415" s="2205"/>
      <c r="G415" s="2205"/>
      <c r="H415" s="2204"/>
    </row>
    <row r="416" spans="1:19" s="2131" customFormat="1" ht="27.75" customHeight="1" thickBot="1" x14ac:dyDescent="0.3">
      <c r="A416" s="2155" t="s">
        <v>745</v>
      </c>
      <c r="B416" s="2217"/>
      <c r="C416" s="2216"/>
      <c r="D416" s="2215"/>
      <c r="E416" s="2153">
        <f>E411</f>
        <v>2439</v>
      </c>
      <c r="F416" s="2153">
        <f>F411</f>
        <v>0</v>
      </c>
      <c r="G416" s="2153">
        <f>G411</f>
        <v>0</v>
      </c>
      <c r="H416" s="2152">
        <v>0</v>
      </c>
    </row>
    <row r="417" spans="1:19" s="2126" customFormat="1" ht="13.5" customHeight="1" thickTop="1" x14ac:dyDescent="0.25">
      <c r="A417" s="2149"/>
      <c r="B417" s="2210"/>
      <c r="C417" s="2209"/>
      <c r="D417" s="2208"/>
      <c r="E417" s="2140"/>
      <c r="F417" s="2140"/>
      <c r="G417" s="2140"/>
      <c r="H417" s="2139"/>
    </row>
    <row r="418" spans="1:19" s="2126" customFormat="1" ht="13.5" customHeight="1" x14ac:dyDescent="0.25">
      <c r="A418" s="2149"/>
      <c r="B418" s="2210"/>
      <c r="C418" s="2209"/>
      <c r="D418" s="2208"/>
      <c r="E418" s="2140"/>
      <c r="F418" s="2140"/>
      <c r="G418" s="2140"/>
      <c r="H418" s="2139"/>
    </row>
    <row r="419" spans="1:19" s="2126" customFormat="1" ht="12.75" customHeight="1" x14ac:dyDescent="0.25">
      <c r="A419" s="2149"/>
      <c r="B419" s="2210"/>
      <c r="C419" s="2209"/>
      <c r="D419" s="2208"/>
      <c r="E419" s="2140"/>
      <c r="F419" s="2140"/>
      <c r="G419" s="2140"/>
      <c r="H419" s="2139"/>
    </row>
    <row r="420" spans="1:19" s="1465" customFormat="1" ht="15.75" x14ac:dyDescent="0.25">
      <c r="A420" s="2137" t="s">
        <v>599</v>
      </c>
      <c r="B420" s="2218"/>
      <c r="C420" s="2211"/>
      <c r="E420" s="2205" t="s">
        <v>374</v>
      </c>
      <c r="F420" s="2205"/>
      <c r="G420" s="2205"/>
      <c r="H420" s="2204"/>
    </row>
    <row r="421" spans="1:19" ht="15" thickBot="1" x14ac:dyDescent="0.25">
      <c r="A421" s="2156"/>
      <c r="H421" s="2203" t="s">
        <v>148</v>
      </c>
    </row>
    <row r="422" spans="1:19" s="2196" customFormat="1" ht="20.25" customHeight="1" thickTop="1" thickBot="1" x14ac:dyDescent="0.25">
      <c r="A422" s="2202" t="s">
        <v>149</v>
      </c>
      <c r="B422" s="2201" t="s">
        <v>150</v>
      </c>
      <c r="C422" s="2200" t="s">
        <v>639</v>
      </c>
      <c r="D422" s="2199" t="s">
        <v>151</v>
      </c>
      <c r="E422" s="1324" t="s">
        <v>569</v>
      </c>
      <c r="F422" s="1324" t="s">
        <v>570</v>
      </c>
      <c r="G422" s="2198" t="s">
        <v>797</v>
      </c>
      <c r="H422" s="2197" t="s">
        <v>798</v>
      </c>
    </row>
    <row r="423" spans="1:19" s="1292" customFormat="1" ht="13.5" thickTop="1" thickBot="1" x14ac:dyDescent="0.25">
      <c r="A423" s="1297">
        <v>1</v>
      </c>
      <c r="B423" s="1296">
        <v>2</v>
      </c>
      <c r="C423" s="1296">
        <v>3</v>
      </c>
      <c r="D423" s="1296">
        <v>4</v>
      </c>
      <c r="E423" s="1296">
        <v>5</v>
      </c>
      <c r="F423" s="1295">
        <v>6</v>
      </c>
      <c r="G423" s="1295">
        <v>7</v>
      </c>
      <c r="H423" s="1294" t="s">
        <v>54</v>
      </c>
      <c r="I423" s="1298"/>
    </row>
    <row r="424" spans="1:19" s="2163" customFormat="1" ht="15.75" thickTop="1" x14ac:dyDescent="0.25">
      <c r="A424" s="2177">
        <v>4354</v>
      </c>
      <c r="B424" s="2176">
        <v>5331</v>
      </c>
      <c r="C424" s="2175"/>
      <c r="D424" s="2174" t="s">
        <v>216</v>
      </c>
      <c r="E424" s="2173">
        <f>E425+E426</f>
        <v>600</v>
      </c>
      <c r="F424" s="2173">
        <f>F425+F426+F427</f>
        <v>869</v>
      </c>
      <c r="G424" s="2173">
        <f>G425+G426+G427</f>
        <v>869</v>
      </c>
      <c r="H424" s="2195">
        <f>G424/F424*100</f>
        <v>100</v>
      </c>
    </row>
    <row r="425" spans="1:19" x14ac:dyDescent="0.2">
      <c r="A425" s="2170"/>
      <c r="B425" s="2169"/>
      <c r="C425" s="2191" t="s">
        <v>521</v>
      </c>
      <c r="D425" s="2190" t="s">
        <v>1128</v>
      </c>
      <c r="E425" s="2166">
        <v>297</v>
      </c>
      <c r="F425" s="2166">
        <v>265</v>
      </c>
      <c r="G425" s="2166">
        <v>265</v>
      </c>
      <c r="H425" s="2165">
        <f t="shared" ref="H425:H430" si="13">(G425/F425)*100</f>
        <v>100</v>
      </c>
    </row>
    <row r="426" spans="1:19" x14ac:dyDescent="0.2">
      <c r="A426" s="2170"/>
      <c r="B426" s="2169"/>
      <c r="C426" s="2182" t="s">
        <v>517</v>
      </c>
      <c r="D426" s="2237" t="s">
        <v>984</v>
      </c>
      <c r="E426" s="2166">
        <v>303</v>
      </c>
      <c r="F426" s="2166">
        <v>303</v>
      </c>
      <c r="G426" s="2166">
        <v>303</v>
      </c>
      <c r="H426" s="2165">
        <f t="shared" si="13"/>
        <v>100</v>
      </c>
    </row>
    <row r="427" spans="1:19" x14ac:dyDescent="0.2">
      <c r="A427" s="2170"/>
      <c r="B427" s="2169"/>
      <c r="C427" s="2182" t="s">
        <v>1877</v>
      </c>
      <c r="D427" s="2237" t="s">
        <v>1876</v>
      </c>
      <c r="E427" s="2166"/>
      <c r="F427" s="2166">
        <v>301</v>
      </c>
      <c r="G427" s="2166">
        <v>301</v>
      </c>
      <c r="H427" s="2165">
        <f t="shared" si="13"/>
        <v>100</v>
      </c>
    </row>
    <row r="428" spans="1:19" ht="15" x14ac:dyDescent="0.25">
      <c r="A428" s="2170">
        <v>4399</v>
      </c>
      <c r="B428" s="2169">
        <v>5336</v>
      </c>
      <c r="C428" s="2184"/>
      <c r="D428" s="2183" t="s">
        <v>1740</v>
      </c>
      <c r="E428" s="2180"/>
      <c r="F428" s="2180">
        <v>1303</v>
      </c>
      <c r="G428" s="2180">
        <v>1303</v>
      </c>
      <c r="H428" s="2172">
        <f t="shared" si="13"/>
        <v>100</v>
      </c>
    </row>
    <row r="429" spans="1:19" ht="15.75" thickBot="1" x14ac:dyDescent="0.3">
      <c r="A429" s="2170"/>
      <c r="B429" s="2169"/>
      <c r="C429" s="2182" t="s">
        <v>1623</v>
      </c>
      <c r="D429" s="2181" t="s">
        <v>1635</v>
      </c>
      <c r="E429" s="2180"/>
      <c r="F429" s="2166">
        <v>1303</v>
      </c>
      <c r="G429" s="2166">
        <v>1303</v>
      </c>
      <c r="H429" s="2165">
        <f t="shared" si="13"/>
        <v>100</v>
      </c>
    </row>
    <row r="430" spans="1:19" s="2131" customFormat="1" ht="20.25" customHeight="1" thickTop="1" thickBot="1" x14ac:dyDescent="0.3">
      <c r="A430" s="2162" t="s">
        <v>1000</v>
      </c>
      <c r="B430" s="2161"/>
      <c r="C430" s="2160"/>
      <c r="D430" s="2159"/>
      <c r="E430" s="2158">
        <f>SUM(E424)</f>
        <v>600</v>
      </c>
      <c r="F430" s="2158">
        <f>SUM(F424,F428)</f>
        <v>2172</v>
      </c>
      <c r="G430" s="2158">
        <f>SUM(G424,G428)</f>
        <v>2172</v>
      </c>
      <c r="H430" s="2157">
        <f t="shared" si="13"/>
        <v>100</v>
      </c>
    </row>
    <row r="431" spans="1:19" s="2163" customFormat="1" ht="15.75" thickTop="1" x14ac:dyDescent="0.25">
      <c r="A431" s="2213"/>
      <c r="B431" s="2212"/>
      <c r="C431" s="2211"/>
      <c r="E431" s="2205"/>
      <c r="F431" s="2205"/>
      <c r="G431" s="2205"/>
      <c r="H431" s="2204"/>
      <c r="S431" s="2163">
        <v>0</v>
      </c>
    </row>
    <row r="432" spans="1:19" s="2131" customFormat="1" ht="27.75" customHeight="1" thickBot="1" x14ac:dyDescent="0.3">
      <c r="A432" s="2155" t="s">
        <v>600</v>
      </c>
      <c r="B432" s="2217"/>
      <c r="C432" s="2216"/>
      <c r="D432" s="2215"/>
      <c r="E432" s="2153">
        <f>E430</f>
        <v>600</v>
      </c>
      <c r="F432" s="2153">
        <f>F430</f>
        <v>2172</v>
      </c>
      <c r="G432" s="2153">
        <f>G430</f>
        <v>2172</v>
      </c>
      <c r="H432" s="2152">
        <f>(G432/F432)*100</f>
        <v>100</v>
      </c>
    </row>
    <row r="433" spans="1:9" s="2126" customFormat="1" ht="15.75" customHeight="1" thickTop="1" x14ac:dyDescent="0.25">
      <c r="A433" s="2149"/>
      <c r="B433" s="2210"/>
      <c r="C433" s="2209"/>
      <c r="D433" s="2208"/>
      <c r="E433" s="2140"/>
      <c r="F433" s="2140"/>
      <c r="G433" s="2140"/>
      <c r="H433" s="2139"/>
    </row>
    <row r="434" spans="1:9" s="2126" customFormat="1" ht="15.75" customHeight="1" x14ac:dyDescent="0.25">
      <c r="A434" s="2149"/>
      <c r="B434" s="2210"/>
      <c r="C434" s="2209"/>
      <c r="D434" s="2208"/>
      <c r="E434" s="2140"/>
      <c r="F434" s="2140"/>
      <c r="G434" s="2140"/>
      <c r="H434" s="2139"/>
    </row>
    <row r="435" spans="1:9" s="2126" customFormat="1" ht="15.75" customHeight="1" x14ac:dyDescent="0.25">
      <c r="A435" s="2149"/>
      <c r="B435" s="2210"/>
      <c r="C435" s="2209"/>
      <c r="D435" s="2208"/>
      <c r="E435" s="2140"/>
      <c r="F435" s="2140"/>
      <c r="G435" s="2140"/>
      <c r="H435" s="2139"/>
    </row>
    <row r="436" spans="1:9" s="1465" customFormat="1" ht="15.75" x14ac:dyDescent="0.25">
      <c r="A436" s="2137" t="s">
        <v>376</v>
      </c>
      <c r="B436" s="2218"/>
      <c r="C436" s="2211"/>
      <c r="E436" s="2205" t="s">
        <v>375</v>
      </c>
      <c r="F436" s="2205"/>
      <c r="G436" s="2205"/>
      <c r="H436" s="2204"/>
    </row>
    <row r="437" spans="1:9" ht="15" thickBot="1" x14ac:dyDescent="0.25">
      <c r="A437" s="2156"/>
      <c r="H437" s="2203" t="s">
        <v>148</v>
      </c>
    </row>
    <row r="438" spans="1:9" s="2196" customFormat="1" ht="20.25" customHeight="1" thickTop="1" thickBot="1" x14ac:dyDescent="0.25">
      <c r="A438" s="2202" t="s">
        <v>149</v>
      </c>
      <c r="B438" s="2201" t="s">
        <v>150</v>
      </c>
      <c r="C438" s="2200" t="s">
        <v>639</v>
      </c>
      <c r="D438" s="2199" t="s">
        <v>151</v>
      </c>
      <c r="E438" s="1324" t="s">
        <v>569</v>
      </c>
      <c r="F438" s="1324" t="s">
        <v>570</v>
      </c>
      <c r="G438" s="2198" t="s">
        <v>797</v>
      </c>
      <c r="H438" s="2197" t="s">
        <v>798</v>
      </c>
    </row>
    <row r="439" spans="1:9" s="1292" customFormat="1" ht="13.5" thickTop="1" thickBot="1" x14ac:dyDescent="0.25">
      <c r="A439" s="1297">
        <v>1</v>
      </c>
      <c r="B439" s="1296">
        <v>2</v>
      </c>
      <c r="C439" s="1296">
        <v>3</v>
      </c>
      <c r="D439" s="1296">
        <v>4</v>
      </c>
      <c r="E439" s="1296">
        <v>5</v>
      </c>
      <c r="F439" s="1295">
        <v>6</v>
      </c>
      <c r="G439" s="1295">
        <v>7</v>
      </c>
      <c r="H439" s="1294" t="s">
        <v>54</v>
      </c>
      <c r="I439" s="1298"/>
    </row>
    <row r="440" spans="1:9" s="2163" customFormat="1" ht="15.75" thickTop="1" x14ac:dyDescent="0.25">
      <c r="A440" s="2177">
        <v>4357</v>
      </c>
      <c r="B440" s="2176">
        <v>5331</v>
      </c>
      <c r="C440" s="2175"/>
      <c r="D440" s="2174" t="s">
        <v>216</v>
      </c>
      <c r="E440" s="2173">
        <f>E441+E442</f>
        <v>3273</v>
      </c>
      <c r="F440" s="2173">
        <f>F441+F442</f>
        <v>3628</v>
      </c>
      <c r="G440" s="2173">
        <f>G441+G442</f>
        <v>3628</v>
      </c>
      <c r="H440" s="2195">
        <f>G440/F440*100</f>
        <v>100</v>
      </c>
    </row>
    <row r="441" spans="1:9" x14ac:dyDescent="0.2">
      <c r="A441" s="2170"/>
      <c r="B441" s="2169"/>
      <c r="C441" s="2191" t="s">
        <v>521</v>
      </c>
      <c r="D441" s="2190" t="s">
        <v>1128</v>
      </c>
      <c r="E441" s="2166">
        <v>556</v>
      </c>
      <c r="F441" s="2166">
        <v>546</v>
      </c>
      <c r="G441" s="2166">
        <v>546</v>
      </c>
      <c r="H441" s="2165">
        <f t="shared" ref="H441:H448" si="14">(G441/F441)*100</f>
        <v>100</v>
      </c>
    </row>
    <row r="442" spans="1:9" x14ac:dyDescent="0.2">
      <c r="A442" s="2170"/>
      <c r="B442" s="2169"/>
      <c r="C442" s="2182" t="s">
        <v>517</v>
      </c>
      <c r="D442" s="2188" t="s">
        <v>984</v>
      </c>
      <c r="E442" s="2166">
        <v>2717</v>
      </c>
      <c r="F442" s="2166">
        <v>3082</v>
      </c>
      <c r="G442" s="2166">
        <v>3082</v>
      </c>
      <c r="H442" s="2165">
        <f t="shared" si="14"/>
        <v>100</v>
      </c>
    </row>
    <row r="443" spans="1:9" ht="15" x14ac:dyDescent="0.25">
      <c r="A443" s="2170">
        <v>4357</v>
      </c>
      <c r="B443" s="2169">
        <v>5336</v>
      </c>
      <c r="C443" s="2184"/>
      <c r="D443" s="2183" t="s">
        <v>1740</v>
      </c>
      <c r="E443" s="2180"/>
      <c r="F443" s="2180">
        <f>F445+F444</f>
        <v>297</v>
      </c>
      <c r="G443" s="2180">
        <f>G445+G444</f>
        <v>297</v>
      </c>
      <c r="H443" s="2172">
        <f t="shared" si="14"/>
        <v>100</v>
      </c>
    </row>
    <row r="444" spans="1:9" ht="15" x14ac:dyDescent="0.25">
      <c r="A444" s="2170"/>
      <c r="B444" s="2169"/>
      <c r="C444" s="2182" t="s">
        <v>1210</v>
      </c>
      <c r="D444" s="2187" t="s">
        <v>1211</v>
      </c>
      <c r="E444" s="2180"/>
      <c r="F444" s="2166">
        <v>45</v>
      </c>
      <c r="G444" s="2166">
        <v>45</v>
      </c>
      <c r="H444" s="2165">
        <f t="shared" si="14"/>
        <v>100</v>
      </c>
    </row>
    <row r="445" spans="1:9" x14ac:dyDescent="0.2">
      <c r="A445" s="2170"/>
      <c r="B445" s="2169"/>
      <c r="C445" s="2182" t="s">
        <v>1212</v>
      </c>
      <c r="D445" s="2185" t="s">
        <v>1213</v>
      </c>
      <c r="E445" s="2166"/>
      <c r="F445" s="2166">
        <v>252</v>
      </c>
      <c r="G445" s="2166">
        <v>252</v>
      </c>
      <c r="H445" s="2165">
        <f t="shared" si="14"/>
        <v>100</v>
      </c>
    </row>
    <row r="446" spans="1:9" ht="15" x14ac:dyDescent="0.25">
      <c r="A446" s="2170">
        <v>4399</v>
      </c>
      <c r="B446" s="2169">
        <v>5336</v>
      </c>
      <c r="C446" s="2184"/>
      <c r="D446" s="2183" t="s">
        <v>1740</v>
      </c>
      <c r="E446" s="2180"/>
      <c r="F446" s="2180">
        <v>7342</v>
      </c>
      <c r="G446" s="2180">
        <v>7342</v>
      </c>
      <c r="H446" s="2172">
        <f t="shared" si="14"/>
        <v>100</v>
      </c>
    </row>
    <row r="447" spans="1:9" ht="15.75" thickBot="1" x14ac:dyDescent="0.3">
      <c r="A447" s="2170"/>
      <c r="B447" s="2169"/>
      <c r="C447" s="2182" t="s">
        <v>1623</v>
      </c>
      <c r="D447" s="2181" t="s">
        <v>1635</v>
      </c>
      <c r="E447" s="2180"/>
      <c r="F447" s="2166">
        <v>7342</v>
      </c>
      <c r="G447" s="2166">
        <v>7342</v>
      </c>
      <c r="H447" s="2165">
        <f t="shared" si="14"/>
        <v>100</v>
      </c>
    </row>
    <row r="448" spans="1:9" s="2131" customFormat="1" ht="20.25" customHeight="1" thickTop="1" thickBot="1" x14ac:dyDescent="0.3">
      <c r="A448" s="2162" t="s">
        <v>1000</v>
      </c>
      <c r="B448" s="2161"/>
      <c r="C448" s="2160"/>
      <c r="D448" s="2179"/>
      <c r="E448" s="2158">
        <f>SUM(E440,E446)</f>
        <v>3273</v>
      </c>
      <c r="F448" s="2158">
        <f>SUM(F440,F446,F443)</f>
        <v>11267</v>
      </c>
      <c r="G448" s="2158">
        <f>SUM(G440,G446,G443)</f>
        <v>11267</v>
      </c>
      <c r="H448" s="2157">
        <f t="shared" si="14"/>
        <v>100</v>
      </c>
    </row>
    <row r="449" spans="1:9" s="2163" customFormat="1" ht="15.75" thickTop="1" x14ac:dyDescent="0.25">
      <c r="A449" s="2213"/>
      <c r="B449" s="2212"/>
      <c r="C449" s="2211"/>
      <c r="E449" s="2205"/>
      <c r="F449" s="2205"/>
      <c r="G449" s="2205"/>
      <c r="H449" s="2204"/>
    </row>
    <row r="450" spans="1:9" s="2131" customFormat="1" ht="27.75" customHeight="1" thickBot="1" x14ac:dyDescent="0.3">
      <c r="A450" s="2155" t="s">
        <v>377</v>
      </c>
      <c r="B450" s="2217"/>
      <c r="C450" s="2216"/>
      <c r="D450" s="2215"/>
      <c r="E450" s="2153">
        <f>E448</f>
        <v>3273</v>
      </c>
      <c r="F450" s="2153">
        <f>F448</f>
        <v>11267</v>
      </c>
      <c r="G450" s="2153">
        <f>G448</f>
        <v>11267</v>
      </c>
      <c r="H450" s="2152">
        <f>(G450/F450)*100</f>
        <v>100</v>
      </c>
    </row>
    <row r="451" spans="1:9" s="2126" customFormat="1" ht="15.75" customHeight="1" thickTop="1" x14ac:dyDescent="0.25">
      <c r="A451" s="2149"/>
      <c r="B451" s="2210"/>
      <c r="C451" s="2209"/>
      <c r="D451" s="2208"/>
      <c r="E451" s="2140"/>
      <c r="F451" s="2140"/>
      <c r="G451" s="2140"/>
      <c r="H451" s="2139"/>
    </row>
    <row r="452" spans="1:9" s="2126" customFormat="1" ht="15.75" customHeight="1" x14ac:dyDescent="0.25">
      <c r="A452" s="2149"/>
      <c r="B452" s="2210"/>
      <c r="C452" s="2209"/>
      <c r="D452" s="2208"/>
      <c r="E452" s="2140"/>
      <c r="F452" s="2140"/>
      <c r="G452" s="2140"/>
      <c r="H452" s="2139"/>
    </row>
    <row r="453" spans="1:9" s="2126" customFormat="1" ht="15.75" customHeight="1" x14ac:dyDescent="0.25">
      <c r="A453" s="2149"/>
      <c r="B453" s="2210"/>
      <c r="C453" s="2209"/>
      <c r="D453" s="2208"/>
      <c r="E453" s="2140"/>
      <c r="F453" s="2140"/>
      <c r="G453" s="2140"/>
      <c r="H453" s="2139"/>
    </row>
    <row r="454" spans="1:9" s="1465" customFormat="1" ht="15.75" x14ac:dyDescent="0.25">
      <c r="A454" s="2137" t="s">
        <v>1216</v>
      </c>
      <c r="B454" s="2218"/>
      <c r="C454" s="2211"/>
      <c r="E454" s="2205" t="s">
        <v>378</v>
      </c>
      <c r="F454" s="2205"/>
      <c r="G454" s="2205"/>
      <c r="H454" s="2204"/>
    </row>
    <row r="455" spans="1:9" ht="15" thickBot="1" x14ac:dyDescent="0.25">
      <c r="A455" s="2156"/>
      <c r="H455" s="2203" t="s">
        <v>148</v>
      </c>
    </row>
    <row r="456" spans="1:9" s="2196" customFormat="1" ht="20.25" customHeight="1" thickTop="1" thickBot="1" x14ac:dyDescent="0.25">
      <c r="A456" s="2202" t="s">
        <v>149</v>
      </c>
      <c r="B456" s="2201" t="s">
        <v>150</v>
      </c>
      <c r="C456" s="2200" t="s">
        <v>639</v>
      </c>
      <c r="D456" s="2199" t="s">
        <v>151</v>
      </c>
      <c r="E456" s="1324" t="s">
        <v>569</v>
      </c>
      <c r="F456" s="1324" t="s">
        <v>570</v>
      </c>
      <c r="G456" s="2198" t="s">
        <v>797</v>
      </c>
      <c r="H456" s="2197" t="s">
        <v>798</v>
      </c>
    </row>
    <row r="457" spans="1:9" s="1292" customFormat="1" ht="13.5" thickTop="1" thickBot="1" x14ac:dyDescent="0.25">
      <c r="A457" s="1297">
        <v>1</v>
      </c>
      <c r="B457" s="1296">
        <v>2</v>
      </c>
      <c r="C457" s="1296">
        <v>3</v>
      </c>
      <c r="D457" s="1296">
        <v>4</v>
      </c>
      <c r="E457" s="1296">
        <v>5</v>
      </c>
      <c r="F457" s="1295">
        <v>6</v>
      </c>
      <c r="G457" s="1295">
        <v>7</v>
      </c>
      <c r="H457" s="1294" t="s">
        <v>54</v>
      </c>
      <c r="I457" s="1298"/>
    </row>
    <row r="458" spans="1:9" s="2163" customFormat="1" ht="15.75" thickTop="1" x14ac:dyDescent="0.25">
      <c r="A458" s="2177">
        <v>4356</v>
      </c>
      <c r="B458" s="2176">
        <v>5331</v>
      </c>
      <c r="C458" s="2175"/>
      <c r="D458" s="2174" t="s">
        <v>216</v>
      </c>
      <c r="E458" s="2173">
        <f>E459+E460</f>
        <v>1151</v>
      </c>
      <c r="F458" s="2173">
        <f>F459+F460</f>
        <v>0</v>
      </c>
      <c r="G458" s="2173">
        <f>G459+G460</f>
        <v>0</v>
      </c>
      <c r="H458" s="2195">
        <v>0</v>
      </c>
    </row>
    <row r="459" spans="1:9" x14ac:dyDescent="0.2">
      <c r="A459" s="2170"/>
      <c r="B459" s="2169"/>
      <c r="C459" s="2191" t="s">
        <v>521</v>
      </c>
      <c r="D459" s="2190" t="s">
        <v>1128</v>
      </c>
      <c r="E459" s="2166">
        <v>123</v>
      </c>
      <c r="F459" s="2166">
        <v>0</v>
      </c>
      <c r="G459" s="2166">
        <v>0</v>
      </c>
      <c r="H459" s="2165">
        <v>0</v>
      </c>
    </row>
    <row r="460" spans="1:9" ht="15" thickBot="1" x14ac:dyDescent="0.25">
      <c r="A460" s="2170"/>
      <c r="B460" s="2169"/>
      <c r="C460" s="2182" t="s">
        <v>517</v>
      </c>
      <c r="D460" s="2237" t="s">
        <v>984</v>
      </c>
      <c r="E460" s="2166">
        <v>1028</v>
      </c>
      <c r="F460" s="2166">
        <v>0</v>
      </c>
      <c r="G460" s="2166">
        <v>0</v>
      </c>
      <c r="H460" s="2165">
        <v>0</v>
      </c>
    </row>
    <row r="461" spans="1:9" s="2131" customFormat="1" ht="20.25" customHeight="1" thickTop="1" thickBot="1" x14ac:dyDescent="0.3">
      <c r="A461" s="2162" t="s">
        <v>1000</v>
      </c>
      <c r="B461" s="2161"/>
      <c r="C461" s="2160"/>
      <c r="D461" s="2159"/>
      <c r="E461" s="2158">
        <f>SUM(E458)</f>
        <v>1151</v>
      </c>
      <c r="F461" s="2158">
        <f>F458</f>
        <v>0</v>
      </c>
      <c r="G461" s="2158">
        <f>G458</f>
        <v>0</v>
      </c>
      <c r="H461" s="2157">
        <v>0</v>
      </c>
    </row>
    <row r="462" spans="1:9" s="2163" customFormat="1" ht="15.75" thickTop="1" x14ac:dyDescent="0.25">
      <c r="A462" s="2213"/>
      <c r="B462" s="2212"/>
      <c r="C462" s="2211"/>
      <c r="E462" s="2205"/>
      <c r="F462" s="2205"/>
      <c r="G462" s="2205"/>
      <c r="H462" s="2204"/>
    </row>
    <row r="463" spans="1:9" s="2131" customFormat="1" ht="22.5" customHeight="1" thickBot="1" x14ac:dyDescent="0.3">
      <c r="A463" s="2236" t="s">
        <v>1217</v>
      </c>
      <c r="B463" s="2236"/>
      <c r="C463" s="2236"/>
      <c r="D463" s="2236"/>
      <c r="E463" s="2235">
        <f>SUM(E461)</f>
        <v>1151</v>
      </c>
      <c r="F463" s="2235">
        <f>SUM(F461)</f>
        <v>0</v>
      </c>
      <c r="G463" s="2235">
        <f>SUM(G461)</f>
        <v>0</v>
      </c>
      <c r="H463" s="2234">
        <v>0</v>
      </c>
    </row>
    <row r="464" spans="1:9" s="2126" customFormat="1" ht="12" customHeight="1" thickTop="1" x14ac:dyDescent="0.25">
      <c r="A464" s="2149"/>
      <c r="B464" s="2210"/>
      <c r="C464" s="2219"/>
      <c r="D464" s="2208"/>
      <c r="E464" s="2150"/>
      <c r="F464" s="2150"/>
      <c r="G464" s="2150"/>
      <c r="H464" s="2147"/>
    </row>
    <row r="465" spans="1:19" s="2126" customFormat="1" ht="12.6" customHeight="1" x14ac:dyDescent="0.25">
      <c r="A465" s="2149"/>
      <c r="B465" s="2210"/>
      <c r="C465" s="2219"/>
      <c r="D465" s="2208"/>
      <c r="E465" s="2150"/>
      <c r="F465" s="2150"/>
      <c r="G465" s="2150"/>
      <c r="H465" s="2147"/>
    </row>
    <row r="466" spans="1:19" s="2126" customFormat="1" ht="13.15" customHeight="1" x14ac:dyDescent="0.25">
      <c r="A466" s="2149"/>
      <c r="B466" s="2210"/>
      <c r="C466" s="2219"/>
      <c r="D466" s="2208"/>
      <c r="E466" s="2150"/>
      <c r="F466" s="2150"/>
      <c r="G466" s="2150"/>
      <c r="H466" s="2147"/>
    </row>
    <row r="467" spans="1:19" s="1465" customFormat="1" ht="15.75" x14ac:dyDescent="0.25">
      <c r="A467" s="2137" t="s">
        <v>433</v>
      </c>
      <c r="B467" s="2218"/>
      <c r="C467" s="2211"/>
      <c r="E467" s="2205" t="s">
        <v>379</v>
      </c>
      <c r="F467" s="2205"/>
      <c r="G467" s="2205"/>
      <c r="H467" s="2204"/>
    </row>
    <row r="468" spans="1:19" ht="15" thickBot="1" x14ac:dyDescent="0.25">
      <c r="A468" s="2156"/>
      <c r="H468" s="2203" t="s">
        <v>148</v>
      </c>
    </row>
    <row r="469" spans="1:19" s="2196" customFormat="1" ht="20.25" customHeight="1" thickTop="1" thickBot="1" x14ac:dyDescent="0.25">
      <c r="A469" s="2202" t="s">
        <v>149</v>
      </c>
      <c r="B469" s="2201" t="s">
        <v>150</v>
      </c>
      <c r="C469" s="2200" t="s">
        <v>639</v>
      </c>
      <c r="D469" s="2199" t="s">
        <v>151</v>
      </c>
      <c r="E469" s="1324" t="s">
        <v>569</v>
      </c>
      <c r="F469" s="1324" t="s">
        <v>570</v>
      </c>
      <c r="G469" s="2198" t="s">
        <v>797</v>
      </c>
      <c r="H469" s="2197" t="s">
        <v>798</v>
      </c>
    </row>
    <row r="470" spans="1:19" s="1292" customFormat="1" ht="13.5" thickTop="1" thickBot="1" x14ac:dyDescent="0.25">
      <c r="A470" s="1297">
        <v>1</v>
      </c>
      <c r="B470" s="1296">
        <v>2</v>
      </c>
      <c r="C470" s="1296">
        <v>3</v>
      </c>
      <c r="D470" s="1296">
        <v>4</v>
      </c>
      <c r="E470" s="1296">
        <v>5</v>
      </c>
      <c r="F470" s="1295">
        <v>6</v>
      </c>
      <c r="G470" s="1295">
        <v>7</v>
      </c>
      <c r="H470" s="1294" t="s">
        <v>54</v>
      </c>
      <c r="I470" s="1298"/>
    </row>
    <row r="471" spans="1:19" s="2163" customFormat="1" ht="15.75" thickTop="1" x14ac:dyDescent="0.25">
      <c r="A471" s="2177">
        <v>4350</v>
      </c>
      <c r="B471" s="2176">
        <v>5331</v>
      </c>
      <c r="C471" s="2175"/>
      <c r="D471" s="2174" t="s">
        <v>216</v>
      </c>
      <c r="E471" s="2173">
        <f>E472+E474</f>
        <v>9367</v>
      </c>
      <c r="F471" s="2173">
        <f>F472+F474+F473</f>
        <v>7297</v>
      </c>
      <c r="G471" s="2173">
        <f>G472+G474+G473</f>
        <v>7297</v>
      </c>
      <c r="H471" s="2195">
        <f>G471/F471*100</f>
        <v>100</v>
      </c>
    </row>
    <row r="472" spans="1:19" x14ac:dyDescent="0.2">
      <c r="A472" s="2170"/>
      <c r="B472" s="2169"/>
      <c r="C472" s="2182" t="s">
        <v>521</v>
      </c>
      <c r="D472" s="2190" t="s">
        <v>1128</v>
      </c>
      <c r="E472" s="2214">
        <v>957</v>
      </c>
      <c r="F472" s="2166">
        <v>934</v>
      </c>
      <c r="G472" s="2166">
        <v>934</v>
      </c>
      <c r="H472" s="2165">
        <f t="shared" ref="H472:H479" si="15">(G472/F472)*100</f>
        <v>100</v>
      </c>
    </row>
    <row r="473" spans="1:19" x14ac:dyDescent="0.2">
      <c r="A473" s="2170"/>
      <c r="B473" s="2169"/>
      <c r="C473" s="2168" t="s">
        <v>682</v>
      </c>
      <c r="D473" s="2189" t="s">
        <v>805</v>
      </c>
      <c r="E473" s="2214"/>
      <c r="F473" s="2166">
        <v>39</v>
      </c>
      <c r="G473" s="2166">
        <v>39</v>
      </c>
      <c r="H473" s="2165">
        <f t="shared" si="15"/>
        <v>100</v>
      </c>
    </row>
    <row r="474" spans="1:19" x14ac:dyDescent="0.2">
      <c r="A474" s="2170"/>
      <c r="B474" s="2169"/>
      <c r="C474" s="2182" t="s">
        <v>517</v>
      </c>
      <c r="D474" s="2188" t="s">
        <v>984</v>
      </c>
      <c r="E474" s="2166">
        <v>8410</v>
      </c>
      <c r="F474" s="2166">
        <v>6324</v>
      </c>
      <c r="G474" s="2166">
        <v>6324</v>
      </c>
      <c r="H474" s="2165">
        <f t="shared" si="15"/>
        <v>100</v>
      </c>
    </row>
    <row r="475" spans="1:19" ht="15" x14ac:dyDescent="0.25">
      <c r="A475" s="2170">
        <v>4399</v>
      </c>
      <c r="B475" s="2169">
        <v>5336</v>
      </c>
      <c r="C475" s="2184"/>
      <c r="D475" s="2183" t="s">
        <v>1740</v>
      </c>
      <c r="E475" s="2180"/>
      <c r="F475" s="2180">
        <v>16247</v>
      </c>
      <c r="G475" s="2180">
        <v>16247</v>
      </c>
      <c r="H475" s="2172">
        <f t="shared" si="15"/>
        <v>100</v>
      </c>
    </row>
    <row r="476" spans="1:19" ht="15.75" thickBot="1" x14ac:dyDescent="0.3">
      <c r="A476" s="2170"/>
      <c r="B476" s="2169"/>
      <c r="C476" s="2182" t="s">
        <v>1623</v>
      </c>
      <c r="D476" s="2181" t="s">
        <v>1635</v>
      </c>
      <c r="E476" s="2180"/>
      <c r="F476" s="2166">
        <v>16247</v>
      </c>
      <c r="G476" s="2166">
        <v>16247</v>
      </c>
      <c r="H476" s="2165">
        <f t="shared" si="15"/>
        <v>100</v>
      </c>
    </row>
    <row r="477" spans="1:19" s="2131" customFormat="1" ht="20.25" customHeight="1" thickTop="1" thickBot="1" x14ac:dyDescent="0.3">
      <c r="A477" s="2162" t="s">
        <v>1000</v>
      </c>
      <c r="B477" s="2161"/>
      <c r="C477" s="2160"/>
      <c r="D477" s="2179"/>
      <c r="E477" s="2158">
        <f>E471</f>
        <v>9367</v>
      </c>
      <c r="F477" s="2158">
        <f>SUM(F471,F475)</f>
        <v>23544</v>
      </c>
      <c r="G477" s="2158">
        <f>SUM(G471,G475)</f>
        <v>23544</v>
      </c>
      <c r="H477" s="2157">
        <f t="shared" si="15"/>
        <v>100</v>
      </c>
    </row>
    <row r="478" spans="1:19" s="2163" customFormat="1" ht="15.75" thickTop="1" x14ac:dyDescent="0.25">
      <c r="A478" s="2177">
        <v>4350</v>
      </c>
      <c r="B478" s="2176">
        <v>6351</v>
      </c>
      <c r="C478" s="2175"/>
      <c r="D478" s="2174" t="s">
        <v>1056</v>
      </c>
      <c r="E478" s="2173"/>
      <c r="F478" s="2173">
        <v>360</v>
      </c>
      <c r="G478" s="2173">
        <v>360</v>
      </c>
      <c r="H478" s="2172">
        <f t="shared" si="15"/>
        <v>100</v>
      </c>
      <c r="I478" s="2171"/>
      <c r="J478" s="2171"/>
    </row>
    <row r="479" spans="1:19" ht="15" thickBot="1" x14ac:dyDescent="0.25">
      <c r="A479" s="2170"/>
      <c r="B479" s="2169"/>
      <c r="C479" s="2168" t="s">
        <v>682</v>
      </c>
      <c r="D479" s="2167" t="s">
        <v>805</v>
      </c>
      <c r="E479" s="2166"/>
      <c r="F479" s="2166">
        <v>360</v>
      </c>
      <c r="G479" s="2166">
        <v>360</v>
      </c>
      <c r="H479" s="2165">
        <f t="shared" si="15"/>
        <v>100</v>
      </c>
    </row>
    <row r="480" spans="1:19" s="2131" customFormat="1" ht="20.25" customHeight="1" thickTop="1" thickBot="1" x14ac:dyDescent="0.3">
      <c r="A480" s="2162" t="s">
        <v>1001</v>
      </c>
      <c r="B480" s="2161"/>
      <c r="C480" s="2160"/>
      <c r="D480" s="2159"/>
      <c r="E480" s="2158">
        <f>E478</f>
        <v>0</v>
      </c>
      <c r="F480" s="2158">
        <f>SUM(F478)</f>
        <v>360</v>
      </c>
      <c r="G480" s="2158">
        <f>SUM(G478)</f>
        <v>360</v>
      </c>
      <c r="H480" s="2157">
        <f>SUM(H478)</f>
        <v>100</v>
      </c>
      <c r="S480" s="2131">
        <v>0</v>
      </c>
    </row>
    <row r="481" spans="1:9" s="2131" customFormat="1" ht="22.5" customHeight="1" thickTop="1" thickBot="1" x14ac:dyDescent="0.3">
      <c r="A481" s="2155" t="s">
        <v>434</v>
      </c>
      <c r="B481" s="2217"/>
      <c r="C481" s="2216"/>
      <c r="D481" s="2215"/>
      <c r="E481" s="2153">
        <f>SUM(E477)</f>
        <v>9367</v>
      </c>
      <c r="F481" s="2153">
        <f>SUM(F477,F480)</f>
        <v>23904</v>
      </c>
      <c r="G481" s="2153">
        <f>SUM(G477,G480)</f>
        <v>23904</v>
      </c>
      <c r="H481" s="2152">
        <f>(G481/F481)*100</f>
        <v>100</v>
      </c>
    </row>
    <row r="482" spans="1:9" s="2126" customFormat="1" ht="15" customHeight="1" thickTop="1" x14ac:dyDescent="0.25">
      <c r="A482" s="2149"/>
      <c r="B482" s="2210"/>
      <c r="C482" s="2209"/>
      <c r="D482" s="2208"/>
      <c r="E482" s="2140"/>
      <c r="F482" s="2140"/>
      <c r="G482" s="2140"/>
      <c r="H482" s="2139"/>
    </row>
    <row r="483" spans="1:9" s="2126" customFormat="1" ht="15" customHeight="1" x14ac:dyDescent="0.25">
      <c r="A483" s="2149"/>
      <c r="B483" s="2210"/>
      <c r="C483" s="2209"/>
      <c r="D483" s="2208"/>
      <c r="E483" s="2140"/>
      <c r="F483" s="2140"/>
      <c r="G483" s="2140"/>
      <c r="H483" s="2139"/>
    </row>
    <row r="484" spans="1:9" s="1465" customFormat="1" ht="15.75" x14ac:dyDescent="0.25">
      <c r="A484" s="2137" t="s">
        <v>435</v>
      </c>
      <c r="B484" s="2218"/>
      <c r="C484" s="2211"/>
      <c r="E484" s="2205" t="s">
        <v>380</v>
      </c>
      <c r="F484" s="2205"/>
      <c r="G484" s="2205"/>
      <c r="H484" s="2204"/>
    </row>
    <row r="485" spans="1:9" ht="15" thickBot="1" x14ac:dyDescent="0.25">
      <c r="A485" s="2156"/>
      <c r="H485" s="2203" t="s">
        <v>148</v>
      </c>
    </row>
    <row r="486" spans="1:9" s="2196" customFormat="1" ht="20.25" customHeight="1" thickTop="1" thickBot="1" x14ac:dyDescent="0.25">
      <c r="A486" s="2202" t="s">
        <v>149</v>
      </c>
      <c r="B486" s="2201" t="s">
        <v>150</v>
      </c>
      <c r="C486" s="2200" t="s">
        <v>639</v>
      </c>
      <c r="D486" s="2199" t="s">
        <v>151</v>
      </c>
      <c r="E486" s="1324" t="s">
        <v>569</v>
      </c>
      <c r="F486" s="1324" t="s">
        <v>570</v>
      </c>
      <c r="G486" s="2198" t="s">
        <v>797</v>
      </c>
      <c r="H486" s="2197" t="s">
        <v>798</v>
      </c>
    </row>
    <row r="487" spans="1:9" s="1292" customFormat="1" ht="13.5" thickTop="1" thickBot="1" x14ac:dyDescent="0.25">
      <c r="A487" s="1297">
        <v>1</v>
      </c>
      <c r="B487" s="1296">
        <v>2</v>
      </c>
      <c r="C487" s="1296">
        <v>3</v>
      </c>
      <c r="D487" s="1296">
        <v>4</v>
      </c>
      <c r="E487" s="1296">
        <v>5</v>
      </c>
      <c r="F487" s="1295">
        <v>6</v>
      </c>
      <c r="G487" s="1295">
        <v>7</v>
      </c>
      <c r="H487" s="1294" t="s">
        <v>54</v>
      </c>
      <c r="I487" s="1298"/>
    </row>
    <row r="488" spans="1:9" s="2163" customFormat="1" ht="15.75" thickTop="1" x14ac:dyDescent="0.25">
      <c r="A488" s="2177">
        <v>4350</v>
      </c>
      <c r="B488" s="2176">
        <v>5331</v>
      </c>
      <c r="C488" s="2175"/>
      <c r="D488" s="2174" t="s">
        <v>216</v>
      </c>
      <c r="E488" s="2173">
        <f>E489+E491</f>
        <v>2971</v>
      </c>
      <c r="F488" s="2173">
        <f>F489+F491+F490</f>
        <v>4100</v>
      </c>
      <c r="G488" s="2173">
        <f>G489+G491+G490</f>
        <v>4100</v>
      </c>
      <c r="H488" s="2195">
        <f>G488/F488*100</f>
        <v>100</v>
      </c>
    </row>
    <row r="489" spans="1:9" x14ac:dyDescent="0.2">
      <c r="A489" s="2170"/>
      <c r="B489" s="2169"/>
      <c r="C489" s="2191" t="s">
        <v>521</v>
      </c>
      <c r="D489" s="2190" t="s">
        <v>1128</v>
      </c>
      <c r="E489" s="2166">
        <v>429</v>
      </c>
      <c r="F489" s="2166">
        <v>413</v>
      </c>
      <c r="G489" s="2166">
        <v>413</v>
      </c>
      <c r="H489" s="2165">
        <f t="shared" ref="H489:H494" si="16">(G489/F489)*100</f>
        <v>100</v>
      </c>
    </row>
    <row r="490" spans="1:9" x14ac:dyDescent="0.2">
      <c r="A490" s="2170"/>
      <c r="B490" s="2169"/>
      <c r="C490" s="2168" t="s">
        <v>682</v>
      </c>
      <c r="D490" s="2189" t="s">
        <v>805</v>
      </c>
      <c r="E490" s="2166"/>
      <c r="F490" s="2166">
        <v>465</v>
      </c>
      <c r="G490" s="2166">
        <v>465</v>
      </c>
      <c r="H490" s="2165">
        <f t="shared" si="16"/>
        <v>100</v>
      </c>
    </row>
    <row r="491" spans="1:9" x14ac:dyDescent="0.2">
      <c r="A491" s="2170"/>
      <c r="B491" s="2169"/>
      <c r="C491" s="2182" t="s">
        <v>517</v>
      </c>
      <c r="D491" s="2188" t="s">
        <v>984</v>
      </c>
      <c r="E491" s="2166">
        <v>2542</v>
      </c>
      <c r="F491" s="2166">
        <v>3222</v>
      </c>
      <c r="G491" s="2166">
        <v>3222</v>
      </c>
      <c r="H491" s="2165">
        <f t="shared" si="16"/>
        <v>100</v>
      </c>
    </row>
    <row r="492" spans="1:9" ht="15" x14ac:dyDescent="0.25">
      <c r="A492" s="2170">
        <v>4399</v>
      </c>
      <c r="B492" s="2169">
        <v>5336</v>
      </c>
      <c r="C492" s="2184"/>
      <c r="D492" s="2183" t="s">
        <v>1740</v>
      </c>
      <c r="E492" s="2180"/>
      <c r="F492" s="2180">
        <v>5138</v>
      </c>
      <c r="G492" s="2180">
        <v>5138</v>
      </c>
      <c r="H492" s="2172">
        <f t="shared" si="16"/>
        <v>100</v>
      </c>
    </row>
    <row r="493" spans="1:9" ht="15.75" thickBot="1" x14ac:dyDescent="0.3">
      <c r="A493" s="2170"/>
      <c r="B493" s="2169"/>
      <c r="C493" s="2182" t="s">
        <v>1623</v>
      </c>
      <c r="D493" s="2181" t="s">
        <v>1635</v>
      </c>
      <c r="E493" s="2180"/>
      <c r="F493" s="2166">
        <v>5138</v>
      </c>
      <c r="G493" s="2166">
        <v>5138</v>
      </c>
      <c r="H493" s="2165">
        <f t="shared" si="16"/>
        <v>100</v>
      </c>
    </row>
    <row r="494" spans="1:9" s="2131" customFormat="1" ht="20.25" customHeight="1" thickTop="1" thickBot="1" x14ac:dyDescent="0.3">
      <c r="A494" s="2162" t="s">
        <v>1000</v>
      </c>
      <c r="B494" s="2161"/>
      <c r="C494" s="2160"/>
      <c r="D494" s="2159"/>
      <c r="E494" s="2158">
        <f>SUM(E488)</f>
        <v>2971</v>
      </c>
      <c r="F494" s="2158">
        <f>SUM(F488,F492)</f>
        <v>9238</v>
      </c>
      <c r="G494" s="2158">
        <f>SUM(G488,G492)</f>
        <v>9238</v>
      </c>
      <c r="H494" s="2157">
        <f t="shared" si="16"/>
        <v>100</v>
      </c>
    </row>
    <row r="495" spans="1:9" s="2131" customFormat="1" ht="20.25" customHeight="1" thickTop="1" x14ac:dyDescent="0.25">
      <c r="A495" s="2145"/>
      <c r="B495" s="2144"/>
      <c r="C495" s="2143"/>
      <c r="D495" s="2142"/>
      <c r="E495" s="2221"/>
      <c r="F495" s="2221"/>
      <c r="G495" s="2221"/>
      <c r="H495" s="2220"/>
    </row>
    <row r="496" spans="1:9" s="2131" customFormat="1" ht="22.5" customHeight="1" thickBot="1" x14ac:dyDescent="0.3">
      <c r="A496" s="2155" t="s">
        <v>1202</v>
      </c>
      <c r="B496" s="2217"/>
      <c r="C496" s="2216"/>
      <c r="D496" s="2215"/>
      <c r="E496" s="2153">
        <f>SUM(E494)</f>
        <v>2971</v>
      </c>
      <c r="F496" s="2153">
        <f>SUM(F494)</f>
        <v>9238</v>
      </c>
      <c r="G496" s="2153">
        <f>SUM(G494)</f>
        <v>9238</v>
      </c>
      <c r="H496" s="2152">
        <f>(G496/F496)*100</f>
        <v>100</v>
      </c>
    </row>
    <row r="497" spans="1:9" s="2126" customFormat="1" ht="14.25" customHeight="1" thickTop="1" x14ac:dyDescent="0.25">
      <c r="A497" s="2149"/>
      <c r="B497" s="2210"/>
      <c r="C497" s="2209"/>
      <c r="D497" s="2208"/>
      <c r="E497" s="2140"/>
      <c r="F497" s="2140"/>
      <c r="G497" s="2140"/>
      <c r="H497" s="2139"/>
    </row>
    <row r="498" spans="1:9" s="2126" customFormat="1" ht="14.25" customHeight="1" x14ac:dyDescent="0.25">
      <c r="A498" s="2149"/>
      <c r="B498" s="2210"/>
      <c r="C498" s="2209"/>
      <c r="D498" s="2208"/>
      <c r="E498" s="2140"/>
      <c r="F498" s="2140"/>
      <c r="G498" s="2140"/>
      <c r="H498" s="2139"/>
    </row>
    <row r="499" spans="1:9" s="2126" customFormat="1" ht="14.25" customHeight="1" x14ac:dyDescent="0.25">
      <c r="A499" s="2149"/>
      <c r="B499" s="2210"/>
      <c r="C499" s="2209"/>
      <c r="D499" s="2208"/>
      <c r="E499" s="2140"/>
      <c r="F499" s="2140"/>
      <c r="G499" s="2140"/>
      <c r="H499" s="2139"/>
    </row>
    <row r="500" spans="1:9" s="1465" customFormat="1" ht="15.75" x14ac:dyDescent="0.25">
      <c r="A500" s="2137" t="s">
        <v>4</v>
      </c>
      <c r="B500" s="2218"/>
      <c r="C500" s="2211"/>
      <c r="E500" s="2205" t="s">
        <v>381</v>
      </c>
      <c r="F500" s="2205"/>
      <c r="G500" s="2205"/>
      <c r="H500" s="2204"/>
    </row>
    <row r="501" spans="1:9" ht="15" thickBot="1" x14ac:dyDescent="0.25">
      <c r="A501" s="2156"/>
      <c r="H501" s="2203" t="s">
        <v>148</v>
      </c>
    </row>
    <row r="502" spans="1:9" s="2196" customFormat="1" ht="20.25" customHeight="1" thickTop="1" thickBot="1" x14ac:dyDescent="0.25">
      <c r="A502" s="2202" t="s">
        <v>149</v>
      </c>
      <c r="B502" s="2201" t="s">
        <v>150</v>
      </c>
      <c r="C502" s="2200" t="s">
        <v>639</v>
      </c>
      <c r="D502" s="2199" t="s">
        <v>151</v>
      </c>
      <c r="E502" s="1324" t="s">
        <v>569</v>
      </c>
      <c r="F502" s="1324" t="s">
        <v>570</v>
      </c>
      <c r="G502" s="2198" t="s">
        <v>797</v>
      </c>
      <c r="H502" s="2197" t="s">
        <v>798</v>
      </c>
    </row>
    <row r="503" spans="1:9" s="1292" customFormat="1" ht="13.5" thickTop="1" thickBot="1" x14ac:dyDescent="0.25">
      <c r="A503" s="1297">
        <v>1</v>
      </c>
      <c r="B503" s="1296">
        <v>2</v>
      </c>
      <c r="C503" s="1296">
        <v>3</v>
      </c>
      <c r="D503" s="1296">
        <v>4</v>
      </c>
      <c r="E503" s="1296">
        <v>5</v>
      </c>
      <c r="F503" s="1295">
        <v>6</v>
      </c>
      <c r="G503" s="1295">
        <v>7</v>
      </c>
      <c r="H503" s="1294" t="s">
        <v>54</v>
      </c>
      <c r="I503" s="1298"/>
    </row>
    <row r="504" spans="1:9" s="2163" customFormat="1" ht="15.75" thickTop="1" x14ac:dyDescent="0.25">
      <c r="A504" s="2177">
        <v>4357</v>
      </c>
      <c r="B504" s="2176">
        <v>5331</v>
      </c>
      <c r="C504" s="2175"/>
      <c r="D504" s="2174" t="s">
        <v>216</v>
      </c>
      <c r="E504" s="2173">
        <f>E505+E507+E506</f>
        <v>5614</v>
      </c>
      <c r="F504" s="2173">
        <f>F505+F507+F506</f>
        <v>3850</v>
      </c>
      <c r="G504" s="2173">
        <f>G505+G507+G506</f>
        <v>3850</v>
      </c>
      <c r="H504" s="2195">
        <f>G504/F504*100</f>
        <v>100</v>
      </c>
    </row>
    <row r="505" spans="1:9" x14ac:dyDescent="0.2">
      <c r="A505" s="2170"/>
      <c r="B505" s="2169"/>
      <c r="C505" s="2191" t="s">
        <v>521</v>
      </c>
      <c r="D505" s="2190" t="s">
        <v>1128</v>
      </c>
      <c r="E505" s="2166">
        <v>1099</v>
      </c>
      <c r="F505" s="2166">
        <v>1135</v>
      </c>
      <c r="G505" s="2166">
        <v>1135</v>
      </c>
      <c r="H505" s="2165">
        <f t="shared" ref="H505:H510" si="17">(G505/F505)*100</f>
        <v>100</v>
      </c>
    </row>
    <row r="506" spans="1:9" x14ac:dyDescent="0.2">
      <c r="A506" s="2170"/>
      <c r="B506" s="2169"/>
      <c r="C506" s="2168" t="s">
        <v>682</v>
      </c>
      <c r="D506" s="2189" t="s">
        <v>805</v>
      </c>
      <c r="E506" s="2166"/>
      <c r="F506" s="2166">
        <v>180</v>
      </c>
      <c r="G506" s="2166">
        <v>180</v>
      </c>
      <c r="H506" s="2165">
        <f t="shared" si="17"/>
        <v>100</v>
      </c>
    </row>
    <row r="507" spans="1:9" x14ac:dyDescent="0.2">
      <c r="A507" s="2170"/>
      <c r="B507" s="2169"/>
      <c r="C507" s="2182" t="s">
        <v>517</v>
      </c>
      <c r="D507" s="2188" t="s">
        <v>984</v>
      </c>
      <c r="E507" s="2214">
        <v>4515</v>
      </c>
      <c r="F507" s="2166">
        <v>2535</v>
      </c>
      <c r="G507" s="2166">
        <v>2535</v>
      </c>
      <c r="H507" s="2165">
        <f t="shared" si="17"/>
        <v>100</v>
      </c>
    </row>
    <row r="508" spans="1:9" ht="15" x14ac:dyDescent="0.25">
      <c r="A508" s="2170">
        <v>4399</v>
      </c>
      <c r="B508" s="2169">
        <v>5336</v>
      </c>
      <c r="C508" s="2184"/>
      <c r="D508" s="2183" t="s">
        <v>1740</v>
      </c>
      <c r="E508" s="2180"/>
      <c r="F508" s="2180">
        <v>13237</v>
      </c>
      <c r="G508" s="2180">
        <v>13237</v>
      </c>
      <c r="H508" s="2172">
        <f t="shared" si="17"/>
        <v>100</v>
      </c>
    </row>
    <row r="509" spans="1:9" ht="15.75" thickBot="1" x14ac:dyDescent="0.3">
      <c r="A509" s="2170"/>
      <c r="B509" s="2169"/>
      <c r="C509" s="2182" t="s">
        <v>1623</v>
      </c>
      <c r="D509" s="2181" t="s">
        <v>1635</v>
      </c>
      <c r="E509" s="2180"/>
      <c r="F509" s="2166">
        <v>13237</v>
      </c>
      <c r="G509" s="2166">
        <v>13237</v>
      </c>
      <c r="H509" s="2165">
        <f t="shared" si="17"/>
        <v>100</v>
      </c>
    </row>
    <row r="510" spans="1:9" s="2131" customFormat="1" ht="20.25" customHeight="1" thickTop="1" thickBot="1" x14ac:dyDescent="0.3">
      <c r="A510" s="2162" t="s">
        <v>1000</v>
      </c>
      <c r="B510" s="2161"/>
      <c r="C510" s="2160"/>
      <c r="D510" s="2159"/>
      <c r="E510" s="2158">
        <f>SUM(E504)</f>
        <v>5614</v>
      </c>
      <c r="F510" s="2158">
        <f>SUM(F504,F508)</f>
        <v>17087</v>
      </c>
      <c r="G510" s="2158">
        <f>SUM(G504,G508)</f>
        <v>17087</v>
      </c>
      <c r="H510" s="2157">
        <f t="shared" si="17"/>
        <v>100</v>
      </c>
    </row>
    <row r="511" spans="1:9" s="2163" customFormat="1" ht="15.75" thickTop="1" x14ac:dyDescent="0.25">
      <c r="A511" s="2213"/>
      <c r="B511" s="2212"/>
      <c r="C511" s="2211"/>
      <c r="E511" s="2205"/>
      <c r="F511" s="2205"/>
      <c r="G511" s="2205"/>
      <c r="H511" s="2204"/>
    </row>
    <row r="512" spans="1:9" s="2131" customFormat="1" ht="27.75" customHeight="1" thickBot="1" x14ac:dyDescent="0.3">
      <c r="A512" s="2155" t="s">
        <v>6</v>
      </c>
      <c r="B512" s="2217"/>
      <c r="C512" s="2216"/>
      <c r="D512" s="2215"/>
      <c r="E512" s="2153">
        <f>SUM(E510)</f>
        <v>5614</v>
      </c>
      <c r="F512" s="2153">
        <f>SUM(F510)</f>
        <v>17087</v>
      </c>
      <c r="G512" s="2153">
        <f>SUM(G510)</f>
        <v>17087</v>
      </c>
      <c r="H512" s="2152">
        <f>(G512/F512)*100</f>
        <v>100</v>
      </c>
    </row>
    <row r="513" spans="1:9" s="2126" customFormat="1" ht="15" customHeight="1" thickTop="1" x14ac:dyDescent="0.25">
      <c r="A513" s="2149"/>
      <c r="B513" s="2210"/>
      <c r="C513" s="2209"/>
      <c r="D513" s="2208"/>
      <c r="E513" s="2140"/>
      <c r="F513" s="2140"/>
      <c r="G513" s="2140"/>
      <c r="H513" s="2139"/>
    </row>
    <row r="514" spans="1:9" s="2126" customFormat="1" ht="15" customHeight="1" x14ac:dyDescent="0.25">
      <c r="A514" s="2149"/>
      <c r="B514" s="2210"/>
      <c r="C514" s="2209"/>
      <c r="D514" s="2208"/>
      <c r="E514" s="2140"/>
      <c r="F514" s="2140"/>
      <c r="G514" s="2140"/>
      <c r="H514" s="2139"/>
    </row>
    <row r="515" spans="1:9" s="1465" customFormat="1" ht="15.75" x14ac:dyDescent="0.25">
      <c r="A515" s="2137" t="s">
        <v>934</v>
      </c>
      <c r="B515" s="2218"/>
      <c r="C515" s="2211"/>
      <c r="E515" s="2205" t="s">
        <v>382</v>
      </c>
      <c r="F515" s="2205"/>
      <c r="G515" s="2205"/>
      <c r="H515" s="2204"/>
    </row>
    <row r="516" spans="1:9" ht="15" thickBot="1" x14ac:dyDescent="0.25">
      <c r="A516" s="2156"/>
      <c r="H516" s="2203" t="s">
        <v>148</v>
      </c>
    </row>
    <row r="517" spans="1:9" s="2196" customFormat="1" ht="20.25" customHeight="1" thickTop="1" thickBot="1" x14ac:dyDescent="0.25">
      <c r="A517" s="2202" t="s">
        <v>149</v>
      </c>
      <c r="B517" s="2201" t="s">
        <v>150</v>
      </c>
      <c r="C517" s="2200" t="s">
        <v>639</v>
      </c>
      <c r="D517" s="2199" t="s">
        <v>151</v>
      </c>
      <c r="E517" s="1324" t="s">
        <v>569</v>
      </c>
      <c r="F517" s="1324" t="s">
        <v>570</v>
      </c>
      <c r="G517" s="2198" t="s">
        <v>797</v>
      </c>
      <c r="H517" s="2197" t="s">
        <v>798</v>
      </c>
    </row>
    <row r="518" spans="1:9" s="1292" customFormat="1" ht="13.5" thickTop="1" thickBot="1" x14ac:dyDescent="0.25">
      <c r="A518" s="1297">
        <v>1</v>
      </c>
      <c r="B518" s="1296">
        <v>2</v>
      </c>
      <c r="C518" s="1296">
        <v>3</v>
      </c>
      <c r="D518" s="1296">
        <v>4</v>
      </c>
      <c r="E518" s="1296">
        <v>5</v>
      </c>
      <c r="F518" s="1295">
        <v>6</v>
      </c>
      <c r="G518" s="1295">
        <v>7</v>
      </c>
      <c r="H518" s="1294" t="s">
        <v>54</v>
      </c>
      <c r="I518" s="1298"/>
    </row>
    <row r="519" spans="1:9" s="2163" customFormat="1" ht="15.75" thickTop="1" x14ac:dyDescent="0.25">
      <c r="A519" s="2177">
        <v>4351</v>
      </c>
      <c r="B519" s="2176">
        <v>5331</v>
      </c>
      <c r="C519" s="2175"/>
      <c r="D519" s="2174" t="s">
        <v>216</v>
      </c>
      <c r="E519" s="2173">
        <f>E520+E521</f>
        <v>1729</v>
      </c>
      <c r="F519" s="2173">
        <f>F520+F521</f>
        <v>0</v>
      </c>
      <c r="G519" s="2173">
        <f>G520+G521</f>
        <v>0</v>
      </c>
      <c r="H519" s="2195">
        <v>0</v>
      </c>
    </row>
    <row r="520" spans="1:9" x14ac:dyDescent="0.2">
      <c r="A520" s="2170"/>
      <c r="B520" s="2169"/>
      <c r="C520" s="2191" t="s">
        <v>521</v>
      </c>
      <c r="D520" s="2190" t="s">
        <v>1128</v>
      </c>
      <c r="E520" s="2166">
        <v>319</v>
      </c>
      <c r="F520" s="2166">
        <v>0</v>
      </c>
      <c r="G520" s="2166">
        <v>0</v>
      </c>
      <c r="H520" s="2165">
        <v>0</v>
      </c>
    </row>
    <row r="521" spans="1:9" ht="15" thickBot="1" x14ac:dyDescent="0.25">
      <c r="A521" s="2170"/>
      <c r="B521" s="2169"/>
      <c r="C521" s="2182" t="s">
        <v>517</v>
      </c>
      <c r="D521" s="2181" t="s">
        <v>984</v>
      </c>
      <c r="E521" s="2166">
        <v>1410</v>
      </c>
      <c r="F521" s="2166">
        <v>0</v>
      </c>
      <c r="G521" s="2166">
        <v>0</v>
      </c>
      <c r="H521" s="2165">
        <v>0</v>
      </c>
    </row>
    <row r="522" spans="1:9" s="2131" customFormat="1" ht="20.25" customHeight="1" thickTop="1" thickBot="1" x14ac:dyDescent="0.3">
      <c r="A522" s="2162" t="s">
        <v>1000</v>
      </c>
      <c r="B522" s="2161"/>
      <c r="C522" s="2160"/>
      <c r="D522" s="2179"/>
      <c r="E522" s="2158">
        <f>SUM(E519)</f>
        <v>1729</v>
      </c>
      <c r="F522" s="2158">
        <f>SUM(F519)</f>
        <v>0</v>
      </c>
      <c r="G522" s="2158">
        <f>SUM(G519)</f>
        <v>0</v>
      </c>
      <c r="H522" s="2157">
        <v>0</v>
      </c>
    </row>
    <row r="523" spans="1:9" s="2126" customFormat="1" ht="20.25" customHeight="1" thickTop="1" x14ac:dyDescent="0.25">
      <c r="A523" s="2149"/>
      <c r="B523" s="2210"/>
      <c r="C523" s="2219"/>
      <c r="D523" s="2208"/>
      <c r="E523" s="2150"/>
      <c r="F523" s="2150"/>
      <c r="G523" s="2150"/>
      <c r="H523" s="2147"/>
    </row>
    <row r="524" spans="1:9" s="2131" customFormat="1" ht="27.75" customHeight="1" thickBot="1" x14ac:dyDescent="0.3">
      <c r="A524" s="2155" t="s">
        <v>1203</v>
      </c>
      <c r="B524" s="2217"/>
      <c r="C524" s="2216"/>
      <c r="D524" s="2215"/>
      <c r="E524" s="2153">
        <f>SUM(E522)</f>
        <v>1729</v>
      </c>
      <c r="F524" s="2153">
        <f>SUM(F522)</f>
        <v>0</v>
      </c>
      <c r="G524" s="2153">
        <f>SUM(G522)</f>
        <v>0</v>
      </c>
      <c r="H524" s="2152">
        <v>0</v>
      </c>
    </row>
    <row r="525" spans="1:9" s="2126" customFormat="1" ht="16.5" customHeight="1" thickTop="1" x14ac:dyDescent="0.25">
      <c r="A525" s="2149"/>
      <c r="B525" s="2210"/>
      <c r="C525" s="2219"/>
      <c r="D525" s="2208"/>
      <c r="E525" s="2150"/>
      <c r="F525" s="2150"/>
      <c r="G525" s="2150"/>
      <c r="H525" s="2147"/>
    </row>
    <row r="526" spans="1:9" s="2126" customFormat="1" ht="15" customHeight="1" x14ac:dyDescent="0.25">
      <c r="A526" s="2149"/>
      <c r="B526" s="2210"/>
      <c r="C526" s="2219"/>
      <c r="D526" s="2208"/>
      <c r="E526" s="2150"/>
      <c r="F526" s="2150"/>
      <c r="G526" s="2150"/>
      <c r="H526" s="2147"/>
    </row>
    <row r="527" spans="1:9" s="1465" customFormat="1" ht="15.75" x14ac:dyDescent="0.25">
      <c r="A527" s="2137" t="s">
        <v>1107</v>
      </c>
      <c r="B527" s="2218"/>
      <c r="C527" s="2211"/>
      <c r="E527" s="2205" t="s">
        <v>383</v>
      </c>
      <c r="F527" s="2205"/>
      <c r="G527" s="2205"/>
      <c r="H527" s="2204"/>
    </row>
    <row r="528" spans="1:9" ht="15" thickBot="1" x14ac:dyDescent="0.25">
      <c r="A528" s="2156"/>
      <c r="H528" s="2203" t="s">
        <v>148</v>
      </c>
    </row>
    <row r="529" spans="1:19" s="2196" customFormat="1" ht="20.25" customHeight="1" thickTop="1" thickBot="1" x14ac:dyDescent="0.25">
      <c r="A529" s="2202" t="s">
        <v>149</v>
      </c>
      <c r="B529" s="2201" t="s">
        <v>150</v>
      </c>
      <c r="C529" s="2200" t="s">
        <v>639</v>
      </c>
      <c r="D529" s="2199" t="s">
        <v>151</v>
      </c>
      <c r="E529" s="1324" t="s">
        <v>569</v>
      </c>
      <c r="F529" s="1324" t="s">
        <v>570</v>
      </c>
      <c r="G529" s="2198" t="s">
        <v>797</v>
      </c>
      <c r="H529" s="2197" t="s">
        <v>798</v>
      </c>
    </row>
    <row r="530" spans="1:19" s="1292" customFormat="1" ht="13.5" thickTop="1" thickBot="1" x14ac:dyDescent="0.25">
      <c r="A530" s="1297">
        <v>1</v>
      </c>
      <c r="B530" s="1296">
        <v>2</v>
      </c>
      <c r="C530" s="1296">
        <v>3</v>
      </c>
      <c r="D530" s="1296">
        <v>4</v>
      </c>
      <c r="E530" s="1296">
        <v>5</v>
      </c>
      <c r="F530" s="1295">
        <v>6</v>
      </c>
      <c r="G530" s="1295">
        <v>7</v>
      </c>
      <c r="H530" s="1294" t="s">
        <v>54</v>
      </c>
      <c r="I530" s="1298"/>
    </row>
    <row r="531" spans="1:19" s="2163" customFormat="1" ht="15.75" thickTop="1" x14ac:dyDescent="0.25">
      <c r="A531" s="2177">
        <v>4350</v>
      </c>
      <c r="B531" s="2176">
        <v>5331</v>
      </c>
      <c r="C531" s="2175"/>
      <c r="D531" s="2174" t="s">
        <v>216</v>
      </c>
      <c r="E531" s="2173">
        <f>E532+E534</f>
        <v>16167</v>
      </c>
      <c r="F531" s="2173">
        <f>F532+F534+F533</f>
        <v>27269</v>
      </c>
      <c r="G531" s="2173">
        <f>G532+G534+G533</f>
        <v>27269</v>
      </c>
      <c r="H531" s="2195">
        <f>G531/F531*100</f>
        <v>100</v>
      </c>
    </row>
    <row r="532" spans="1:19" x14ac:dyDescent="0.2">
      <c r="A532" s="2170"/>
      <c r="B532" s="2169"/>
      <c r="C532" s="2191" t="s">
        <v>521</v>
      </c>
      <c r="D532" s="2190" t="s">
        <v>1128</v>
      </c>
      <c r="E532" s="2166">
        <v>5124</v>
      </c>
      <c r="F532" s="2166">
        <v>5421</v>
      </c>
      <c r="G532" s="2166">
        <v>5421</v>
      </c>
      <c r="H532" s="2165">
        <f t="shared" ref="H532:H539" si="18">(G532/F532)*100</f>
        <v>100</v>
      </c>
    </row>
    <row r="533" spans="1:19" x14ac:dyDescent="0.2">
      <c r="A533" s="2170"/>
      <c r="B533" s="2169"/>
      <c r="C533" s="2168" t="s">
        <v>682</v>
      </c>
      <c r="D533" s="2189" t="s">
        <v>805</v>
      </c>
      <c r="E533" s="2166"/>
      <c r="F533" s="2214">
        <v>150</v>
      </c>
      <c r="G533" s="2166">
        <v>150</v>
      </c>
      <c r="H533" s="2165">
        <f t="shared" si="18"/>
        <v>100</v>
      </c>
    </row>
    <row r="534" spans="1:19" x14ac:dyDescent="0.2">
      <c r="A534" s="2170"/>
      <c r="B534" s="2169"/>
      <c r="C534" s="2182" t="s">
        <v>517</v>
      </c>
      <c r="D534" s="2188" t="s">
        <v>984</v>
      </c>
      <c r="E534" s="2166">
        <v>11043</v>
      </c>
      <c r="F534" s="2214">
        <v>21698</v>
      </c>
      <c r="G534" s="2166">
        <v>21698</v>
      </c>
      <c r="H534" s="2165">
        <f t="shared" si="18"/>
        <v>100</v>
      </c>
    </row>
    <row r="535" spans="1:19" ht="15" x14ac:dyDescent="0.25">
      <c r="A535" s="2170">
        <v>4399</v>
      </c>
      <c r="B535" s="2169">
        <v>5336</v>
      </c>
      <c r="C535" s="2184"/>
      <c r="D535" s="2183" t="s">
        <v>1740</v>
      </c>
      <c r="E535" s="2180"/>
      <c r="F535" s="2180">
        <v>26294</v>
      </c>
      <c r="G535" s="2180">
        <v>26294</v>
      </c>
      <c r="H535" s="2172">
        <f t="shared" si="18"/>
        <v>100</v>
      </c>
    </row>
    <row r="536" spans="1:19" ht="15.75" thickBot="1" x14ac:dyDescent="0.3">
      <c r="A536" s="2170"/>
      <c r="B536" s="2169"/>
      <c r="C536" s="2182" t="s">
        <v>1623</v>
      </c>
      <c r="D536" s="2181" t="s">
        <v>1635</v>
      </c>
      <c r="E536" s="2180"/>
      <c r="F536" s="2166">
        <v>26294</v>
      </c>
      <c r="G536" s="2166">
        <v>26294</v>
      </c>
      <c r="H536" s="2165">
        <f t="shared" si="18"/>
        <v>100</v>
      </c>
    </row>
    <row r="537" spans="1:19" s="2131" customFormat="1" ht="20.25" customHeight="1" thickTop="1" thickBot="1" x14ac:dyDescent="0.3">
      <c r="A537" s="2162" t="s">
        <v>1000</v>
      </c>
      <c r="B537" s="2161"/>
      <c r="C537" s="2160"/>
      <c r="D537" s="2179"/>
      <c r="E537" s="2158">
        <f>SUM(E531)</f>
        <v>16167</v>
      </c>
      <c r="F537" s="2158">
        <f>SUM(F531,F535)</f>
        <v>53563</v>
      </c>
      <c r="G537" s="2158">
        <f>SUM(G531,G535)</f>
        <v>53563</v>
      </c>
      <c r="H537" s="2157">
        <f t="shared" si="18"/>
        <v>100</v>
      </c>
    </row>
    <row r="538" spans="1:19" s="2163" customFormat="1" ht="15.75" thickTop="1" x14ac:dyDescent="0.25">
      <c r="A538" s="2177">
        <v>4350</v>
      </c>
      <c r="B538" s="2176">
        <v>6351</v>
      </c>
      <c r="C538" s="2175"/>
      <c r="D538" s="2174" t="s">
        <v>1056</v>
      </c>
      <c r="E538" s="2173"/>
      <c r="F538" s="2173">
        <v>750</v>
      </c>
      <c r="G538" s="2173">
        <v>750</v>
      </c>
      <c r="H538" s="2172">
        <f t="shared" si="18"/>
        <v>100</v>
      </c>
      <c r="I538" s="2171"/>
      <c r="J538" s="2171"/>
    </row>
    <row r="539" spans="1:19" ht="15" thickBot="1" x14ac:dyDescent="0.25">
      <c r="A539" s="2170"/>
      <c r="B539" s="2169"/>
      <c r="C539" s="2168" t="s">
        <v>682</v>
      </c>
      <c r="D539" s="2167" t="s">
        <v>805</v>
      </c>
      <c r="E539" s="2166"/>
      <c r="F539" s="2166">
        <v>750</v>
      </c>
      <c r="G539" s="2166">
        <v>750</v>
      </c>
      <c r="H539" s="2165">
        <f t="shared" si="18"/>
        <v>100</v>
      </c>
    </row>
    <row r="540" spans="1:19" s="2131" customFormat="1" ht="20.25" customHeight="1" thickTop="1" thickBot="1" x14ac:dyDescent="0.3">
      <c r="A540" s="2162" t="s">
        <v>1001</v>
      </c>
      <c r="B540" s="2161"/>
      <c r="C540" s="2160"/>
      <c r="D540" s="2159"/>
      <c r="E540" s="2158">
        <f>E538</f>
        <v>0</v>
      </c>
      <c r="F540" s="2158">
        <f>SUM(F538)</f>
        <v>750</v>
      </c>
      <c r="G540" s="2158">
        <f>SUM(G538)</f>
        <v>750</v>
      </c>
      <c r="H540" s="2157">
        <f>SUM(H538)</f>
        <v>100</v>
      </c>
      <c r="S540" s="2131">
        <v>0</v>
      </c>
    </row>
    <row r="541" spans="1:19" s="2131" customFormat="1" ht="20.25" customHeight="1" thickTop="1" x14ac:dyDescent="0.25">
      <c r="A541" s="2145"/>
      <c r="B541" s="2144"/>
      <c r="C541" s="2143"/>
      <c r="D541" s="2142"/>
      <c r="E541" s="2221"/>
      <c r="F541" s="2221"/>
      <c r="G541" s="2221"/>
      <c r="H541" s="2220"/>
    </row>
    <row r="542" spans="1:19" s="2131" customFormat="1" ht="27.75" customHeight="1" thickBot="1" x14ac:dyDescent="0.3">
      <c r="A542" s="2155" t="s">
        <v>1108</v>
      </c>
      <c r="B542" s="2217"/>
      <c r="C542" s="2216"/>
      <c r="D542" s="2215"/>
      <c r="E542" s="2153">
        <f>SUM(E537)</f>
        <v>16167</v>
      </c>
      <c r="F542" s="2153">
        <f>SUM(F537,F540)</f>
        <v>54313</v>
      </c>
      <c r="G542" s="2153">
        <f>SUM(G537,G540)</f>
        <v>54313</v>
      </c>
      <c r="H542" s="2152">
        <f>(G542/F542)*100</f>
        <v>100</v>
      </c>
    </row>
    <row r="543" spans="1:19" s="2126" customFormat="1" ht="14.25" customHeight="1" thickTop="1" x14ac:dyDescent="0.25">
      <c r="A543" s="2149"/>
      <c r="B543" s="2210"/>
      <c r="C543" s="2209"/>
      <c r="D543" s="2208"/>
      <c r="E543" s="2140"/>
      <c r="F543" s="2140"/>
      <c r="G543" s="2140"/>
      <c r="H543" s="2139"/>
    </row>
    <row r="544" spans="1:19" s="2126" customFormat="1" ht="14.25" customHeight="1" x14ac:dyDescent="0.25">
      <c r="A544" s="2149"/>
      <c r="B544" s="2210"/>
      <c r="C544" s="2209"/>
      <c r="D544" s="2208"/>
      <c r="E544" s="2140"/>
      <c r="F544" s="2140"/>
      <c r="G544" s="2140"/>
      <c r="H544" s="2139"/>
    </row>
    <row r="545" spans="1:9" s="1465" customFormat="1" ht="15.75" x14ac:dyDescent="0.25">
      <c r="A545" s="2137" t="s">
        <v>351</v>
      </c>
      <c r="B545" s="2218"/>
      <c r="C545" s="2211"/>
      <c r="E545" s="2205" t="s">
        <v>384</v>
      </c>
      <c r="F545" s="2205"/>
      <c r="G545" s="2205"/>
      <c r="H545" s="2204"/>
    </row>
    <row r="546" spans="1:9" ht="15" thickBot="1" x14ac:dyDescent="0.25">
      <c r="A546" s="2156"/>
      <c r="H546" s="2203" t="s">
        <v>148</v>
      </c>
    </row>
    <row r="547" spans="1:9" s="2196" customFormat="1" ht="20.25" customHeight="1" thickTop="1" thickBot="1" x14ac:dyDescent="0.25">
      <c r="A547" s="2202" t="s">
        <v>149</v>
      </c>
      <c r="B547" s="2201" t="s">
        <v>150</v>
      </c>
      <c r="C547" s="2200" t="s">
        <v>639</v>
      </c>
      <c r="D547" s="2199" t="s">
        <v>151</v>
      </c>
      <c r="E547" s="1324" t="s">
        <v>569</v>
      </c>
      <c r="F547" s="1324" t="s">
        <v>570</v>
      </c>
      <c r="G547" s="2198" t="s">
        <v>797</v>
      </c>
      <c r="H547" s="2197" t="s">
        <v>798</v>
      </c>
    </row>
    <row r="548" spans="1:9" s="1292" customFormat="1" ht="13.5" thickTop="1" thickBot="1" x14ac:dyDescent="0.25">
      <c r="A548" s="1297">
        <v>1</v>
      </c>
      <c r="B548" s="1296">
        <v>2</v>
      </c>
      <c r="C548" s="1296">
        <v>3</v>
      </c>
      <c r="D548" s="1296">
        <v>4</v>
      </c>
      <c r="E548" s="1296">
        <v>5</v>
      </c>
      <c r="F548" s="1295">
        <v>6</v>
      </c>
      <c r="G548" s="1295">
        <v>7</v>
      </c>
      <c r="H548" s="1294" t="s">
        <v>54</v>
      </c>
      <c r="I548" s="1298"/>
    </row>
    <row r="549" spans="1:9" s="2163" customFormat="1" ht="15.75" thickTop="1" x14ac:dyDescent="0.25">
      <c r="A549" s="2177">
        <v>4357</v>
      </c>
      <c r="B549" s="2176">
        <v>5331</v>
      </c>
      <c r="C549" s="2175"/>
      <c r="D549" s="2174" t="s">
        <v>216</v>
      </c>
      <c r="E549" s="2173">
        <f>E550+E552</f>
        <v>6639</v>
      </c>
      <c r="F549" s="2173">
        <f>F550+F552+F551</f>
        <v>3861</v>
      </c>
      <c r="G549" s="2173">
        <f>G550+G552+G551</f>
        <v>3861</v>
      </c>
      <c r="H549" s="2195">
        <f>G549/F549*100</f>
        <v>100</v>
      </c>
    </row>
    <row r="550" spans="1:9" x14ac:dyDescent="0.2">
      <c r="A550" s="2170"/>
      <c r="B550" s="2169"/>
      <c r="C550" s="2191" t="s">
        <v>521</v>
      </c>
      <c r="D550" s="2190" t="s">
        <v>1128</v>
      </c>
      <c r="E550" s="2166">
        <v>3764</v>
      </c>
      <c r="F550" s="2166">
        <v>3781</v>
      </c>
      <c r="G550" s="2166">
        <v>3781</v>
      </c>
      <c r="H550" s="2165">
        <f>(G550/F550)*100</f>
        <v>100</v>
      </c>
    </row>
    <row r="551" spans="1:9" x14ac:dyDescent="0.2">
      <c r="A551" s="2170"/>
      <c r="B551" s="2169"/>
      <c r="C551" s="2168" t="s">
        <v>682</v>
      </c>
      <c r="D551" s="2189" t="s">
        <v>805</v>
      </c>
      <c r="E551" s="2166"/>
      <c r="F551" s="2166">
        <v>80</v>
      </c>
      <c r="G551" s="2166">
        <v>80</v>
      </c>
      <c r="H551" s="2165">
        <f>(G551/F551)*100</f>
        <v>100</v>
      </c>
    </row>
    <row r="552" spans="1:9" x14ac:dyDescent="0.2">
      <c r="A552" s="2170"/>
      <c r="B552" s="2169"/>
      <c r="C552" s="2182" t="s">
        <v>517</v>
      </c>
      <c r="D552" s="2188" t="s">
        <v>984</v>
      </c>
      <c r="E552" s="2166">
        <v>2875</v>
      </c>
      <c r="F552" s="2166">
        <v>0</v>
      </c>
      <c r="G552" s="2166">
        <v>0</v>
      </c>
      <c r="H552" s="2165">
        <v>0</v>
      </c>
    </row>
    <row r="553" spans="1:9" ht="15" x14ac:dyDescent="0.25">
      <c r="A553" s="2170">
        <v>4399</v>
      </c>
      <c r="B553" s="2169">
        <v>5336</v>
      </c>
      <c r="C553" s="2184"/>
      <c r="D553" s="2183" t="s">
        <v>1740</v>
      </c>
      <c r="E553" s="2180"/>
      <c r="F553" s="2180">
        <v>8538</v>
      </c>
      <c r="G553" s="2180">
        <v>8538</v>
      </c>
      <c r="H553" s="2172">
        <f>(G553/F553)*100</f>
        <v>100</v>
      </c>
    </row>
    <row r="554" spans="1:9" ht="15.75" thickBot="1" x14ac:dyDescent="0.3">
      <c r="A554" s="2170"/>
      <c r="B554" s="2169"/>
      <c r="C554" s="2182" t="s">
        <v>1623</v>
      </c>
      <c r="D554" s="2181" t="s">
        <v>1635</v>
      </c>
      <c r="E554" s="2180"/>
      <c r="F554" s="2166">
        <v>8538</v>
      </c>
      <c r="G554" s="2166">
        <v>8538</v>
      </c>
      <c r="H554" s="2165">
        <f>(G554/F554)*100</f>
        <v>100</v>
      </c>
    </row>
    <row r="555" spans="1:9" s="2131" customFormat="1" ht="20.25" customHeight="1" thickTop="1" thickBot="1" x14ac:dyDescent="0.3">
      <c r="A555" s="2162" t="s">
        <v>1000</v>
      </c>
      <c r="B555" s="2161"/>
      <c r="C555" s="2160"/>
      <c r="D555" s="2179"/>
      <c r="E555" s="2158">
        <f>SUM(E549)</f>
        <v>6639</v>
      </c>
      <c r="F555" s="2158">
        <f>SUM(F549,F553)</f>
        <v>12399</v>
      </c>
      <c r="G555" s="2158">
        <f>SUM(G549,G553)</f>
        <v>12399</v>
      </c>
      <c r="H555" s="2157">
        <f>(G555/F555)*100</f>
        <v>100</v>
      </c>
    </row>
    <row r="556" spans="1:9" ht="15" thickTop="1" x14ac:dyDescent="0.2">
      <c r="A556" s="2156"/>
    </row>
    <row r="557" spans="1:9" s="2131" customFormat="1" ht="24.75" customHeight="1" thickBot="1" x14ac:dyDescent="0.3">
      <c r="A557" s="2155" t="s">
        <v>446</v>
      </c>
      <c r="B557" s="2217"/>
      <c r="C557" s="2216"/>
      <c r="D557" s="2215"/>
      <c r="E557" s="2153">
        <f>SUM(E555)</f>
        <v>6639</v>
      </c>
      <c r="F557" s="2153">
        <f>SUM(F555)</f>
        <v>12399</v>
      </c>
      <c r="G557" s="2153">
        <f>SUM(G555)</f>
        <v>12399</v>
      </c>
      <c r="H557" s="2152">
        <f>(G557/F557)*100</f>
        <v>100</v>
      </c>
    </row>
    <row r="558" spans="1:9" s="2126" customFormat="1" ht="17.25" customHeight="1" thickTop="1" x14ac:dyDescent="0.25">
      <c r="A558" s="2149"/>
      <c r="B558" s="2210"/>
      <c r="C558" s="2209"/>
      <c r="D558" s="2208"/>
      <c r="E558" s="2140"/>
      <c r="F558" s="2140"/>
      <c r="G558" s="2140"/>
      <c r="H558" s="2139"/>
    </row>
    <row r="559" spans="1:9" s="2126" customFormat="1" ht="17.25" customHeight="1" x14ac:dyDescent="0.25">
      <c r="A559" s="2149"/>
      <c r="B559" s="2210"/>
      <c r="C559" s="2209"/>
      <c r="D559" s="2208"/>
      <c r="E559" s="2140"/>
      <c r="F559" s="2140"/>
      <c r="G559" s="2140"/>
      <c r="H559" s="2139"/>
    </row>
    <row r="560" spans="1:9" s="1465" customFormat="1" ht="15.75" x14ac:dyDescent="0.25">
      <c r="A560" s="2137" t="s">
        <v>386</v>
      </c>
      <c r="B560" s="2218"/>
      <c r="C560" s="2211"/>
      <c r="E560" s="2205" t="s">
        <v>385</v>
      </c>
      <c r="F560" s="2205"/>
      <c r="G560" s="2205"/>
      <c r="H560" s="2204"/>
    </row>
    <row r="561" spans="1:19" ht="15" thickBot="1" x14ac:dyDescent="0.25">
      <c r="A561" s="2156"/>
      <c r="H561" s="2203" t="s">
        <v>148</v>
      </c>
    </row>
    <row r="562" spans="1:19" s="2196" customFormat="1" ht="20.25" customHeight="1" thickTop="1" thickBot="1" x14ac:dyDescent="0.25">
      <c r="A562" s="2202" t="s">
        <v>149</v>
      </c>
      <c r="B562" s="2201" t="s">
        <v>150</v>
      </c>
      <c r="C562" s="2200" t="s">
        <v>639</v>
      </c>
      <c r="D562" s="2199" t="s">
        <v>151</v>
      </c>
      <c r="E562" s="1324" t="s">
        <v>569</v>
      </c>
      <c r="F562" s="1324" t="s">
        <v>570</v>
      </c>
      <c r="G562" s="2198" t="s">
        <v>797</v>
      </c>
      <c r="H562" s="2197" t="s">
        <v>798</v>
      </c>
    </row>
    <row r="563" spans="1:19" s="1292" customFormat="1" ht="13.5" thickTop="1" thickBot="1" x14ac:dyDescent="0.25">
      <c r="A563" s="1297">
        <v>1</v>
      </c>
      <c r="B563" s="1296">
        <v>2</v>
      </c>
      <c r="C563" s="1296">
        <v>3</v>
      </c>
      <c r="D563" s="1296">
        <v>4</v>
      </c>
      <c r="E563" s="1296">
        <v>5</v>
      </c>
      <c r="F563" s="1295">
        <v>6</v>
      </c>
      <c r="G563" s="1295">
        <v>7</v>
      </c>
      <c r="H563" s="1294" t="s">
        <v>54</v>
      </c>
      <c r="I563" s="1298"/>
    </row>
    <row r="564" spans="1:19" s="2163" customFormat="1" ht="15.75" thickTop="1" x14ac:dyDescent="0.25">
      <c r="A564" s="2177">
        <v>4350</v>
      </c>
      <c r="B564" s="2176">
        <v>5331</v>
      </c>
      <c r="C564" s="2175"/>
      <c r="D564" s="2174" t="s">
        <v>216</v>
      </c>
      <c r="E564" s="2173">
        <f>E565+E567</f>
        <v>4672</v>
      </c>
      <c r="F564" s="2173">
        <f>F565+F567+F566</f>
        <v>4409</v>
      </c>
      <c r="G564" s="2173">
        <f>G565+G567+G566</f>
        <v>4409</v>
      </c>
      <c r="H564" s="2195">
        <f>G564/F564*100</f>
        <v>100</v>
      </c>
    </row>
    <row r="565" spans="1:19" x14ac:dyDescent="0.2">
      <c r="A565" s="2170"/>
      <c r="B565" s="2169"/>
      <c r="C565" s="2182" t="s">
        <v>521</v>
      </c>
      <c r="D565" s="2190" t="s">
        <v>1128</v>
      </c>
      <c r="E565" s="2214">
        <v>667</v>
      </c>
      <c r="F565" s="2166">
        <v>654</v>
      </c>
      <c r="G565" s="2166">
        <v>654</v>
      </c>
      <c r="H565" s="2165">
        <f t="shared" ref="H565:H572" si="19">(G565/F565)*100</f>
        <v>100</v>
      </c>
    </row>
    <row r="566" spans="1:19" x14ac:dyDescent="0.2">
      <c r="A566" s="2170"/>
      <c r="B566" s="2169"/>
      <c r="C566" s="2168" t="s">
        <v>682</v>
      </c>
      <c r="D566" s="2189" t="s">
        <v>805</v>
      </c>
      <c r="E566" s="2166"/>
      <c r="F566" s="2166">
        <v>65</v>
      </c>
      <c r="G566" s="2166">
        <v>65</v>
      </c>
      <c r="H566" s="2165">
        <f t="shared" si="19"/>
        <v>100</v>
      </c>
    </row>
    <row r="567" spans="1:19" x14ac:dyDescent="0.2">
      <c r="A567" s="2170"/>
      <c r="B567" s="2169"/>
      <c r="C567" s="2182" t="s">
        <v>517</v>
      </c>
      <c r="D567" s="2188" t="s">
        <v>984</v>
      </c>
      <c r="E567" s="2166">
        <v>4005</v>
      </c>
      <c r="F567" s="2166">
        <v>3690</v>
      </c>
      <c r="G567" s="2166">
        <v>3690</v>
      </c>
      <c r="H567" s="2165">
        <f t="shared" si="19"/>
        <v>100</v>
      </c>
    </row>
    <row r="568" spans="1:19" ht="15" x14ac:dyDescent="0.25">
      <c r="A568" s="2170">
        <v>4399</v>
      </c>
      <c r="B568" s="2169">
        <v>5336</v>
      </c>
      <c r="C568" s="2184"/>
      <c r="D568" s="2183" t="s">
        <v>1740</v>
      </c>
      <c r="E568" s="2180"/>
      <c r="F568" s="2180">
        <v>8609</v>
      </c>
      <c r="G568" s="2180">
        <v>8609</v>
      </c>
      <c r="H568" s="2172">
        <f t="shared" si="19"/>
        <v>100</v>
      </c>
    </row>
    <row r="569" spans="1:19" ht="15.75" thickBot="1" x14ac:dyDescent="0.3">
      <c r="A569" s="2170"/>
      <c r="B569" s="2169"/>
      <c r="C569" s="2182" t="s">
        <v>1623</v>
      </c>
      <c r="D569" s="2181" t="s">
        <v>1635</v>
      </c>
      <c r="E569" s="2180"/>
      <c r="F569" s="2166">
        <v>8609</v>
      </c>
      <c r="G569" s="2166">
        <v>8609</v>
      </c>
      <c r="H569" s="2165">
        <f t="shared" si="19"/>
        <v>100</v>
      </c>
    </row>
    <row r="570" spans="1:19" s="2131" customFormat="1" ht="20.25" customHeight="1" thickTop="1" thickBot="1" x14ac:dyDescent="0.3">
      <c r="A570" s="2162" t="s">
        <v>1000</v>
      </c>
      <c r="B570" s="2161"/>
      <c r="C570" s="2160"/>
      <c r="D570" s="2179"/>
      <c r="E570" s="2158">
        <f>SUM(E564)</f>
        <v>4672</v>
      </c>
      <c r="F570" s="2158">
        <f>SUM(F564,F568)</f>
        <v>13018</v>
      </c>
      <c r="G570" s="2158">
        <f>SUM(G564,G568)</f>
        <v>13018</v>
      </c>
      <c r="H570" s="2157">
        <f t="shared" si="19"/>
        <v>100</v>
      </c>
    </row>
    <row r="571" spans="1:19" s="2163" customFormat="1" ht="15.75" thickTop="1" x14ac:dyDescent="0.25">
      <c r="A571" s="2177">
        <v>4350</v>
      </c>
      <c r="B571" s="2176">
        <v>6351</v>
      </c>
      <c r="C571" s="2175"/>
      <c r="D571" s="2174" t="s">
        <v>1056</v>
      </c>
      <c r="E571" s="2173"/>
      <c r="F571" s="2173">
        <v>122</v>
      </c>
      <c r="G571" s="2173">
        <v>122</v>
      </c>
      <c r="H571" s="2172">
        <f t="shared" si="19"/>
        <v>100</v>
      </c>
      <c r="I571" s="2171"/>
      <c r="J571" s="2171"/>
    </row>
    <row r="572" spans="1:19" ht="15" thickBot="1" x14ac:dyDescent="0.25">
      <c r="A572" s="2170"/>
      <c r="B572" s="2169"/>
      <c r="C572" s="2168" t="s">
        <v>682</v>
      </c>
      <c r="D572" s="2167" t="s">
        <v>805</v>
      </c>
      <c r="E572" s="2166"/>
      <c r="F572" s="2166">
        <v>122</v>
      </c>
      <c r="G572" s="2166">
        <v>122</v>
      </c>
      <c r="H572" s="2165">
        <f t="shared" si="19"/>
        <v>100</v>
      </c>
    </row>
    <row r="573" spans="1:19" s="2131" customFormat="1" ht="20.25" customHeight="1" thickTop="1" thickBot="1" x14ac:dyDescent="0.3">
      <c r="A573" s="2162" t="s">
        <v>1001</v>
      </c>
      <c r="B573" s="2161"/>
      <c r="C573" s="2160"/>
      <c r="D573" s="2159"/>
      <c r="E573" s="2158">
        <f>E571</f>
        <v>0</v>
      </c>
      <c r="F573" s="2158">
        <f>SUM(F571)</f>
        <v>122</v>
      </c>
      <c r="G573" s="2158">
        <f>SUM(G571)</f>
        <v>122</v>
      </c>
      <c r="H573" s="2157">
        <f>SUM(H571)</f>
        <v>100</v>
      </c>
      <c r="S573" s="2131">
        <v>0</v>
      </c>
    </row>
    <row r="574" spans="1:19" s="2131" customFormat="1" ht="24.75" customHeight="1" thickTop="1" thickBot="1" x14ac:dyDescent="0.3">
      <c r="A574" s="2155" t="s">
        <v>526</v>
      </c>
      <c r="B574" s="2217"/>
      <c r="C574" s="2216"/>
      <c r="D574" s="2215"/>
      <c r="E574" s="2153">
        <f>E570</f>
        <v>4672</v>
      </c>
      <c r="F574" s="2153">
        <f>F570+F573</f>
        <v>13140</v>
      </c>
      <c r="G574" s="2153">
        <f>G570+G573</f>
        <v>13140</v>
      </c>
      <c r="H574" s="2152">
        <f>(G574/F574)*100</f>
        <v>100</v>
      </c>
    </row>
    <row r="575" spans="1:19" s="2126" customFormat="1" ht="14.25" customHeight="1" thickTop="1" x14ac:dyDescent="0.25">
      <c r="A575" s="2149"/>
      <c r="B575" s="2210"/>
      <c r="C575" s="2209"/>
      <c r="D575" s="2208"/>
      <c r="E575" s="2140"/>
      <c r="F575" s="2140"/>
      <c r="G575" s="2140"/>
      <c r="H575" s="2139"/>
    </row>
    <row r="576" spans="1:19" s="1465" customFormat="1" ht="15.75" x14ac:dyDescent="0.25">
      <c r="A576" s="2137" t="s">
        <v>5</v>
      </c>
      <c r="B576" s="2218"/>
      <c r="C576" s="2211"/>
      <c r="E576" s="2205" t="s">
        <v>527</v>
      </c>
      <c r="F576" s="2205"/>
      <c r="G576" s="2205"/>
      <c r="H576" s="2204"/>
    </row>
    <row r="577" spans="1:11" ht="11.25" customHeight="1" thickBot="1" x14ac:dyDescent="0.25">
      <c r="A577" s="2156"/>
      <c r="H577" s="2203" t="s">
        <v>148</v>
      </c>
    </row>
    <row r="578" spans="1:11" s="2196" customFormat="1" ht="20.25" customHeight="1" thickTop="1" thickBot="1" x14ac:dyDescent="0.25">
      <c r="A578" s="2202" t="s">
        <v>149</v>
      </c>
      <c r="B578" s="2201" t="s">
        <v>150</v>
      </c>
      <c r="C578" s="2200" t="s">
        <v>639</v>
      </c>
      <c r="D578" s="2199" t="s">
        <v>151</v>
      </c>
      <c r="E578" s="1324" t="s">
        <v>569</v>
      </c>
      <c r="F578" s="1324" t="s">
        <v>570</v>
      </c>
      <c r="G578" s="2198" t="s">
        <v>797</v>
      </c>
      <c r="H578" s="2197" t="s">
        <v>798</v>
      </c>
    </row>
    <row r="579" spans="1:11" s="1292" customFormat="1" ht="13.5" thickTop="1" thickBot="1" x14ac:dyDescent="0.25">
      <c r="A579" s="1297">
        <v>1</v>
      </c>
      <c r="B579" s="1296">
        <v>2</v>
      </c>
      <c r="C579" s="1296">
        <v>3</v>
      </c>
      <c r="D579" s="1296">
        <v>4</v>
      </c>
      <c r="E579" s="1296">
        <v>5</v>
      </c>
      <c r="F579" s="1295">
        <v>6</v>
      </c>
      <c r="G579" s="1295">
        <v>7</v>
      </c>
      <c r="H579" s="1294" t="s">
        <v>54</v>
      </c>
      <c r="I579" s="1298"/>
    </row>
    <row r="580" spans="1:11" s="2163" customFormat="1" ht="15.75" thickTop="1" x14ac:dyDescent="0.25">
      <c r="A580" s="2177">
        <v>4350</v>
      </c>
      <c r="B580" s="2176">
        <v>5331</v>
      </c>
      <c r="C580" s="2175"/>
      <c r="D580" s="2174" t="s">
        <v>216</v>
      </c>
      <c r="E580" s="2173">
        <f>E581+E583</f>
        <v>5082</v>
      </c>
      <c r="F580" s="2173">
        <f>F581+F583+F582</f>
        <v>4082</v>
      </c>
      <c r="G580" s="2173">
        <f>G581+G583+G582</f>
        <v>4082</v>
      </c>
      <c r="H580" s="2195">
        <f>G580/F580*100</f>
        <v>100</v>
      </c>
    </row>
    <row r="581" spans="1:11" x14ac:dyDescent="0.2">
      <c r="A581" s="2170"/>
      <c r="B581" s="2169"/>
      <c r="C581" s="2191" t="s">
        <v>521</v>
      </c>
      <c r="D581" s="2190" t="s">
        <v>1128</v>
      </c>
      <c r="E581" s="2166">
        <v>2511</v>
      </c>
      <c r="F581" s="2166">
        <v>2511</v>
      </c>
      <c r="G581" s="2166">
        <v>2511</v>
      </c>
      <c r="H581" s="2165">
        <f t="shared" ref="H581:H589" si="20">(G581/F581)*100</f>
        <v>100</v>
      </c>
    </row>
    <row r="582" spans="1:11" x14ac:dyDescent="0.2">
      <c r="A582" s="2170"/>
      <c r="B582" s="2169"/>
      <c r="C582" s="2168" t="s">
        <v>682</v>
      </c>
      <c r="D582" s="2189" t="s">
        <v>805</v>
      </c>
      <c r="E582" s="2166"/>
      <c r="F582" s="2166">
        <v>100</v>
      </c>
      <c r="G582" s="2166">
        <v>100</v>
      </c>
      <c r="H582" s="2165">
        <f t="shared" si="20"/>
        <v>100</v>
      </c>
    </row>
    <row r="583" spans="1:11" x14ac:dyDescent="0.2">
      <c r="A583" s="2170"/>
      <c r="B583" s="2169"/>
      <c r="C583" s="2182" t="s">
        <v>517</v>
      </c>
      <c r="D583" s="2188" t="s">
        <v>984</v>
      </c>
      <c r="E583" s="2166">
        <v>2571</v>
      </c>
      <c r="F583" s="2166">
        <v>1471</v>
      </c>
      <c r="G583" s="2166">
        <v>1471</v>
      </c>
      <c r="H583" s="2165">
        <f t="shared" si="20"/>
        <v>100</v>
      </c>
    </row>
    <row r="584" spans="1:11" ht="15" x14ac:dyDescent="0.25">
      <c r="A584" s="2170">
        <v>4350</v>
      </c>
      <c r="B584" s="2169">
        <v>5336</v>
      </c>
      <c r="C584" s="2184"/>
      <c r="D584" s="2183" t="s">
        <v>1740</v>
      </c>
      <c r="E584" s="2180"/>
      <c r="F584" s="2180">
        <f>F585+F586</f>
        <v>757</v>
      </c>
      <c r="G584" s="2180">
        <f>G585+G586</f>
        <v>757</v>
      </c>
      <c r="H584" s="2172">
        <f t="shared" si="20"/>
        <v>100</v>
      </c>
    </row>
    <row r="585" spans="1:11" ht="15" x14ac:dyDescent="0.25">
      <c r="A585" s="2170"/>
      <c r="B585" s="2169"/>
      <c r="C585" s="2182" t="s">
        <v>1210</v>
      </c>
      <c r="D585" s="2187" t="s">
        <v>1211</v>
      </c>
      <c r="E585" s="2180"/>
      <c r="F585" s="2166">
        <v>113</v>
      </c>
      <c r="G585" s="2166">
        <v>113</v>
      </c>
      <c r="H585" s="2165">
        <f t="shared" si="20"/>
        <v>100</v>
      </c>
    </row>
    <row r="586" spans="1:11" x14ac:dyDescent="0.2">
      <c r="A586" s="2170"/>
      <c r="B586" s="2169"/>
      <c r="C586" s="2182" t="s">
        <v>1212</v>
      </c>
      <c r="D586" s="2185" t="s">
        <v>1213</v>
      </c>
      <c r="E586" s="2166"/>
      <c r="F586" s="2166">
        <v>644</v>
      </c>
      <c r="G586" s="2166">
        <v>644</v>
      </c>
      <c r="H586" s="2165">
        <f t="shared" si="20"/>
        <v>100</v>
      </c>
    </row>
    <row r="587" spans="1:11" ht="15" x14ac:dyDescent="0.25">
      <c r="A587" s="2170">
        <v>4399</v>
      </c>
      <c r="B587" s="2169">
        <v>5336</v>
      </c>
      <c r="C587" s="2184"/>
      <c r="D587" s="2183" t="s">
        <v>1740</v>
      </c>
      <c r="E587" s="2180"/>
      <c r="F587" s="2180">
        <v>11661</v>
      </c>
      <c r="G587" s="2180">
        <v>11661</v>
      </c>
      <c r="H587" s="2172">
        <f t="shared" si="20"/>
        <v>100</v>
      </c>
    </row>
    <row r="588" spans="1:11" ht="15.75" thickBot="1" x14ac:dyDescent="0.3">
      <c r="A588" s="2170"/>
      <c r="B588" s="2169"/>
      <c r="C588" s="2182" t="s">
        <v>1623</v>
      </c>
      <c r="D588" s="2188" t="s">
        <v>1635</v>
      </c>
      <c r="E588" s="2180"/>
      <c r="F588" s="2166">
        <v>11661</v>
      </c>
      <c r="G588" s="2166">
        <v>11661</v>
      </c>
      <c r="H588" s="2165">
        <f t="shared" si="20"/>
        <v>100</v>
      </c>
    </row>
    <row r="589" spans="1:11" s="2131" customFormat="1" ht="20.25" customHeight="1" thickTop="1" thickBot="1" x14ac:dyDescent="0.3">
      <c r="A589" s="2162" t="s">
        <v>1000</v>
      </c>
      <c r="B589" s="2161"/>
      <c r="C589" s="2160"/>
      <c r="D589" s="2159"/>
      <c r="E589" s="2158">
        <f>SUM(E580)</f>
        <v>5082</v>
      </c>
      <c r="F589" s="2158">
        <f>SUM(F580,F587,F584)</f>
        <v>16500</v>
      </c>
      <c r="G589" s="2158">
        <f>SUM(G580,G587,G584)</f>
        <v>16500</v>
      </c>
      <c r="H589" s="2157">
        <f t="shared" si="20"/>
        <v>100</v>
      </c>
      <c r="J589" s="2178"/>
      <c r="K589" s="2178"/>
    </row>
    <row r="590" spans="1:11" s="2131" customFormat="1" ht="20.25" customHeight="1" thickTop="1" x14ac:dyDescent="0.25">
      <c r="A590" s="2233"/>
      <c r="B590" s="2232"/>
      <c r="C590" s="2231"/>
      <c r="D590" s="2230"/>
      <c r="E590" s="2229"/>
      <c r="F590" s="2229"/>
      <c r="G590" s="2229"/>
      <c r="H590" s="2228"/>
    </row>
    <row r="591" spans="1:11" s="2131" customFormat="1" ht="26.25" customHeight="1" thickBot="1" x14ac:dyDescent="0.3">
      <c r="A591" s="2227" t="s">
        <v>7</v>
      </c>
      <c r="B591" s="2226"/>
      <c r="C591" s="2225"/>
      <c r="D591" s="2224"/>
      <c r="E591" s="2223">
        <f>SUM(E589)</f>
        <v>5082</v>
      </c>
      <c r="F591" s="2223">
        <f>SUM(F589)</f>
        <v>16500</v>
      </c>
      <c r="G591" s="2223">
        <f>SUM(G589)</f>
        <v>16500</v>
      </c>
      <c r="H591" s="2222">
        <f>(G591/F591)*100</f>
        <v>100</v>
      </c>
    </row>
    <row r="592" spans="1:11" s="2126" customFormat="1" ht="14.25" customHeight="1" thickTop="1" x14ac:dyDescent="0.25">
      <c r="A592" s="2149"/>
      <c r="B592" s="2210"/>
      <c r="C592" s="2209"/>
      <c r="D592" s="2208"/>
      <c r="E592" s="2140"/>
      <c r="F592" s="2140"/>
      <c r="G592" s="2140"/>
      <c r="H592" s="2139"/>
    </row>
    <row r="593" spans="1:9" s="1465" customFormat="1" ht="15.75" x14ac:dyDescent="0.25">
      <c r="A593" s="2137" t="s">
        <v>352</v>
      </c>
      <c r="B593" s="2218"/>
      <c r="C593" s="2211"/>
      <c r="E593" s="2205" t="s">
        <v>528</v>
      </c>
      <c r="F593" s="2205"/>
      <c r="G593" s="2205"/>
      <c r="H593" s="2204"/>
    </row>
    <row r="594" spans="1:9" ht="15" thickBot="1" x14ac:dyDescent="0.25">
      <c r="A594" s="2156"/>
      <c r="H594" s="2203" t="s">
        <v>148</v>
      </c>
    </row>
    <row r="595" spans="1:9" s="2196" customFormat="1" ht="20.25" customHeight="1" thickTop="1" thickBot="1" x14ac:dyDescent="0.25">
      <c r="A595" s="2202" t="s">
        <v>149</v>
      </c>
      <c r="B595" s="2201" t="s">
        <v>150</v>
      </c>
      <c r="C595" s="2200" t="s">
        <v>639</v>
      </c>
      <c r="D595" s="2199" t="s">
        <v>151</v>
      </c>
      <c r="E595" s="1324" t="s">
        <v>569</v>
      </c>
      <c r="F595" s="1324" t="s">
        <v>570</v>
      </c>
      <c r="G595" s="2198" t="s">
        <v>797</v>
      </c>
      <c r="H595" s="2197" t="s">
        <v>798</v>
      </c>
    </row>
    <row r="596" spans="1:9" s="1292" customFormat="1" ht="13.5" thickTop="1" thickBot="1" x14ac:dyDescent="0.25">
      <c r="A596" s="1297">
        <v>1</v>
      </c>
      <c r="B596" s="1296">
        <v>2</v>
      </c>
      <c r="C596" s="1296">
        <v>3</v>
      </c>
      <c r="D596" s="1296">
        <v>4</v>
      </c>
      <c r="E596" s="1296">
        <v>5</v>
      </c>
      <c r="F596" s="1295">
        <v>6</v>
      </c>
      <c r="G596" s="1295">
        <v>7</v>
      </c>
      <c r="H596" s="1294" t="s">
        <v>54</v>
      </c>
      <c r="I596" s="1298"/>
    </row>
    <row r="597" spans="1:9" s="2163" customFormat="1" ht="15.75" thickTop="1" x14ac:dyDescent="0.25">
      <c r="A597" s="2177">
        <v>4357</v>
      </c>
      <c r="B597" s="2176">
        <v>5331</v>
      </c>
      <c r="C597" s="2175"/>
      <c r="D597" s="2174" t="s">
        <v>216</v>
      </c>
      <c r="E597" s="2173">
        <f>E598+E599</f>
        <v>1909</v>
      </c>
      <c r="F597" s="2173">
        <f>F598+F599</f>
        <v>1378</v>
      </c>
      <c r="G597" s="2173">
        <f>G598+G599</f>
        <v>1378</v>
      </c>
      <c r="H597" s="2195">
        <f>G597/F597*100</f>
        <v>100</v>
      </c>
    </row>
    <row r="598" spans="1:9" x14ac:dyDescent="0.2">
      <c r="A598" s="2170"/>
      <c r="B598" s="2169"/>
      <c r="C598" s="2191" t="s">
        <v>521</v>
      </c>
      <c r="D598" s="2190" t="s">
        <v>1128</v>
      </c>
      <c r="E598" s="2166">
        <v>1102</v>
      </c>
      <c r="F598" s="2166">
        <v>1091</v>
      </c>
      <c r="G598" s="2166">
        <v>1091</v>
      </c>
      <c r="H598" s="2165">
        <f>(G598/F598)*100</f>
        <v>100</v>
      </c>
    </row>
    <row r="599" spans="1:9" x14ac:dyDescent="0.2">
      <c r="A599" s="2170"/>
      <c r="B599" s="2169"/>
      <c r="C599" s="2182" t="s">
        <v>517</v>
      </c>
      <c r="D599" s="2188" t="s">
        <v>984</v>
      </c>
      <c r="E599" s="2166">
        <v>807</v>
      </c>
      <c r="F599" s="2166">
        <v>287</v>
      </c>
      <c r="G599" s="2166">
        <v>287</v>
      </c>
      <c r="H599" s="2165">
        <f>(G599/F599)*100</f>
        <v>100</v>
      </c>
    </row>
    <row r="600" spans="1:9" ht="15" x14ac:dyDescent="0.25">
      <c r="A600" s="2170">
        <v>4399</v>
      </c>
      <c r="B600" s="2169">
        <v>5336</v>
      </c>
      <c r="C600" s="2184"/>
      <c r="D600" s="2183" t="s">
        <v>1740</v>
      </c>
      <c r="E600" s="2180"/>
      <c r="F600" s="2180">
        <v>8835</v>
      </c>
      <c r="G600" s="2180">
        <v>8835</v>
      </c>
      <c r="H600" s="2172">
        <f>(G600/F600)*100</f>
        <v>100</v>
      </c>
    </row>
    <row r="601" spans="1:9" ht="15.75" thickBot="1" x14ac:dyDescent="0.3">
      <c r="A601" s="2170"/>
      <c r="B601" s="2169"/>
      <c r="C601" s="2182" t="s">
        <v>1623</v>
      </c>
      <c r="D601" s="2181" t="s">
        <v>1635</v>
      </c>
      <c r="E601" s="2180"/>
      <c r="F601" s="2166">
        <v>8835</v>
      </c>
      <c r="G601" s="2166">
        <v>8835</v>
      </c>
      <c r="H601" s="2165">
        <f>(G601/F601)*100</f>
        <v>100</v>
      </c>
    </row>
    <row r="602" spans="1:9" s="2131" customFormat="1" ht="20.25" customHeight="1" thickTop="1" thickBot="1" x14ac:dyDescent="0.3">
      <c r="A602" s="2162" t="s">
        <v>1000</v>
      </c>
      <c r="B602" s="2161"/>
      <c r="C602" s="2160"/>
      <c r="D602" s="2179"/>
      <c r="E602" s="2158">
        <f>SUM(E597)</f>
        <v>1909</v>
      </c>
      <c r="F602" s="2158">
        <f>SUM(F597,F600)</f>
        <v>10213</v>
      </c>
      <c r="G602" s="2158">
        <f>SUM(G597,G600)</f>
        <v>10213</v>
      </c>
      <c r="H602" s="2157">
        <f>(G602/F602)*100</f>
        <v>100</v>
      </c>
    </row>
    <row r="603" spans="1:9" s="2131" customFormat="1" ht="20.25" customHeight="1" thickTop="1" x14ac:dyDescent="0.25">
      <c r="A603" s="2145"/>
      <c r="B603" s="2144"/>
      <c r="C603" s="2143"/>
      <c r="D603" s="2142"/>
      <c r="E603" s="2221"/>
      <c r="F603" s="2221"/>
      <c r="G603" s="2221"/>
      <c r="H603" s="2220"/>
    </row>
    <row r="604" spans="1:9" s="2131" customFormat="1" ht="29.25" customHeight="1" thickBot="1" x14ac:dyDescent="0.3">
      <c r="A604" s="2155" t="s">
        <v>353</v>
      </c>
      <c r="B604" s="2217"/>
      <c r="C604" s="2216"/>
      <c r="D604" s="2215"/>
      <c r="E604" s="2153">
        <f>SUM(E602)</f>
        <v>1909</v>
      </c>
      <c r="F604" s="2153">
        <f>SUM(F602)</f>
        <v>10213</v>
      </c>
      <c r="G604" s="2153">
        <f>SUM(G602)</f>
        <v>10213</v>
      </c>
      <c r="H604" s="2152">
        <f>(G604/F604)*100</f>
        <v>100</v>
      </c>
    </row>
    <row r="605" spans="1:9" s="2126" customFormat="1" ht="18.75" customHeight="1" thickTop="1" x14ac:dyDescent="0.25">
      <c r="A605" s="2149"/>
      <c r="B605" s="2210"/>
      <c r="C605" s="2219"/>
      <c r="D605" s="2208"/>
      <c r="E605" s="2150"/>
      <c r="F605" s="2150"/>
      <c r="G605" s="2150"/>
      <c r="H605" s="2147"/>
    </row>
    <row r="606" spans="1:9" s="1465" customFormat="1" ht="15.75" x14ac:dyDescent="0.25">
      <c r="A606" s="2137" t="s">
        <v>529</v>
      </c>
      <c r="B606" s="2218"/>
      <c r="C606" s="2211"/>
      <c r="E606" s="2205" t="s">
        <v>530</v>
      </c>
      <c r="F606" s="2205"/>
      <c r="G606" s="2205"/>
      <c r="H606" s="2204"/>
    </row>
    <row r="607" spans="1:9" ht="11.25" customHeight="1" thickBot="1" x14ac:dyDescent="0.25">
      <c r="A607" s="2156"/>
      <c r="H607" s="2203" t="s">
        <v>148</v>
      </c>
    </row>
    <row r="608" spans="1:9" s="2196" customFormat="1" ht="20.25" customHeight="1" thickTop="1" thickBot="1" x14ac:dyDescent="0.25">
      <c r="A608" s="2202" t="s">
        <v>149</v>
      </c>
      <c r="B608" s="2201" t="s">
        <v>150</v>
      </c>
      <c r="C608" s="2200" t="s">
        <v>639</v>
      </c>
      <c r="D608" s="2199" t="s">
        <v>151</v>
      </c>
      <c r="E608" s="1324" t="s">
        <v>569</v>
      </c>
      <c r="F608" s="1324" t="s">
        <v>570</v>
      </c>
      <c r="G608" s="2198" t="s">
        <v>797</v>
      </c>
      <c r="H608" s="2197" t="s">
        <v>798</v>
      </c>
    </row>
    <row r="609" spans="1:19" s="1292" customFormat="1" ht="13.5" thickTop="1" thickBot="1" x14ac:dyDescent="0.25">
      <c r="A609" s="1297">
        <v>1</v>
      </c>
      <c r="B609" s="1296">
        <v>2</v>
      </c>
      <c r="C609" s="1296">
        <v>3</v>
      </c>
      <c r="D609" s="1296">
        <v>4</v>
      </c>
      <c r="E609" s="1296">
        <v>5</v>
      </c>
      <c r="F609" s="1295">
        <v>6</v>
      </c>
      <c r="G609" s="1295">
        <v>7</v>
      </c>
      <c r="H609" s="1294" t="s">
        <v>54</v>
      </c>
      <c r="I609" s="1298"/>
    </row>
    <row r="610" spans="1:19" s="2163" customFormat="1" ht="15.75" thickTop="1" x14ac:dyDescent="0.25">
      <c r="A610" s="2177">
        <v>4357</v>
      </c>
      <c r="B610" s="2176">
        <v>5331</v>
      </c>
      <c r="C610" s="2175"/>
      <c r="D610" s="2174" t="s">
        <v>216</v>
      </c>
      <c r="E610" s="2173">
        <f>E611+E613+E612</f>
        <v>3454</v>
      </c>
      <c r="F610" s="2173">
        <f>F611+F613+F612</f>
        <v>1564</v>
      </c>
      <c r="G610" s="2173">
        <f>G611+G613+G612</f>
        <v>1564</v>
      </c>
      <c r="H610" s="2195">
        <f>G610/F610*100</f>
        <v>100</v>
      </c>
    </row>
    <row r="611" spans="1:19" x14ac:dyDescent="0.2">
      <c r="A611" s="2170"/>
      <c r="B611" s="2169"/>
      <c r="C611" s="2191" t="s">
        <v>521</v>
      </c>
      <c r="D611" s="2190" t="s">
        <v>1128</v>
      </c>
      <c r="E611" s="2166">
        <v>1215</v>
      </c>
      <c r="F611" s="2166">
        <v>1214</v>
      </c>
      <c r="G611" s="2166">
        <v>1214</v>
      </c>
      <c r="H611" s="2165">
        <f t="shared" ref="H611:H618" si="21">(G611/F611)*100</f>
        <v>100</v>
      </c>
    </row>
    <row r="612" spans="1:19" x14ac:dyDescent="0.2">
      <c r="A612" s="2170"/>
      <c r="B612" s="2169"/>
      <c r="C612" s="2168" t="s">
        <v>682</v>
      </c>
      <c r="D612" s="2189" t="s">
        <v>805</v>
      </c>
      <c r="E612" s="2166"/>
      <c r="F612" s="2166">
        <v>200</v>
      </c>
      <c r="G612" s="2166">
        <v>200</v>
      </c>
      <c r="H612" s="2165">
        <f t="shared" si="21"/>
        <v>100</v>
      </c>
    </row>
    <row r="613" spans="1:19" x14ac:dyDescent="0.2">
      <c r="A613" s="2170"/>
      <c r="B613" s="2169"/>
      <c r="C613" s="2182" t="s">
        <v>517</v>
      </c>
      <c r="D613" s="2188" t="s">
        <v>984</v>
      </c>
      <c r="E613" s="2166">
        <v>2239</v>
      </c>
      <c r="F613" s="2166">
        <v>150</v>
      </c>
      <c r="G613" s="2166">
        <v>150</v>
      </c>
      <c r="H613" s="2165">
        <f t="shared" si="21"/>
        <v>100</v>
      </c>
    </row>
    <row r="614" spans="1:19" ht="15" x14ac:dyDescent="0.25">
      <c r="A614" s="2170">
        <v>4399</v>
      </c>
      <c r="B614" s="2169">
        <v>5336</v>
      </c>
      <c r="C614" s="2184"/>
      <c r="D614" s="2183" t="s">
        <v>1740</v>
      </c>
      <c r="E614" s="2180"/>
      <c r="F614" s="2180">
        <v>7883</v>
      </c>
      <c r="G614" s="2180">
        <v>7883</v>
      </c>
      <c r="H614" s="2172">
        <f t="shared" si="21"/>
        <v>100</v>
      </c>
    </row>
    <row r="615" spans="1:19" ht="15.75" thickBot="1" x14ac:dyDescent="0.3">
      <c r="A615" s="2170"/>
      <c r="B615" s="2169"/>
      <c r="C615" s="2182" t="s">
        <v>1623</v>
      </c>
      <c r="D615" s="2181" t="s">
        <v>1635</v>
      </c>
      <c r="E615" s="2180"/>
      <c r="F615" s="2166">
        <v>7883</v>
      </c>
      <c r="G615" s="2166">
        <v>7883</v>
      </c>
      <c r="H615" s="2165">
        <f t="shared" si="21"/>
        <v>100</v>
      </c>
    </row>
    <row r="616" spans="1:19" s="2131" customFormat="1" ht="20.25" customHeight="1" thickTop="1" thickBot="1" x14ac:dyDescent="0.3">
      <c r="A616" s="2162" t="s">
        <v>1000</v>
      </c>
      <c r="B616" s="2161"/>
      <c r="C616" s="2160"/>
      <c r="D616" s="2179"/>
      <c r="E616" s="2158">
        <f>SUM(E610)</f>
        <v>3454</v>
      </c>
      <c r="F616" s="2158">
        <f>SUM(F610,F614)</f>
        <v>9447</v>
      </c>
      <c r="G616" s="2158">
        <f>SUM(G610,G614)</f>
        <v>9447</v>
      </c>
      <c r="H616" s="2157">
        <f t="shared" si="21"/>
        <v>100</v>
      </c>
    </row>
    <row r="617" spans="1:19" s="2163" customFormat="1" ht="15.75" thickTop="1" x14ac:dyDescent="0.25">
      <c r="A617" s="2177">
        <v>4357</v>
      </c>
      <c r="B617" s="2176">
        <v>6351</v>
      </c>
      <c r="C617" s="2175"/>
      <c r="D617" s="2174" t="s">
        <v>1056</v>
      </c>
      <c r="E617" s="2173"/>
      <c r="F617" s="2173">
        <v>149</v>
      </c>
      <c r="G617" s="2173">
        <v>149</v>
      </c>
      <c r="H617" s="2172">
        <f t="shared" si="21"/>
        <v>100</v>
      </c>
      <c r="I617" s="2171"/>
      <c r="J617" s="2171"/>
    </row>
    <row r="618" spans="1:19" ht="15" thickBot="1" x14ac:dyDescent="0.25">
      <c r="A618" s="2170"/>
      <c r="B618" s="2169"/>
      <c r="C618" s="2168" t="s">
        <v>682</v>
      </c>
      <c r="D618" s="2167" t="s">
        <v>805</v>
      </c>
      <c r="E618" s="2166"/>
      <c r="F618" s="2166">
        <v>149</v>
      </c>
      <c r="G618" s="2166">
        <v>149</v>
      </c>
      <c r="H618" s="2165">
        <f t="shared" si="21"/>
        <v>100</v>
      </c>
    </row>
    <row r="619" spans="1:19" s="2131" customFormat="1" ht="20.25" customHeight="1" thickTop="1" thickBot="1" x14ac:dyDescent="0.3">
      <c r="A619" s="2162" t="s">
        <v>1001</v>
      </c>
      <c r="B619" s="2161"/>
      <c r="C619" s="2160"/>
      <c r="D619" s="2159"/>
      <c r="E619" s="2158">
        <f>E617</f>
        <v>0</v>
      </c>
      <c r="F619" s="2158">
        <f>SUM(F617)</f>
        <v>149</v>
      </c>
      <c r="G619" s="2158">
        <f>SUM(G617)</f>
        <v>149</v>
      </c>
      <c r="H619" s="2157">
        <f>SUM(H617)</f>
        <v>100</v>
      </c>
      <c r="S619" s="2131">
        <v>0</v>
      </c>
    </row>
    <row r="620" spans="1:19" s="2163" customFormat="1" ht="15.75" thickTop="1" x14ac:dyDescent="0.25">
      <c r="A620" s="2213"/>
      <c r="B620" s="2212"/>
      <c r="C620" s="2211"/>
      <c r="E620" s="2205"/>
      <c r="F620" s="2205"/>
      <c r="G620" s="2205"/>
      <c r="H620" s="2204"/>
    </row>
    <row r="621" spans="1:19" s="2131" customFormat="1" ht="27" customHeight="1" thickBot="1" x14ac:dyDescent="0.3">
      <c r="A621" s="2155" t="s">
        <v>531</v>
      </c>
      <c r="B621" s="2217"/>
      <c r="C621" s="2216"/>
      <c r="D621" s="2215"/>
      <c r="E621" s="2153">
        <f>SUM(E616)</f>
        <v>3454</v>
      </c>
      <c r="F621" s="2153">
        <f>SUM(F616,F619)</f>
        <v>9596</v>
      </c>
      <c r="G621" s="2153">
        <f>SUM(G616,G619)</f>
        <v>9596</v>
      </c>
      <c r="H621" s="2152">
        <f>(G621/F621)*100</f>
        <v>100</v>
      </c>
    </row>
    <row r="622" spans="1:19" s="2126" customFormat="1" ht="15" customHeight="1" thickTop="1" x14ac:dyDescent="0.25">
      <c r="A622" s="2149"/>
      <c r="B622" s="2210"/>
      <c r="C622" s="2209"/>
      <c r="D622" s="2208"/>
      <c r="E622" s="2140"/>
      <c r="F622" s="2140"/>
      <c r="G622" s="2140"/>
      <c r="H622" s="2139"/>
    </row>
    <row r="623" spans="1:19" s="1465" customFormat="1" ht="15.75" x14ac:dyDescent="0.25">
      <c r="A623" s="2207" t="s">
        <v>8</v>
      </c>
      <c r="B623" s="2206"/>
      <c r="C623" s="2206"/>
      <c r="D623" s="2206"/>
      <c r="E623" s="2205" t="s">
        <v>532</v>
      </c>
      <c r="F623" s="2205"/>
      <c r="G623" s="2205"/>
      <c r="H623" s="2204"/>
    </row>
    <row r="624" spans="1:19" ht="15" thickBot="1" x14ac:dyDescent="0.25">
      <c r="A624" s="2156"/>
      <c r="H624" s="2203" t="s">
        <v>148</v>
      </c>
    </row>
    <row r="625" spans="1:9" s="2196" customFormat="1" ht="20.25" customHeight="1" thickTop="1" thickBot="1" x14ac:dyDescent="0.25">
      <c r="A625" s="2202" t="s">
        <v>149</v>
      </c>
      <c r="B625" s="2201" t="s">
        <v>150</v>
      </c>
      <c r="C625" s="2200" t="s">
        <v>639</v>
      </c>
      <c r="D625" s="2199" t="s">
        <v>151</v>
      </c>
      <c r="E625" s="1324" t="s">
        <v>569</v>
      </c>
      <c r="F625" s="1324" t="s">
        <v>570</v>
      </c>
      <c r="G625" s="2198" t="s">
        <v>797</v>
      </c>
      <c r="H625" s="2197" t="s">
        <v>798</v>
      </c>
    </row>
    <row r="626" spans="1:9" s="1292" customFormat="1" ht="13.5" thickTop="1" thickBot="1" x14ac:dyDescent="0.25">
      <c r="A626" s="1297">
        <v>1</v>
      </c>
      <c r="B626" s="1296">
        <v>2</v>
      </c>
      <c r="C626" s="1296">
        <v>3</v>
      </c>
      <c r="D626" s="1296">
        <v>4</v>
      </c>
      <c r="E626" s="1296">
        <v>5</v>
      </c>
      <c r="F626" s="1295">
        <v>6</v>
      </c>
      <c r="G626" s="1295">
        <v>7</v>
      </c>
      <c r="H626" s="1294" t="s">
        <v>54</v>
      </c>
      <c r="I626" s="1298"/>
    </row>
    <row r="627" spans="1:9" s="2163" customFormat="1" ht="15.75" thickTop="1" x14ac:dyDescent="0.25">
      <c r="A627" s="2177">
        <v>4357</v>
      </c>
      <c r="B627" s="2176">
        <v>5331</v>
      </c>
      <c r="C627" s="2175"/>
      <c r="D627" s="2174" t="s">
        <v>216</v>
      </c>
      <c r="E627" s="2173">
        <f>E629+E628</f>
        <v>5066</v>
      </c>
      <c r="F627" s="2173">
        <f>F629+F628</f>
        <v>3111</v>
      </c>
      <c r="G627" s="2173">
        <f>G629+G628</f>
        <v>3111</v>
      </c>
      <c r="H627" s="2195">
        <f>G627/F627*100</f>
        <v>100</v>
      </c>
    </row>
    <row r="628" spans="1:9" x14ac:dyDescent="0.2">
      <c r="A628" s="2170"/>
      <c r="B628" s="2169"/>
      <c r="C628" s="2182" t="s">
        <v>521</v>
      </c>
      <c r="D628" s="2190" t="s">
        <v>1128</v>
      </c>
      <c r="E628" s="2214">
        <v>1111</v>
      </c>
      <c r="F628" s="2166">
        <v>1111</v>
      </c>
      <c r="G628" s="2166">
        <v>1111</v>
      </c>
      <c r="H628" s="2165">
        <f>(G628/F628)*100</f>
        <v>100</v>
      </c>
    </row>
    <row r="629" spans="1:9" x14ac:dyDescent="0.2">
      <c r="A629" s="2170"/>
      <c r="B629" s="2169"/>
      <c r="C629" s="2182" t="s">
        <v>517</v>
      </c>
      <c r="D629" s="2188" t="s">
        <v>984</v>
      </c>
      <c r="E629" s="2166">
        <v>3955</v>
      </c>
      <c r="F629" s="2166">
        <v>2000</v>
      </c>
      <c r="G629" s="2166">
        <v>2000</v>
      </c>
      <c r="H629" s="2165">
        <f>(G629/F629)*100</f>
        <v>100</v>
      </c>
    </row>
    <row r="630" spans="1:9" ht="15" x14ac:dyDescent="0.25">
      <c r="A630" s="2170">
        <v>4399</v>
      </c>
      <c r="B630" s="2169">
        <v>5336</v>
      </c>
      <c r="C630" s="2184"/>
      <c r="D630" s="2183" t="s">
        <v>1740</v>
      </c>
      <c r="E630" s="2180"/>
      <c r="F630" s="2180">
        <v>10359</v>
      </c>
      <c r="G630" s="2180">
        <v>10359</v>
      </c>
      <c r="H630" s="2172">
        <f>(G630/F630)*100</f>
        <v>100</v>
      </c>
    </row>
    <row r="631" spans="1:9" ht="15.75" thickBot="1" x14ac:dyDescent="0.3">
      <c r="A631" s="2170"/>
      <c r="B631" s="2169"/>
      <c r="C631" s="2182" t="s">
        <v>1623</v>
      </c>
      <c r="D631" s="2181" t="s">
        <v>1635</v>
      </c>
      <c r="E631" s="2180"/>
      <c r="F631" s="2166">
        <v>10359</v>
      </c>
      <c r="G631" s="2166">
        <v>10359</v>
      </c>
      <c r="H631" s="2165">
        <f>(G631/F631)*100</f>
        <v>100</v>
      </c>
    </row>
    <row r="632" spans="1:9" s="2131" customFormat="1" ht="20.25" customHeight="1" thickTop="1" thickBot="1" x14ac:dyDescent="0.3">
      <c r="A632" s="2162" t="s">
        <v>1000</v>
      </c>
      <c r="B632" s="2161"/>
      <c r="C632" s="2160"/>
      <c r="D632" s="2179"/>
      <c r="E632" s="2158">
        <f>SUM(E627)</f>
        <v>5066</v>
      </c>
      <c r="F632" s="2158">
        <f>SUM(F627,F630)</f>
        <v>13470</v>
      </c>
      <c r="G632" s="2158">
        <f>SUM(G627,G630)</f>
        <v>13470</v>
      </c>
      <c r="H632" s="2157">
        <f>(G632/F632)*100</f>
        <v>100</v>
      </c>
    </row>
    <row r="633" spans="1:9" s="2163" customFormat="1" ht="15.75" thickTop="1" x14ac:dyDescent="0.25">
      <c r="A633" s="2213"/>
      <c r="B633" s="2212"/>
      <c r="C633" s="2211"/>
      <c r="E633" s="2205"/>
      <c r="F633" s="2205"/>
      <c r="G633" s="2205"/>
      <c r="H633" s="2204"/>
    </row>
    <row r="634" spans="1:9" s="2131" customFormat="1" ht="15" customHeight="1" x14ac:dyDescent="0.25">
      <c r="A634" s="3138" t="s">
        <v>9</v>
      </c>
      <c r="B634" s="3139"/>
      <c r="C634" s="3139"/>
      <c r="D634" s="3139"/>
      <c r="E634" s="3141">
        <f>SUM(E632)</f>
        <v>5066</v>
      </c>
      <c r="F634" s="3141">
        <f>SUM(F632)</f>
        <v>13470</v>
      </c>
      <c r="G634" s="3141">
        <f>SUM(G632)</f>
        <v>13470</v>
      </c>
      <c r="H634" s="3146">
        <f>(G634/F634)*100</f>
        <v>100</v>
      </c>
    </row>
    <row r="635" spans="1:9" s="2131" customFormat="1" ht="15.75" customHeight="1" thickBot="1" x14ac:dyDescent="0.3">
      <c r="A635" s="3140"/>
      <c r="B635" s="3140"/>
      <c r="C635" s="3140"/>
      <c r="D635" s="3140"/>
      <c r="E635" s="3140"/>
      <c r="F635" s="3140"/>
      <c r="G635" s="3140"/>
      <c r="H635" s="3140"/>
    </row>
    <row r="636" spans="1:9" s="2126" customFormat="1" ht="14.25" customHeight="1" thickTop="1" x14ac:dyDescent="0.25">
      <c r="A636" s="2149"/>
      <c r="B636" s="2210"/>
      <c r="C636" s="2209"/>
      <c r="D636" s="2208"/>
      <c r="E636" s="2140"/>
      <c r="F636" s="2140"/>
      <c r="G636" s="2140"/>
      <c r="H636" s="2139"/>
    </row>
    <row r="637" spans="1:9" s="2126" customFormat="1" ht="14.25" customHeight="1" x14ac:dyDescent="0.25">
      <c r="A637" s="2149"/>
      <c r="B637" s="2210"/>
      <c r="C637" s="2209"/>
      <c r="D637" s="2208"/>
      <c r="E637" s="2140"/>
      <c r="F637" s="2140"/>
      <c r="G637" s="2140"/>
      <c r="H637" s="2139"/>
    </row>
    <row r="638" spans="1:9" s="1465" customFormat="1" ht="15.75" x14ac:dyDescent="0.25">
      <c r="A638" s="2207" t="s">
        <v>10</v>
      </c>
      <c r="B638" s="2206"/>
      <c r="C638" s="2206"/>
      <c r="D638" s="2206"/>
      <c r="E638" s="2205" t="s">
        <v>533</v>
      </c>
      <c r="F638" s="2205"/>
      <c r="G638" s="2205"/>
      <c r="H638" s="2204"/>
    </row>
    <row r="639" spans="1:9" ht="15" thickBot="1" x14ac:dyDescent="0.25">
      <c r="A639" s="2156"/>
      <c r="H639" s="2203" t="s">
        <v>148</v>
      </c>
    </row>
    <row r="640" spans="1:9" s="2196" customFormat="1" ht="20.25" customHeight="1" thickTop="1" thickBot="1" x14ac:dyDescent="0.25">
      <c r="A640" s="2202" t="s">
        <v>149</v>
      </c>
      <c r="B640" s="2201" t="s">
        <v>150</v>
      </c>
      <c r="C640" s="2200" t="s">
        <v>639</v>
      </c>
      <c r="D640" s="2199" t="s">
        <v>151</v>
      </c>
      <c r="E640" s="1324" t="s">
        <v>569</v>
      </c>
      <c r="F640" s="1324" t="s">
        <v>570</v>
      </c>
      <c r="G640" s="2198" t="s">
        <v>797</v>
      </c>
      <c r="H640" s="2197" t="s">
        <v>798</v>
      </c>
    </row>
    <row r="641" spans="1:19" s="1292" customFormat="1" ht="13.5" thickTop="1" thickBot="1" x14ac:dyDescent="0.25">
      <c r="A641" s="1297">
        <v>1</v>
      </c>
      <c r="B641" s="1296">
        <v>2</v>
      </c>
      <c r="C641" s="1296">
        <v>3</v>
      </c>
      <c r="D641" s="1296">
        <v>4</v>
      </c>
      <c r="E641" s="1296">
        <v>5</v>
      </c>
      <c r="F641" s="1295">
        <v>6</v>
      </c>
      <c r="G641" s="1295">
        <v>7</v>
      </c>
      <c r="H641" s="1294" t="s">
        <v>54</v>
      </c>
      <c r="I641" s="1298"/>
    </row>
    <row r="642" spans="1:19" s="2163" customFormat="1" ht="15.75" thickTop="1" x14ac:dyDescent="0.25">
      <c r="A642" s="2177">
        <v>4350</v>
      </c>
      <c r="B642" s="2176">
        <v>5331</v>
      </c>
      <c r="C642" s="2175"/>
      <c r="D642" s="2174" t="s">
        <v>216</v>
      </c>
      <c r="E642" s="2173"/>
      <c r="F642" s="2173">
        <v>60</v>
      </c>
      <c r="G642" s="2173">
        <v>60</v>
      </c>
      <c r="H642" s="2195">
        <f>G642/F642*100</f>
        <v>100</v>
      </c>
    </row>
    <row r="643" spans="1:19" x14ac:dyDescent="0.2">
      <c r="A643" s="2170"/>
      <c r="B643" s="2169"/>
      <c r="C643" s="2194" t="s">
        <v>1016</v>
      </c>
      <c r="D643" s="2190" t="s">
        <v>1020</v>
      </c>
      <c r="E643" s="2166"/>
      <c r="F643" s="2166">
        <v>60</v>
      </c>
      <c r="G643" s="2166">
        <v>60</v>
      </c>
      <c r="H643" s="2165">
        <f>(G643/F643)*100</f>
        <v>100</v>
      </c>
    </row>
    <row r="644" spans="1:19" s="2163" customFormat="1" ht="15" x14ac:dyDescent="0.25">
      <c r="A644" s="2170">
        <v>4357</v>
      </c>
      <c r="B644" s="2169">
        <v>5331</v>
      </c>
      <c r="C644" s="2193"/>
      <c r="D644" s="1454" t="s">
        <v>216</v>
      </c>
      <c r="E644" s="2180">
        <f>E645+E646+E647</f>
        <v>6104</v>
      </c>
      <c r="F644" s="2180">
        <f>F645+F646+F647</f>
        <v>3558</v>
      </c>
      <c r="G644" s="2180">
        <f>G645+G646+G647</f>
        <v>3558</v>
      </c>
      <c r="H644" s="2192">
        <f>G644/F644*100</f>
        <v>100</v>
      </c>
    </row>
    <row r="645" spans="1:19" x14ac:dyDescent="0.2">
      <c r="A645" s="2170"/>
      <c r="B645" s="2169"/>
      <c r="C645" s="2191" t="s">
        <v>521</v>
      </c>
      <c r="D645" s="2190" t="s">
        <v>1128</v>
      </c>
      <c r="E645" s="2166">
        <v>1738</v>
      </c>
      <c r="F645" s="2166">
        <v>1744</v>
      </c>
      <c r="G645" s="2166">
        <v>1744</v>
      </c>
      <c r="H645" s="2165">
        <f t="shared" ref="H645:H655" si="22">(G645/F645)*100</f>
        <v>100</v>
      </c>
    </row>
    <row r="646" spans="1:19" x14ac:dyDescent="0.2">
      <c r="A646" s="2170"/>
      <c r="B646" s="2169"/>
      <c r="C646" s="2168" t="s">
        <v>682</v>
      </c>
      <c r="D646" s="2189" t="s">
        <v>805</v>
      </c>
      <c r="E646" s="2166"/>
      <c r="F646" s="2166">
        <v>548</v>
      </c>
      <c r="G646" s="2166">
        <v>548</v>
      </c>
      <c r="H646" s="2165">
        <f t="shared" si="22"/>
        <v>100</v>
      </c>
    </row>
    <row r="647" spans="1:19" x14ac:dyDescent="0.2">
      <c r="A647" s="2170"/>
      <c r="B647" s="2169"/>
      <c r="C647" s="2182" t="s">
        <v>517</v>
      </c>
      <c r="D647" s="2188" t="s">
        <v>984</v>
      </c>
      <c r="E647" s="2166">
        <v>4366</v>
      </c>
      <c r="F647" s="2166">
        <v>1266</v>
      </c>
      <c r="G647" s="2166">
        <v>1266</v>
      </c>
      <c r="H647" s="2165">
        <f t="shared" si="22"/>
        <v>100</v>
      </c>
    </row>
    <row r="648" spans="1:19" ht="15" x14ac:dyDescent="0.25">
      <c r="A648" s="2170">
        <v>4357</v>
      </c>
      <c r="B648" s="2169">
        <v>5336</v>
      </c>
      <c r="C648" s="2184"/>
      <c r="D648" s="2183" t="s">
        <v>1740</v>
      </c>
      <c r="E648" s="2180"/>
      <c r="F648" s="2180">
        <f>F649+F650</f>
        <v>253</v>
      </c>
      <c r="G648" s="2180">
        <f>G649+G650</f>
        <v>253</v>
      </c>
      <c r="H648" s="2172">
        <f t="shared" si="22"/>
        <v>100</v>
      </c>
    </row>
    <row r="649" spans="1:19" x14ac:dyDescent="0.2">
      <c r="A649" s="2170"/>
      <c r="B649" s="2169"/>
      <c r="C649" s="2186" t="s">
        <v>1210</v>
      </c>
      <c r="D649" s="2187" t="s">
        <v>1211</v>
      </c>
      <c r="E649" s="2166"/>
      <c r="F649" s="2166">
        <v>38</v>
      </c>
      <c r="G649" s="2166">
        <v>38</v>
      </c>
      <c r="H649" s="2165">
        <f t="shared" si="22"/>
        <v>100</v>
      </c>
    </row>
    <row r="650" spans="1:19" x14ac:dyDescent="0.2">
      <c r="A650" s="2170"/>
      <c r="B650" s="2169"/>
      <c r="C650" s="2186" t="s">
        <v>1212</v>
      </c>
      <c r="D650" s="2185" t="s">
        <v>1213</v>
      </c>
      <c r="E650" s="2166"/>
      <c r="F650" s="2166">
        <v>215</v>
      </c>
      <c r="G650" s="2166">
        <v>215</v>
      </c>
      <c r="H650" s="2165">
        <f t="shared" si="22"/>
        <v>100</v>
      </c>
    </row>
    <row r="651" spans="1:19" ht="15" x14ac:dyDescent="0.25">
      <c r="A651" s="2170">
        <v>4399</v>
      </c>
      <c r="B651" s="2169">
        <v>5336</v>
      </c>
      <c r="C651" s="2184"/>
      <c r="D651" s="2183" t="s">
        <v>1740</v>
      </c>
      <c r="E651" s="2180"/>
      <c r="F651" s="2180">
        <v>17106</v>
      </c>
      <c r="G651" s="2180">
        <v>17106</v>
      </c>
      <c r="H651" s="2172">
        <f t="shared" si="22"/>
        <v>100</v>
      </c>
    </row>
    <row r="652" spans="1:19" ht="15.75" thickBot="1" x14ac:dyDescent="0.3">
      <c r="A652" s="2170"/>
      <c r="B652" s="2169"/>
      <c r="C652" s="2182" t="s">
        <v>1623</v>
      </c>
      <c r="D652" s="2181" t="s">
        <v>1635</v>
      </c>
      <c r="E652" s="2180"/>
      <c r="F652" s="2166">
        <v>17106</v>
      </c>
      <c r="G652" s="2166">
        <v>17106</v>
      </c>
      <c r="H652" s="2165">
        <f t="shared" si="22"/>
        <v>100</v>
      </c>
    </row>
    <row r="653" spans="1:19" s="2131" customFormat="1" ht="20.25" customHeight="1" thickTop="1" thickBot="1" x14ac:dyDescent="0.3">
      <c r="A653" s="2162" t="s">
        <v>1000</v>
      </c>
      <c r="B653" s="2161"/>
      <c r="C653" s="2160"/>
      <c r="D653" s="2179"/>
      <c r="E653" s="2158">
        <f>SUM(E644)</f>
        <v>6104</v>
      </c>
      <c r="F653" s="2158">
        <f>SUM(F644,F651,F642,F648)</f>
        <v>20977</v>
      </c>
      <c r="G653" s="2158">
        <f>SUM(G644,G651,G642,G648)</f>
        <v>20977</v>
      </c>
      <c r="H653" s="2157">
        <f t="shared" si="22"/>
        <v>100</v>
      </c>
      <c r="J653" s="1254">
        <f>E653+E632+E616+E602+E589+E570+E555+E537+E522+E510+E494+E477+E461+E448+E430+E414</f>
        <v>76237</v>
      </c>
      <c r="K653" s="1254">
        <f>F653+F632+F616+F602+F589+F570+F555+F537+F522+F510+F494+F477+F461+F448+F430+F414</f>
        <v>212895</v>
      </c>
      <c r="L653" s="1254">
        <f>G653+G632+G616+G602+G589+G570+G555+G537+G522+G510+G494+G477+G461+G448+G430+G414</f>
        <v>212895</v>
      </c>
      <c r="M653" s="1254" t="s">
        <v>579</v>
      </c>
      <c r="N653" s="2178"/>
    </row>
    <row r="654" spans="1:19" s="2163" customFormat="1" ht="15.75" thickTop="1" x14ac:dyDescent="0.25">
      <c r="A654" s="2177">
        <v>4357</v>
      </c>
      <c r="B654" s="2176">
        <v>6351</v>
      </c>
      <c r="C654" s="2175"/>
      <c r="D654" s="2174" t="s">
        <v>1056</v>
      </c>
      <c r="E654" s="2173"/>
      <c r="F654" s="2173">
        <v>238</v>
      </c>
      <c r="G654" s="2173">
        <v>238</v>
      </c>
      <c r="H654" s="2172">
        <f t="shared" si="22"/>
        <v>100</v>
      </c>
      <c r="I654" s="2171"/>
      <c r="J654" s="2171">
        <f>J653+J399</f>
        <v>195546</v>
      </c>
      <c r="K654" s="2171">
        <f>K653+K399</f>
        <v>548454</v>
      </c>
      <c r="L654" s="2171">
        <f>L653+L399</f>
        <v>548454</v>
      </c>
      <c r="M654" s="2163" t="s">
        <v>1460</v>
      </c>
    </row>
    <row r="655" spans="1:19" ht="15" thickBot="1" x14ac:dyDescent="0.25">
      <c r="A655" s="2170"/>
      <c r="B655" s="2169"/>
      <c r="C655" s="2168" t="s">
        <v>682</v>
      </c>
      <c r="D655" s="2167" t="s">
        <v>805</v>
      </c>
      <c r="E655" s="2166"/>
      <c r="F655" s="2166">
        <v>238</v>
      </c>
      <c r="G655" s="2166">
        <v>238</v>
      </c>
      <c r="H655" s="2165">
        <f t="shared" si="22"/>
        <v>100</v>
      </c>
      <c r="J655" s="2163"/>
      <c r="K655" s="2164">
        <v>548454614.00999999</v>
      </c>
      <c r="L655" s="2164">
        <v>548454495.00999999</v>
      </c>
      <c r="M655" s="2163"/>
    </row>
    <row r="656" spans="1:19" s="2131" customFormat="1" ht="20.25" customHeight="1" thickTop="1" thickBot="1" x14ac:dyDescent="0.3">
      <c r="A656" s="2162" t="s">
        <v>1001</v>
      </c>
      <c r="B656" s="2161"/>
      <c r="C656" s="2160"/>
      <c r="D656" s="2159"/>
      <c r="E656" s="2158">
        <f>E654</f>
        <v>0</v>
      </c>
      <c r="F656" s="2158">
        <f>SUM(F654)</f>
        <v>238</v>
      </c>
      <c r="G656" s="2158">
        <f>SUM(G654)</f>
        <v>238</v>
      </c>
      <c r="H656" s="2157">
        <f>SUM(H654)</f>
        <v>100</v>
      </c>
      <c r="J656" s="2126"/>
      <c r="K656" s="2126"/>
      <c r="L656" s="2126"/>
      <c r="M656" s="2126"/>
      <c r="S656" s="2131">
        <v>0</v>
      </c>
    </row>
    <row r="657" spans="1:15" ht="15" thickTop="1" x14ac:dyDescent="0.2">
      <c r="A657" s="2156"/>
      <c r="J657" s="1254">
        <f>E656+E619+E573+E540+E480</f>
        <v>0</v>
      </c>
      <c r="K657" s="1254">
        <f>F656+F619+F573+F540+F480</f>
        <v>1619</v>
      </c>
      <c r="L657" s="1254">
        <f>G656+G619+G573+G540+G480</f>
        <v>1619</v>
      </c>
      <c r="M657" s="1249" t="s">
        <v>534</v>
      </c>
    </row>
    <row r="658" spans="1:15" s="2126" customFormat="1" ht="27.75" customHeight="1" thickBot="1" x14ac:dyDescent="0.3">
      <c r="A658" s="2155" t="s">
        <v>11</v>
      </c>
      <c r="B658" s="2154"/>
      <c r="C658" s="2154"/>
      <c r="D658" s="2154"/>
      <c r="E658" s="2153">
        <f>SUM(E653)</f>
        <v>6104</v>
      </c>
      <c r="F658" s="2153">
        <f>SUM(F653,F656)</f>
        <v>21215</v>
      </c>
      <c r="G658" s="2153">
        <f>SUM(G653,G656)</f>
        <v>21215</v>
      </c>
      <c r="H658" s="2152">
        <f>(G658/F658)*100</f>
        <v>100</v>
      </c>
      <c r="J658" s="2151">
        <f>J657+J403</f>
        <v>0</v>
      </c>
      <c r="K658" s="2151">
        <f>K657+K403</f>
        <v>2169</v>
      </c>
      <c r="L658" s="2151">
        <f>L657+L403</f>
        <v>2169</v>
      </c>
      <c r="M658" s="1397" t="s">
        <v>1875</v>
      </c>
    </row>
    <row r="659" spans="1:15" s="2126" customFormat="1" ht="21" customHeight="1" thickTop="1" x14ac:dyDescent="0.25">
      <c r="A659" s="2149"/>
      <c r="B659" s="2148"/>
      <c r="C659" s="2148"/>
      <c r="D659" s="2148"/>
      <c r="E659" s="2150"/>
      <c r="F659" s="2150"/>
      <c r="G659" s="2150"/>
      <c r="H659" s="2147"/>
      <c r="J659" s="2151">
        <f>J654+J658</f>
        <v>195546</v>
      </c>
      <c r="K659" s="2151">
        <f>K654+K658</f>
        <v>550623</v>
      </c>
      <c r="L659" s="2151">
        <f>L654+L658</f>
        <v>550623</v>
      </c>
      <c r="M659" s="1397" t="s">
        <v>1874</v>
      </c>
    </row>
    <row r="660" spans="1:15" s="2126" customFormat="1" ht="16.5" customHeight="1" x14ac:dyDescent="0.25">
      <c r="A660" s="2149"/>
      <c r="B660" s="2148"/>
      <c r="C660" s="2148"/>
      <c r="D660" s="2148"/>
      <c r="E660" s="2150"/>
      <c r="F660" s="2150"/>
      <c r="G660" s="2150"/>
      <c r="H660" s="2147"/>
      <c r="J660" s="2146"/>
      <c r="K660" s="2146"/>
      <c r="L660" s="2146"/>
    </row>
    <row r="661" spans="1:15" s="2126" customFormat="1" ht="16.5" customHeight="1" x14ac:dyDescent="0.25">
      <c r="A661" s="2149"/>
      <c r="B661" s="2148"/>
      <c r="C661" s="2148"/>
      <c r="D661" s="2148"/>
      <c r="E661" s="2150"/>
      <c r="F661" s="2150"/>
      <c r="G661" s="2150"/>
      <c r="H661" s="2147"/>
      <c r="J661" s="2146"/>
      <c r="K661" s="2146"/>
      <c r="L661" s="2146"/>
    </row>
    <row r="662" spans="1:15" s="2126" customFormat="1" ht="27.75" customHeight="1" x14ac:dyDescent="0.25">
      <c r="A662" s="2149"/>
      <c r="B662" s="2148"/>
      <c r="C662" s="2148"/>
      <c r="D662" s="2148"/>
      <c r="E662" s="2150"/>
      <c r="F662" s="2150"/>
      <c r="G662" s="2150"/>
      <c r="H662" s="2147"/>
      <c r="J662" s="2146"/>
      <c r="K662" s="2146"/>
      <c r="L662" s="2146"/>
    </row>
    <row r="663" spans="1:15" s="2126" customFormat="1" ht="27.75" customHeight="1" x14ac:dyDescent="0.25">
      <c r="A663" s="2149"/>
      <c r="B663" s="2148"/>
      <c r="C663" s="2148"/>
      <c r="D663" s="2148"/>
      <c r="E663" s="2150"/>
      <c r="F663" s="2150"/>
      <c r="G663" s="2150"/>
      <c r="H663" s="2147"/>
      <c r="J663" s="2146"/>
      <c r="K663" s="2146"/>
      <c r="L663" s="2146"/>
    </row>
    <row r="664" spans="1:15" s="2126" customFormat="1" ht="27.75" customHeight="1" x14ac:dyDescent="0.25">
      <c r="A664" s="2149"/>
      <c r="B664" s="2148"/>
      <c r="C664" s="2148"/>
      <c r="D664" s="2148"/>
      <c r="E664" s="2134"/>
      <c r="F664" s="2134"/>
      <c r="G664" s="2134"/>
      <c r="H664" s="2147"/>
      <c r="J664" s="2146"/>
      <c r="K664" s="1254">
        <f>F668+F675</f>
        <v>667258</v>
      </c>
      <c r="L664" s="1254">
        <f>G668+G675</f>
        <v>666442</v>
      </c>
      <c r="M664" s="1249" t="s">
        <v>1636</v>
      </c>
    </row>
    <row r="665" spans="1:15" s="2131" customFormat="1" ht="15.75" customHeight="1" x14ac:dyDescent="0.25">
      <c r="A665" s="2145" t="s">
        <v>1036</v>
      </c>
      <c r="B665" s="2144"/>
      <c r="C665" s="2143"/>
      <c r="D665" s="2142"/>
      <c r="E665" s="2134">
        <f>E666+E667+E668+E669</f>
        <v>22521</v>
      </c>
      <c r="F665" s="2134">
        <f>F666+F667+F668+F669</f>
        <v>352990</v>
      </c>
      <c r="G665" s="2134">
        <f>G666+G667+G668+G669+G670</f>
        <v>352571</v>
      </c>
      <c r="H665" s="2133">
        <f>(G665/F665)*100</f>
        <v>99.881299753534094</v>
      </c>
      <c r="J665" s="2132">
        <f>J666+J667+J668+J669+J670</f>
        <v>22521000</v>
      </c>
      <c r="K665" s="2132">
        <f>K666+K667+K668+K669+K670</f>
        <v>352989628.60000002</v>
      </c>
      <c r="L665" s="2132">
        <f>L666+L667+L668+L669+L670</f>
        <v>352571037.97000003</v>
      </c>
    </row>
    <row r="666" spans="1:15" s="2126" customFormat="1" ht="15.75" customHeight="1" x14ac:dyDescent="0.25">
      <c r="A666" s="1263" t="s">
        <v>242</v>
      </c>
      <c r="B666" s="1265"/>
      <c r="C666" s="1261"/>
      <c r="D666" s="1436"/>
      <c r="E666" s="2130">
        <f>E116</f>
        <v>22521</v>
      </c>
      <c r="F666" s="2130">
        <f>F116-F668</f>
        <v>22921</v>
      </c>
      <c r="G666" s="2130">
        <f>G116-G668-G670</f>
        <v>22748</v>
      </c>
      <c r="H666" s="2129">
        <f>(G666/F666)*100</f>
        <v>99.245233628550238</v>
      </c>
      <c r="J666" s="1533">
        <v>22521000</v>
      </c>
      <c r="K666" s="1533">
        <f>K116-K668</f>
        <v>22921200</v>
      </c>
      <c r="L666" s="1533">
        <f>L116-L668-L670</f>
        <v>22748182.750000015</v>
      </c>
    </row>
    <row r="667" spans="1:15" s="2126" customFormat="1" ht="15.75" customHeight="1" x14ac:dyDescent="0.25">
      <c r="A667" s="1263" t="s">
        <v>243</v>
      </c>
      <c r="B667" s="1262"/>
      <c r="C667" s="1261"/>
      <c r="D667" s="1438"/>
      <c r="E667" s="2130">
        <v>0</v>
      </c>
      <c r="F667" s="2130">
        <f>F126</f>
        <v>800</v>
      </c>
      <c r="G667" s="2130">
        <f>G126</f>
        <v>800</v>
      </c>
      <c r="H667" s="2129">
        <f>(G667/F667)*100</f>
        <v>100</v>
      </c>
      <c r="J667" s="1533">
        <v>0</v>
      </c>
      <c r="K667" s="1533">
        <v>800000</v>
      </c>
      <c r="L667" s="1533">
        <v>800000</v>
      </c>
      <c r="M667" s="2141"/>
    </row>
    <row r="668" spans="1:15" s="2126" customFormat="1" ht="15.75" customHeight="1" x14ac:dyDescent="0.25">
      <c r="A668" s="1263" t="s">
        <v>191</v>
      </c>
      <c r="B668" s="1262"/>
      <c r="C668" s="1261"/>
      <c r="D668" s="1438"/>
      <c r="E668" s="2130">
        <v>0</v>
      </c>
      <c r="F668" s="2130">
        <f>F13+F18+F21+F25+F56+F57+F59+F60+F63+F64+F66+F67+F77+F78+F80+F81+F85+F86+F91+F96+F100+F103+F107+F111+F109</f>
        <v>329269</v>
      </c>
      <c r="G668" s="2130">
        <f>G13+G18+G21+G25+G56+G57+G59+G60+G63+G64+G66+G67+G77+G78+G80+G81+G85+G86+G91+G96+G100+G103+G107+G111+G109</f>
        <v>328453</v>
      </c>
      <c r="H668" s="2129">
        <f>(G668/F668)*100</f>
        <v>99.752178310135491</v>
      </c>
      <c r="J668" s="1533">
        <v>0</v>
      </c>
      <c r="K668" s="1533">
        <v>329268428.60000002</v>
      </c>
      <c r="L668" s="1533">
        <v>328452813.30000001</v>
      </c>
      <c r="N668" s="1533">
        <f>K668+K675</f>
        <v>667257645.86000001</v>
      </c>
      <c r="O668" s="1533">
        <f>L668+L675</f>
        <v>666442030.55999994</v>
      </c>
    </row>
    <row r="669" spans="1:15" s="2126" customFormat="1" ht="15.75" customHeight="1" x14ac:dyDescent="0.25">
      <c r="A669" s="1263" t="s">
        <v>1034</v>
      </c>
      <c r="B669" s="1262"/>
      <c r="C669" s="1261"/>
      <c r="D669" s="1438"/>
      <c r="E669" s="2130">
        <v>0</v>
      </c>
      <c r="F669" s="2130">
        <v>0</v>
      </c>
      <c r="G669" s="2130">
        <v>0</v>
      </c>
      <c r="H669" s="2129">
        <v>0</v>
      </c>
      <c r="J669" s="1533">
        <v>0</v>
      </c>
      <c r="K669" s="1533">
        <v>0</v>
      </c>
      <c r="L669" s="1533">
        <v>0</v>
      </c>
    </row>
    <row r="670" spans="1:15" s="2126" customFormat="1" ht="15.75" customHeight="1" x14ac:dyDescent="0.25">
      <c r="A670" s="1263" t="s">
        <v>424</v>
      </c>
      <c r="B670" s="1262"/>
      <c r="C670" s="1261"/>
      <c r="D670" s="1438"/>
      <c r="E670" s="2130">
        <v>0</v>
      </c>
      <c r="F670" s="2130">
        <v>0</v>
      </c>
      <c r="G670" s="2130">
        <f>G115</f>
        <v>570</v>
      </c>
      <c r="H670" s="2129">
        <v>0</v>
      </c>
      <c r="J670" s="1533">
        <v>0</v>
      </c>
      <c r="K670" s="1533">
        <v>0</v>
      </c>
      <c r="L670" s="1533">
        <v>570041.92000000004</v>
      </c>
    </row>
    <row r="671" spans="1:15" s="2126" customFormat="1" ht="15.75" customHeight="1" x14ac:dyDescent="0.25">
      <c r="A671" s="1263"/>
      <c r="B671" s="1262"/>
      <c r="C671" s="1261"/>
      <c r="D671" s="1438"/>
      <c r="E671" s="2140"/>
      <c r="F671" s="2140"/>
      <c r="G671" s="2140"/>
      <c r="H671" s="2139"/>
    </row>
    <row r="672" spans="1:15" s="2131" customFormat="1" ht="15.75" customHeight="1" x14ac:dyDescent="0.25">
      <c r="A672" s="2138" t="s">
        <v>244</v>
      </c>
      <c r="B672" s="2137"/>
      <c r="C672" s="2136"/>
      <c r="D672" s="2135"/>
      <c r="E672" s="2134">
        <f>E673+E674+E675+E676</f>
        <v>195546</v>
      </c>
      <c r="F672" s="2134">
        <f>F673+F674+F675+F676</f>
        <v>550623</v>
      </c>
      <c r="G672" s="2134">
        <f>G673+G674+G675+G676</f>
        <v>550623</v>
      </c>
      <c r="H672" s="2133">
        <f>(G672/F672)*100</f>
        <v>100</v>
      </c>
      <c r="J672" s="2132">
        <f>J673+J674+J675+J676</f>
        <v>195546000</v>
      </c>
      <c r="K672" s="2132">
        <f>K673+K674+K675+K676</f>
        <v>550623220.80999994</v>
      </c>
      <c r="L672" s="2132">
        <f>L673+L674+L675+L676</f>
        <v>550623101.80999994</v>
      </c>
    </row>
    <row r="673" spans="1:19" s="2126" customFormat="1" ht="15.75" customHeight="1" x14ac:dyDescent="0.25">
      <c r="A673" s="1263" t="s">
        <v>1873</v>
      </c>
      <c r="B673" s="1262"/>
      <c r="C673" s="1261"/>
      <c r="D673" s="1438"/>
      <c r="E673" s="2130">
        <f>J654</f>
        <v>195546</v>
      </c>
      <c r="F673" s="2130">
        <f>K654-F675</f>
        <v>210465</v>
      </c>
      <c r="G673" s="2130">
        <f>L654-G675</f>
        <v>210465</v>
      </c>
      <c r="H673" s="2129">
        <f>(G673/F673)*100</f>
        <v>100</v>
      </c>
      <c r="J673" s="1533">
        <v>195546000</v>
      </c>
      <c r="K673" s="1533">
        <f>K655-K675</f>
        <v>210465396.75</v>
      </c>
      <c r="L673" s="1533">
        <f>L655-L675</f>
        <v>210465277.75</v>
      </c>
      <c r="M673" s="1437"/>
      <c r="N673" s="1264"/>
      <c r="O673" s="1264"/>
      <c r="P673" s="1264"/>
      <c r="Q673" s="1264"/>
      <c r="R673" s="1264"/>
      <c r="S673" s="1264">
        <f>SUM(S153:S653)</f>
        <v>0</v>
      </c>
    </row>
    <row r="674" spans="1:19" s="2126" customFormat="1" ht="15.75" customHeight="1" x14ac:dyDescent="0.25">
      <c r="A674" s="1263" t="s">
        <v>1872</v>
      </c>
      <c r="B674" s="1262"/>
      <c r="C674" s="1261"/>
      <c r="D674" s="1438"/>
      <c r="E674" s="2130">
        <f>J657-E676</f>
        <v>0</v>
      </c>
      <c r="F674" s="2130">
        <f>K658</f>
        <v>2169</v>
      </c>
      <c r="G674" s="2130">
        <f>L658</f>
        <v>2169</v>
      </c>
      <c r="H674" s="2129">
        <f>(G674/F674)*100</f>
        <v>100</v>
      </c>
      <c r="J674" s="1533">
        <v>0</v>
      </c>
      <c r="K674" s="1533">
        <v>2168606.7999999998</v>
      </c>
      <c r="L674" s="1533">
        <v>2168606.7999999998</v>
      </c>
      <c r="M674" s="2127"/>
    </row>
    <row r="675" spans="1:19" s="2126" customFormat="1" ht="15.75" customHeight="1" x14ac:dyDescent="0.25">
      <c r="A675" s="1263" t="s">
        <v>2149</v>
      </c>
      <c r="B675" s="2121"/>
      <c r="C675" s="2120"/>
      <c r="D675" s="1249"/>
      <c r="E675" s="2130">
        <v>0</v>
      </c>
      <c r="F675" s="2130">
        <f>F147+F161+F164+F179+F193+F209+F225+F240+F256+F269+F271+F286+F289+F303+F317+F320+F334+F337+F351+F354+F369+F397+F428+F443+F446+F475+F492+F508+F535+F553++F568+F584+F587+F600++F614++F630+F648+F651</f>
        <v>337989</v>
      </c>
      <c r="G675" s="2130">
        <f>G147+G161+G164+G179+G193+G209+G225+G240+G256+G269+G271+G286+G289+G303+G317+G320+G334+G337+G351+G354+G369+G397+G428+G443+G446+G475+G492+G508+G535+G553++G568+G584+G587+G600++G614++G630+G648+G651</f>
        <v>337989</v>
      </c>
      <c r="H675" s="2129">
        <f>(G675/F675)*100</f>
        <v>100</v>
      </c>
      <c r="J675" s="1533">
        <v>0</v>
      </c>
      <c r="K675" s="1533">
        <v>337989217.25999999</v>
      </c>
      <c r="L675" s="1533">
        <v>337989217.25999999</v>
      </c>
      <c r="M675" s="2127"/>
    </row>
    <row r="676" spans="1:19" s="2126" customFormat="1" ht="15.75" customHeight="1" x14ac:dyDescent="0.25">
      <c r="A676" s="1263" t="s">
        <v>2150</v>
      </c>
      <c r="B676" s="2121"/>
      <c r="C676" s="2120"/>
      <c r="D676" s="1249"/>
      <c r="E676" s="2130">
        <v>0</v>
      </c>
      <c r="F676" s="2130">
        <v>0</v>
      </c>
      <c r="G676" s="2130">
        <v>0</v>
      </c>
      <c r="H676" s="2129">
        <v>0</v>
      </c>
      <c r="J676" s="2128">
        <v>0</v>
      </c>
      <c r="K676" s="1533">
        <v>0</v>
      </c>
      <c r="L676" s="1533">
        <v>0</v>
      </c>
      <c r="M676" s="2127"/>
    </row>
    <row r="677" spans="1:19" s="1436" customFormat="1" ht="15" x14ac:dyDescent="0.2">
      <c r="A677" s="1265"/>
      <c r="B677" s="1265"/>
      <c r="C677" s="2120"/>
      <c r="E677" s="2119"/>
      <c r="F677" s="2119"/>
      <c r="G677" s="2119"/>
      <c r="H677" s="2118"/>
      <c r="J677" s="1264"/>
      <c r="K677" s="1264"/>
    </row>
    <row r="678" spans="1:19" s="2122" customFormat="1" ht="47.25" customHeight="1" thickBot="1" x14ac:dyDescent="0.35">
      <c r="A678" s="3136" t="s">
        <v>1124</v>
      </c>
      <c r="B678" s="3137"/>
      <c r="C678" s="3137"/>
      <c r="D678" s="3137"/>
      <c r="E678" s="2125">
        <f>SUM(E665,E672)</f>
        <v>218067</v>
      </c>
      <c r="F678" s="2125">
        <f>SUM(F665,F672)</f>
        <v>903613</v>
      </c>
      <c r="G678" s="2125">
        <f>SUM(G665,G672)</f>
        <v>903194</v>
      </c>
      <c r="H678" s="2124">
        <f>(G678/F678)*100</f>
        <v>99.953630591857362</v>
      </c>
      <c r="J678" s="2123">
        <f>J665+J672</f>
        <v>218067000</v>
      </c>
      <c r="K678" s="2123">
        <f>K665+K672</f>
        <v>903612849.40999997</v>
      </c>
      <c r="L678" s="2123">
        <f>L665+L672</f>
        <v>903194139.77999997</v>
      </c>
    </row>
    <row r="679" spans="1:19" ht="15" thickTop="1" x14ac:dyDescent="0.2"/>
    <row r="683" spans="1:19" x14ac:dyDescent="0.2">
      <c r="J683" s="1254">
        <f>E668+E669+E675+E676</f>
        <v>0</v>
      </c>
      <c r="K683" s="1254">
        <f>F668+F669+F675+F676</f>
        <v>667258</v>
      </c>
      <c r="L683" s="1254">
        <f>G668+G669+G675+G676</f>
        <v>666442</v>
      </c>
      <c r="N683" s="1249" t="s">
        <v>535</v>
      </c>
    </row>
  </sheetData>
  <mergeCells count="22">
    <mergeCell ref="D53:D54"/>
    <mergeCell ref="D13:D14"/>
    <mergeCell ref="H634:H635"/>
    <mergeCell ref="F634:F635"/>
    <mergeCell ref="G634:G635"/>
    <mergeCell ref="D33:D34"/>
    <mergeCell ref="D39:D40"/>
    <mergeCell ref="D44:D45"/>
    <mergeCell ref="D51:D52"/>
    <mergeCell ref="D28:D29"/>
    <mergeCell ref="D68:D69"/>
    <mergeCell ref="D31:D32"/>
    <mergeCell ref="D37:D38"/>
    <mergeCell ref="D42:D43"/>
    <mergeCell ref="D47:D48"/>
    <mergeCell ref="D49:D50"/>
    <mergeCell ref="A678:D678"/>
    <mergeCell ref="A634:D635"/>
    <mergeCell ref="E634:E635"/>
    <mergeCell ref="D92:D93"/>
    <mergeCell ref="D335:D336"/>
    <mergeCell ref="D124:D125"/>
  </mergeCells>
  <pageMargins left="0.98425196850393704" right="0.98425196850393704" top="0.98425196850393704" bottom="0.98425196850393704" header="0.51181102362204722" footer="0.51181102362204722"/>
  <pageSetup paperSize="9" scale="70" firstPageNumber="85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15"/>
  <sheetViews>
    <sheetView showGridLines="0" view="pageBreakPreview" zoomScaleNormal="100" zoomScaleSheetLayoutView="100" workbookViewId="0">
      <selection activeCell="F34" sqref="F34"/>
    </sheetView>
  </sheetViews>
  <sheetFormatPr defaultColWidth="9.140625" defaultRowHeight="12.75" x14ac:dyDescent="0.2"/>
  <cols>
    <col min="1" max="1" width="5" style="2326" customWidth="1"/>
    <col min="2" max="2" width="5.5703125" style="1249" customWidth="1"/>
    <col min="3" max="3" width="9.5703125" style="2325" customWidth="1"/>
    <col min="4" max="4" width="45.7109375" style="1249" customWidth="1"/>
    <col min="5" max="5" width="14.5703125" style="1254" customWidth="1"/>
    <col min="6" max="6" width="14.28515625" style="1254" customWidth="1"/>
    <col min="7" max="7" width="15.28515625" style="1254" customWidth="1"/>
    <col min="8" max="8" width="7.140625" style="2203" customWidth="1"/>
    <col min="9" max="9" width="9.140625" style="1249"/>
    <col min="10" max="10" width="28.140625" style="1249" bestFit="1" customWidth="1"/>
    <col min="11" max="11" width="16.28515625" style="1249" customWidth="1"/>
    <col min="12" max="12" width="16.140625" style="1249" customWidth="1"/>
    <col min="13" max="13" width="9.5703125" style="1249" bestFit="1" customWidth="1"/>
    <col min="14" max="14" width="13.7109375" style="1249" bestFit="1" customWidth="1"/>
    <col min="15" max="15" width="16.7109375" style="1249" customWidth="1"/>
    <col min="16" max="16384" width="9.140625" style="1249"/>
  </cols>
  <sheetData>
    <row r="1" spans="1:21" ht="18.75" thickBot="1" x14ac:dyDescent="0.3">
      <c r="A1" s="1342" t="s">
        <v>856</v>
      </c>
      <c r="B1" s="1341"/>
      <c r="C1" s="2396"/>
      <c r="D1" s="1340"/>
      <c r="E1" s="1339"/>
      <c r="F1" s="1338" t="s">
        <v>857</v>
      </c>
      <c r="I1" s="1307"/>
    </row>
    <row r="2" spans="1:21" ht="12.75" customHeight="1" x14ac:dyDescent="0.25">
      <c r="A2" s="1335"/>
      <c r="B2" s="1311"/>
      <c r="C2" s="2395"/>
      <c r="D2" s="1334"/>
      <c r="E2" s="1308"/>
      <c r="F2" s="1308"/>
      <c r="G2" s="2094"/>
      <c r="H2" s="2384"/>
      <c r="I2" s="1307"/>
    </row>
    <row r="3" spans="1:21" ht="12.75" customHeight="1" x14ac:dyDescent="0.25">
      <c r="A3" s="1337" t="s">
        <v>336</v>
      </c>
      <c r="B3" s="1311"/>
      <c r="C3" s="1370" t="s">
        <v>1884</v>
      </c>
      <c r="D3" s="1336"/>
      <c r="E3" s="1308"/>
      <c r="F3" s="2094"/>
      <c r="G3" s="1307"/>
      <c r="H3" s="2384"/>
    </row>
    <row r="4" spans="1:21" ht="12.75" customHeight="1" x14ac:dyDescent="0.25">
      <c r="A4" s="1335"/>
      <c r="B4" s="1311"/>
      <c r="C4" s="1370" t="s">
        <v>1436</v>
      </c>
      <c r="D4" s="1254"/>
      <c r="E4" s="1308"/>
      <c r="F4" s="2094"/>
      <c r="G4" s="1307"/>
      <c r="H4" s="2384"/>
    </row>
    <row r="5" spans="1:21" ht="12.75" customHeight="1" x14ac:dyDescent="0.25">
      <c r="A5" s="1335"/>
      <c r="B5" s="1311"/>
      <c r="C5" s="1370"/>
      <c r="D5" s="1254"/>
      <c r="E5" s="1308"/>
      <c r="F5" s="2094"/>
      <c r="G5" s="1307"/>
      <c r="H5" s="2384"/>
    </row>
    <row r="6" spans="1:21" ht="12.75" customHeight="1" x14ac:dyDescent="0.25">
      <c r="A6" s="2245" t="s">
        <v>799</v>
      </c>
      <c r="B6" s="1311"/>
      <c r="C6" s="1370"/>
      <c r="D6" s="1254"/>
      <c r="E6" s="1308"/>
      <c r="F6" s="2094"/>
      <c r="G6" s="1307"/>
      <c r="H6" s="2384"/>
    </row>
    <row r="7" spans="1:21" ht="13.5" thickBot="1" x14ac:dyDescent="0.25">
      <c r="A7" s="1305"/>
      <c r="B7" s="1305"/>
      <c r="C7" s="2394"/>
      <c r="D7" s="1325"/>
      <c r="G7" s="1303"/>
      <c r="H7" s="2203" t="s">
        <v>148</v>
      </c>
    </row>
    <row r="8" spans="1:21" s="1298" customFormat="1" ht="20.25" customHeight="1" thickTop="1" thickBot="1" x14ac:dyDescent="0.25">
      <c r="A8" s="1302" t="s">
        <v>149</v>
      </c>
      <c r="B8" s="1301" t="s">
        <v>150</v>
      </c>
      <c r="C8" s="2263" t="s">
        <v>639</v>
      </c>
      <c r="D8" s="1324" t="s">
        <v>151</v>
      </c>
      <c r="E8" s="1324" t="s">
        <v>569</v>
      </c>
      <c r="F8" s="1324" t="s">
        <v>570</v>
      </c>
      <c r="G8" s="2198" t="s">
        <v>797</v>
      </c>
      <c r="H8" s="2262" t="s">
        <v>798</v>
      </c>
    </row>
    <row r="9" spans="1:21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6">
        <v>5</v>
      </c>
      <c r="F9" s="1295">
        <v>6</v>
      </c>
      <c r="G9" s="1295">
        <v>7</v>
      </c>
      <c r="H9" s="1294" t="s">
        <v>54</v>
      </c>
      <c r="I9" s="1298"/>
    </row>
    <row r="10" spans="1:21" s="1292" customFormat="1" ht="15.75" thickTop="1" x14ac:dyDescent="0.25">
      <c r="A10" s="1331">
        <v>2212</v>
      </c>
      <c r="B10" s="1330">
        <v>5169</v>
      </c>
      <c r="C10" s="1281"/>
      <c r="D10" s="1285" t="s">
        <v>769</v>
      </c>
      <c r="E10" s="1321">
        <v>100</v>
      </c>
      <c r="F10" s="1321">
        <v>100</v>
      </c>
      <c r="G10" s="1321">
        <v>93</v>
      </c>
      <c r="H10" s="1282">
        <f>G10/F10*100</f>
        <v>93</v>
      </c>
      <c r="I10" s="1298"/>
    </row>
    <row r="11" spans="1:21" s="1292" customFormat="1" ht="15" x14ac:dyDescent="0.25">
      <c r="A11" s="1331">
        <v>2212</v>
      </c>
      <c r="B11" s="1330">
        <v>5321</v>
      </c>
      <c r="C11" s="1281"/>
      <c r="D11" s="1285" t="s">
        <v>1078</v>
      </c>
      <c r="E11" s="1321"/>
      <c r="F11" s="1321">
        <f>F12+F13</f>
        <v>13793</v>
      </c>
      <c r="G11" s="1321">
        <f>G12+G13</f>
        <v>13773</v>
      </c>
      <c r="H11" s="1282">
        <f>G11/F11*100</f>
        <v>99.854998912491837</v>
      </c>
      <c r="I11" s="1298"/>
    </row>
    <row r="12" spans="1:21" s="1292" customFormat="1" ht="15" x14ac:dyDescent="0.25">
      <c r="A12" s="1331"/>
      <c r="B12" s="1330"/>
      <c r="C12" s="1329" t="s">
        <v>1761</v>
      </c>
      <c r="D12" s="1328" t="s">
        <v>806</v>
      </c>
      <c r="E12" s="1321"/>
      <c r="F12" s="1276">
        <v>13700</v>
      </c>
      <c r="G12" s="1276">
        <v>13700</v>
      </c>
      <c r="H12" s="1273">
        <f>G12/F12*100</f>
        <v>100</v>
      </c>
      <c r="I12" s="1298"/>
    </row>
    <row r="13" spans="1:21" s="1292" customFormat="1" ht="15" x14ac:dyDescent="0.25">
      <c r="A13" s="1331"/>
      <c r="B13" s="1330"/>
      <c r="C13" s="2351" t="s">
        <v>1906</v>
      </c>
      <c r="D13" s="2300" t="s">
        <v>1627</v>
      </c>
      <c r="E13" s="1321"/>
      <c r="F13" s="1276">
        <v>93</v>
      </c>
      <c r="G13" s="1276">
        <v>73</v>
      </c>
      <c r="H13" s="1273">
        <f>G13/F13*100</f>
        <v>78.494623655913969</v>
      </c>
      <c r="I13" s="1298"/>
    </row>
    <row r="14" spans="1:21" s="2283" customFormat="1" ht="14.25" customHeight="1" x14ac:dyDescent="0.25">
      <c r="A14" s="2281">
        <v>2223</v>
      </c>
      <c r="B14" s="1280">
        <v>5166</v>
      </c>
      <c r="C14" s="1286"/>
      <c r="D14" s="1315" t="s">
        <v>553</v>
      </c>
      <c r="E14" s="1288">
        <v>80</v>
      </c>
      <c r="F14" s="1284">
        <v>80</v>
      </c>
      <c r="G14" s="1283">
        <v>0</v>
      </c>
      <c r="H14" s="1282">
        <v>0</v>
      </c>
      <c r="I14" s="2347"/>
      <c r="J14" s="2347"/>
      <c r="K14" s="2347"/>
      <c r="L14" s="2347"/>
      <c r="M14" s="2347"/>
      <c r="N14" s="2347"/>
      <c r="O14" s="2347"/>
      <c r="P14" s="2347"/>
      <c r="Q14" s="2347"/>
      <c r="R14" s="2347"/>
      <c r="S14" s="2347"/>
      <c r="T14" s="2347"/>
      <c r="U14" s="2347"/>
    </row>
    <row r="15" spans="1:21" s="2283" customFormat="1" ht="14.25" customHeight="1" x14ac:dyDescent="0.25">
      <c r="A15" s="1331">
        <v>2223</v>
      </c>
      <c r="B15" s="1330">
        <v>5192</v>
      </c>
      <c r="C15" s="1281"/>
      <c r="D15" s="1315" t="s">
        <v>1612</v>
      </c>
      <c r="E15" s="1321">
        <v>220</v>
      </c>
      <c r="F15" s="1314">
        <v>351</v>
      </c>
      <c r="G15" s="1320">
        <v>247</v>
      </c>
      <c r="H15" s="1282">
        <f>G15/F15*100</f>
        <v>70.370370370370367</v>
      </c>
      <c r="I15" s="2312"/>
      <c r="J15" s="2312"/>
      <c r="K15" s="2312"/>
      <c r="L15" s="2312"/>
      <c r="M15" s="2312"/>
      <c r="N15" s="2312"/>
      <c r="O15" s="2312"/>
      <c r="P15" s="2312"/>
      <c r="Q15" s="2312"/>
      <c r="R15" s="2312"/>
      <c r="S15" s="2312"/>
      <c r="T15" s="2312"/>
      <c r="U15" s="2312"/>
    </row>
    <row r="16" spans="1:21" s="2283" customFormat="1" ht="14.25" customHeight="1" x14ac:dyDescent="0.25">
      <c r="A16" s="1331">
        <v>2223</v>
      </c>
      <c r="B16" s="1330">
        <v>5339</v>
      </c>
      <c r="C16" s="1281"/>
      <c r="D16" s="1315" t="s">
        <v>1111</v>
      </c>
      <c r="E16" s="1321">
        <v>800</v>
      </c>
      <c r="F16" s="1314">
        <v>800</v>
      </c>
      <c r="G16" s="1320">
        <v>800</v>
      </c>
      <c r="H16" s="1282">
        <f>G16/F16*100</f>
        <v>100</v>
      </c>
      <c r="I16" s="2312"/>
      <c r="J16" s="2312"/>
      <c r="K16" s="2312"/>
      <c r="L16" s="2312"/>
      <c r="M16" s="2312"/>
      <c r="N16" s="2312"/>
      <c r="O16" s="2312"/>
      <c r="P16" s="2312"/>
      <c r="Q16" s="2312"/>
      <c r="R16" s="2312"/>
      <c r="S16" s="2312"/>
      <c r="T16" s="2312"/>
      <c r="U16" s="2312"/>
    </row>
    <row r="17" spans="1:21" s="2283" customFormat="1" ht="14.25" customHeight="1" x14ac:dyDescent="0.25">
      <c r="A17" s="2281">
        <v>2299</v>
      </c>
      <c r="B17" s="1280">
        <v>5166</v>
      </c>
      <c r="C17" s="1286"/>
      <c r="D17" s="1315" t="s">
        <v>553</v>
      </c>
      <c r="E17" s="1288">
        <v>400</v>
      </c>
      <c r="F17" s="1284">
        <v>400</v>
      </c>
      <c r="G17" s="1283">
        <v>240</v>
      </c>
      <c r="H17" s="1282">
        <v>0</v>
      </c>
      <c r="I17" s="2347"/>
      <c r="J17" s="2347"/>
      <c r="K17" s="2347"/>
      <c r="L17" s="2347"/>
      <c r="M17" s="2347"/>
      <c r="N17" s="2347"/>
      <c r="O17" s="2347"/>
      <c r="P17" s="2347"/>
      <c r="Q17" s="2347"/>
      <c r="R17" s="2347"/>
      <c r="S17" s="2347"/>
      <c r="T17" s="2347"/>
      <c r="U17" s="2347"/>
    </row>
    <row r="18" spans="1:21" s="2283" customFormat="1" ht="14.25" customHeight="1" x14ac:dyDescent="0.25">
      <c r="A18" s="2281">
        <v>2299</v>
      </c>
      <c r="B18" s="2261">
        <v>5323</v>
      </c>
      <c r="C18" s="1286"/>
      <c r="D18" s="2380" t="s">
        <v>203</v>
      </c>
      <c r="E18" s="1288"/>
      <c r="F18" s="1284">
        <v>236</v>
      </c>
      <c r="G18" s="1283">
        <v>236</v>
      </c>
      <c r="H18" s="1282">
        <v>0</v>
      </c>
      <c r="I18" s="2347"/>
      <c r="J18" s="2347"/>
      <c r="K18" s="2347"/>
      <c r="L18" s="2347"/>
      <c r="M18" s="2347"/>
      <c r="N18" s="2347"/>
      <c r="O18" s="2347"/>
      <c r="P18" s="2347"/>
      <c r="Q18" s="2347"/>
      <c r="R18" s="2347"/>
      <c r="S18" s="2347"/>
      <c r="T18" s="2347"/>
      <c r="U18" s="2347"/>
    </row>
    <row r="19" spans="1:21" s="2283" customFormat="1" ht="14.25" customHeight="1" thickBot="1" x14ac:dyDescent="0.3">
      <c r="A19" s="2393">
        <v>6172</v>
      </c>
      <c r="B19" s="2254">
        <v>5164</v>
      </c>
      <c r="C19" s="2392"/>
      <c r="D19" s="2391" t="s">
        <v>157</v>
      </c>
      <c r="E19" s="1288">
        <v>20</v>
      </c>
      <c r="F19" s="1284">
        <v>20</v>
      </c>
      <c r="G19" s="1283">
        <v>20</v>
      </c>
      <c r="H19" s="1282">
        <f>G19/F19*100</f>
        <v>100</v>
      </c>
      <c r="I19" s="2347"/>
      <c r="J19" s="2347"/>
      <c r="K19" s="2347"/>
      <c r="L19" s="2347"/>
      <c r="M19" s="2347"/>
      <c r="N19" s="2347"/>
      <c r="O19" s="2347"/>
      <c r="P19" s="2347"/>
      <c r="Q19" s="2347"/>
      <c r="R19" s="2347"/>
      <c r="S19" s="2347"/>
      <c r="T19" s="2347"/>
      <c r="U19" s="2347"/>
    </row>
    <row r="20" spans="1:21" s="1266" customFormat="1" ht="30.75" customHeight="1" thickTop="1" thickBot="1" x14ac:dyDescent="0.3">
      <c r="A20" s="1272" t="s">
        <v>223</v>
      </c>
      <c r="B20" s="1271"/>
      <c r="C20" s="2249"/>
      <c r="D20" s="1271"/>
      <c r="E20" s="1268">
        <f>E10+E11+E14+E15+E16+E17+E18+E19</f>
        <v>1620</v>
      </c>
      <c r="F20" s="1268">
        <f>F10+F11+F14+F15+F16+F17+F18+F19</f>
        <v>15780</v>
      </c>
      <c r="G20" s="1268">
        <f>G10+G11+G14+G15+G16+G17+G18+G19</f>
        <v>15409</v>
      </c>
      <c r="H20" s="2390">
        <f>(G20/F20)*100</f>
        <v>97.648922686945511</v>
      </c>
    </row>
    <row r="21" spans="1:21" s="1266" customFormat="1" ht="16.5" customHeight="1" thickTop="1" x14ac:dyDescent="0.25">
      <c r="A21" s="2386"/>
      <c r="B21" s="2385"/>
      <c r="C21" s="1368"/>
      <c r="D21" s="2385"/>
      <c r="E21" s="1307"/>
      <c r="F21" s="1307"/>
      <c r="G21" s="1307"/>
      <c r="H21" s="2384"/>
    </row>
    <row r="22" spans="1:21" ht="15.75" x14ac:dyDescent="0.25">
      <c r="A22" s="1312" t="s">
        <v>1120</v>
      </c>
      <c r="B22" s="1312"/>
      <c r="C22" s="2120"/>
      <c r="E22" s="2264"/>
      <c r="F22" s="2264"/>
      <c r="G22" s="2264"/>
    </row>
    <row r="23" spans="1:21" ht="13.5" thickBot="1" x14ac:dyDescent="0.25">
      <c r="A23" s="2121"/>
      <c r="B23" s="2121"/>
      <c r="C23" s="2120"/>
      <c r="E23" s="2264"/>
      <c r="F23" s="2264"/>
      <c r="G23" s="2264"/>
      <c r="H23" s="2203" t="s">
        <v>148</v>
      </c>
    </row>
    <row r="24" spans="1:21" s="1298" customFormat="1" ht="20.25" customHeight="1" thickTop="1" thickBot="1" x14ac:dyDescent="0.25">
      <c r="A24" s="1302" t="s">
        <v>149</v>
      </c>
      <c r="B24" s="1301" t="s">
        <v>150</v>
      </c>
      <c r="C24" s="2263" t="s">
        <v>639</v>
      </c>
      <c r="D24" s="1324" t="s">
        <v>151</v>
      </c>
      <c r="E24" s="1324" t="s">
        <v>569</v>
      </c>
      <c r="F24" s="1324" t="s">
        <v>570</v>
      </c>
      <c r="G24" s="2198" t="s">
        <v>797</v>
      </c>
      <c r="H24" s="2262" t="s">
        <v>798</v>
      </c>
    </row>
    <row r="25" spans="1:21" s="1292" customFormat="1" ht="13.5" thickTop="1" thickBot="1" x14ac:dyDescent="0.25">
      <c r="A25" s="1297">
        <v>1</v>
      </c>
      <c r="B25" s="1296">
        <v>2</v>
      </c>
      <c r="C25" s="1296">
        <v>3</v>
      </c>
      <c r="D25" s="1296">
        <v>4</v>
      </c>
      <c r="E25" s="1296">
        <v>5</v>
      </c>
      <c r="F25" s="1295">
        <v>6</v>
      </c>
      <c r="G25" s="1295">
        <v>7</v>
      </c>
      <c r="H25" s="1294" t="s">
        <v>54</v>
      </c>
      <c r="I25" s="1298"/>
    </row>
    <row r="26" spans="1:21" s="1292" customFormat="1" ht="15.75" thickTop="1" x14ac:dyDescent="0.25">
      <c r="A26" s="1331">
        <v>2212</v>
      </c>
      <c r="B26" s="2257">
        <v>6341</v>
      </c>
      <c r="C26" s="2351"/>
      <c r="D26" s="2388" t="s">
        <v>227</v>
      </c>
      <c r="E26" s="2293">
        <f>E27+E28</f>
        <v>12000</v>
      </c>
      <c r="F26" s="2293">
        <f>F27+F28</f>
        <v>12088</v>
      </c>
      <c r="G26" s="2293">
        <f>G27+G28</f>
        <v>10861</v>
      </c>
      <c r="H26" s="1282">
        <f t="shared" ref="H26:H31" si="0">G26/F26*100</f>
        <v>89.849437458636658</v>
      </c>
      <c r="I26" s="1298"/>
    </row>
    <row r="27" spans="1:21" s="1292" customFormat="1" ht="14.25" x14ac:dyDescent="0.2">
      <c r="A27" s="1331"/>
      <c r="B27" s="2257"/>
      <c r="C27" s="1329" t="s">
        <v>1761</v>
      </c>
      <c r="D27" s="1328" t="s">
        <v>806</v>
      </c>
      <c r="E27" s="2286">
        <v>2000</v>
      </c>
      <c r="F27" s="2389">
        <v>3000</v>
      </c>
      <c r="G27" s="1274">
        <v>3000</v>
      </c>
      <c r="H27" s="1273">
        <f t="shared" si="0"/>
        <v>100</v>
      </c>
      <c r="I27" s="1298"/>
    </row>
    <row r="28" spans="1:21" s="1292" customFormat="1" ht="14.25" x14ac:dyDescent="0.2">
      <c r="A28" s="1331"/>
      <c r="B28" s="2257"/>
      <c r="C28" s="2351" t="s">
        <v>1906</v>
      </c>
      <c r="D28" s="2300" t="s">
        <v>1627</v>
      </c>
      <c r="E28" s="2286">
        <v>10000</v>
      </c>
      <c r="F28" s="2389">
        <v>9088</v>
      </c>
      <c r="G28" s="1274">
        <v>7861</v>
      </c>
      <c r="H28" s="1273">
        <f t="shared" si="0"/>
        <v>86.498679577464785</v>
      </c>
      <c r="I28" s="1298"/>
    </row>
    <row r="29" spans="1:21" s="2312" customFormat="1" ht="13.5" customHeight="1" x14ac:dyDescent="0.25">
      <c r="A29" s="1331">
        <v>2219</v>
      </c>
      <c r="B29" s="2257">
        <v>6341</v>
      </c>
      <c r="C29" s="1329"/>
      <c r="D29" s="2388" t="s">
        <v>227</v>
      </c>
      <c r="E29" s="2293">
        <f>E30+E31</f>
        <v>13000</v>
      </c>
      <c r="F29" s="2293">
        <f>F30+F31</f>
        <v>12212</v>
      </c>
      <c r="G29" s="2293">
        <f>G30+G31</f>
        <v>12052</v>
      </c>
      <c r="H29" s="1282">
        <f t="shared" si="0"/>
        <v>98.689813298395023</v>
      </c>
      <c r="I29" s="2283"/>
      <c r="J29" s="2283"/>
      <c r="K29" s="2283"/>
      <c r="L29" s="2283"/>
      <c r="M29" s="2283"/>
      <c r="N29" s="2283"/>
      <c r="O29" s="2283"/>
      <c r="P29" s="2283"/>
      <c r="Q29" s="2283"/>
      <c r="R29" s="2283"/>
      <c r="S29" s="2283"/>
      <c r="T29" s="2283"/>
      <c r="U29" s="2283"/>
    </row>
    <row r="30" spans="1:21" s="2312" customFormat="1" ht="13.5" customHeight="1" x14ac:dyDescent="0.2">
      <c r="A30" s="1331"/>
      <c r="B30" s="2257"/>
      <c r="C30" s="1329" t="s">
        <v>1761</v>
      </c>
      <c r="D30" s="1328" t="s">
        <v>806</v>
      </c>
      <c r="E30" s="2286">
        <v>8000</v>
      </c>
      <c r="F30" s="1275">
        <v>8000</v>
      </c>
      <c r="G30" s="1274">
        <v>8000</v>
      </c>
      <c r="H30" s="1273">
        <f t="shared" si="0"/>
        <v>100</v>
      </c>
      <c r="I30" s="2283"/>
      <c r="J30" s="2283"/>
      <c r="K30" s="2283"/>
      <c r="L30" s="2283"/>
      <c r="M30" s="2283"/>
      <c r="N30" s="2283"/>
      <c r="O30" s="2283"/>
      <c r="P30" s="2283"/>
      <c r="Q30" s="2283"/>
      <c r="R30" s="2283"/>
      <c r="S30" s="2283"/>
      <c r="T30" s="2283"/>
      <c r="U30" s="2283"/>
    </row>
    <row r="31" spans="1:21" s="2312" customFormat="1" ht="13.5" customHeight="1" x14ac:dyDescent="0.2">
      <c r="A31" s="1331"/>
      <c r="B31" s="2257"/>
      <c r="C31" s="2351" t="s">
        <v>1905</v>
      </c>
      <c r="D31" s="2300" t="s">
        <v>1626</v>
      </c>
      <c r="E31" s="2286">
        <v>5000</v>
      </c>
      <c r="F31" s="1275">
        <v>4212</v>
      </c>
      <c r="G31" s="1274">
        <v>4052</v>
      </c>
      <c r="H31" s="1273">
        <f t="shared" si="0"/>
        <v>96.201329534662875</v>
      </c>
      <c r="I31" s="2283"/>
      <c r="J31" s="2283"/>
      <c r="K31" s="2283"/>
      <c r="L31" s="2283"/>
      <c r="M31" s="2283"/>
      <c r="N31" s="2283"/>
      <c r="O31" s="2283"/>
      <c r="P31" s="2283"/>
      <c r="Q31" s="2283"/>
      <c r="R31" s="2283"/>
      <c r="S31" s="2283"/>
      <c r="T31" s="2283"/>
      <c r="U31" s="2283"/>
    </row>
    <row r="32" spans="1:21" s="2312" customFormat="1" ht="13.5" customHeight="1" x14ac:dyDescent="0.25">
      <c r="A32" s="1331">
        <v>2299</v>
      </c>
      <c r="B32" s="2261">
        <v>6329</v>
      </c>
      <c r="C32" s="2351"/>
      <c r="D32" s="2387" t="s">
        <v>1904</v>
      </c>
      <c r="E32" s="2293">
        <v>4000</v>
      </c>
      <c r="F32" s="1284">
        <v>0</v>
      </c>
      <c r="G32" s="1283">
        <v>0</v>
      </c>
      <c r="H32" s="1282">
        <v>0</v>
      </c>
      <c r="I32" s="2283"/>
      <c r="J32" s="2283"/>
      <c r="K32" s="2283"/>
      <c r="L32" s="2283"/>
      <c r="M32" s="2283"/>
      <c r="N32" s="2283"/>
      <c r="O32" s="2283"/>
      <c r="P32" s="2283"/>
      <c r="Q32" s="2283"/>
      <c r="R32" s="2283"/>
      <c r="S32" s="2283"/>
      <c r="T32" s="2283"/>
      <c r="U32" s="2283"/>
    </row>
    <row r="33" spans="1:21" s="2312" customFormat="1" ht="13.5" customHeight="1" thickBot="1" x14ac:dyDescent="0.25">
      <c r="A33" s="2255"/>
      <c r="B33" s="1280"/>
      <c r="C33" s="1329" t="s">
        <v>1761</v>
      </c>
      <c r="D33" s="1328" t="s">
        <v>806</v>
      </c>
      <c r="E33" s="2286">
        <v>4000</v>
      </c>
      <c r="F33" s="1275">
        <v>0</v>
      </c>
      <c r="G33" s="1274">
        <v>0</v>
      </c>
      <c r="H33" s="1273">
        <v>0</v>
      </c>
      <c r="I33" s="2283"/>
      <c r="J33" s="2283"/>
      <c r="K33" s="2283"/>
      <c r="L33" s="2283"/>
      <c r="M33" s="2283"/>
      <c r="N33" s="2283"/>
      <c r="O33" s="2283"/>
      <c r="P33" s="2283"/>
      <c r="Q33" s="2283"/>
      <c r="R33" s="2283"/>
      <c r="S33" s="2283"/>
      <c r="T33" s="2283"/>
      <c r="U33" s="2283"/>
    </row>
    <row r="34" spans="1:21" s="1266" customFormat="1" ht="33.75" customHeight="1" thickTop="1" thickBot="1" x14ac:dyDescent="0.3">
      <c r="A34" s="1272" t="s">
        <v>224</v>
      </c>
      <c r="B34" s="1271"/>
      <c r="C34" s="2249"/>
      <c r="D34" s="1271"/>
      <c r="E34" s="2248">
        <f>E26+E29+E32</f>
        <v>29000</v>
      </c>
      <c r="F34" s="2248">
        <f>F26+F29+F32</f>
        <v>24300</v>
      </c>
      <c r="G34" s="2248">
        <f>G26+G29+G32</f>
        <v>22913</v>
      </c>
      <c r="H34" s="2247">
        <f>(G34/F34)*100</f>
        <v>94.292181069958843</v>
      </c>
      <c r="J34" s="2246"/>
      <c r="K34" s="2246"/>
      <c r="L34" s="2246"/>
      <c r="M34" s="2246"/>
    </row>
    <row r="35" spans="1:21" s="1266" customFormat="1" ht="17.25" customHeight="1" thickTop="1" x14ac:dyDescent="0.25">
      <c r="A35" s="2386"/>
      <c r="B35" s="2385"/>
      <c r="C35" s="1368"/>
      <c r="D35" s="2385"/>
      <c r="E35" s="1307"/>
      <c r="F35" s="1307"/>
      <c r="G35" s="1307"/>
      <c r="H35" s="2384"/>
    </row>
    <row r="36" spans="1:21" s="1266" customFormat="1" ht="17.25" customHeight="1" x14ac:dyDescent="0.25">
      <c r="A36" s="2386"/>
      <c r="B36" s="2385"/>
      <c r="C36" s="1368"/>
      <c r="D36" s="2385"/>
      <c r="E36" s="1307"/>
      <c r="F36" s="1307"/>
      <c r="G36" s="1307"/>
      <c r="H36" s="2384"/>
    </row>
    <row r="37" spans="1:21" ht="15.75" x14ac:dyDescent="0.25">
      <c r="A37" s="1312" t="s">
        <v>145</v>
      </c>
      <c r="C37" s="2370"/>
      <c r="D37" s="2237"/>
      <c r="E37" s="2368"/>
      <c r="F37" s="2369"/>
      <c r="G37" s="2368"/>
    </row>
    <row r="38" spans="1:21" ht="15" x14ac:dyDescent="0.25">
      <c r="A38" s="3150" t="s">
        <v>1313</v>
      </c>
      <c r="B38" s="3151"/>
      <c r="C38" s="3151"/>
      <c r="D38" s="3151"/>
      <c r="E38" s="2368" t="s">
        <v>1314</v>
      </c>
      <c r="F38" s="2369"/>
      <c r="G38" s="2368"/>
    </row>
    <row r="39" spans="1:21" ht="15" x14ac:dyDescent="0.25">
      <c r="A39" s="3151"/>
      <c r="B39" s="3151"/>
      <c r="C39" s="3151"/>
      <c r="D39" s="3151"/>
      <c r="E39" s="2368"/>
      <c r="F39" s="2369"/>
      <c r="G39" s="2368"/>
    </row>
    <row r="40" spans="1:21" ht="15.75" thickBot="1" x14ac:dyDescent="0.3">
      <c r="A40" s="2371"/>
      <c r="C40" s="2370"/>
      <c r="D40" s="2237"/>
      <c r="E40" s="2368"/>
      <c r="F40" s="2369"/>
      <c r="G40" s="2368"/>
      <c r="H40" s="2203" t="s">
        <v>1101</v>
      </c>
    </row>
    <row r="41" spans="1:21" s="1298" customFormat="1" ht="20.25" customHeight="1" thickTop="1" thickBot="1" x14ac:dyDescent="0.25">
      <c r="A41" s="1302" t="s">
        <v>149</v>
      </c>
      <c r="B41" s="1301" t="s">
        <v>150</v>
      </c>
      <c r="C41" s="2263" t="s">
        <v>639</v>
      </c>
      <c r="D41" s="1299" t="s">
        <v>151</v>
      </c>
      <c r="E41" s="1324" t="s">
        <v>569</v>
      </c>
      <c r="F41" s="1324" t="s">
        <v>570</v>
      </c>
      <c r="G41" s="2198" t="s">
        <v>797</v>
      </c>
      <c r="H41" s="2262" t="s">
        <v>798</v>
      </c>
    </row>
    <row r="42" spans="1:21" s="1292" customFormat="1" ht="13.5" thickTop="1" thickBot="1" x14ac:dyDescent="0.25">
      <c r="A42" s="1297">
        <v>1</v>
      </c>
      <c r="B42" s="1296">
        <v>2</v>
      </c>
      <c r="C42" s="1296">
        <v>3</v>
      </c>
      <c r="D42" s="1296">
        <v>4</v>
      </c>
      <c r="E42" s="1296">
        <v>5</v>
      </c>
      <c r="F42" s="1295">
        <v>6</v>
      </c>
      <c r="G42" s="1295">
        <v>7</v>
      </c>
      <c r="H42" s="1294" t="s">
        <v>54</v>
      </c>
      <c r="I42" s="1298"/>
    </row>
    <row r="43" spans="1:21" s="1292" customFormat="1" ht="15.75" thickTop="1" x14ac:dyDescent="0.25">
      <c r="A43" s="2367">
        <v>2221</v>
      </c>
      <c r="B43" s="2366">
        <v>5331</v>
      </c>
      <c r="C43" s="2365"/>
      <c r="D43" s="2364" t="s">
        <v>829</v>
      </c>
      <c r="E43" s="2363">
        <f>E44+E46+E47</f>
        <v>0</v>
      </c>
      <c r="F43" s="2363">
        <f>F44+F46</f>
        <v>443669</v>
      </c>
      <c r="G43" s="2363">
        <f>G44+G46</f>
        <v>441444</v>
      </c>
      <c r="H43" s="2362">
        <f>(G43/F43)*100</f>
        <v>99.498500007888765</v>
      </c>
      <c r="I43" s="1298"/>
    </row>
    <row r="44" spans="1:21" s="1292" customFormat="1" ht="14.25" x14ac:dyDescent="0.2">
      <c r="A44" s="2361"/>
      <c r="B44" s="1278"/>
      <c r="C44" s="1281" t="s">
        <v>1900</v>
      </c>
      <c r="D44" s="3159" t="s">
        <v>1899</v>
      </c>
      <c r="E44" s="1276"/>
      <c r="F44" s="1275">
        <v>406000</v>
      </c>
      <c r="G44" s="1317">
        <v>403775</v>
      </c>
      <c r="H44" s="1316">
        <f>G44/F44*100</f>
        <v>99.451970443349751</v>
      </c>
      <c r="I44" s="1298"/>
    </row>
    <row r="45" spans="1:21" s="1292" customFormat="1" ht="14.25" x14ac:dyDescent="0.2">
      <c r="A45" s="2361"/>
      <c r="B45" s="1278"/>
      <c r="C45" s="1281"/>
      <c r="D45" s="3160"/>
      <c r="E45" s="1276"/>
      <c r="F45" s="1275"/>
      <c r="G45" s="1317"/>
      <c r="H45" s="1316"/>
      <c r="I45" s="1298"/>
    </row>
    <row r="46" spans="1:21" s="1292" customFormat="1" ht="14.25" x14ac:dyDescent="0.2">
      <c r="A46" s="1279"/>
      <c r="B46" s="1278"/>
      <c r="C46" s="1281" t="s">
        <v>1894</v>
      </c>
      <c r="D46" s="2261" t="s">
        <v>1893</v>
      </c>
      <c r="E46" s="2358"/>
      <c r="F46" s="1318">
        <v>37669</v>
      </c>
      <c r="G46" s="1317">
        <v>37669</v>
      </c>
      <c r="H46" s="2359">
        <f>G46/F46*100</f>
        <v>100</v>
      </c>
      <c r="I46" s="1298"/>
    </row>
    <row r="47" spans="1:21" s="1292" customFormat="1" ht="15" x14ac:dyDescent="0.25">
      <c r="A47" s="1279">
        <v>2242</v>
      </c>
      <c r="B47" s="1278">
        <v>5331</v>
      </c>
      <c r="C47" s="1277"/>
      <c r="D47" s="2380" t="s">
        <v>829</v>
      </c>
      <c r="E47" s="2358"/>
      <c r="F47" s="1283">
        <f>F48+F50+F52</f>
        <v>662319</v>
      </c>
      <c r="G47" s="1284">
        <f>G48+G50+G52</f>
        <v>661789</v>
      </c>
      <c r="H47" s="2383">
        <f>G47/F47*100</f>
        <v>99.9199781374232</v>
      </c>
      <c r="I47" s="1298"/>
    </row>
    <row r="48" spans="1:21" s="1292" customFormat="1" ht="14.25" x14ac:dyDescent="0.2">
      <c r="A48" s="1279"/>
      <c r="B48" s="1278"/>
      <c r="C48" s="1277" t="s">
        <v>1898</v>
      </c>
      <c r="D48" s="3157" t="s">
        <v>1897</v>
      </c>
      <c r="E48" s="2358"/>
      <c r="F48" s="1318">
        <v>440185</v>
      </c>
      <c r="G48" s="1317">
        <v>440185</v>
      </c>
      <c r="H48" s="2359">
        <f>G48/F48*100</f>
        <v>100</v>
      </c>
      <c r="I48" s="1298"/>
    </row>
    <row r="49" spans="1:21" s="1292" customFormat="1" ht="14.25" x14ac:dyDescent="0.2">
      <c r="A49" s="1279"/>
      <c r="B49" s="1278"/>
      <c r="C49" s="1277"/>
      <c r="D49" s="3158"/>
      <c r="E49" s="2358"/>
      <c r="F49" s="1318"/>
      <c r="G49" s="1317"/>
      <c r="H49" s="1316"/>
      <c r="I49" s="1298"/>
    </row>
    <row r="50" spans="1:21" s="1292" customFormat="1" ht="14.25" x14ac:dyDescent="0.2">
      <c r="A50" s="2382"/>
      <c r="B50" s="1425"/>
      <c r="C50" s="1277" t="s">
        <v>1896</v>
      </c>
      <c r="D50" s="3155" t="s">
        <v>1895</v>
      </c>
      <c r="E50" s="1425"/>
      <c r="F50" s="2250">
        <v>3700</v>
      </c>
      <c r="G50" s="2250">
        <v>3170</v>
      </c>
      <c r="H50" s="2359">
        <f>G50/F50*100</f>
        <v>85.675675675675677</v>
      </c>
      <c r="I50" s="1298"/>
    </row>
    <row r="51" spans="1:21" s="1292" customFormat="1" ht="14.45" customHeight="1" x14ac:dyDescent="0.2">
      <c r="A51" s="2382"/>
      <c r="B51" s="1425"/>
      <c r="C51" s="1277"/>
      <c r="D51" s="3156"/>
      <c r="E51" s="1425"/>
      <c r="F51" s="2379"/>
      <c r="G51" s="2379"/>
      <c r="H51" s="2378"/>
      <c r="I51" s="1298"/>
    </row>
    <row r="52" spans="1:21" s="1292" customFormat="1" ht="15" customHeight="1" x14ac:dyDescent="0.2">
      <c r="A52" s="2382"/>
      <c r="B52" s="1425"/>
      <c r="C52" s="1277" t="s">
        <v>1903</v>
      </c>
      <c r="D52" s="3155" t="s">
        <v>1902</v>
      </c>
      <c r="E52" s="1425"/>
      <c r="F52" s="2250">
        <v>218434</v>
      </c>
      <c r="G52" s="2250">
        <v>218434</v>
      </c>
      <c r="H52" s="2359">
        <f>G52/F52*100</f>
        <v>100</v>
      </c>
      <c r="I52" s="1298"/>
    </row>
    <row r="53" spans="1:21" s="1292" customFormat="1" ht="12" x14ac:dyDescent="0.2">
      <c r="A53" s="2382"/>
      <c r="B53" s="1425"/>
      <c r="C53" s="1277"/>
      <c r="D53" s="3156"/>
      <c r="E53" s="1425"/>
      <c r="F53" s="2379"/>
      <c r="G53" s="2379"/>
      <c r="H53" s="2378"/>
      <c r="I53" s="1298"/>
    </row>
    <row r="54" spans="1:21" s="2347" customFormat="1" ht="15" x14ac:dyDescent="0.25">
      <c r="A54" s="2381">
        <v>2299</v>
      </c>
      <c r="B54" s="1278">
        <v>5331</v>
      </c>
      <c r="C54" s="1281"/>
      <c r="D54" s="2380" t="s">
        <v>829</v>
      </c>
      <c r="E54" s="1321">
        <f>E55+E56+E57+E58+E59+E61+E63+E65</f>
        <v>880811</v>
      </c>
      <c r="F54" s="1321">
        <f>F55+F56+F57+F65+F58+F59+F61+F63</f>
        <v>13097</v>
      </c>
      <c r="G54" s="1321">
        <f>G55+G56+G57+G65+G58+G59+G61+G63</f>
        <v>13097</v>
      </c>
      <c r="H54" s="1319">
        <f>(G54/F54)*100</f>
        <v>100</v>
      </c>
      <c r="I54" s="2349"/>
      <c r="J54" s="2312"/>
      <c r="K54" s="2312"/>
      <c r="L54" s="2312"/>
      <c r="M54" s="2312"/>
      <c r="N54" s="2312"/>
      <c r="O54" s="2312"/>
      <c r="P54" s="2312"/>
      <c r="Q54" s="2312"/>
      <c r="R54" s="2312"/>
      <c r="S54" s="2312"/>
      <c r="T54" s="2312"/>
      <c r="U54" s="2312"/>
    </row>
    <row r="55" spans="1:21" s="2347" customFormat="1" ht="14.25" x14ac:dyDescent="0.2">
      <c r="A55" s="2361"/>
      <c r="B55" s="1278"/>
      <c r="C55" s="1281" t="s">
        <v>1811</v>
      </c>
      <c r="D55" s="2360" t="s">
        <v>1063</v>
      </c>
      <c r="E55" s="1276">
        <v>428</v>
      </c>
      <c r="F55" s="1275">
        <v>268</v>
      </c>
      <c r="G55" s="1317">
        <v>268</v>
      </c>
      <c r="H55" s="1316">
        <f>G55/F55*100</f>
        <v>100</v>
      </c>
      <c r="I55" s="2349"/>
      <c r="J55" s="2312"/>
      <c r="K55" s="2312"/>
      <c r="L55" s="2312"/>
      <c r="M55" s="2312"/>
      <c r="N55" s="2312"/>
      <c r="O55" s="2312"/>
      <c r="P55" s="2312"/>
      <c r="Q55" s="2312"/>
      <c r="R55" s="2312"/>
      <c r="S55" s="2312"/>
      <c r="T55" s="2312"/>
      <c r="U55" s="2312"/>
    </row>
    <row r="56" spans="1:21" s="2347" customFormat="1" ht="14.25" x14ac:dyDescent="0.2">
      <c r="A56" s="1279"/>
      <c r="B56" s="1278"/>
      <c r="C56" s="1281" t="s">
        <v>1812</v>
      </c>
      <c r="D56" s="2261" t="s">
        <v>1269</v>
      </c>
      <c r="E56" s="2358">
        <v>6389</v>
      </c>
      <c r="F56" s="1318">
        <v>6239</v>
      </c>
      <c r="G56" s="1317">
        <v>6239</v>
      </c>
      <c r="H56" s="2359">
        <f>G56/F56*100</f>
        <v>100</v>
      </c>
      <c r="I56" s="2349"/>
      <c r="J56" s="2312"/>
      <c r="K56" s="2312"/>
      <c r="L56" s="2312"/>
      <c r="M56" s="2312"/>
      <c r="N56" s="2312"/>
      <c r="O56" s="2312"/>
      <c r="P56" s="2312"/>
      <c r="Q56" s="2312"/>
      <c r="R56" s="2312"/>
      <c r="S56" s="2312"/>
      <c r="T56" s="2312"/>
      <c r="U56" s="2312"/>
    </row>
    <row r="57" spans="1:21" s="2347" customFormat="1" ht="14.25" x14ac:dyDescent="0.2">
      <c r="A57" s="1279"/>
      <c r="B57" s="1278"/>
      <c r="C57" s="1277" t="s">
        <v>1817</v>
      </c>
      <c r="D57" s="2261" t="s">
        <v>1312</v>
      </c>
      <c r="E57" s="2358">
        <v>6090</v>
      </c>
      <c r="F57" s="1318">
        <v>6240</v>
      </c>
      <c r="G57" s="1317">
        <v>6240</v>
      </c>
      <c r="H57" s="2359">
        <f>G57/F57*100</f>
        <v>100</v>
      </c>
      <c r="I57" s="2349"/>
      <c r="J57" s="2312"/>
      <c r="K57" s="2312"/>
      <c r="L57" s="2312"/>
      <c r="M57" s="2312"/>
      <c r="N57" s="2312"/>
      <c r="O57" s="2312"/>
      <c r="P57" s="2312"/>
      <c r="Q57" s="2312"/>
      <c r="R57" s="2312"/>
      <c r="S57" s="2312"/>
      <c r="T57" s="2312"/>
      <c r="U57" s="2312"/>
    </row>
    <row r="58" spans="1:21" s="2347" customFormat="1" ht="14.25" x14ac:dyDescent="0.2">
      <c r="A58" s="1279"/>
      <c r="B58" s="1278"/>
      <c r="C58" s="1277" t="s">
        <v>1901</v>
      </c>
      <c r="D58" s="2261" t="s">
        <v>1876</v>
      </c>
      <c r="E58" s="2358">
        <v>350</v>
      </c>
      <c r="F58" s="1318">
        <v>350</v>
      </c>
      <c r="G58" s="1317">
        <v>350</v>
      </c>
      <c r="H58" s="2359">
        <f>G58/F58*100</f>
        <v>100</v>
      </c>
      <c r="I58" s="2349"/>
      <c r="J58" s="2312"/>
      <c r="K58" s="2312"/>
      <c r="L58" s="2312"/>
      <c r="M58" s="2312"/>
      <c r="N58" s="2312"/>
      <c r="O58" s="2312"/>
      <c r="P58" s="2312"/>
      <c r="Q58" s="2312"/>
      <c r="R58" s="2312"/>
      <c r="S58" s="2312"/>
      <c r="T58" s="2312"/>
      <c r="U58" s="2312"/>
    </row>
    <row r="59" spans="1:21" s="2347" customFormat="1" ht="13.9" customHeight="1" x14ac:dyDescent="0.2">
      <c r="A59" s="1279"/>
      <c r="B59" s="1278"/>
      <c r="C59" s="1281" t="s">
        <v>1900</v>
      </c>
      <c r="D59" s="3159" t="s">
        <v>1899</v>
      </c>
      <c r="E59" s="1276">
        <v>401000</v>
      </c>
      <c r="F59" s="1275">
        <v>0</v>
      </c>
      <c r="G59" s="1317">
        <v>0</v>
      </c>
      <c r="H59" s="1316">
        <v>0</v>
      </c>
      <c r="I59" s="2349"/>
      <c r="J59" s="2312"/>
      <c r="K59" s="2312"/>
      <c r="L59" s="2312"/>
      <c r="M59" s="2312"/>
      <c r="N59" s="2312"/>
      <c r="O59" s="2312"/>
      <c r="P59" s="2312"/>
      <c r="Q59" s="2312"/>
      <c r="R59" s="2312"/>
      <c r="S59" s="2312"/>
      <c r="T59" s="2312"/>
      <c r="U59" s="2312"/>
    </row>
    <row r="60" spans="1:21" s="2347" customFormat="1" ht="14.25" x14ac:dyDescent="0.2">
      <c r="A60" s="1279"/>
      <c r="B60" s="1278"/>
      <c r="C60" s="1281"/>
      <c r="D60" s="3160"/>
      <c r="E60" s="1276"/>
      <c r="F60" s="1275"/>
      <c r="G60" s="1317"/>
      <c r="H60" s="1316"/>
      <c r="I60" s="2349"/>
      <c r="J60" s="2312"/>
      <c r="K60" s="2312"/>
      <c r="L60" s="2312"/>
      <c r="M60" s="2312"/>
      <c r="N60" s="2312"/>
      <c r="O60" s="2312"/>
      <c r="P60" s="2312"/>
      <c r="Q60" s="2312"/>
      <c r="R60" s="2312"/>
      <c r="S60" s="2312"/>
      <c r="T60" s="2312"/>
      <c r="U60" s="2312"/>
    </row>
    <row r="61" spans="1:21" s="2347" customFormat="1" ht="14.25" x14ac:dyDescent="0.2">
      <c r="A61" s="1279"/>
      <c r="B61" s="1278"/>
      <c r="C61" s="1277" t="s">
        <v>1898</v>
      </c>
      <c r="D61" s="3157" t="s">
        <v>1897</v>
      </c>
      <c r="E61" s="2358">
        <v>425185</v>
      </c>
      <c r="F61" s="1318">
        <v>0</v>
      </c>
      <c r="G61" s="1317">
        <v>0</v>
      </c>
      <c r="H61" s="2359">
        <v>0</v>
      </c>
      <c r="I61" s="2349"/>
      <c r="J61" s="2312"/>
      <c r="K61" s="2312"/>
      <c r="L61" s="2312"/>
      <c r="M61" s="2312"/>
      <c r="N61" s="2312"/>
      <c r="O61" s="2312"/>
      <c r="P61" s="2312"/>
      <c r="Q61" s="2312"/>
      <c r="R61" s="2312"/>
      <c r="S61" s="2312"/>
      <c r="T61" s="2312"/>
      <c r="U61" s="2312"/>
    </row>
    <row r="62" spans="1:21" s="2347" customFormat="1" ht="14.25" x14ac:dyDescent="0.2">
      <c r="A62" s="1279"/>
      <c r="B62" s="1278"/>
      <c r="C62" s="1277"/>
      <c r="D62" s="3158"/>
      <c r="E62" s="2358"/>
      <c r="F62" s="1318"/>
      <c r="G62" s="1317"/>
      <c r="H62" s="1316"/>
      <c r="I62" s="2349"/>
      <c r="J62" s="2312"/>
      <c r="K62" s="2312"/>
      <c r="L62" s="2312"/>
      <c r="M62" s="2312"/>
      <c r="N62" s="2312"/>
      <c r="O62" s="2312"/>
      <c r="P62" s="2312"/>
      <c r="Q62" s="2312"/>
      <c r="R62" s="2312"/>
      <c r="S62" s="2312"/>
      <c r="T62" s="2312"/>
      <c r="U62" s="2312"/>
    </row>
    <row r="63" spans="1:21" s="2347" customFormat="1" ht="13.9" customHeight="1" x14ac:dyDescent="0.2">
      <c r="A63" s="1279"/>
      <c r="B63" s="1278"/>
      <c r="C63" s="1277" t="s">
        <v>1896</v>
      </c>
      <c r="D63" s="3155" t="s">
        <v>1895</v>
      </c>
      <c r="E63" s="2252">
        <v>3700</v>
      </c>
      <c r="F63" s="2250">
        <v>0</v>
      </c>
      <c r="G63" s="2250">
        <v>0</v>
      </c>
      <c r="H63" s="2359">
        <v>0</v>
      </c>
      <c r="I63" s="2349"/>
      <c r="J63" s="2312"/>
      <c r="K63" s="2312"/>
      <c r="L63" s="2312"/>
      <c r="M63" s="2312"/>
      <c r="N63" s="2312"/>
      <c r="O63" s="2312"/>
      <c r="P63" s="2312"/>
      <c r="Q63" s="2312"/>
      <c r="R63" s="2312"/>
      <c r="S63" s="2312"/>
      <c r="T63" s="2312"/>
      <c r="U63" s="2312"/>
    </row>
    <row r="64" spans="1:21" s="2347" customFormat="1" ht="14.25" x14ac:dyDescent="0.2">
      <c r="A64" s="1279"/>
      <c r="B64" s="1278"/>
      <c r="C64" s="1277"/>
      <c r="D64" s="3156"/>
      <c r="E64" s="1425"/>
      <c r="F64" s="2379"/>
      <c r="G64" s="2379"/>
      <c r="H64" s="2378"/>
      <c r="I64" s="2349"/>
      <c r="J64" s="2312"/>
      <c r="K64" s="2312"/>
      <c r="L64" s="2312"/>
      <c r="M64" s="2312"/>
      <c r="N64" s="2312"/>
      <c r="O64" s="2312"/>
      <c r="P64" s="2312"/>
      <c r="Q64" s="2312"/>
      <c r="R64" s="2312"/>
      <c r="S64" s="2312"/>
      <c r="T64" s="2312"/>
      <c r="U64" s="2312"/>
    </row>
    <row r="65" spans="1:21" s="2347" customFormat="1" ht="15" thickBot="1" x14ac:dyDescent="0.25">
      <c r="A65" s="1279"/>
      <c r="B65" s="1278"/>
      <c r="C65" s="1281" t="s">
        <v>1894</v>
      </c>
      <c r="D65" s="2261" t="s">
        <v>1893</v>
      </c>
      <c r="E65" s="2358">
        <v>37669</v>
      </c>
      <c r="F65" s="1318">
        <v>0</v>
      </c>
      <c r="G65" s="1317">
        <v>0</v>
      </c>
      <c r="H65" s="2359">
        <v>0</v>
      </c>
      <c r="I65" s="2349"/>
      <c r="J65" s="2312"/>
      <c r="K65" s="2312"/>
      <c r="L65" s="2312"/>
      <c r="M65" s="2312"/>
      <c r="N65" s="2312"/>
      <c r="O65" s="2312"/>
      <c r="P65" s="2312"/>
      <c r="Q65" s="2312"/>
      <c r="R65" s="2312"/>
      <c r="S65" s="2312"/>
      <c r="T65" s="2312"/>
      <c r="U65" s="2312"/>
    </row>
    <row r="66" spans="1:21" s="1266" customFormat="1" ht="19.5" customHeight="1" thickTop="1" thickBot="1" x14ac:dyDescent="0.3">
      <c r="A66" s="1272" t="s">
        <v>1000</v>
      </c>
      <c r="B66" s="2356"/>
      <c r="C66" s="2357"/>
      <c r="D66" s="2356"/>
      <c r="E66" s="2355">
        <f>E54+E43</f>
        <v>880811</v>
      </c>
      <c r="F66" s="2355">
        <f>F54+F43+F47</f>
        <v>1119085</v>
      </c>
      <c r="G66" s="2355">
        <f>G54+G43+G47</f>
        <v>1116330</v>
      </c>
      <c r="H66" s="2354">
        <f>(G66/F66)*100</f>
        <v>99.753816734206964</v>
      </c>
    </row>
    <row r="67" spans="1:21" ht="16.5" thickTop="1" x14ac:dyDescent="0.25">
      <c r="A67" s="1312"/>
      <c r="C67" s="2370"/>
      <c r="D67" s="2237"/>
      <c r="E67" s="2368"/>
      <c r="F67" s="2369"/>
      <c r="G67" s="2368"/>
    </row>
    <row r="68" spans="1:21" s="2131" customFormat="1" ht="23.25" customHeight="1" x14ac:dyDescent="0.25">
      <c r="A68" s="3152" t="s">
        <v>1315</v>
      </c>
      <c r="B68" s="3153"/>
      <c r="C68" s="3153"/>
      <c r="D68" s="3153"/>
      <c r="E68" s="2377">
        <f>E66</f>
        <v>880811</v>
      </c>
      <c r="F68" s="2377">
        <f>F66</f>
        <v>1119085</v>
      </c>
      <c r="G68" s="2377">
        <f>G66</f>
        <v>1116330</v>
      </c>
      <c r="H68" s="2376">
        <f>(G68/F68)*100</f>
        <v>99.753816734206964</v>
      </c>
    </row>
    <row r="69" spans="1:21" ht="15.75" thickBot="1" x14ac:dyDescent="0.3">
      <c r="A69" s="3154"/>
      <c r="B69" s="3154"/>
      <c r="C69" s="3154"/>
      <c r="D69" s="3154"/>
      <c r="E69" s="2374"/>
      <c r="F69" s="2375"/>
      <c r="G69" s="2374"/>
      <c r="H69" s="2373"/>
    </row>
    <row r="70" spans="1:21" ht="16.5" thickTop="1" x14ac:dyDescent="0.25">
      <c r="A70" s="1312"/>
      <c r="C70" s="2370"/>
      <c r="D70" s="2237"/>
      <c r="E70" s="2368"/>
      <c r="F70" s="2369"/>
      <c r="G70" s="2368"/>
    </row>
    <row r="71" spans="1:21" ht="15.75" x14ac:dyDescent="0.25">
      <c r="A71" s="1312"/>
      <c r="C71" s="2370"/>
      <c r="D71" s="2237"/>
      <c r="E71" s="2368"/>
      <c r="F71" s="2369"/>
      <c r="G71" s="2368"/>
    </row>
    <row r="72" spans="1:21" ht="15.75" x14ac:dyDescent="0.25">
      <c r="A72" s="1312"/>
      <c r="C72" s="2370"/>
      <c r="D72" s="2237"/>
      <c r="E72" s="2368"/>
      <c r="F72" s="2369"/>
      <c r="G72" s="2368"/>
    </row>
    <row r="73" spans="1:21" ht="15.75" x14ac:dyDescent="0.25">
      <c r="A73" s="2372" t="s">
        <v>144</v>
      </c>
      <c r="C73" s="2370"/>
      <c r="D73" s="2237"/>
      <c r="E73" s="2368" t="s">
        <v>1268</v>
      </c>
      <c r="F73" s="2369"/>
      <c r="G73" s="2368"/>
    </row>
    <row r="74" spans="1:21" ht="15.75" thickBot="1" x14ac:dyDescent="0.3">
      <c r="A74" s="2371"/>
      <c r="C74" s="2370"/>
      <c r="D74" s="2237"/>
      <c r="E74" s="2368"/>
      <c r="F74" s="2369"/>
      <c r="G74" s="2368"/>
      <c r="H74" s="2203" t="s">
        <v>1101</v>
      </c>
    </row>
    <row r="75" spans="1:21" s="1298" customFormat="1" ht="20.25" customHeight="1" thickTop="1" thickBot="1" x14ac:dyDescent="0.25">
      <c r="A75" s="1302" t="s">
        <v>149</v>
      </c>
      <c r="B75" s="1301" t="s">
        <v>150</v>
      </c>
      <c r="C75" s="2263" t="s">
        <v>639</v>
      </c>
      <c r="D75" s="1299" t="s">
        <v>151</v>
      </c>
      <c r="E75" s="1324" t="s">
        <v>569</v>
      </c>
      <c r="F75" s="1324" t="s">
        <v>570</v>
      </c>
      <c r="G75" s="2198" t="s">
        <v>797</v>
      </c>
      <c r="H75" s="2262" t="s">
        <v>798</v>
      </c>
    </row>
    <row r="76" spans="1:21" s="1292" customFormat="1" ht="13.5" thickTop="1" thickBot="1" x14ac:dyDescent="0.25">
      <c r="A76" s="1297">
        <v>1</v>
      </c>
      <c r="B76" s="1296">
        <v>2</v>
      </c>
      <c r="C76" s="1296">
        <v>3</v>
      </c>
      <c r="D76" s="1296">
        <v>4</v>
      </c>
      <c r="E76" s="1296">
        <v>5</v>
      </c>
      <c r="F76" s="1295">
        <v>6</v>
      </c>
      <c r="G76" s="1295">
        <v>7</v>
      </c>
      <c r="H76" s="1294" t="s">
        <v>54</v>
      </c>
      <c r="I76" s="1298"/>
    </row>
    <row r="77" spans="1:21" s="2347" customFormat="1" ht="15.75" thickTop="1" x14ac:dyDescent="0.25">
      <c r="A77" s="2367">
        <v>2212</v>
      </c>
      <c r="B77" s="2366">
        <v>5331</v>
      </c>
      <c r="C77" s="2365"/>
      <c r="D77" s="2364" t="s">
        <v>829</v>
      </c>
      <c r="E77" s="2363">
        <f>E78+E79+E80</f>
        <v>466207</v>
      </c>
      <c r="F77" s="2363">
        <f>F78+F79+F80</f>
        <v>488022</v>
      </c>
      <c r="G77" s="2363">
        <f>G78+G79+G80</f>
        <v>488022</v>
      </c>
      <c r="H77" s="2362">
        <f>(G77/F77)*100</f>
        <v>100</v>
      </c>
      <c r="I77" s="2349"/>
      <c r="J77" s="2312"/>
      <c r="K77" s="2312"/>
      <c r="L77" s="2312"/>
      <c r="M77" s="2312"/>
      <c r="N77" s="2312"/>
      <c r="O77" s="2312"/>
      <c r="P77" s="2312"/>
      <c r="Q77" s="2312"/>
      <c r="R77" s="2312"/>
      <c r="S77" s="2312"/>
      <c r="T77" s="2312"/>
      <c r="U77" s="2312"/>
    </row>
    <row r="78" spans="1:21" s="2347" customFormat="1" ht="14.25" x14ac:dyDescent="0.2">
      <c r="A78" s="2361"/>
      <c r="B78" s="1278"/>
      <c r="C78" s="1281" t="s">
        <v>1811</v>
      </c>
      <c r="D78" s="2360" t="s">
        <v>1063</v>
      </c>
      <c r="E78" s="1276">
        <v>123088</v>
      </c>
      <c r="F78" s="1275">
        <v>126988</v>
      </c>
      <c r="G78" s="1317">
        <v>126988</v>
      </c>
      <c r="H78" s="1316">
        <f>G78/F78*100</f>
        <v>100</v>
      </c>
      <c r="I78" s="2349"/>
      <c r="J78" s="2312"/>
      <c r="K78" s="2312"/>
      <c r="L78" s="2312"/>
      <c r="M78" s="2312"/>
      <c r="N78" s="2312"/>
      <c r="O78" s="2312"/>
      <c r="P78" s="2312"/>
      <c r="Q78" s="2312"/>
      <c r="R78" s="2312"/>
      <c r="S78" s="2312"/>
      <c r="T78" s="2312"/>
      <c r="U78" s="2312"/>
    </row>
    <row r="79" spans="1:21" s="2347" customFormat="1" ht="14.25" x14ac:dyDescent="0.2">
      <c r="A79" s="1279"/>
      <c r="B79" s="1278"/>
      <c r="C79" s="1281" t="s">
        <v>1812</v>
      </c>
      <c r="D79" s="2261" t="s">
        <v>1269</v>
      </c>
      <c r="E79" s="2358">
        <v>343119</v>
      </c>
      <c r="F79" s="1318">
        <v>356119</v>
      </c>
      <c r="G79" s="1317">
        <v>356119</v>
      </c>
      <c r="H79" s="2359">
        <f>G79/F79*100</f>
        <v>100</v>
      </c>
      <c r="I79" s="2349"/>
      <c r="J79" s="2312"/>
      <c r="K79" s="2312"/>
      <c r="L79" s="2312"/>
      <c r="M79" s="2312"/>
      <c r="N79" s="2312"/>
      <c r="O79" s="2312"/>
      <c r="P79" s="2312"/>
      <c r="Q79" s="2312"/>
      <c r="R79" s="2312"/>
      <c r="S79" s="2312"/>
      <c r="T79" s="2312"/>
      <c r="U79" s="2312"/>
    </row>
    <row r="80" spans="1:21" s="2347" customFormat="1" ht="15" thickBot="1" x14ac:dyDescent="0.25">
      <c r="A80" s="1279"/>
      <c r="B80" s="1278"/>
      <c r="C80" s="1281" t="s">
        <v>1892</v>
      </c>
      <c r="D80" s="2312" t="s">
        <v>1020</v>
      </c>
      <c r="E80" s="2358"/>
      <c r="F80" s="1318">
        <v>4915</v>
      </c>
      <c r="G80" s="1317">
        <v>4915</v>
      </c>
      <c r="H80" s="1273">
        <f>G80/F80*100</f>
        <v>100</v>
      </c>
      <c r="I80" s="2349"/>
      <c r="J80" s="2312"/>
      <c r="K80" s="2312"/>
      <c r="L80" s="2312"/>
      <c r="M80" s="2312"/>
      <c r="N80" s="2312"/>
      <c r="O80" s="2312"/>
      <c r="P80" s="2312"/>
      <c r="Q80" s="2312"/>
      <c r="R80" s="2312"/>
      <c r="S80" s="2312"/>
      <c r="T80" s="2312"/>
      <c r="U80" s="2312"/>
    </row>
    <row r="81" spans="1:21" s="1266" customFormat="1" ht="19.5" customHeight="1" thickTop="1" thickBot="1" x14ac:dyDescent="0.3">
      <c r="A81" s="1272" t="s">
        <v>1000</v>
      </c>
      <c r="B81" s="2356"/>
      <c r="C81" s="2357"/>
      <c r="D81" s="2356"/>
      <c r="E81" s="2355">
        <f>E77</f>
        <v>466207</v>
      </c>
      <c r="F81" s="2355">
        <f>F77</f>
        <v>488022</v>
      </c>
      <c r="G81" s="2355">
        <f>G77</f>
        <v>488022</v>
      </c>
      <c r="H81" s="2354">
        <f>(G81/F81)*100</f>
        <v>100</v>
      </c>
    </row>
    <row r="82" spans="1:21" s="2347" customFormat="1" ht="15.75" thickTop="1" x14ac:dyDescent="0.25">
      <c r="A82" s="1279">
        <v>2212</v>
      </c>
      <c r="B82" s="1278">
        <v>6351</v>
      </c>
      <c r="C82" s="1281"/>
      <c r="D82" s="2353" t="s">
        <v>561</v>
      </c>
      <c r="E82" s="1288">
        <f>E83</f>
        <v>5714</v>
      </c>
      <c r="F82" s="1288">
        <f>F83+F84+F85</f>
        <v>123671</v>
      </c>
      <c r="G82" s="1288">
        <f>G83+G84+G85</f>
        <v>123671</v>
      </c>
      <c r="H82" s="1282">
        <f t="shared" ref="H82:H87" si="1">G82/F82*100</f>
        <v>100</v>
      </c>
      <c r="I82" s="2349"/>
      <c r="J82" s="2312"/>
      <c r="K82" s="2312"/>
      <c r="L82" s="2312"/>
      <c r="M82" s="2312"/>
      <c r="N82" s="2312"/>
      <c r="O82" s="2312"/>
      <c r="P82" s="2312"/>
      <c r="Q82" s="2312"/>
      <c r="R82" s="2312"/>
      <c r="S82" s="2312"/>
      <c r="T82" s="2312"/>
      <c r="U82" s="2312"/>
    </row>
    <row r="83" spans="1:21" s="2347" customFormat="1" ht="14.25" x14ac:dyDescent="0.2">
      <c r="A83" s="1279"/>
      <c r="B83" s="1278"/>
      <c r="C83" s="1281" t="s">
        <v>1891</v>
      </c>
      <c r="D83" s="1280" t="s">
        <v>1628</v>
      </c>
      <c r="E83" s="1276">
        <v>5714</v>
      </c>
      <c r="F83" s="2350">
        <v>80350</v>
      </c>
      <c r="G83" s="1276">
        <v>80350</v>
      </c>
      <c r="H83" s="1273">
        <f t="shared" si="1"/>
        <v>100</v>
      </c>
      <c r="I83" s="2349"/>
      <c r="J83" s="2312"/>
      <c r="K83" s="2312"/>
      <c r="L83" s="2312"/>
      <c r="M83" s="2312"/>
      <c r="N83" s="2312"/>
      <c r="O83" s="2312"/>
      <c r="P83" s="2312"/>
      <c r="Q83" s="2312"/>
      <c r="R83" s="2312"/>
      <c r="S83" s="2312"/>
      <c r="T83" s="2312"/>
      <c r="U83" s="2312"/>
    </row>
    <row r="84" spans="1:21" s="2347" customFormat="1" ht="15" x14ac:dyDescent="0.25">
      <c r="A84" s="1279"/>
      <c r="B84" s="1278"/>
      <c r="C84" s="2351" t="s">
        <v>1890</v>
      </c>
      <c r="D84" s="2300" t="s">
        <v>1625</v>
      </c>
      <c r="E84" s="1288"/>
      <c r="F84" s="2350">
        <v>38615</v>
      </c>
      <c r="G84" s="1276">
        <v>38615</v>
      </c>
      <c r="H84" s="1273">
        <f t="shared" si="1"/>
        <v>100</v>
      </c>
      <c r="I84" s="2349"/>
      <c r="J84" s="2312"/>
      <c r="K84" s="2312"/>
      <c r="L84" s="2312"/>
      <c r="M84" s="2312"/>
      <c r="N84" s="2312"/>
      <c r="O84" s="2312"/>
      <c r="P84" s="2312"/>
      <c r="Q84" s="2312"/>
      <c r="R84" s="2312"/>
      <c r="S84" s="2312"/>
      <c r="T84" s="2312"/>
      <c r="U84" s="2312"/>
    </row>
    <row r="85" spans="1:21" s="2347" customFormat="1" ht="15" x14ac:dyDescent="0.25">
      <c r="A85" s="1279"/>
      <c r="B85" s="1278"/>
      <c r="C85" s="2351" t="s">
        <v>1889</v>
      </c>
      <c r="D85" s="2300" t="s">
        <v>1888</v>
      </c>
      <c r="E85" s="1288"/>
      <c r="F85" s="2350">
        <v>4706</v>
      </c>
      <c r="G85" s="1276">
        <v>4706</v>
      </c>
      <c r="H85" s="1273">
        <f t="shared" si="1"/>
        <v>100</v>
      </c>
      <c r="I85" s="2349"/>
      <c r="J85" s="2312"/>
      <c r="K85" s="2312"/>
      <c r="L85" s="2312"/>
      <c r="M85" s="2312"/>
      <c r="N85" s="2312"/>
      <c r="O85" s="2312"/>
      <c r="P85" s="2312"/>
      <c r="Q85" s="2312"/>
      <c r="R85" s="2312"/>
      <c r="S85" s="2312"/>
      <c r="T85" s="2312"/>
      <c r="U85" s="2312"/>
    </row>
    <row r="86" spans="1:21" s="2347" customFormat="1" ht="15" x14ac:dyDescent="0.25">
      <c r="A86" s="1279">
        <v>2212</v>
      </c>
      <c r="B86" s="1278">
        <v>6356</v>
      </c>
      <c r="C86" s="2351"/>
      <c r="D86" s="2309" t="s">
        <v>1887</v>
      </c>
      <c r="E86" s="1288"/>
      <c r="F86" s="2352">
        <v>233200</v>
      </c>
      <c r="G86" s="1288">
        <v>233200</v>
      </c>
      <c r="H86" s="1282">
        <f t="shared" si="1"/>
        <v>100</v>
      </c>
      <c r="I86" s="2349"/>
      <c r="J86" s="2312"/>
      <c r="K86" s="2312"/>
      <c r="L86" s="2312"/>
      <c r="M86" s="2312"/>
      <c r="N86" s="2312"/>
      <c r="O86" s="2312"/>
      <c r="P86" s="2312"/>
      <c r="Q86" s="2312"/>
      <c r="R86" s="2312"/>
      <c r="S86" s="2312"/>
      <c r="T86" s="2312"/>
      <c r="U86" s="2312"/>
    </row>
    <row r="87" spans="1:21" s="2347" customFormat="1" ht="15.75" thickBot="1" x14ac:dyDescent="0.3">
      <c r="A87" s="1279"/>
      <c r="B87" s="1278"/>
      <c r="C87" s="2351" t="s">
        <v>1886</v>
      </c>
      <c r="D87" s="2300" t="s">
        <v>1885</v>
      </c>
      <c r="E87" s="1288"/>
      <c r="F87" s="2350">
        <v>233200</v>
      </c>
      <c r="G87" s="1276">
        <v>233200</v>
      </c>
      <c r="H87" s="1273">
        <f t="shared" si="1"/>
        <v>100</v>
      </c>
      <c r="I87" s="2349"/>
      <c r="J87" s="2348"/>
      <c r="K87" s="2348"/>
      <c r="L87" s="2348">
        <v>1961223837.9300001</v>
      </c>
      <c r="M87" s="2312"/>
      <c r="N87" s="2312"/>
      <c r="O87" s="2312"/>
      <c r="P87" s="2312"/>
      <c r="Q87" s="2312"/>
      <c r="R87" s="2312"/>
      <c r="S87" s="2312"/>
      <c r="T87" s="2312"/>
      <c r="U87" s="2312"/>
    </row>
    <row r="88" spans="1:21" ht="20.25" customHeight="1" thickTop="1" thickBot="1" x14ac:dyDescent="0.3">
      <c r="A88" s="2162" t="s">
        <v>1001</v>
      </c>
      <c r="B88" s="2161"/>
      <c r="C88" s="2160"/>
      <c r="D88" s="2159"/>
      <c r="E88" s="2346">
        <f>E82</f>
        <v>5714</v>
      </c>
      <c r="F88" s="2346">
        <f>F82+F86</f>
        <v>356871</v>
      </c>
      <c r="G88" s="2346">
        <f>G82+G86</f>
        <v>356871</v>
      </c>
      <c r="H88" s="2345">
        <f>(G88/F88)*100</f>
        <v>100</v>
      </c>
      <c r="J88" s="2344">
        <f>E90+E68</f>
        <v>1352732</v>
      </c>
      <c r="K88" s="2344">
        <f>F90+F68</f>
        <v>1963978</v>
      </c>
      <c r="L88" s="2344">
        <f>G90+G68</f>
        <v>1961223</v>
      </c>
    </row>
    <row r="89" spans="1:21" ht="20.25" customHeight="1" thickTop="1" x14ac:dyDescent="0.25">
      <c r="A89" s="2233"/>
      <c r="B89" s="2232"/>
      <c r="C89" s="2231"/>
      <c r="D89" s="2230"/>
      <c r="E89" s="2343"/>
      <c r="F89" s="2343"/>
      <c r="G89" s="2343"/>
      <c r="H89" s="2342"/>
    </row>
    <row r="90" spans="1:21" s="2131" customFormat="1" ht="23.25" customHeight="1" thickBot="1" x14ac:dyDescent="0.3">
      <c r="A90" s="2227" t="s">
        <v>830</v>
      </c>
      <c r="B90" s="2226"/>
      <c r="C90" s="2225"/>
      <c r="D90" s="2224"/>
      <c r="E90" s="2341">
        <f>E81+E88</f>
        <v>471921</v>
      </c>
      <c r="F90" s="2341">
        <f>F81+F88</f>
        <v>844893</v>
      </c>
      <c r="G90" s="2341">
        <f>G81+G88</f>
        <v>844893</v>
      </c>
      <c r="H90" s="2340">
        <f>(G90/F90)*100</f>
        <v>100</v>
      </c>
    </row>
    <row r="91" spans="1:21" ht="12.75" customHeight="1" thickTop="1" x14ac:dyDescent="0.25">
      <c r="A91" s="2339"/>
      <c r="B91" s="2338"/>
      <c r="C91" s="2337"/>
      <c r="D91" s="2336"/>
      <c r="E91" s="2335"/>
      <c r="F91" s="2335"/>
      <c r="G91" s="2335"/>
      <c r="H91" s="2334"/>
    </row>
    <row r="99" spans="1:15" ht="16.5" x14ac:dyDescent="0.25">
      <c r="A99" s="2145" t="s">
        <v>918</v>
      </c>
      <c r="B99" s="2144"/>
      <c r="C99" s="2143"/>
      <c r="D99" s="2142"/>
      <c r="E99" s="1433">
        <f>E100+E101+E102+E103</f>
        <v>30620</v>
      </c>
      <c r="F99" s="1433">
        <f>F100+F101+F102+F103</f>
        <v>40080</v>
      </c>
      <c r="G99" s="1433">
        <f>G100+G101+G102+G103</f>
        <v>38322</v>
      </c>
      <c r="H99" s="2331">
        <f>(G99/F99)*100</f>
        <v>95.613772455089816</v>
      </c>
      <c r="J99" s="2164">
        <f>J100+J101+J102+J103</f>
        <v>30620000</v>
      </c>
      <c r="K99" s="2164">
        <f>K100+K101+K102+K103</f>
        <v>40080000</v>
      </c>
      <c r="L99" s="2164">
        <f>L100+L101+L102+L103</f>
        <v>38321541.489999995</v>
      </c>
    </row>
    <row r="100" spans="1:15" ht="15" x14ac:dyDescent="0.2">
      <c r="A100" s="1263" t="s">
        <v>242</v>
      </c>
      <c r="B100" s="1265"/>
      <c r="C100" s="1261"/>
      <c r="D100" s="1436"/>
      <c r="E100" s="1264">
        <f>E20</f>
        <v>1620</v>
      </c>
      <c r="F100" s="1264">
        <f>F20</f>
        <v>15780</v>
      </c>
      <c r="G100" s="1264">
        <f>G20</f>
        <v>15409</v>
      </c>
      <c r="H100" s="2330">
        <f>(G100/F100)*100</f>
        <v>97.648922686945511</v>
      </c>
      <c r="J100" s="2333">
        <v>1620000</v>
      </c>
      <c r="K100" s="2333">
        <v>15779591</v>
      </c>
      <c r="L100" s="2333">
        <v>15408657.199999999</v>
      </c>
    </row>
    <row r="101" spans="1:15" ht="15" x14ac:dyDescent="0.2">
      <c r="A101" s="1263" t="s">
        <v>243</v>
      </c>
      <c r="B101" s="1262"/>
      <c r="C101" s="1261"/>
      <c r="D101" s="1438"/>
      <c r="E101" s="1264">
        <f>E34</f>
        <v>29000</v>
      </c>
      <c r="F101" s="1264">
        <f>F34</f>
        <v>24300</v>
      </c>
      <c r="G101" s="1264">
        <f>G34</f>
        <v>22913</v>
      </c>
      <c r="H101" s="2330">
        <f>(G101/F101)*100</f>
        <v>94.292181069958843</v>
      </c>
      <c r="J101" s="2333">
        <v>29000000</v>
      </c>
      <c r="K101" s="2333">
        <v>24300409</v>
      </c>
      <c r="L101" s="2333">
        <v>22912884.289999999</v>
      </c>
    </row>
    <row r="102" spans="1:15" ht="15" x14ac:dyDescent="0.2">
      <c r="A102" s="1263" t="s">
        <v>191</v>
      </c>
      <c r="B102" s="1262"/>
      <c r="C102" s="1261"/>
      <c r="D102" s="1438"/>
      <c r="E102" s="1264">
        <v>0</v>
      </c>
      <c r="F102" s="1264">
        <v>0</v>
      </c>
      <c r="G102" s="1264">
        <v>0</v>
      </c>
      <c r="H102" s="2330">
        <v>0</v>
      </c>
      <c r="J102" s="2333">
        <v>0</v>
      </c>
      <c r="K102" s="2333">
        <v>0</v>
      </c>
      <c r="L102" s="2333">
        <v>0</v>
      </c>
    </row>
    <row r="103" spans="1:15" ht="15" x14ac:dyDescent="0.2">
      <c r="A103" s="1263" t="s">
        <v>1034</v>
      </c>
      <c r="B103" s="1262"/>
      <c r="C103" s="1261"/>
      <c r="D103" s="1438"/>
      <c r="E103" s="1264">
        <v>0</v>
      </c>
      <c r="F103" s="1264">
        <v>0</v>
      </c>
      <c r="G103" s="1264">
        <v>0</v>
      </c>
      <c r="H103" s="2330">
        <v>0</v>
      </c>
      <c r="J103" s="2333">
        <v>0</v>
      </c>
      <c r="K103" s="2333">
        <v>0</v>
      </c>
      <c r="L103" s="2333">
        <v>0</v>
      </c>
      <c r="M103" s="1254"/>
    </row>
    <row r="104" spans="1:15" ht="15" x14ac:dyDescent="0.2">
      <c r="A104" s="1263"/>
      <c r="B104" s="1262"/>
      <c r="C104" s="1261"/>
      <c r="D104" s="1438"/>
      <c r="E104" s="1264"/>
      <c r="F104" s="1264"/>
      <c r="G104" s="1264"/>
      <c r="H104" s="2332"/>
      <c r="L104" s="1442"/>
      <c r="M104" s="1442"/>
    </row>
    <row r="105" spans="1:15" ht="16.5" x14ac:dyDescent="0.25">
      <c r="A105" s="2138" t="s">
        <v>244</v>
      </c>
      <c r="B105" s="1262"/>
      <c r="C105" s="1261"/>
      <c r="D105" s="1438"/>
      <c r="E105" s="1433">
        <f>E106+E107+E108+E109</f>
        <v>1352732</v>
      </c>
      <c r="F105" s="1433">
        <f>F106+F107+F108+F109</f>
        <v>1963978</v>
      </c>
      <c r="G105" s="1433">
        <f>G106+G107+G108+G109</f>
        <v>1961223</v>
      </c>
      <c r="H105" s="2331">
        <f>(G105/F105)*100</f>
        <v>99.859723479590912</v>
      </c>
      <c r="J105" s="2132">
        <f>J106+J107+J108+J109</f>
        <v>1352732000</v>
      </c>
      <c r="K105" s="2132">
        <f>K106+K107+K108+K109</f>
        <v>1963978153.3099999</v>
      </c>
      <c r="L105" s="2132">
        <f>L106+L107+L108+L109</f>
        <v>1961223837.9299998</v>
      </c>
      <c r="M105" s="1254"/>
    </row>
    <row r="106" spans="1:15" ht="15" x14ac:dyDescent="0.2">
      <c r="A106" s="1263" t="s">
        <v>1873</v>
      </c>
      <c r="B106" s="1262"/>
      <c r="C106" s="1261"/>
      <c r="D106" s="1438"/>
      <c r="E106" s="1264">
        <f>E77+E43+E54</f>
        <v>1347018</v>
      </c>
      <c r="F106" s="1264">
        <f>F66+F81-F108</f>
        <v>1388673</v>
      </c>
      <c r="G106" s="1264">
        <f>G66+G81-G108</f>
        <v>1385918</v>
      </c>
      <c r="H106" s="2330">
        <f>(G106/F106)*100</f>
        <v>99.801609162128159</v>
      </c>
      <c r="J106" s="1533">
        <v>1347018000</v>
      </c>
      <c r="K106" s="1533">
        <v>1388672682</v>
      </c>
      <c r="L106" s="1533">
        <v>1385918366.6199999</v>
      </c>
    </row>
    <row r="107" spans="1:15" ht="15" x14ac:dyDescent="0.2">
      <c r="A107" s="1263" t="s">
        <v>1872</v>
      </c>
      <c r="B107" s="1262"/>
      <c r="C107" s="1261"/>
      <c r="D107" s="1438"/>
      <c r="E107" s="1264">
        <f>E88</f>
        <v>5714</v>
      </c>
      <c r="F107" s="1264">
        <f>F88-F109</f>
        <v>123671</v>
      </c>
      <c r="G107" s="1264">
        <f>G88-G109</f>
        <v>123671</v>
      </c>
      <c r="H107" s="2330">
        <f>(G107/F107)*100</f>
        <v>100</v>
      </c>
      <c r="J107" s="1533">
        <v>5714000</v>
      </c>
      <c r="K107" s="1533">
        <v>123671558.55</v>
      </c>
      <c r="L107" s="1533">
        <v>123671558.55</v>
      </c>
    </row>
    <row r="108" spans="1:15" ht="15" x14ac:dyDescent="0.2">
      <c r="A108" s="1263" t="s">
        <v>2149</v>
      </c>
      <c r="B108" s="2121"/>
      <c r="C108" s="2120"/>
      <c r="E108" s="1264">
        <v>0</v>
      </c>
      <c r="F108" s="1264">
        <f>F52</f>
        <v>218434</v>
      </c>
      <c r="G108" s="1264">
        <f>G52</f>
        <v>218434</v>
      </c>
      <c r="H108" s="2330">
        <v>0</v>
      </c>
      <c r="J108" s="1437">
        <v>0</v>
      </c>
      <c r="K108" s="1533">
        <v>218434071</v>
      </c>
      <c r="L108" s="1533">
        <v>218434071</v>
      </c>
      <c r="N108" s="1533">
        <f>K108+K109</f>
        <v>451633912.75999999</v>
      </c>
      <c r="O108" s="1533">
        <f>L108+L109</f>
        <v>451633912.75999999</v>
      </c>
    </row>
    <row r="109" spans="1:15" ht="15" x14ac:dyDescent="0.2">
      <c r="A109" s="1263" t="s">
        <v>2150</v>
      </c>
      <c r="B109" s="2121"/>
      <c r="C109" s="2120"/>
      <c r="E109" s="1264">
        <v>0</v>
      </c>
      <c r="F109" s="1264">
        <f>F87</f>
        <v>233200</v>
      </c>
      <c r="G109" s="1264">
        <f>G87</f>
        <v>233200</v>
      </c>
      <c r="H109" s="2330">
        <f>(G109/F109)*100</f>
        <v>100</v>
      </c>
      <c r="J109" s="1533">
        <v>0</v>
      </c>
      <c r="K109" s="1533">
        <v>233199841.75999999</v>
      </c>
      <c r="L109" s="1533">
        <v>233199841.75999999</v>
      </c>
    </row>
    <row r="112" spans="1:15" s="1256" customFormat="1" ht="47.25" customHeight="1" thickBot="1" x14ac:dyDescent="0.4">
      <c r="A112" s="3148" t="s">
        <v>371</v>
      </c>
      <c r="B112" s="3149"/>
      <c r="C112" s="3149"/>
      <c r="D112" s="3149"/>
      <c r="E112" s="2329">
        <f>SUM(E99,E105)</f>
        <v>1383352</v>
      </c>
      <c r="F112" s="2329">
        <f>SUM(F99,F105)</f>
        <v>2004058</v>
      </c>
      <c r="G112" s="2329">
        <f>SUM(G99,G105)</f>
        <v>1999545</v>
      </c>
      <c r="H112" s="2328">
        <f>(G112/F112)*100</f>
        <v>99.774806916765883</v>
      </c>
      <c r="J112" s="2327">
        <f>J99+J105</f>
        <v>1383352000</v>
      </c>
      <c r="K112" s="2327">
        <f>K99+K105</f>
        <v>2004058153.3099999</v>
      </c>
      <c r="L112" s="2327">
        <f>L99+L105</f>
        <v>1999545379.4199998</v>
      </c>
    </row>
    <row r="113" spans="5:12" ht="13.5" thickTop="1" x14ac:dyDescent="0.2"/>
    <row r="114" spans="5:12" x14ac:dyDescent="0.2">
      <c r="E114" s="1533"/>
      <c r="F114" s="1533"/>
      <c r="G114" s="1533"/>
    </row>
    <row r="115" spans="5:12" x14ac:dyDescent="0.2">
      <c r="J115" s="1254">
        <f>E102+E103+E108+E109</f>
        <v>0</v>
      </c>
      <c r="K115" s="1254">
        <f>F102+F103+F108+F109</f>
        <v>451634</v>
      </c>
      <c r="L115" s="1254">
        <f>G102+G103+G108+G109</f>
        <v>451634</v>
      </c>
    </row>
  </sheetData>
  <mergeCells count="10">
    <mergeCell ref="A112:D112"/>
    <mergeCell ref="A38:D39"/>
    <mergeCell ref="A68:D69"/>
    <mergeCell ref="D52:D53"/>
    <mergeCell ref="D48:D49"/>
    <mergeCell ref="D50:D51"/>
    <mergeCell ref="D44:D45"/>
    <mergeCell ref="D59:D60"/>
    <mergeCell ref="D61:D62"/>
    <mergeCell ref="D63:D64"/>
  </mergeCells>
  <pageMargins left="0.98425196850393704" right="0.98425196850393704" top="0.98425196850393704" bottom="0.98425196850393704" header="0.51181102362204722" footer="0.51181102362204722"/>
  <pageSetup paperSize="9" scale="67" firstPageNumber="96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rowBreaks count="1" manualBreakCount="1">
    <brk id="69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325"/>
  <sheetViews>
    <sheetView showGridLines="0" view="pageBreakPreview" zoomScaleNormal="100" zoomScaleSheetLayoutView="100" workbookViewId="0">
      <selection activeCell="D260" sqref="D260"/>
    </sheetView>
  </sheetViews>
  <sheetFormatPr defaultColWidth="9.140625" defaultRowHeight="12.75" x14ac:dyDescent="0.2"/>
  <cols>
    <col min="1" max="1" width="5.42578125" style="2121" customWidth="1"/>
    <col min="2" max="2" width="5.140625" style="2121" customWidth="1"/>
    <col min="3" max="3" width="9.85546875" style="2120" customWidth="1"/>
    <col min="4" max="4" width="45.85546875" style="1249" customWidth="1"/>
    <col min="5" max="5" width="14.7109375" style="1254" customWidth="1"/>
    <col min="6" max="6" width="14.5703125" style="1254" customWidth="1"/>
    <col min="7" max="7" width="13.140625" style="1254" customWidth="1"/>
    <col min="8" max="8" width="7.28515625" style="2203" customWidth="1"/>
    <col min="9" max="9" width="9.140625" style="1249"/>
    <col min="10" max="11" width="13.7109375" style="1249" bestFit="1" customWidth="1"/>
    <col min="12" max="12" width="18.7109375" style="1249" bestFit="1" customWidth="1"/>
    <col min="13" max="13" width="9.140625" style="1249"/>
    <col min="14" max="14" width="10.140625" style="1249" bestFit="1" customWidth="1"/>
    <col min="15" max="15" width="12.28515625" style="1249" customWidth="1"/>
    <col min="16" max="16384" width="9.140625" style="1249"/>
  </cols>
  <sheetData>
    <row r="1" spans="1:9" s="2318" customFormat="1" ht="18.75" thickBot="1" x14ac:dyDescent="0.3">
      <c r="A1" s="2324" t="s">
        <v>372</v>
      </c>
      <c r="B1" s="2323"/>
      <c r="C1" s="2464"/>
      <c r="D1" s="2321"/>
      <c r="E1" s="2463"/>
      <c r="F1" s="2463" t="s">
        <v>373</v>
      </c>
      <c r="G1" s="2462"/>
      <c r="H1" s="2461"/>
    </row>
    <row r="2" spans="1:9" x14ac:dyDescent="0.2">
      <c r="A2" s="2156"/>
    </row>
    <row r="3" spans="1:9" s="2141" customFormat="1" ht="14.25" x14ac:dyDescent="0.2">
      <c r="A3" s="2317" t="s">
        <v>336</v>
      </c>
      <c r="B3" s="2316"/>
      <c r="C3" s="2315" t="s">
        <v>1884</v>
      </c>
      <c r="E3" s="2400"/>
      <c r="F3" s="2400"/>
      <c r="G3" s="2400"/>
      <c r="H3" s="2118"/>
    </row>
    <row r="4" spans="1:9" ht="14.25" x14ac:dyDescent="0.2">
      <c r="A4" s="2156"/>
      <c r="C4" s="2315" t="s">
        <v>774</v>
      </c>
    </row>
    <row r="5" spans="1:9" x14ac:dyDescent="0.2">
      <c r="A5" s="2156"/>
    </row>
    <row r="6" spans="1:9" ht="15.75" x14ac:dyDescent="0.25">
      <c r="A6" s="2245" t="s">
        <v>799</v>
      </c>
    </row>
    <row r="7" spans="1:9" ht="13.5" thickBot="1" x14ac:dyDescent="0.25">
      <c r="H7" s="2203" t="s">
        <v>148</v>
      </c>
    </row>
    <row r="8" spans="1:9" s="1298" customFormat="1" ht="20.25" customHeight="1" thickTop="1" thickBot="1" x14ac:dyDescent="0.25">
      <c r="A8" s="1302" t="s">
        <v>149</v>
      </c>
      <c r="B8" s="1301" t="s">
        <v>150</v>
      </c>
      <c r="C8" s="2263" t="s">
        <v>639</v>
      </c>
      <c r="D8" s="1324" t="s">
        <v>151</v>
      </c>
      <c r="E8" s="1324" t="s">
        <v>569</v>
      </c>
      <c r="F8" s="1324" t="s">
        <v>570</v>
      </c>
      <c r="G8" s="2198" t="s">
        <v>797</v>
      </c>
      <c r="H8" s="2262" t="s">
        <v>798</v>
      </c>
    </row>
    <row r="9" spans="1:9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6">
        <v>5</v>
      </c>
      <c r="F9" s="1295">
        <v>6</v>
      </c>
      <c r="G9" s="1295">
        <v>7</v>
      </c>
      <c r="H9" s="1294" t="s">
        <v>54</v>
      </c>
      <c r="I9" s="1298"/>
    </row>
    <row r="10" spans="1:9" s="2312" customFormat="1" ht="15.75" thickTop="1" x14ac:dyDescent="0.25">
      <c r="A10" s="2460">
        <v>3311</v>
      </c>
      <c r="B10" s="2366">
        <v>5212</v>
      </c>
      <c r="C10" s="2459"/>
      <c r="D10" s="2458" t="s">
        <v>610</v>
      </c>
      <c r="E10" s="2363"/>
      <c r="F10" s="2302">
        <f>F11</f>
        <v>100</v>
      </c>
      <c r="G10" s="2302">
        <v>15</v>
      </c>
      <c r="H10" s="2457">
        <f t="shared" ref="H10:H28" si="0">(G10/F10)*100</f>
        <v>15</v>
      </c>
    </row>
    <row r="11" spans="1:9" s="2312" customFormat="1" ht="15" x14ac:dyDescent="0.25">
      <c r="A11" s="1279"/>
      <c r="B11" s="1278"/>
      <c r="C11" s="1286" t="s">
        <v>1787</v>
      </c>
      <c r="D11" s="1287" t="s">
        <v>292</v>
      </c>
      <c r="E11" s="1321"/>
      <c r="F11" s="1275">
        <v>100</v>
      </c>
      <c r="G11" s="1274">
        <v>15</v>
      </c>
      <c r="H11" s="1316">
        <f t="shared" si="0"/>
        <v>15</v>
      </c>
    </row>
    <row r="12" spans="1:9" s="2312" customFormat="1" ht="15" x14ac:dyDescent="0.25">
      <c r="A12" s="1279">
        <v>3311</v>
      </c>
      <c r="B12" s="1278">
        <v>5213</v>
      </c>
      <c r="C12" s="1322"/>
      <c r="D12" s="1315" t="s">
        <v>412</v>
      </c>
      <c r="E12" s="1321">
        <v>228</v>
      </c>
      <c r="F12" s="1320">
        <f>F14+F15+F13</f>
        <v>638</v>
      </c>
      <c r="G12" s="1320">
        <f>G14+G15+G13</f>
        <v>638</v>
      </c>
      <c r="H12" s="1313">
        <f t="shared" si="0"/>
        <v>100</v>
      </c>
    </row>
    <row r="13" spans="1:9" s="2312" customFormat="1" ht="15" x14ac:dyDescent="0.25">
      <c r="A13" s="1279"/>
      <c r="B13" s="1278"/>
      <c r="C13" s="1286" t="s">
        <v>1787</v>
      </c>
      <c r="D13" s="1287" t="s">
        <v>292</v>
      </c>
      <c r="E13" s="1321"/>
      <c r="F13" s="1275">
        <v>400</v>
      </c>
      <c r="G13" s="1274">
        <v>400</v>
      </c>
      <c r="H13" s="1316">
        <f t="shared" si="0"/>
        <v>100</v>
      </c>
    </row>
    <row r="14" spans="1:9" s="2312" customFormat="1" ht="14.25" x14ac:dyDescent="0.2">
      <c r="A14" s="1279"/>
      <c r="B14" s="1278"/>
      <c r="C14" s="1277" t="s">
        <v>1928</v>
      </c>
      <c r="D14" s="1287" t="s">
        <v>576</v>
      </c>
      <c r="E14" s="1276">
        <v>228</v>
      </c>
      <c r="F14" s="1275">
        <v>228</v>
      </c>
      <c r="G14" s="1274">
        <v>228</v>
      </c>
      <c r="H14" s="1316">
        <f t="shared" si="0"/>
        <v>100</v>
      </c>
    </row>
    <row r="15" spans="1:9" s="2312" customFormat="1" ht="14.25" x14ac:dyDescent="0.2">
      <c r="A15" s="1279"/>
      <c r="B15" s="1278"/>
      <c r="C15" s="1277" t="s">
        <v>1925</v>
      </c>
      <c r="D15" s="2072" t="s">
        <v>400</v>
      </c>
      <c r="E15" s="1276"/>
      <c r="F15" s="1275">
        <v>10</v>
      </c>
      <c r="G15" s="1274">
        <v>10</v>
      </c>
      <c r="H15" s="1316">
        <f t="shared" si="0"/>
        <v>100</v>
      </c>
    </row>
    <row r="16" spans="1:9" s="2312" customFormat="1" ht="15" x14ac:dyDescent="0.25">
      <c r="A16" s="1279">
        <v>3311</v>
      </c>
      <c r="B16" s="1278">
        <v>5221</v>
      </c>
      <c r="C16" s="1277"/>
      <c r="D16" s="2454" t="s">
        <v>1074</v>
      </c>
      <c r="E16" s="1276"/>
      <c r="F16" s="1283">
        <f>F17+F18</f>
        <v>1100</v>
      </c>
      <c r="G16" s="1283">
        <f>G17+G18</f>
        <v>1100</v>
      </c>
      <c r="H16" s="1313">
        <f t="shared" si="0"/>
        <v>100</v>
      </c>
    </row>
    <row r="17" spans="1:8" s="2312" customFormat="1" ht="14.25" x14ac:dyDescent="0.2">
      <c r="A17" s="1279"/>
      <c r="B17" s="1278"/>
      <c r="C17" s="1277" t="s">
        <v>1925</v>
      </c>
      <c r="D17" s="2072" t="s">
        <v>400</v>
      </c>
      <c r="E17" s="1276"/>
      <c r="F17" s="1275">
        <v>450</v>
      </c>
      <c r="G17" s="1274">
        <v>450</v>
      </c>
      <c r="H17" s="1316">
        <f t="shared" si="0"/>
        <v>100</v>
      </c>
    </row>
    <row r="18" spans="1:8" s="2312" customFormat="1" ht="14.25" x14ac:dyDescent="0.2">
      <c r="A18" s="1279"/>
      <c r="B18" s="1278"/>
      <c r="C18" s="1277" t="s">
        <v>1926</v>
      </c>
      <c r="D18" s="2072" t="s">
        <v>1270</v>
      </c>
      <c r="E18" s="1276"/>
      <c r="F18" s="1275">
        <v>650</v>
      </c>
      <c r="G18" s="1274">
        <v>650</v>
      </c>
      <c r="H18" s="1316">
        <f t="shared" si="0"/>
        <v>100</v>
      </c>
    </row>
    <row r="19" spans="1:8" s="2312" customFormat="1" ht="15" x14ac:dyDescent="0.25">
      <c r="A19" s="1279">
        <v>3311</v>
      </c>
      <c r="B19" s="1278">
        <v>5222</v>
      </c>
      <c r="C19" s="1277"/>
      <c r="D19" s="1285" t="s">
        <v>401</v>
      </c>
      <c r="E19" s="1288"/>
      <c r="F19" s="1283">
        <f>F21+F22+F20</f>
        <v>1510</v>
      </c>
      <c r="G19" s="1283">
        <f>G21+G22+G20</f>
        <v>1510</v>
      </c>
      <c r="H19" s="1313">
        <f t="shared" si="0"/>
        <v>100</v>
      </c>
    </row>
    <row r="20" spans="1:8" s="2312" customFormat="1" ht="15" x14ac:dyDescent="0.25">
      <c r="A20" s="1279"/>
      <c r="B20" s="1278"/>
      <c r="C20" s="1286" t="s">
        <v>1787</v>
      </c>
      <c r="D20" s="1287" t="s">
        <v>292</v>
      </c>
      <c r="E20" s="1288"/>
      <c r="F20" s="1275">
        <v>1150</v>
      </c>
      <c r="G20" s="1274">
        <v>1150</v>
      </c>
      <c r="H20" s="1316">
        <f t="shared" si="0"/>
        <v>100</v>
      </c>
    </row>
    <row r="21" spans="1:8" s="2312" customFormat="1" ht="15" x14ac:dyDescent="0.25">
      <c r="A21" s="1279"/>
      <c r="B21" s="1278"/>
      <c r="C21" s="1286" t="s">
        <v>1788</v>
      </c>
      <c r="D21" s="1287" t="s">
        <v>1437</v>
      </c>
      <c r="E21" s="1288"/>
      <c r="F21" s="1275">
        <v>25</v>
      </c>
      <c r="G21" s="1274">
        <v>25</v>
      </c>
      <c r="H21" s="1316">
        <f t="shared" si="0"/>
        <v>100</v>
      </c>
    </row>
    <row r="22" spans="1:8" s="2312" customFormat="1" ht="14.25" x14ac:dyDescent="0.2">
      <c r="A22" s="1279"/>
      <c r="B22" s="1278"/>
      <c r="C22" s="1277" t="s">
        <v>1925</v>
      </c>
      <c r="D22" s="2072" t="s">
        <v>400</v>
      </c>
      <c r="E22" s="1276"/>
      <c r="F22" s="1275">
        <v>335</v>
      </c>
      <c r="G22" s="1274">
        <v>335</v>
      </c>
      <c r="H22" s="1316">
        <f t="shared" si="0"/>
        <v>100</v>
      </c>
    </row>
    <row r="23" spans="1:8" s="2312" customFormat="1" ht="15" x14ac:dyDescent="0.25">
      <c r="A23" s="1279">
        <v>3311</v>
      </c>
      <c r="B23" s="1278">
        <v>5223</v>
      </c>
      <c r="C23" s="1277"/>
      <c r="D23" s="1327" t="s">
        <v>1077</v>
      </c>
      <c r="E23" s="1276"/>
      <c r="F23" s="1284">
        <v>25</v>
      </c>
      <c r="G23" s="1283">
        <v>25</v>
      </c>
      <c r="H23" s="1313">
        <f t="shared" si="0"/>
        <v>100</v>
      </c>
    </row>
    <row r="24" spans="1:8" s="2312" customFormat="1" ht="15" x14ac:dyDescent="0.25">
      <c r="A24" s="1279"/>
      <c r="B24" s="1278"/>
      <c r="C24" s="1286" t="s">
        <v>1788</v>
      </c>
      <c r="D24" s="1287" t="s">
        <v>1437</v>
      </c>
      <c r="E24" s="1288"/>
      <c r="F24" s="1275">
        <v>25</v>
      </c>
      <c r="G24" s="1274">
        <v>25</v>
      </c>
      <c r="H24" s="1316">
        <f t="shared" si="0"/>
        <v>100</v>
      </c>
    </row>
    <row r="25" spans="1:8" s="2312" customFormat="1" ht="15" x14ac:dyDescent="0.25">
      <c r="A25" s="1279">
        <v>3311</v>
      </c>
      <c r="B25" s="1278">
        <v>5321</v>
      </c>
      <c r="C25" s="1277"/>
      <c r="D25" s="1315" t="s">
        <v>1078</v>
      </c>
      <c r="E25" s="1288">
        <v>1044</v>
      </c>
      <c r="F25" s="1283">
        <f>F26+F27</f>
        <v>1203</v>
      </c>
      <c r="G25" s="1283">
        <f>G26+G27</f>
        <v>1203</v>
      </c>
      <c r="H25" s="1313">
        <f t="shared" si="0"/>
        <v>100</v>
      </c>
    </row>
    <row r="26" spans="1:8" s="2312" customFormat="1" ht="14.25" x14ac:dyDescent="0.2">
      <c r="A26" s="1279"/>
      <c r="B26" s="1278"/>
      <c r="C26" s="1277" t="s">
        <v>1928</v>
      </c>
      <c r="D26" s="1287" t="s">
        <v>576</v>
      </c>
      <c r="E26" s="1276">
        <v>1044</v>
      </c>
      <c r="F26" s="1275">
        <v>1044</v>
      </c>
      <c r="G26" s="1274">
        <v>1044</v>
      </c>
      <c r="H26" s="1316">
        <f t="shared" si="0"/>
        <v>100</v>
      </c>
    </row>
    <row r="27" spans="1:8" s="2312" customFormat="1" ht="14.25" x14ac:dyDescent="0.2">
      <c r="A27" s="1279"/>
      <c r="B27" s="1278"/>
      <c r="C27" s="1277" t="s">
        <v>1925</v>
      </c>
      <c r="D27" s="2072" t="s">
        <v>400</v>
      </c>
      <c r="E27" s="1276"/>
      <c r="F27" s="1275">
        <v>159</v>
      </c>
      <c r="G27" s="1274">
        <v>159</v>
      </c>
      <c r="H27" s="1316">
        <f t="shared" si="0"/>
        <v>100</v>
      </c>
    </row>
    <row r="28" spans="1:8" s="2312" customFormat="1" ht="15" x14ac:dyDescent="0.25">
      <c r="A28" s="1279">
        <v>3311</v>
      </c>
      <c r="B28" s="1278">
        <v>5493</v>
      </c>
      <c r="C28" s="1277"/>
      <c r="D28" s="1327" t="s">
        <v>1923</v>
      </c>
      <c r="E28" s="1276"/>
      <c r="F28" s="1284">
        <v>100</v>
      </c>
      <c r="G28" s="1283">
        <v>100</v>
      </c>
      <c r="H28" s="1313">
        <f t="shared" si="0"/>
        <v>100</v>
      </c>
    </row>
    <row r="29" spans="1:8" s="2312" customFormat="1" ht="14.25" x14ac:dyDescent="0.2">
      <c r="A29" s="1279"/>
      <c r="B29" s="1278"/>
      <c r="C29" s="1277" t="s">
        <v>1925</v>
      </c>
      <c r="D29" s="2072" t="s">
        <v>400</v>
      </c>
      <c r="E29" s="1276"/>
      <c r="F29" s="1275">
        <v>100</v>
      </c>
      <c r="G29" s="1274">
        <v>100</v>
      </c>
      <c r="H29" s="1316">
        <v>100</v>
      </c>
    </row>
    <row r="30" spans="1:8" s="2312" customFormat="1" ht="15" x14ac:dyDescent="0.25">
      <c r="A30" s="1279">
        <v>3312</v>
      </c>
      <c r="B30" s="1278">
        <v>5212</v>
      </c>
      <c r="C30" s="1277"/>
      <c r="D30" s="2455" t="s">
        <v>610</v>
      </c>
      <c r="E30" s="1288">
        <f>E31</f>
        <v>900</v>
      </c>
      <c r="F30" s="1283">
        <f>F32+F33+F31</f>
        <v>890</v>
      </c>
      <c r="G30" s="1283">
        <f>G32+G33+G31</f>
        <v>890</v>
      </c>
      <c r="H30" s="1313">
        <f>(G30/F30)*100</f>
        <v>100</v>
      </c>
    </row>
    <row r="31" spans="1:8" s="2312" customFormat="1" ht="14.25" x14ac:dyDescent="0.2">
      <c r="A31" s="1279"/>
      <c r="B31" s="1278"/>
      <c r="C31" s="1286" t="s">
        <v>1787</v>
      </c>
      <c r="D31" s="1287" t="s">
        <v>292</v>
      </c>
      <c r="E31" s="1276">
        <v>900</v>
      </c>
      <c r="F31" s="1275">
        <v>150</v>
      </c>
      <c r="G31" s="1274">
        <v>150</v>
      </c>
      <c r="H31" s="1316">
        <v>100</v>
      </c>
    </row>
    <row r="32" spans="1:8" s="2312" customFormat="1" ht="14.25" x14ac:dyDescent="0.2">
      <c r="A32" s="1279"/>
      <c r="B32" s="1278"/>
      <c r="C32" s="1286" t="s">
        <v>1788</v>
      </c>
      <c r="D32" s="1287" t="s">
        <v>1437</v>
      </c>
      <c r="E32" s="1276"/>
      <c r="F32" s="1275">
        <v>25</v>
      </c>
      <c r="G32" s="1274">
        <v>25</v>
      </c>
      <c r="H32" s="1316">
        <f t="shared" ref="H32:H48" si="1">(G32/F32)*100</f>
        <v>100</v>
      </c>
    </row>
    <row r="33" spans="1:10" s="2312" customFormat="1" ht="14.25" x14ac:dyDescent="0.2">
      <c r="A33" s="1279"/>
      <c r="B33" s="1278"/>
      <c r="C33" s="1277" t="s">
        <v>1925</v>
      </c>
      <c r="D33" s="2072" t="s">
        <v>400</v>
      </c>
      <c r="E33" s="1276"/>
      <c r="F33" s="1275">
        <v>715</v>
      </c>
      <c r="G33" s="1274">
        <v>715</v>
      </c>
      <c r="H33" s="1316">
        <f t="shared" si="1"/>
        <v>100</v>
      </c>
    </row>
    <row r="34" spans="1:10" s="2312" customFormat="1" ht="15" x14ac:dyDescent="0.25">
      <c r="A34" s="1279">
        <v>3312</v>
      </c>
      <c r="B34" s="1278">
        <v>5213</v>
      </c>
      <c r="C34" s="1281"/>
      <c r="D34" s="1315" t="s">
        <v>412</v>
      </c>
      <c r="E34" s="1288">
        <f>E35</f>
        <v>1000</v>
      </c>
      <c r="F34" s="1283">
        <f>F35+F36+F37+F38</f>
        <v>2858</v>
      </c>
      <c r="G34" s="1283">
        <f>G35+G36+G37+G38</f>
        <v>2858</v>
      </c>
      <c r="H34" s="1313">
        <f t="shared" si="1"/>
        <v>100</v>
      </c>
    </row>
    <row r="35" spans="1:10" s="2312" customFormat="1" ht="14.25" x14ac:dyDescent="0.2">
      <c r="A35" s="1279"/>
      <c r="B35" s="1278"/>
      <c r="C35" s="1286" t="s">
        <v>1787</v>
      </c>
      <c r="D35" s="1287" t="s">
        <v>292</v>
      </c>
      <c r="E35" s="1276">
        <v>1000</v>
      </c>
      <c r="F35" s="1274">
        <v>1750</v>
      </c>
      <c r="G35" s="2290">
        <v>1750</v>
      </c>
      <c r="H35" s="1316">
        <f t="shared" si="1"/>
        <v>100</v>
      </c>
    </row>
    <row r="36" spans="1:10" s="2312" customFormat="1" ht="15" x14ac:dyDescent="0.25">
      <c r="A36" s="1279"/>
      <c r="B36" s="1278"/>
      <c r="C36" s="1286" t="s">
        <v>1788</v>
      </c>
      <c r="D36" s="1287" t="s">
        <v>1437</v>
      </c>
      <c r="E36" s="1288"/>
      <c r="F36" s="1275">
        <v>25</v>
      </c>
      <c r="G36" s="1274">
        <v>25</v>
      </c>
      <c r="H36" s="1316">
        <f t="shared" si="1"/>
        <v>100</v>
      </c>
    </row>
    <row r="37" spans="1:10" s="2312" customFormat="1" ht="14.25" x14ac:dyDescent="0.2">
      <c r="A37" s="1279"/>
      <c r="B37" s="1278"/>
      <c r="C37" s="1277" t="s">
        <v>1925</v>
      </c>
      <c r="D37" s="2072" t="s">
        <v>400</v>
      </c>
      <c r="E37" s="1276"/>
      <c r="F37" s="1275">
        <v>283</v>
      </c>
      <c r="G37" s="1274">
        <v>283</v>
      </c>
      <c r="H37" s="1316">
        <f t="shared" si="1"/>
        <v>100</v>
      </c>
    </row>
    <row r="38" spans="1:10" s="2312" customFormat="1" ht="14.25" x14ac:dyDescent="0.2">
      <c r="A38" s="1279"/>
      <c r="B38" s="1278"/>
      <c r="C38" s="1277" t="s">
        <v>1926</v>
      </c>
      <c r="D38" s="2072" t="s">
        <v>1270</v>
      </c>
      <c r="E38" s="1276"/>
      <c r="F38" s="1275">
        <v>800</v>
      </c>
      <c r="G38" s="1274">
        <v>800</v>
      </c>
      <c r="H38" s="1316">
        <f t="shared" si="1"/>
        <v>100</v>
      </c>
    </row>
    <row r="39" spans="1:10" s="2312" customFormat="1" ht="15" x14ac:dyDescent="0.25">
      <c r="A39" s="1279">
        <v>3312</v>
      </c>
      <c r="B39" s="1278">
        <v>5221</v>
      </c>
      <c r="C39" s="1277"/>
      <c r="D39" s="2454" t="s">
        <v>1074</v>
      </c>
      <c r="E39" s="1276"/>
      <c r="F39" s="1284">
        <v>60</v>
      </c>
      <c r="G39" s="1283">
        <v>60</v>
      </c>
      <c r="H39" s="1313">
        <f t="shared" si="1"/>
        <v>100</v>
      </c>
    </row>
    <row r="40" spans="1:10" s="2312" customFormat="1" ht="14.25" x14ac:dyDescent="0.2">
      <c r="A40" s="1279"/>
      <c r="B40" s="1278"/>
      <c r="C40" s="1277" t="s">
        <v>1925</v>
      </c>
      <c r="D40" s="2072" t="s">
        <v>400</v>
      </c>
      <c r="E40" s="1276"/>
      <c r="F40" s="1275">
        <v>60</v>
      </c>
      <c r="G40" s="1274">
        <v>60</v>
      </c>
      <c r="H40" s="1316">
        <f t="shared" si="1"/>
        <v>100</v>
      </c>
    </row>
    <row r="41" spans="1:10" s="2312" customFormat="1" ht="15" x14ac:dyDescent="0.25">
      <c r="A41" s="1279">
        <v>3312</v>
      </c>
      <c r="B41" s="1278">
        <v>5222</v>
      </c>
      <c r="C41" s="1277"/>
      <c r="D41" s="1285" t="s">
        <v>401</v>
      </c>
      <c r="E41" s="1288">
        <f>E42</f>
        <v>1800</v>
      </c>
      <c r="F41" s="1283">
        <f>F42+F43+F44+F45</f>
        <v>2728</v>
      </c>
      <c r="G41" s="1283">
        <f>G42+G43+G44+G45</f>
        <v>2728</v>
      </c>
      <c r="H41" s="1313">
        <f t="shared" si="1"/>
        <v>100</v>
      </c>
    </row>
    <row r="42" spans="1:10" s="2312" customFormat="1" ht="14.25" x14ac:dyDescent="0.2">
      <c r="A42" s="1279"/>
      <c r="B42" s="1278"/>
      <c r="C42" s="1286" t="s">
        <v>1787</v>
      </c>
      <c r="D42" s="1287" t="s">
        <v>292</v>
      </c>
      <c r="E42" s="1276">
        <v>1800</v>
      </c>
      <c r="F42" s="1275">
        <v>350</v>
      </c>
      <c r="G42" s="1274">
        <v>350</v>
      </c>
      <c r="H42" s="1316">
        <f t="shared" si="1"/>
        <v>100</v>
      </c>
    </row>
    <row r="43" spans="1:10" s="2312" customFormat="1" ht="15" x14ac:dyDescent="0.25">
      <c r="A43" s="1279"/>
      <c r="B43" s="1278"/>
      <c r="C43" s="1286" t="s">
        <v>1788</v>
      </c>
      <c r="D43" s="1287" t="s">
        <v>1437</v>
      </c>
      <c r="E43" s="1288"/>
      <c r="F43" s="1275">
        <v>198</v>
      </c>
      <c r="G43" s="1274">
        <v>198</v>
      </c>
      <c r="H43" s="1316">
        <f t="shared" si="1"/>
        <v>100</v>
      </c>
    </row>
    <row r="44" spans="1:10" s="2312" customFormat="1" ht="14.25" x14ac:dyDescent="0.2">
      <c r="A44" s="1279"/>
      <c r="B44" s="1278"/>
      <c r="C44" s="1277" t="s">
        <v>1925</v>
      </c>
      <c r="D44" s="2072" t="s">
        <v>400</v>
      </c>
      <c r="E44" s="1276"/>
      <c r="F44" s="1275">
        <v>1180</v>
      </c>
      <c r="G44" s="1274">
        <v>1180</v>
      </c>
      <c r="H44" s="1316">
        <f t="shared" si="1"/>
        <v>100</v>
      </c>
    </row>
    <row r="45" spans="1:10" s="2312" customFormat="1" ht="14.25" x14ac:dyDescent="0.2">
      <c r="A45" s="1279"/>
      <c r="B45" s="1278"/>
      <c r="C45" s="1277" t="s">
        <v>1926</v>
      </c>
      <c r="D45" s="2072" t="s">
        <v>1270</v>
      </c>
      <c r="E45" s="1276"/>
      <c r="F45" s="1275">
        <v>1000</v>
      </c>
      <c r="G45" s="1274">
        <v>1000</v>
      </c>
      <c r="H45" s="1316">
        <f t="shared" si="1"/>
        <v>100</v>
      </c>
    </row>
    <row r="46" spans="1:10" s="2312" customFormat="1" ht="15" x14ac:dyDescent="0.25">
      <c r="A46" s="1279">
        <v>3312</v>
      </c>
      <c r="B46" s="1278">
        <v>5223</v>
      </c>
      <c r="C46" s="1277"/>
      <c r="D46" s="1327" t="s">
        <v>1077</v>
      </c>
      <c r="E46" s="1288"/>
      <c r="F46" s="1283">
        <v>10</v>
      </c>
      <c r="G46" s="1283">
        <v>10</v>
      </c>
      <c r="H46" s="1313">
        <f t="shared" si="1"/>
        <v>100</v>
      </c>
    </row>
    <row r="47" spans="1:10" s="2312" customFormat="1" ht="14.25" x14ac:dyDescent="0.2">
      <c r="A47" s="1279"/>
      <c r="B47" s="1278"/>
      <c r="C47" s="1286" t="s">
        <v>1788</v>
      </c>
      <c r="D47" s="1287" t="s">
        <v>1437</v>
      </c>
      <c r="E47" s="1276"/>
      <c r="F47" s="1275">
        <v>10</v>
      </c>
      <c r="G47" s="1274">
        <v>10</v>
      </c>
      <c r="H47" s="1316">
        <f t="shared" si="1"/>
        <v>100</v>
      </c>
    </row>
    <row r="48" spans="1:10" s="2312" customFormat="1" ht="15" x14ac:dyDescent="0.25">
      <c r="A48" s="1279">
        <v>3312</v>
      </c>
      <c r="B48" s="1278">
        <v>5229</v>
      </c>
      <c r="C48" s="1277"/>
      <c r="D48" s="1327" t="s">
        <v>767</v>
      </c>
      <c r="E48" s="1288">
        <f>E49+E50+E51+E52</f>
        <v>6340</v>
      </c>
      <c r="F48" s="1288">
        <f>F49+F50+F51+F52</f>
        <v>860</v>
      </c>
      <c r="G48" s="1288">
        <f>G49+G50+G51+G52</f>
        <v>860</v>
      </c>
      <c r="H48" s="1313">
        <f t="shared" si="1"/>
        <v>100</v>
      </c>
      <c r="J48" s="2453"/>
    </row>
    <row r="49" spans="1:10" s="2312" customFormat="1" ht="14.25" x14ac:dyDescent="0.2">
      <c r="A49" s="1279"/>
      <c r="B49" s="1278"/>
      <c r="C49" s="1286" t="s">
        <v>1787</v>
      </c>
      <c r="D49" s="1287" t="s">
        <v>292</v>
      </c>
      <c r="E49" s="1276">
        <v>650</v>
      </c>
      <c r="F49" s="1275">
        <v>0</v>
      </c>
      <c r="G49" s="1274">
        <v>0</v>
      </c>
      <c r="H49" s="1316">
        <v>0</v>
      </c>
      <c r="J49" s="2453"/>
    </row>
    <row r="50" spans="1:10" s="2312" customFormat="1" ht="14.25" x14ac:dyDescent="0.2">
      <c r="A50" s="1279"/>
      <c r="B50" s="1278"/>
      <c r="C50" s="1286" t="s">
        <v>1761</v>
      </c>
      <c r="D50" s="1280" t="s">
        <v>806</v>
      </c>
      <c r="E50" s="1276"/>
      <c r="F50" s="1275">
        <v>180</v>
      </c>
      <c r="G50" s="1274">
        <v>180</v>
      </c>
      <c r="H50" s="1316">
        <f t="shared" ref="H50:H69" si="2">(G50/F50)*100</f>
        <v>100</v>
      </c>
      <c r="J50" s="2453"/>
    </row>
    <row r="51" spans="1:10" s="2312" customFormat="1" ht="15" x14ac:dyDescent="0.25">
      <c r="A51" s="1279"/>
      <c r="B51" s="1278"/>
      <c r="C51" s="1277" t="s">
        <v>1925</v>
      </c>
      <c r="D51" s="2072" t="s">
        <v>400</v>
      </c>
      <c r="E51" s="1288"/>
      <c r="F51" s="1275">
        <v>30</v>
      </c>
      <c r="G51" s="1274">
        <v>30</v>
      </c>
      <c r="H51" s="1316">
        <f t="shared" si="2"/>
        <v>100</v>
      </c>
      <c r="J51" s="2453"/>
    </row>
    <row r="52" spans="1:10" s="2312" customFormat="1" ht="14.25" x14ac:dyDescent="0.2">
      <c r="A52" s="1279"/>
      <c r="B52" s="1278"/>
      <c r="C52" s="1277" t="s">
        <v>1926</v>
      </c>
      <c r="D52" s="2072" t="s">
        <v>1270</v>
      </c>
      <c r="E52" s="1276">
        <v>5690</v>
      </c>
      <c r="F52" s="1275">
        <v>650</v>
      </c>
      <c r="G52" s="1274">
        <v>650</v>
      </c>
      <c r="H52" s="1316">
        <f t="shared" si="2"/>
        <v>100</v>
      </c>
    </row>
    <row r="53" spans="1:10" s="2312" customFormat="1" ht="15" x14ac:dyDescent="0.25">
      <c r="A53" s="1279">
        <v>3312</v>
      </c>
      <c r="B53" s="1278">
        <v>5321</v>
      </c>
      <c r="C53" s="1277"/>
      <c r="D53" s="1315" t="s">
        <v>1078</v>
      </c>
      <c r="E53" s="1288">
        <v>228</v>
      </c>
      <c r="F53" s="1283">
        <f>F54+F55+F56+F57+F58</f>
        <v>2516</v>
      </c>
      <c r="G53" s="1283">
        <f>G54+G55+G56+G57+G58</f>
        <v>2516</v>
      </c>
      <c r="H53" s="1319">
        <f t="shared" si="2"/>
        <v>100</v>
      </c>
    </row>
    <row r="54" spans="1:10" s="2312" customFormat="1" ht="15" x14ac:dyDescent="0.25">
      <c r="A54" s="1279"/>
      <c r="B54" s="1278"/>
      <c r="C54" s="1286" t="s">
        <v>1787</v>
      </c>
      <c r="D54" s="1287" t="s">
        <v>292</v>
      </c>
      <c r="E54" s="1288"/>
      <c r="F54" s="1275">
        <v>400</v>
      </c>
      <c r="G54" s="1274">
        <v>400</v>
      </c>
      <c r="H54" s="1316">
        <f t="shared" si="2"/>
        <v>100</v>
      </c>
    </row>
    <row r="55" spans="1:10" s="2312" customFormat="1" ht="15" x14ac:dyDescent="0.25">
      <c r="A55" s="1279"/>
      <c r="B55" s="1278"/>
      <c r="C55" s="1286" t="s">
        <v>1788</v>
      </c>
      <c r="D55" s="1287" t="s">
        <v>1437</v>
      </c>
      <c r="E55" s="1288"/>
      <c r="F55" s="1275">
        <v>50</v>
      </c>
      <c r="G55" s="1274">
        <v>50</v>
      </c>
      <c r="H55" s="1316">
        <f t="shared" si="2"/>
        <v>100</v>
      </c>
    </row>
    <row r="56" spans="1:10" s="2312" customFormat="1" ht="14.25" x14ac:dyDescent="0.2">
      <c r="A56" s="1279"/>
      <c r="B56" s="1278"/>
      <c r="C56" s="1277" t="s">
        <v>1928</v>
      </c>
      <c r="D56" s="1287" t="s">
        <v>576</v>
      </c>
      <c r="E56" s="1276">
        <v>228</v>
      </c>
      <c r="F56" s="1275">
        <v>228</v>
      </c>
      <c r="G56" s="1274">
        <v>228</v>
      </c>
      <c r="H56" s="1316">
        <f t="shared" si="2"/>
        <v>100</v>
      </c>
    </row>
    <row r="57" spans="1:10" s="2312" customFormat="1" ht="14.25" x14ac:dyDescent="0.2">
      <c r="A57" s="1279"/>
      <c r="B57" s="1278"/>
      <c r="C57" s="1277" t="s">
        <v>1925</v>
      </c>
      <c r="D57" s="2072" t="s">
        <v>400</v>
      </c>
      <c r="E57" s="1276"/>
      <c r="F57" s="1275">
        <v>238</v>
      </c>
      <c r="G57" s="1274">
        <v>238</v>
      </c>
      <c r="H57" s="1316">
        <f t="shared" si="2"/>
        <v>100</v>
      </c>
    </row>
    <row r="58" spans="1:10" s="2312" customFormat="1" ht="14.25" x14ac:dyDescent="0.2">
      <c r="A58" s="1279"/>
      <c r="B58" s="1278"/>
      <c r="C58" s="1277" t="s">
        <v>1926</v>
      </c>
      <c r="D58" s="2072" t="s">
        <v>1270</v>
      </c>
      <c r="E58" s="1276"/>
      <c r="F58" s="1275">
        <v>1600</v>
      </c>
      <c r="G58" s="1274">
        <v>1600</v>
      </c>
      <c r="H58" s="1316">
        <f t="shared" si="2"/>
        <v>100</v>
      </c>
    </row>
    <row r="59" spans="1:10" s="2312" customFormat="1" ht="15" x14ac:dyDescent="0.25">
      <c r="A59" s="1279">
        <v>3312</v>
      </c>
      <c r="B59" s="1278">
        <v>5331</v>
      </c>
      <c r="C59" s="1277"/>
      <c r="D59" s="1454" t="s">
        <v>216</v>
      </c>
      <c r="E59" s="1276"/>
      <c r="F59" s="1284">
        <v>30</v>
      </c>
      <c r="G59" s="1283">
        <v>30</v>
      </c>
      <c r="H59" s="1313">
        <f t="shared" si="2"/>
        <v>100</v>
      </c>
    </row>
    <row r="60" spans="1:10" s="2312" customFormat="1" ht="14.25" x14ac:dyDescent="0.2">
      <c r="A60" s="1279"/>
      <c r="B60" s="1278"/>
      <c r="C60" s="1277" t="s">
        <v>1925</v>
      </c>
      <c r="D60" s="2072" t="s">
        <v>400</v>
      </c>
      <c r="E60" s="1276"/>
      <c r="F60" s="1275">
        <v>30</v>
      </c>
      <c r="G60" s="1274">
        <v>30</v>
      </c>
      <c r="H60" s="1316">
        <f t="shared" si="2"/>
        <v>100</v>
      </c>
    </row>
    <row r="61" spans="1:10" s="2312" customFormat="1" ht="15" x14ac:dyDescent="0.25">
      <c r="A61" s="1279">
        <v>3312</v>
      </c>
      <c r="B61" s="1278">
        <v>5332</v>
      </c>
      <c r="C61" s="1277"/>
      <c r="D61" s="1327" t="s">
        <v>1927</v>
      </c>
      <c r="E61" s="1276"/>
      <c r="F61" s="1284">
        <v>240</v>
      </c>
      <c r="G61" s="1283">
        <v>240</v>
      </c>
      <c r="H61" s="1313">
        <f t="shared" si="2"/>
        <v>100</v>
      </c>
    </row>
    <row r="62" spans="1:10" s="2312" customFormat="1" ht="14.25" x14ac:dyDescent="0.2">
      <c r="A62" s="1279"/>
      <c r="B62" s="1278"/>
      <c r="C62" s="1277" t="s">
        <v>1925</v>
      </c>
      <c r="D62" s="2072" t="s">
        <v>400</v>
      </c>
      <c r="E62" s="1276"/>
      <c r="F62" s="1275">
        <v>240</v>
      </c>
      <c r="G62" s="1274">
        <v>240</v>
      </c>
      <c r="H62" s="1316">
        <f t="shared" si="2"/>
        <v>100</v>
      </c>
    </row>
    <row r="63" spans="1:10" s="2312" customFormat="1" ht="15" x14ac:dyDescent="0.25">
      <c r="A63" s="1279">
        <v>3312</v>
      </c>
      <c r="B63" s="1278">
        <v>5493</v>
      </c>
      <c r="C63" s="1286"/>
      <c r="D63" s="1327" t="s">
        <v>1923</v>
      </c>
      <c r="E63" s="1276"/>
      <c r="F63" s="1283">
        <f>F64+F65</f>
        <v>120</v>
      </c>
      <c r="G63" s="1283">
        <f>G64+G65</f>
        <v>120</v>
      </c>
      <c r="H63" s="1313">
        <f t="shared" si="2"/>
        <v>100</v>
      </c>
    </row>
    <row r="64" spans="1:10" s="2312" customFormat="1" ht="14.25" x14ac:dyDescent="0.2">
      <c r="A64" s="1279"/>
      <c r="B64" s="1278"/>
      <c r="C64" s="1286" t="s">
        <v>1788</v>
      </c>
      <c r="D64" s="1287" t="s">
        <v>1437</v>
      </c>
      <c r="E64" s="1276"/>
      <c r="F64" s="1275">
        <v>30</v>
      </c>
      <c r="G64" s="1274">
        <v>30</v>
      </c>
      <c r="H64" s="1316">
        <f t="shared" si="2"/>
        <v>100</v>
      </c>
    </row>
    <row r="65" spans="1:10" s="2312" customFormat="1" ht="14.25" x14ac:dyDescent="0.2">
      <c r="A65" s="1279"/>
      <c r="B65" s="1278"/>
      <c r="C65" s="1277" t="s">
        <v>1925</v>
      </c>
      <c r="D65" s="2072" t="s">
        <v>400</v>
      </c>
      <c r="E65" s="1276"/>
      <c r="F65" s="1275">
        <v>90</v>
      </c>
      <c r="G65" s="1274">
        <v>90</v>
      </c>
      <c r="H65" s="1316">
        <f t="shared" si="2"/>
        <v>100</v>
      </c>
    </row>
    <row r="66" spans="1:10" s="2312" customFormat="1" ht="15" x14ac:dyDescent="0.25">
      <c r="A66" s="1279">
        <v>3314</v>
      </c>
      <c r="B66" s="1278">
        <v>5321</v>
      </c>
      <c r="C66" s="1277"/>
      <c r="D66" s="1315" t="s">
        <v>1078</v>
      </c>
      <c r="E66" s="1288">
        <v>9000</v>
      </c>
      <c r="F66" s="1284">
        <v>8130</v>
      </c>
      <c r="G66" s="1283">
        <v>8130</v>
      </c>
      <c r="H66" s="1313">
        <f t="shared" si="2"/>
        <v>100</v>
      </c>
    </row>
    <row r="67" spans="1:10" s="2312" customFormat="1" ht="14.25" x14ac:dyDescent="0.2">
      <c r="A67" s="1279"/>
      <c r="B67" s="1278"/>
      <c r="C67" s="1286" t="s">
        <v>1919</v>
      </c>
      <c r="D67" s="1280" t="s">
        <v>577</v>
      </c>
      <c r="E67" s="1276">
        <v>9000</v>
      </c>
      <c r="F67" s="1275">
        <v>8130</v>
      </c>
      <c r="G67" s="1274">
        <v>8130</v>
      </c>
      <c r="H67" s="1316">
        <f t="shared" si="2"/>
        <v>100</v>
      </c>
    </row>
    <row r="68" spans="1:10" s="2312" customFormat="1" ht="15" x14ac:dyDescent="0.25">
      <c r="A68" s="1279">
        <v>3315</v>
      </c>
      <c r="B68" s="1278">
        <v>5213</v>
      </c>
      <c r="C68" s="1286"/>
      <c r="D68" s="1315" t="s">
        <v>412</v>
      </c>
      <c r="E68" s="1276"/>
      <c r="F68" s="1283">
        <v>60</v>
      </c>
      <c r="G68" s="1283">
        <v>60</v>
      </c>
      <c r="H68" s="1313">
        <f t="shared" si="2"/>
        <v>100</v>
      </c>
    </row>
    <row r="69" spans="1:10" s="2312" customFormat="1" ht="15" thickBot="1" x14ac:dyDescent="0.25">
      <c r="A69" s="2508"/>
      <c r="B69" s="2507"/>
      <c r="C69" s="2407" t="s">
        <v>1925</v>
      </c>
      <c r="D69" s="3024" t="s">
        <v>400</v>
      </c>
      <c r="E69" s="2451"/>
      <c r="F69" s="2304">
        <v>60</v>
      </c>
      <c r="G69" s="2303">
        <v>60</v>
      </c>
      <c r="H69" s="2497">
        <f t="shared" si="2"/>
        <v>100</v>
      </c>
    </row>
    <row r="70" spans="1:10" ht="13.5" thickTop="1" x14ac:dyDescent="0.2"/>
    <row r="71" spans="1:10" ht="13.5" thickBot="1" x14ac:dyDescent="0.25">
      <c r="H71" s="2203" t="s">
        <v>148</v>
      </c>
    </row>
    <row r="72" spans="1:10" s="1298" customFormat="1" ht="20.25" customHeight="1" thickTop="1" thickBot="1" x14ac:dyDescent="0.25">
      <c r="A72" s="1302" t="s">
        <v>149</v>
      </c>
      <c r="B72" s="1301" t="s">
        <v>150</v>
      </c>
      <c r="C72" s="2263" t="s">
        <v>639</v>
      </c>
      <c r="D72" s="1324" t="s">
        <v>151</v>
      </c>
      <c r="E72" s="1324" t="s">
        <v>569</v>
      </c>
      <c r="F72" s="1324" t="s">
        <v>570</v>
      </c>
      <c r="G72" s="2198" t="s">
        <v>797</v>
      </c>
      <c r="H72" s="2262" t="s">
        <v>798</v>
      </c>
    </row>
    <row r="73" spans="1:10" s="1292" customFormat="1" ht="13.5" thickTop="1" thickBot="1" x14ac:dyDescent="0.25">
      <c r="A73" s="1297">
        <v>1</v>
      </c>
      <c r="B73" s="1296">
        <v>2</v>
      </c>
      <c r="C73" s="1296">
        <v>3</v>
      </c>
      <c r="D73" s="1296">
        <v>4</v>
      </c>
      <c r="E73" s="1296">
        <v>5</v>
      </c>
      <c r="F73" s="1295">
        <v>6</v>
      </c>
      <c r="G73" s="1295">
        <v>7</v>
      </c>
      <c r="H73" s="1294" t="s">
        <v>54</v>
      </c>
      <c r="I73" s="1298"/>
    </row>
    <row r="74" spans="1:10" s="2312" customFormat="1" ht="15.75" thickTop="1" x14ac:dyDescent="0.25">
      <c r="A74" s="1279">
        <v>3315</v>
      </c>
      <c r="B74" s="1278">
        <v>5222</v>
      </c>
      <c r="C74" s="1286"/>
      <c r="D74" s="1285" t="s">
        <v>401</v>
      </c>
      <c r="E74" s="1276"/>
      <c r="F74" s="1283">
        <v>100</v>
      </c>
      <c r="G74" s="1283">
        <v>100</v>
      </c>
      <c r="H74" s="1313">
        <f>(G74/F74)*100</f>
        <v>100</v>
      </c>
    </row>
    <row r="75" spans="1:10" s="2312" customFormat="1" ht="14.25" x14ac:dyDescent="0.2">
      <c r="A75" s="1279"/>
      <c r="B75" s="1278"/>
      <c r="C75" s="1286" t="s">
        <v>1787</v>
      </c>
      <c r="D75" s="1287" t="s">
        <v>292</v>
      </c>
      <c r="E75" s="1276"/>
      <c r="F75" s="1275">
        <v>100</v>
      </c>
      <c r="G75" s="1274">
        <v>100</v>
      </c>
      <c r="H75" s="1316">
        <f>(G75/F75)*100</f>
        <v>100</v>
      </c>
    </row>
    <row r="76" spans="1:10" s="2312" customFormat="1" ht="15" x14ac:dyDescent="0.25">
      <c r="A76" s="1279">
        <v>3315</v>
      </c>
      <c r="B76" s="1278">
        <v>5339</v>
      </c>
      <c r="C76" s="1286"/>
      <c r="D76" s="1327" t="s">
        <v>1316</v>
      </c>
      <c r="E76" s="1288">
        <f>E77+E78</f>
        <v>20500</v>
      </c>
      <c r="F76" s="1288">
        <f>F77+F78</f>
        <v>21110</v>
      </c>
      <c r="G76" s="1288">
        <f>G77+G78</f>
        <v>21110</v>
      </c>
      <c r="H76" s="1313">
        <f>(G76/F76)*100</f>
        <v>100</v>
      </c>
    </row>
    <row r="77" spans="1:10" s="2312" customFormat="1" ht="14.25" x14ac:dyDescent="0.2">
      <c r="A77" s="1279"/>
      <c r="B77" s="1278"/>
      <c r="C77" s="1286" t="s">
        <v>1761</v>
      </c>
      <c r="D77" s="1280" t="s">
        <v>806</v>
      </c>
      <c r="E77" s="1276">
        <v>20500</v>
      </c>
      <c r="F77" s="1275">
        <v>21000</v>
      </c>
      <c r="G77" s="1274">
        <v>21000</v>
      </c>
      <c r="H77" s="1316">
        <f>(G77/F77)*100</f>
        <v>100</v>
      </c>
    </row>
    <row r="78" spans="1:10" s="2312" customFormat="1" ht="14.25" x14ac:dyDescent="0.2">
      <c r="A78" s="1279"/>
      <c r="B78" s="1278"/>
      <c r="C78" s="1277" t="s">
        <v>1925</v>
      </c>
      <c r="D78" s="2072" t="s">
        <v>400</v>
      </c>
      <c r="E78" s="1276"/>
      <c r="F78" s="1275">
        <v>110</v>
      </c>
      <c r="G78" s="1274">
        <v>110</v>
      </c>
      <c r="H78" s="1316">
        <f>(G78/F78)*100</f>
        <v>100</v>
      </c>
    </row>
    <row r="79" spans="1:10" s="2312" customFormat="1" ht="15" x14ac:dyDescent="0.25">
      <c r="A79" s="1279">
        <v>3319</v>
      </c>
      <c r="B79" s="1278">
        <v>5166</v>
      </c>
      <c r="C79" s="1322"/>
      <c r="D79" s="1315" t="s">
        <v>553</v>
      </c>
      <c r="E79" s="1321">
        <v>25</v>
      </c>
      <c r="F79" s="1314">
        <v>0</v>
      </c>
      <c r="G79" s="1283">
        <v>0</v>
      </c>
      <c r="H79" s="1319">
        <v>0</v>
      </c>
    </row>
    <row r="80" spans="1:10" s="2312" customFormat="1" ht="15" x14ac:dyDescent="0.25">
      <c r="A80" s="1279">
        <v>3319</v>
      </c>
      <c r="B80" s="1278">
        <v>5169</v>
      </c>
      <c r="C80" s="1322"/>
      <c r="D80" s="1315" t="s">
        <v>769</v>
      </c>
      <c r="E80" s="1321">
        <f>E81+E82</f>
        <v>341</v>
      </c>
      <c r="F80" s="1321">
        <f>F81+F82</f>
        <v>450</v>
      </c>
      <c r="G80" s="1321">
        <f>G81+G82</f>
        <v>321</v>
      </c>
      <c r="H80" s="1313">
        <f t="shared" ref="H80:H127" si="3">(G80/F80)*100</f>
        <v>71.333333333333343</v>
      </c>
      <c r="J80" s="2453"/>
    </row>
    <row r="81" spans="1:10" s="2312" customFormat="1" ht="14.25" x14ac:dyDescent="0.2">
      <c r="A81" s="1279"/>
      <c r="B81" s="1278"/>
      <c r="C81" s="1281" t="s">
        <v>1760</v>
      </c>
      <c r="D81" s="1287" t="s">
        <v>579</v>
      </c>
      <c r="E81" s="1276">
        <v>341</v>
      </c>
      <c r="F81" s="1275">
        <v>200</v>
      </c>
      <c r="G81" s="1274">
        <v>93</v>
      </c>
      <c r="H81" s="1316">
        <f t="shared" si="3"/>
        <v>46.5</v>
      </c>
      <c r="J81" s="2453"/>
    </row>
    <row r="82" spans="1:10" s="2312" customFormat="1" ht="15" x14ac:dyDescent="0.25">
      <c r="A82" s="1279"/>
      <c r="B82" s="1278"/>
      <c r="C82" s="1281" t="s">
        <v>1914</v>
      </c>
      <c r="D82" s="2419" t="s">
        <v>1080</v>
      </c>
      <c r="E82" s="1321"/>
      <c r="F82" s="1275">
        <v>250</v>
      </c>
      <c r="G82" s="1274">
        <v>228</v>
      </c>
      <c r="H82" s="1316">
        <f t="shared" si="3"/>
        <v>91.2</v>
      </c>
      <c r="J82" s="2453"/>
    </row>
    <row r="83" spans="1:10" s="2312" customFormat="1" ht="15" x14ac:dyDescent="0.25">
      <c r="A83" s="1279">
        <v>3319</v>
      </c>
      <c r="B83" s="1278">
        <v>5212</v>
      </c>
      <c r="C83" s="1322"/>
      <c r="D83" s="2455" t="s">
        <v>610</v>
      </c>
      <c r="E83" s="1321"/>
      <c r="F83" s="1320">
        <f>F84+F85+F86</f>
        <v>1505</v>
      </c>
      <c r="G83" s="1320">
        <f>G84+G85+G86</f>
        <v>1502</v>
      </c>
      <c r="H83" s="1313">
        <f t="shared" si="3"/>
        <v>99.800664451827245</v>
      </c>
    </row>
    <row r="84" spans="1:10" s="2312" customFormat="1" ht="15" x14ac:dyDescent="0.25">
      <c r="A84" s="1279"/>
      <c r="B84" s="1278"/>
      <c r="C84" s="1286" t="s">
        <v>1787</v>
      </c>
      <c r="D84" s="1287" t="s">
        <v>292</v>
      </c>
      <c r="E84" s="1321"/>
      <c r="F84" s="1275">
        <v>1180</v>
      </c>
      <c r="G84" s="1274">
        <v>1180</v>
      </c>
      <c r="H84" s="1316">
        <f t="shared" si="3"/>
        <v>100</v>
      </c>
    </row>
    <row r="85" spans="1:10" s="2312" customFormat="1" ht="15" x14ac:dyDescent="0.25">
      <c r="A85" s="1279"/>
      <c r="B85" s="1278"/>
      <c r="C85" s="1286" t="s">
        <v>1788</v>
      </c>
      <c r="D85" s="1287" t="s">
        <v>1437</v>
      </c>
      <c r="E85" s="1321"/>
      <c r="F85" s="1275">
        <v>70</v>
      </c>
      <c r="G85" s="1274">
        <v>70</v>
      </c>
      <c r="H85" s="1316">
        <f t="shared" si="3"/>
        <v>100</v>
      </c>
    </row>
    <row r="86" spans="1:10" s="2312" customFormat="1" ht="15" x14ac:dyDescent="0.25">
      <c r="A86" s="1331"/>
      <c r="B86" s="1278"/>
      <c r="C86" s="1277" t="s">
        <v>1925</v>
      </c>
      <c r="D86" s="2072" t="s">
        <v>400</v>
      </c>
      <c r="E86" s="1321"/>
      <c r="F86" s="1275">
        <v>255</v>
      </c>
      <c r="G86" s="1274">
        <v>252</v>
      </c>
      <c r="H86" s="1316">
        <f t="shared" si="3"/>
        <v>98.82352941176471</v>
      </c>
    </row>
    <row r="87" spans="1:10" s="2312" customFormat="1" ht="15" x14ac:dyDescent="0.25">
      <c r="A87" s="1279">
        <v>3319</v>
      </c>
      <c r="B87" s="1278">
        <v>5213</v>
      </c>
      <c r="C87" s="1277"/>
      <c r="D87" s="1315" t="s">
        <v>412</v>
      </c>
      <c r="E87" s="1321">
        <f>E88</f>
        <v>400</v>
      </c>
      <c r="F87" s="1283">
        <f>F88+F89+F90+F91</f>
        <v>2900</v>
      </c>
      <c r="G87" s="1283">
        <f>G88+G89+G90+G91</f>
        <v>2900</v>
      </c>
      <c r="H87" s="1313">
        <f t="shared" si="3"/>
        <v>100</v>
      </c>
    </row>
    <row r="88" spans="1:10" s="2312" customFormat="1" ht="14.25" x14ac:dyDescent="0.2">
      <c r="A88" s="1279"/>
      <c r="B88" s="1278"/>
      <c r="C88" s="1286" t="s">
        <v>1787</v>
      </c>
      <c r="D88" s="1287" t="s">
        <v>292</v>
      </c>
      <c r="E88" s="1276">
        <v>400</v>
      </c>
      <c r="F88" s="1275">
        <v>2050</v>
      </c>
      <c r="G88" s="1274">
        <v>2050</v>
      </c>
      <c r="H88" s="1316">
        <f t="shared" si="3"/>
        <v>100</v>
      </c>
    </row>
    <row r="89" spans="1:10" s="2312" customFormat="1" ht="15" x14ac:dyDescent="0.25">
      <c r="A89" s="1279"/>
      <c r="B89" s="1278"/>
      <c r="C89" s="1286" t="s">
        <v>1788</v>
      </c>
      <c r="D89" s="1287" t="s">
        <v>1437</v>
      </c>
      <c r="E89" s="1321"/>
      <c r="F89" s="1275">
        <v>25</v>
      </c>
      <c r="G89" s="1274">
        <v>25</v>
      </c>
      <c r="H89" s="1316">
        <f t="shared" si="3"/>
        <v>100</v>
      </c>
    </row>
    <row r="90" spans="1:10" s="2312" customFormat="1" ht="15" x14ac:dyDescent="0.25">
      <c r="A90" s="1279"/>
      <c r="B90" s="1278"/>
      <c r="C90" s="1286" t="s">
        <v>1761</v>
      </c>
      <c r="D90" s="1280" t="s">
        <v>806</v>
      </c>
      <c r="E90" s="1321"/>
      <c r="F90" s="1275">
        <v>25</v>
      </c>
      <c r="G90" s="1274">
        <v>25</v>
      </c>
      <c r="H90" s="1316">
        <f t="shared" si="3"/>
        <v>100</v>
      </c>
    </row>
    <row r="91" spans="1:10" s="2312" customFormat="1" ht="15" x14ac:dyDescent="0.25">
      <c r="A91" s="1279"/>
      <c r="B91" s="1278"/>
      <c r="C91" s="1277" t="s">
        <v>1925</v>
      </c>
      <c r="D91" s="2072" t="s">
        <v>400</v>
      </c>
      <c r="E91" s="1321"/>
      <c r="F91" s="1275">
        <v>800</v>
      </c>
      <c r="G91" s="1274">
        <v>800</v>
      </c>
      <c r="H91" s="1316">
        <f t="shared" si="3"/>
        <v>100</v>
      </c>
    </row>
    <row r="92" spans="1:10" s="2312" customFormat="1" ht="15" x14ac:dyDescent="0.25">
      <c r="A92" s="1331">
        <v>3319</v>
      </c>
      <c r="B92" s="1330">
        <v>5221</v>
      </c>
      <c r="C92" s="1277"/>
      <c r="D92" s="2454" t="s">
        <v>1074</v>
      </c>
      <c r="E92" s="1321"/>
      <c r="F92" s="1283">
        <f>F93+F94</f>
        <v>45</v>
      </c>
      <c r="G92" s="1283">
        <f>G93+G94</f>
        <v>45</v>
      </c>
      <c r="H92" s="1313">
        <f t="shared" si="3"/>
        <v>100</v>
      </c>
    </row>
    <row r="93" spans="1:10" s="2312" customFormat="1" ht="15" x14ac:dyDescent="0.25">
      <c r="A93" s="1331"/>
      <c r="B93" s="1330"/>
      <c r="C93" s="1286" t="s">
        <v>1788</v>
      </c>
      <c r="D93" s="1287" t="s">
        <v>1437</v>
      </c>
      <c r="E93" s="1321"/>
      <c r="F93" s="1275">
        <v>15</v>
      </c>
      <c r="G93" s="1274">
        <v>15</v>
      </c>
      <c r="H93" s="1316">
        <f t="shared" si="3"/>
        <v>100</v>
      </c>
    </row>
    <row r="94" spans="1:10" s="2312" customFormat="1" ht="15" x14ac:dyDescent="0.25">
      <c r="A94" s="1331"/>
      <c r="B94" s="1330"/>
      <c r="C94" s="1277" t="s">
        <v>1925</v>
      </c>
      <c r="D94" s="2072" t="s">
        <v>400</v>
      </c>
      <c r="E94" s="1321"/>
      <c r="F94" s="1275">
        <v>30</v>
      </c>
      <c r="G94" s="1274">
        <v>30</v>
      </c>
      <c r="H94" s="1316">
        <f t="shared" si="3"/>
        <v>100</v>
      </c>
    </row>
    <row r="95" spans="1:10" s="2312" customFormat="1" ht="15" x14ac:dyDescent="0.25">
      <c r="A95" s="1331">
        <v>3319</v>
      </c>
      <c r="B95" s="1330">
        <v>5222</v>
      </c>
      <c r="C95" s="1322"/>
      <c r="D95" s="1285" t="s">
        <v>401</v>
      </c>
      <c r="E95" s="1321"/>
      <c r="F95" s="1320">
        <f>F96+F97+F98+F99</f>
        <v>3984</v>
      </c>
      <c r="G95" s="1320">
        <f>G96+G97+G98+G99</f>
        <v>3969</v>
      </c>
      <c r="H95" s="1313">
        <f t="shared" si="3"/>
        <v>99.623493975903614</v>
      </c>
    </row>
    <row r="96" spans="1:10" s="2312" customFormat="1" ht="15" x14ac:dyDescent="0.25">
      <c r="A96" s="1331"/>
      <c r="B96" s="1330"/>
      <c r="C96" s="1286" t="s">
        <v>1787</v>
      </c>
      <c r="D96" s="1287" t="s">
        <v>292</v>
      </c>
      <c r="E96" s="1321"/>
      <c r="F96" s="1275">
        <v>1500</v>
      </c>
      <c r="G96" s="1274">
        <v>1500</v>
      </c>
      <c r="H96" s="1316">
        <f t="shared" si="3"/>
        <v>100</v>
      </c>
    </row>
    <row r="97" spans="1:8" s="2312" customFormat="1" ht="15" x14ac:dyDescent="0.25">
      <c r="A97" s="1331"/>
      <c r="B97" s="1330"/>
      <c r="C97" s="1286" t="s">
        <v>1788</v>
      </c>
      <c r="D97" s="1287" t="s">
        <v>1437</v>
      </c>
      <c r="E97" s="1321"/>
      <c r="F97" s="1275">
        <v>699</v>
      </c>
      <c r="G97" s="1274">
        <v>699</v>
      </c>
      <c r="H97" s="1316">
        <f t="shared" si="3"/>
        <v>100</v>
      </c>
    </row>
    <row r="98" spans="1:8" s="2312" customFormat="1" ht="15" x14ac:dyDescent="0.25">
      <c r="A98" s="1331"/>
      <c r="B98" s="1330"/>
      <c r="C98" s="1286" t="s">
        <v>1761</v>
      </c>
      <c r="D98" s="1280" t="s">
        <v>806</v>
      </c>
      <c r="E98" s="1321"/>
      <c r="F98" s="1275">
        <v>25</v>
      </c>
      <c r="G98" s="1274">
        <v>25</v>
      </c>
      <c r="H98" s="1316">
        <f t="shared" si="3"/>
        <v>100</v>
      </c>
    </row>
    <row r="99" spans="1:8" s="2312" customFormat="1" ht="15" x14ac:dyDescent="0.25">
      <c r="A99" s="1331"/>
      <c r="B99" s="1330"/>
      <c r="C99" s="1277" t="s">
        <v>1925</v>
      </c>
      <c r="D99" s="2072" t="s">
        <v>400</v>
      </c>
      <c r="E99" s="1321"/>
      <c r="F99" s="1275">
        <v>1760</v>
      </c>
      <c r="G99" s="1274">
        <v>1745</v>
      </c>
      <c r="H99" s="1316">
        <f t="shared" si="3"/>
        <v>99.147727272727266</v>
      </c>
    </row>
    <row r="100" spans="1:8" s="2312" customFormat="1" ht="15" x14ac:dyDescent="0.25">
      <c r="A100" s="1331">
        <v>3319</v>
      </c>
      <c r="B100" s="1330">
        <v>5223</v>
      </c>
      <c r="C100" s="1277"/>
      <c r="D100" s="1327" t="s">
        <v>1077</v>
      </c>
      <c r="E100" s="1321"/>
      <c r="F100" s="1283">
        <f>F101+F102+F103</f>
        <v>350</v>
      </c>
      <c r="G100" s="1283">
        <f>G101+G102+G103</f>
        <v>350</v>
      </c>
      <c r="H100" s="1313">
        <f t="shared" si="3"/>
        <v>100</v>
      </c>
    </row>
    <row r="101" spans="1:8" s="2312" customFormat="1" ht="15" x14ac:dyDescent="0.25">
      <c r="A101" s="1331"/>
      <c r="B101" s="1330"/>
      <c r="C101" s="1286" t="s">
        <v>1787</v>
      </c>
      <c r="D101" s="1287" t="s">
        <v>292</v>
      </c>
      <c r="E101" s="1321"/>
      <c r="F101" s="1275">
        <v>100</v>
      </c>
      <c r="G101" s="1274">
        <v>100</v>
      </c>
      <c r="H101" s="1316">
        <f t="shared" si="3"/>
        <v>100</v>
      </c>
    </row>
    <row r="102" spans="1:8" s="2312" customFormat="1" ht="15" x14ac:dyDescent="0.25">
      <c r="A102" s="1331"/>
      <c r="B102" s="1330"/>
      <c r="C102" s="1286" t="s">
        <v>1788</v>
      </c>
      <c r="D102" s="1287" t="s">
        <v>1437</v>
      </c>
      <c r="E102" s="1321"/>
      <c r="F102" s="1275">
        <v>50</v>
      </c>
      <c r="G102" s="1274">
        <v>50</v>
      </c>
      <c r="H102" s="1316">
        <f t="shared" si="3"/>
        <v>100</v>
      </c>
    </row>
    <row r="103" spans="1:8" s="2312" customFormat="1" ht="15" x14ac:dyDescent="0.25">
      <c r="A103" s="1331"/>
      <c r="B103" s="1330"/>
      <c r="C103" s="1277" t="s">
        <v>1925</v>
      </c>
      <c r="D103" s="2072" t="s">
        <v>400</v>
      </c>
      <c r="E103" s="1321"/>
      <c r="F103" s="1275">
        <v>200</v>
      </c>
      <c r="G103" s="1274">
        <v>200</v>
      </c>
      <c r="H103" s="1316">
        <f t="shared" si="3"/>
        <v>100</v>
      </c>
    </row>
    <row r="104" spans="1:8" s="2312" customFormat="1" ht="15" x14ac:dyDescent="0.25">
      <c r="A104" s="1331">
        <v>3319</v>
      </c>
      <c r="B104" s="1330">
        <v>5321</v>
      </c>
      <c r="C104" s="1286"/>
      <c r="D104" s="1315" t="s">
        <v>1078</v>
      </c>
      <c r="E104" s="1321"/>
      <c r="F104" s="1283">
        <f>F105+F106+F107+F108</f>
        <v>2119</v>
      </c>
      <c r="G104" s="1283">
        <f>G105+G106+G107+G108</f>
        <v>2119</v>
      </c>
      <c r="H104" s="1313">
        <f t="shared" si="3"/>
        <v>100</v>
      </c>
    </row>
    <row r="105" spans="1:8" s="2312" customFormat="1" ht="15" x14ac:dyDescent="0.25">
      <c r="A105" s="1331"/>
      <c r="B105" s="1330"/>
      <c r="C105" s="1286" t="s">
        <v>1787</v>
      </c>
      <c r="D105" s="1287" t="s">
        <v>292</v>
      </c>
      <c r="E105" s="1321"/>
      <c r="F105" s="1275">
        <v>655</v>
      </c>
      <c r="G105" s="1274">
        <v>655</v>
      </c>
      <c r="H105" s="1316">
        <f t="shared" si="3"/>
        <v>100</v>
      </c>
    </row>
    <row r="106" spans="1:8" s="2312" customFormat="1" ht="15" x14ac:dyDescent="0.25">
      <c r="A106" s="1331"/>
      <c r="B106" s="1330"/>
      <c r="C106" s="1286" t="s">
        <v>1788</v>
      </c>
      <c r="D106" s="1287" t="s">
        <v>1437</v>
      </c>
      <c r="E106" s="1321"/>
      <c r="F106" s="1275">
        <v>150</v>
      </c>
      <c r="G106" s="1274">
        <v>150</v>
      </c>
      <c r="H106" s="1316">
        <f t="shared" si="3"/>
        <v>100</v>
      </c>
    </row>
    <row r="107" spans="1:8" s="2312" customFormat="1" ht="14.25" x14ac:dyDescent="0.2">
      <c r="A107" s="1331"/>
      <c r="B107" s="1330"/>
      <c r="C107" s="1277" t="s">
        <v>1925</v>
      </c>
      <c r="D107" s="2072" t="s">
        <v>400</v>
      </c>
      <c r="E107" s="1276"/>
      <c r="F107" s="1275">
        <v>1174</v>
      </c>
      <c r="G107" s="1274">
        <v>1174</v>
      </c>
      <c r="H107" s="1316">
        <f t="shared" si="3"/>
        <v>100</v>
      </c>
    </row>
    <row r="108" spans="1:8" s="2312" customFormat="1" ht="14.25" x14ac:dyDescent="0.2">
      <c r="A108" s="1331"/>
      <c r="B108" s="1330"/>
      <c r="C108" s="1277" t="s">
        <v>1926</v>
      </c>
      <c r="D108" s="2072" t="s">
        <v>1270</v>
      </c>
      <c r="E108" s="1276"/>
      <c r="F108" s="1275">
        <v>140</v>
      </c>
      <c r="G108" s="1274">
        <v>140</v>
      </c>
      <c r="H108" s="1316">
        <f t="shared" si="3"/>
        <v>100</v>
      </c>
    </row>
    <row r="109" spans="1:8" s="2312" customFormat="1" ht="15" x14ac:dyDescent="0.25">
      <c r="A109" s="1331">
        <v>3319</v>
      </c>
      <c r="B109" s="1330">
        <v>5329</v>
      </c>
      <c r="C109" s="1277"/>
      <c r="D109" s="1327" t="s">
        <v>601</v>
      </c>
      <c r="E109" s="1276"/>
      <c r="F109" s="1283">
        <f>F110+F112+F111</f>
        <v>153</v>
      </c>
      <c r="G109" s="1283">
        <f>G110+G112+G111</f>
        <v>153</v>
      </c>
      <c r="H109" s="1313">
        <f t="shared" si="3"/>
        <v>100</v>
      </c>
    </row>
    <row r="110" spans="1:8" s="2312" customFormat="1" ht="14.25" x14ac:dyDescent="0.2">
      <c r="A110" s="1331"/>
      <c r="B110" s="1330"/>
      <c r="C110" s="1286" t="s">
        <v>1787</v>
      </c>
      <c r="D110" s="1287" t="s">
        <v>292</v>
      </c>
      <c r="E110" s="1276"/>
      <c r="F110" s="1275">
        <v>58</v>
      </c>
      <c r="G110" s="1274">
        <v>58</v>
      </c>
      <c r="H110" s="1316">
        <f t="shared" si="3"/>
        <v>100</v>
      </c>
    </row>
    <row r="111" spans="1:8" s="2312" customFormat="1" ht="14.25" x14ac:dyDescent="0.2">
      <c r="A111" s="1331"/>
      <c r="B111" s="1330"/>
      <c r="C111" s="1286" t="s">
        <v>1788</v>
      </c>
      <c r="D111" s="1287" t="s">
        <v>1437</v>
      </c>
      <c r="E111" s="1276"/>
      <c r="F111" s="1275">
        <v>15</v>
      </c>
      <c r="G111" s="1274">
        <v>15</v>
      </c>
      <c r="H111" s="1316">
        <f t="shared" si="3"/>
        <v>100</v>
      </c>
    </row>
    <row r="112" spans="1:8" s="2312" customFormat="1" ht="14.25" x14ac:dyDescent="0.2">
      <c r="A112" s="1331"/>
      <c r="B112" s="1330"/>
      <c r="C112" s="1277" t="s">
        <v>1925</v>
      </c>
      <c r="D112" s="2072" t="s">
        <v>400</v>
      </c>
      <c r="E112" s="1276"/>
      <c r="F112" s="1275">
        <v>80</v>
      </c>
      <c r="G112" s="1274">
        <v>80</v>
      </c>
      <c r="H112" s="1316">
        <f t="shared" si="3"/>
        <v>100</v>
      </c>
    </row>
    <row r="113" spans="1:10" s="2312" customFormat="1" ht="15" x14ac:dyDescent="0.25">
      <c r="A113" s="1331">
        <v>3319</v>
      </c>
      <c r="B113" s="1330">
        <v>5332</v>
      </c>
      <c r="C113" s="1277"/>
      <c r="D113" s="1327" t="s">
        <v>1927</v>
      </c>
      <c r="E113" s="1276"/>
      <c r="F113" s="1284">
        <v>900</v>
      </c>
      <c r="G113" s="1283">
        <v>900</v>
      </c>
      <c r="H113" s="1313">
        <f t="shared" si="3"/>
        <v>100</v>
      </c>
    </row>
    <row r="114" spans="1:10" s="2312" customFormat="1" ht="14.25" x14ac:dyDescent="0.2">
      <c r="A114" s="1331"/>
      <c r="B114" s="1330"/>
      <c r="C114" s="1277" t="s">
        <v>1926</v>
      </c>
      <c r="D114" s="2072" t="s">
        <v>1270</v>
      </c>
      <c r="E114" s="1276"/>
      <c r="F114" s="1275">
        <v>900</v>
      </c>
      <c r="G114" s="1274">
        <v>900</v>
      </c>
      <c r="H114" s="1316">
        <f t="shared" si="3"/>
        <v>100</v>
      </c>
    </row>
    <row r="115" spans="1:10" s="2312" customFormat="1" ht="15" x14ac:dyDescent="0.25">
      <c r="A115" s="1331">
        <v>3319</v>
      </c>
      <c r="B115" s="1330">
        <v>5339</v>
      </c>
      <c r="C115" s="1281"/>
      <c r="D115" s="1327" t="s">
        <v>1316</v>
      </c>
      <c r="E115" s="1321"/>
      <c r="F115" s="1283">
        <f>F116+F117</f>
        <v>220</v>
      </c>
      <c r="G115" s="1283">
        <f>G116+G117</f>
        <v>220</v>
      </c>
      <c r="H115" s="1313">
        <f t="shared" si="3"/>
        <v>100</v>
      </c>
    </row>
    <row r="116" spans="1:10" s="2312" customFormat="1" ht="15" x14ac:dyDescent="0.25">
      <c r="A116" s="1331"/>
      <c r="B116" s="1330"/>
      <c r="C116" s="1286" t="s">
        <v>1787</v>
      </c>
      <c r="D116" s="1287" t="s">
        <v>292</v>
      </c>
      <c r="E116" s="1321"/>
      <c r="F116" s="1275">
        <v>200</v>
      </c>
      <c r="G116" s="1274">
        <v>200</v>
      </c>
      <c r="H116" s="1316">
        <f t="shared" si="3"/>
        <v>100</v>
      </c>
    </row>
    <row r="117" spans="1:10" s="2312" customFormat="1" ht="14.25" x14ac:dyDescent="0.2">
      <c r="A117" s="1331"/>
      <c r="B117" s="1330"/>
      <c r="C117" s="1277" t="s">
        <v>1925</v>
      </c>
      <c r="D117" s="2072" t="s">
        <v>400</v>
      </c>
      <c r="E117" s="1276"/>
      <c r="F117" s="1275">
        <v>20</v>
      </c>
      <c r="G117" s="1274">
        <v>20</v>
      </c>
      <c r="H117" s="1316">
        <f t="shared" si="3"/>
        <v>100</v>
      </c>
    </row>
    <row r="118" spans="1:10" s="2312" customFormat="1" ht="15" x14ac:dyDescent="0.25">
      <c r="A118" s="1331">
        <v>3319</v>
      </c>
      <c r="B118" s="1330">
        <v>5493</v>
      </c>
      <c r="C118" s="1277"/>
      <c r="D118" s="1327" t="s">
        <v>1923</v>
      </c>
      <c r="E118" s="1276"/>
      <c r="F118" s="1283">
        <f>F119+F120+F121</f>
        <v>435</v>
      </c>
      <c r="G118" s="1283">
        <f>G119+G120+G121</f>
        <v>432</v>
      </c>
      <c r="H118" s="1313">
        <f t="shared" si="3"/>
        <v>99.310344827586206</v>
      </c>
    </row>
    <row r="119" spans="1:10" s="2312" customFormat="1" ht="14.25" x14ac:dyDescent="0.2">
      <c r="A119" s="1331"/>
      <c r="B119" s="1330"/>
      <c r="C119" s="1286" t="s">
        <v>1788</v>
      </c>
      <c r="D119" s="1287" t="s">
        <v>1437</v>
      </c>
      <c r="E119" s="1276"/>
      <c r="F119" s="1275">
        <v>140</v>
      </c>
      <c r="G119" s="1274">
        <v>140</v>
      </c>
      <c r="H119" s="1316">
        <f t="shared" si="3"/>
        <v>100</v>
      </c>
    </row>
    <row r="120" spans="1:10" s="2312" customFormat="1" ht="15" x14ac:dyDescent="0.25">
      <c r="A120" s="1331"/>
      <c r="B120" s="1330"/>
      <c r="C120" s="1286" t="s">
        <v>1761</v>
      </c>
      <c r="D120" s="1280" t="s">
        <v>806</v>
      </c>
      <c r="E120" s="1321"/>
      <c r="F120" s="1275">
        <v>20</v>
      </c>
      <c r="G120" s="1274">
        <v>20</v>
      </c>
      <c r="H120" s="1316">
        <f t="shared" si="3"/>
        <v>100</v>
      </c>
    </row>
    <row r="121" spans="1:10" s="2312" customFormat="1" ht="14.25" x14ac:dyDescent="0.2">
      <c r="A121" s="1331"/>
      <c r="B121" s="1330"/>
      <c r="C121" s="1277" t="s">
        <v>1925</v>
      </c>
      <c r="D121" s="2072" t="s">
        <v>400</v>
      </c>
      <c r="E121" s="1276"/>
      <c r="F121" s="1275">
        <v>275</v>
      </c>
      <c r="G121" s="1274">
        <v>272</v>
      </c>
      <c r="H121" s="1316">
        <f t="shared" si="3"/>
        <v>98.909090909090907</v>
      </c>
    </row>
    <row r="122" spans="1:10" s="2312" customFormat="1" ht="15" x14ac:dyDescent="0.25">
      <c r="A122" s="1331">
        <v>3322</v>
      </c>
      <c r="B122" s="1330">
        <v>5213</v>
      </c>
      <c r="C122" s="1277"/>
      <c r="D122" s="1315" t="s">
        <v>412</v>
      </c>
      <c r="E122" s="1288"/>
      <c r="F122" s="1284">
        <v>1000</v>
      </c>
      <c r="G122" s="1283">
        <v>1000</v>
      </c>
      <c r="H122" s="1313">
        <f t="shared" si="3"/>
        <v>100</v>
      </c>
    </row>
    <row r="123" spans="1:10" s="2312" customFormat="1" ht="14.25" x14ac:dyDescent="0.2">
      <c r="A123" s="1331"/>
      <c r="B123" s="1330"/>
      <c r="C123" s="1281" t="s">
        <v>1922</v>
      </c>
      <c r="D123" s="2072" t="s">
        <v>1075</v>
      </c>
      <c r="E123" s="1276"/>
      <c r="F123" s="1275">
        <v>1000</v>
      </c>
      <c r="G123" s="1274">
        <v>1000</v>
      </c>
      <c r="H123" s="1316">
        <f t="shared" si="3"/>
        <v>100</v>
      </c>
    </row>
    <row r="124" spans="1:10" s="2312" customFormat="1" ht="15" x14ac:dyDescent="0.25">
      <c r="A124" s="1331">
        <v>3322</v>
      </c>
      <c r="B124" s="1330">
        <v>5222</v>
      </c>
      <c r="C124" s="1281"/>
      <c r="D124" s="1285" t="s">
        <v>401</v>
      </c>
      <c r="E124" s="1276"/>
      <c r="F124" s="1283">
        <f>F125+F126</f>
        <v>338</v>
      </c>
      <c r="G124" s="1283">
        <f>G125+G126</f>
        <v>338</v>
      </c>
      <c r="H124" s="1313">
        <f t="shared" si="3"/>
        <v>100</v>
      </c>
      <c r="J124" s="2453"/>
    </row>
    <row r="125" spans="1:10" s="2312" customFormat="1" ht="14.25" x14ac:dyDescent="0.2">
      <c r="A125" s="1331"/>
      <c r="B125" s="1330"/>
      <c r="C125" s="1281" t="s">
        <v>1922</v>
      </c>
      <c r="D125" s="2072" t="s">
        <v>1075</v>
      </c>
      <c r="E125" s="1276"/>
      <c r="F125" s="1275">
        <v>200</v>
      </c>
      <c r="G125" s="1274">
        <v>200</v>
      </c>
      <c r="H125" s="1316">
        <f t="shared" si="3"/>
        <v>100</v>
      </c>
      <c r="J125" s="2453"/>
    </row>
    <row r="126" spans="1:10" s="2312" customFormat="1" ht="14.25" x14ac:dyDescent="0.2">
      <c r="A126" s="1331"/>
      <c r="B126" s="1330"/>
      <c r="C126" s="1281" t="s">
        <v>1921</v>
      </c>
      <c r="D126" s="2072" t="s">
        <v>1076</v>
      </c>
      <c r="E126" s="1276"/>
      <c r="F126" s="1275">
        <v>138</v>
      </c>
      <c r="G126" s="1274">
        <v>138</v>
      </c>
      <c r="H126" s="1316">
        <f t="shared" si="3"/>
        <v>100</v>
      </c>
    </row>
    <row r="127" spans="1:10" s="2312" customFormat="1" ht="15" x14ac:dyDescent="0.25">
      <c r="A127" s="1331">
        <v>3322</v>
      </c>
      <c r="B127" s="1330">
        <v>5223</v>
      </c>
      <c r="C127" s="1281"/>
      <c r="D127" s="1327" t="s">
        <v>1077</v>
      </c>
      <c r="E127" s="1288">
        <f>E128+E129+E130</f>
        <v>19850</v>
      </c>
      <c r="F127" s="1288">
        <f>F128+F129+F130</f>
        <v>4200</v>
      </c>
      <c r="G127" s="1288">
        <f>G128+G129+G130</f>
        <v>4200</v>
      </c>
      <c r="H127" s="1313">
        <f t="shared" si="3"/>
        <v>100</v>
      </c>
    </row>
    <row r="128" spans="1:10" s="2312" customFormat="1" ht="14.25" x14ac:dyDescent="0.2">
      <c r="A128" s="1331"/>
      <c r="B128" s="1330"/>
      <c r="C128" s="1281" t="s">
        <v>1924</v>
      </c>
      <c r="D128" s="1287" t="s">
        <v>193</v>
      </c>
      <c r="E128" s="1276">
        <v>19850</v>
      </c>
      <c r="F128" s="1275">
        <v>0</v>
      </c>
      <c r="G128" s="1274">
        <v>0</v>
      </c>
      <c r="H128" s="1316">
        <v>0</v>
      </c>
    </row>
    <row r="129" spans="1:11" s="2312" customFormat="1" ht="14.25" x14ac:dyDescent="0.2">
      <c r="A129" s="1331"/>
      <c r="B129" s="1330"/>
      <c r="C129" s="1281" t="s">
        <v>1922</v>
      </c>
      <c r="D129" s="2072" t="s">
        <v>1075</v>
      </c>
      <c r="E129" s="1276"/>
      <c r="F129" s="1275">
        <v>4070</v>
      </c>
      <c r="G129" s="1274">
        <v>4070</v>
      </c>
      <c r="H129" s="1316">
        <f t="shared" ref="H129:H137" si="4">(G129/F129)*100</f>
        <v>100</v>
      </c>
    </row>
    <row r="130" spans="1:11" s="2312" customFormat="1" ht="14.25" x14ac:dyDescent="0.2">
      <c r="A130" s="1331"/>
      <c r="B130" s="1330"/>
      <c r="C130" s="1281" t="s">
        <v>1921</v>
      </c>
      <c r="D130" s="2072" t="s">
        <v>1076</v>
      </c>
      <c r="E130" s="1276"/>
      <c r="F130" s="1275">
        <v>130</v>
      </c>
      <c r="G130" s="1274">
        <v>130</v>
      </c>
      <c r="H130" s="1316">
        <f t="shared" si="4"/>
        <v>100</v>
      </c>
    </row>
    <row r="131" spans="1:11" s="2312" customFormat="1" ht="15" x14ac:dyDescent="0.25">
      <c r="A131" s="1331">
        <v>3322</v>
      </c>
      <c r="B131" s="1330">
        <v>5321</v>
      </c>
      <c r="C131" s="1281"/>
      <c r="D131" s="1315" t="s">
        <v>1078</v>
      </c>
      <c r="E131" s="1276"/>
      <c r="F131" s="1283">
        <f>F132+F133</f>
        <v>3424</v>
      </c>
      <c r="G131" s="1283">
        <f>G132+G133</f>
        <v>3424</v>
      </c>
      <c r="H131" s="1313">
        <f t="shared" si="4"/>
        <v>100</v>
      </c>
    </row>
    <row r="132" spans="1:11" s="2312" customFormat="1" ht="14.25" x14ac:dyDescent="0.2">
      <c r="A132" s="1331"/>
      <c r="B132" s="1330"/>
      <c r="C132" s="1281" t="s">
        <v>1922</v>
      </c>
      <c r="D132" s="2072" t="s">
        <v>1075</v>
      </c>
      <c r="E132" s="1276"/>
      <c r="F132" s="1275">
        <v>2404</v>
      </c>
      <c r="G132" s="1274">
        <v>2404</v>
      </c>
      <c r="H132" s="1316">
        <f t="shared" si="4"/>
        <v>100</v>
      </c>
    </row>
    <row r="133" spans="1:11" s="2312" customFormat="1" ht="14.25" x14ac:dyDescent="0.2">
      <c r="A133" s="1331"/>
      <c r="B133" s="1330"/>
      <c r="C133" s="1281" t="s">
        <v>1921</v>
      </c>
      <c r="D133" s="2072" t="s">
        <v>1076</v>
      </c>
      <c r="E133" s="1276"/>
      <c r="F133" s="1275">
        <v>1020</v>
      </c>
      <c r="G133" s="1274">
        <v>1020</v>
      </c>
      <c r="H133" s="1316">
        <f t="shared" si="4"/>
        <v>100</v>
      </c>
    </row>
    <row r="134" spans="1:11" s="2312" customFormat="1" ht="15" x14ac:dyDescent="0.25">
      <c r="A134" s="1331">
        <v>3322</v>
      </c>
      <c r="B134" s="1330">
        <v>5493</v>
      </c>
      <c r="C134" s="1286"/>
      <c r="D134" s="1327" t="s">
        <v>1923</v>
      </c>
      <c r="E134" s="1276"/>
      <c r="F134" s="1283">
        <f>F135+F136</f>
        <v>2080</v>
      </c>
      <c r="G134" s="1283">
        <f>G135+G136</f>
        <v>2080</v>
      </c>
      <c r="H134" s="1313">
        <f t="shared" si="4"/>
        <v>100</v>
      </c>
      <c r="J134" s="2453"/>
    </row>
    <row r="135" spans="1:11" s="2312" customFormat="1" ht="14.25" x14ac:dyDescent="0.2">
      <c r="A135" s="1331"/>
      <c r="B135" s="1330"/>
      <c r="C135" s="1281" t="s">
        <v>1922</v>
      </c>
      <c r="D135" s="2072" t="s">
        <v>1075</v>
      </c>
      <c r="E135" s="1276"/>
      <c r="F135" s="1275">
        <v>1950</v>
      </c>
      <c r="G135" s="1274">
        <v>1950</v>
      </c>
      <c r="H135" s="1316">
        <f t="shared" si="4"/>
        <v>100</v>
      </c>
      <c r="J135" s="2453"/>
      <c r="K135" s="2453"/>
    </row>
    <row r="136" spans="1:11" s="2312" customFormat="1" ht="15" thickBot="1" x14ac:dyDescent="0.25">
      <c r="A136" s="2255"/>
      <c r="B136" s="1330"/>
      <c r="C136" s="1281" t="s">
        <v>1921</v>
      </c>
      <c r="D136" s="2452" t="s">
        <v>1076</v>
      </c>
      <c r="E136" s="2451"/>
      <c r="F136" s="1275">
        <v>130</v>
      </c>
      <c r="G136" s="1274">
        <v>130</v>
      </c>
      <c r="H136" s="1316">
        <f t="shared" si="4"/>
        <v>100</v>
      </c>
    </row>
    <row r="137" spans="1:11" s="1266" customFormat="1" ht="35.25" customHeight="1" thickTop="1" thickBot="1" x14ac:dyDescent="0.3">
      <c r="A137" s="1272" t="s">
        <v>223</v>
      </c>
      <c r="B137" s="2356"/>
      <c r="C137" s="2249"/>
      <c r="D137" s="2356"/>
      <c r="E137" s="1268">
        <f>E12+E25+E30+E34+E41+E48+E53+E66+E76+E80+E79+E87+E127</f>
        <v>61656</v>
      </c>
      <c r="F137" s="1268">
        <f>F12+F25+F53+F66+F76+F79+F80+F127+F46+F48+F10+F16+F19+F23+F28+F30+F34+F39+F41+F61+F63+F68+F74+F83+F87+F92+F95+F100+F104+F109+F113+F115+F118+F122+F124+F131+F134+F59</f>
        <v>68491</v>
      </c>
      <c r="G137" s="1268">
        <f>G12+G25+G53+G66+G76+G79+G80+G127+G46+G48+G10+G16+G19+G23+G28+G30+G34+G39+G41+G61+G63+G68+G74+G83+G87+G92+G95+G100+G104+G109+G113+G115+G118+G122+G124+G131+G134+G59</f>
        <v>68256</v>
      </c>
      <c r="H137" s="2450">
        <f t="shared" si="4"/>
        <v>99.656889226321709</v>
      </c>
      <c r="J137" s="2246"/>
      <c r="K137" s="2246"/>
    </row>
    <row r="138" spans="1:11" ht="13.5" thickTop="1" x14ac:dyDescent="0.2"/>
    <row r="139" spans="1:11" ht="15.75" x14ac:dyDescent="0.25">
      <c r="A139" s="1312" t="s">
        <v>1120</v>
      </c>
      <c r="B139" s="2326"/>
      <c r="C139" s="2448"/>
      <c r="D139" s="2447"/>
      <c r="E139" s="2368"/>
      <c r="F139" s="2446"/>
      <c r="G139" s="2445"/>
      <c r="H139" s="2449"/>
    </row>
    <row r="140" spans="1:11" ht="15.75" thickBot="1" x14ac:dyDescent="0.3">
      <c r="A140" s="2326"/>
      <c r="B140" s="2326"/>
      <c r="C140" s="2448"/>
      <c r="D140" s="2447"/>
      <c r="E140" s="2368"/>
      <c r="F140" s="2446"/>
      <c r="G140" s="2445"/>
      <c r="H140" s="2203" t="s">
        <v>148</v>
      </c>
    </row>
    <row r="141" spans="1:11" s="1298" customFormat="1" ht="20.25" customHeight="1" thickTop="1" thickBot="1" x14ac:dyDescent="0.25">
      <c r="A141" s="2444" t="s">
        <v>149</v>
      </c>
      <c r="B141" s="2443" t="s">
        <v>150</v>
      </c>
      <c r="C141" s="2442" t="s">
        <v>639</v>
      </c>
      <c r="D141" s="2441" t="s">
        <v>151</v>
      </c>
      <c r="E141" s="1324" t="s">
        <v>569</v>
      </c>
      <c r="F141" s="1324" t="s">
        <v>570</v>
      </c>
      <c r="G141" s="2198" t="s">
        <v>797</v>
      </c>
      <c r="H141" s="2440" t="s">
        <v>798</v>
      </c>
    </row>
    <row r="142" spans="1:11" s="1292" customFormat="1" ht="13.5" thickTop="1" thickBot="1" x14ac:dyDescent="0.25">
      <c r="A142" s="1297">
        <v>1</v>
      </c>
      <c r="B142" s="1296">
        <v>2</v>
      </c>
      <c r="C142" s="1296">
        <v>3</v>
      </c>
      <c r="D142" s="1296">
        <v>4</v>
      </c>
      <c r="E142" s="1296">
        <v>5</v>
      </c>
      <c r="F142" s="1295">
        <v>6</v>
      </c>
      <c r="G142" s="1295">
        <v>7</v>
      </c>
      <c r="H142" s="1294" t="s">
        <v>54</v>
      </c>
      <c r="I142" s="1298"/>
    </row>
    <row r="143" spans="1:11" s="1292" customFormat="1" ht="15.75" thickTop="1" x14ac:dyDescent="0.25">
      <c r="A143" s="1331">
        <v>3315</v>
      </c>
      <c r="B143" s="2438">
        <v>6322</v>
      </c>
      <c r="C143" s="1286"/>
      <c r="D143" s="2437" t="s">
        <v>1616</v>
      </c>
      <c r="E143" s="2350"/>
      <c r="F143" s="1283">
        <v>1000</v>
      </c>
      <c r="G143" s="1283">
        <v>1000</v>
      </c>
      <c r="H143" s="1282">
        <f>(G143/F143)*100</f>
        <v>100</v>
      </c>
      <c r="I143" s="1298"/>
    </row>
    <row r="144" spans="1:11" s="1292" customFormat="1" ht="14.25" x14ac:dyDescent="0.2">
      <c r="A144" s="1331"/>
      <c r="B144" s="2438"/>
      <c r="C144" s="1286" t="s">
        <v>1787</v>
      </c>
      <c r="D144" s="2439" t="s">
        <v>292</v>
      </c>
      <c r="E144" s="2350"/>
      <c r="F144" s="1274">
        <v>1000</v>
      </c>
      <c r="G144" s="1274">
        <v>1000</v>
      </c>
      <c r="H144" s="1273">
        <f>(G144/F144)*100</f>
        <v>100</v>
      </c>
      <c r="I144" s="1298"/>
    </row>
    <row r="145" spans="1:12" s="1292" customFormat="1" ht="15" x14ac:dyDescent="0.25">
      <c r="A145" s="1331">
        <v>3319</v>
      </c>
      <c r="B145" s="2438">
        <v>6312</v>
      </c>
      <c r="C145" s="1277"/>
      <c r="D145" s="3163" t="s">
        <v>1617</v>
      </c>
      <c r="E145" s="2352"/>
      <c r="F145" s="1283">
        <v>300</v>
      </c>
      <c r="G145" s="1283">
        <v>300</v>
      </c>
      <c r="H145" s="1282">
        <f>(G145/F145)*100</f>
        <v>100</v>
      </c>
      <c r="I145" s="1298"/>
    </row>
    <row r="146" spans="1:12" s="1292" customFormat="1" ht="15" x14ac:dyDescent="0.25">
      <c r="A146" s="1331"/>
      <c r="B146" s="2438"/>
      <c r="C146" s="1277"/>
      <c r="D146" s="3164"/>
      <c r="E146" s="2352"/>
      <c r="F146" s="1283"/>
      <c r="G146" s="1283"/>
      <c r="H146" s="1282"/>
      <c r="I146" s="1298"/>
    </row>
    <row r="147" spans="1:12" s="1292" customFormat="1" ht="14.25" x14ac:dyDescent="0.2">
      <c r="A147" s="1331"/>
      <c r="B147" s="2438"/>
      <c r="C147" s="1286" t="s">
        <v>1787</v>
      </c>
      <c r="D147" s="2439" t="s">
        <v>292</v>
      </c>
      <c r="E147" s="2350"/>
      <c r="F147" s="1274">
        <v>300</v>
      </c>
      <c r="G147" s="1274">
        <v>300</v>
      </c>
      <c r="H147" s="1273">
        <f>(G147/F147)*100</f>
        <v>100</v>
      </c>
      <c r="I147" s="1298"/>
    </row>
    <row r="148" spans="1:12" s="1292" customFormat="1" ht="15" x14ac:dyDescent="0.25">
      <c r="A148" s="1331">
        <v>3319</v>
      </c>
      <c r="B148" s="2438">
        <v>6313</v>
      </c>
      <c r="C148" s="1286"/>
      <c r="D148" s="3165" t="s">
        <v>1920</v>
      </c>
      <c r="E148" s="2350"/>
      <c r="F148" s="1283">
        <v>500</v>
      </c>
      <c r="G148" s="1283">
        <v>500</v>
      </c>
      <c r="H148" s="1282">
        <f>(G148/F148)*100</f>
        <v>100</v>
      </c>
      <c r="I148" s="1298"/>
    </row>
    <row r="149" spans="1:12" s="1292" customFormat="1" ht="15" x14ac:dyDescent="0.25">
      <c r="A149" s="1331"/>
      <c r="B149" s="2438"/>
      <c r="C149" s="1286"/>
      <c r="D149" s="3164"/>
      <c r="E149" s="2350"/>
      <c r="F149" s="1274"/>
      <c r="G149" s="1274"/>
      <c r="H149" s="1282"/>
      <c r="I149" s="1298"/>
    </row>
    <row r="150" spans="1:12" s="1292" customFormat="1" ht="14.25" x14ac:dyDescent="0.2">
      <c r="A150" s="1331"/>
      <c r="B150" s="2438"/>
      <c r="C150" s="1286" t="s">
        <v>1787</v>
      </c>
      <c r="D150" s="2439" t="s">
        <v>292</v>
      </c>
      <c r="E150" s="2350"/>
      <c r="F150" s="1274">
        <v>500</v>
      </c>
      <c r="G150" s="1274">
        <v>500</v>
      </c>
      <c r="H150" s="1273">
        <f>(G150/F150)*100</f>
        <v>100</v>
      </c>
      <c r="I150" s="1298"/>
    </row>
    <row r="151" spans="1:12" s="1292" customFormat="1" ht="15" x14ac:dyDescent="0.25">
      <c r="A151" s="1331">
        <v>3319</v>
      </c>
      <c r="B151" s="2438">
        <v>6322</v>
      </c>
      <c r="C151" s="1286"/>
      <c r="D151" s="2437" t="s">
        <v>1616</v>
      </c>
      <c r="E151" s="2350"/>
      <c r="F151" s="1283">
        <v>300</v>
      </c>
      <c r="G151" s="1283">
        <v>300</v>
      </c>
      <c r="H151" s="1282">
        <f>(G151/F151)*100</f>
        <v>100</v>
      </c>
      <c r="I151" s="1298"/>
    </row>
    <row r="152" spans="1:12" s="1292" customFormat="1" ht="15" thickBot="1" x14ac:dyDescent="0.25">
      <c r="A152" s="2255"/>
      <c r="B152" s="2436"/>
      <c r="C152" s="2392" t="s">
        <v>1787</v>
      </c>
      <c r="D152" s="2435" t="s">
        <v>292</v>
      </c>
      <c r="E152" s="2434"/>
      <c r="F152" s="2303">
        <v>300</v>
      </c>
      <c r="G152" s="2303">
        <v>300</v>
      </c>
      <c r="H152" s="2433">
        <f>(G152/F152)*100</f>
        <v>100</v>
      </c>
      <c r="I152" s="1298"/>
    </row>
    <row r="153" spans="1:12" s="1266" customFormat="1" ht="35.25" customHeight="1" thickTop="1" thickBot="1" x14ac:dyDescent="0.3">
      <c r="A153" s="2432" t="s">
        <v>224</v>
      </c>
      <c r="B153" s="2430"/>
      <c r="C153" s="2431"/>
      <c r="D153" s="2430"/>
      <c r="E153" s="2429">
        <v>0</v>
      </c>
      <c r="F153" s="2429">
        <f>F145+F148+F151+F143</f>
        <v>2100</v>
      </c>
      <c r="G153" s="2429">
        <f>G145+G148+G151+G143</f>
        <v>2100</v>
      </c>
      <c r="H153" s="2428">
        <f>(G153/F153)*100</f>
        <v>100</v>
      </c>
      <c r="K153" s="2246">
        <f>F153+F137</f>
        <v>70591</v>
      </c>
      <c r="L153" s="2246">
        <f>G153+G137</f>
        <v>70356</v>
      </c>
    </row>
    <row r="154" spans="1:12" s="1266" customFormat="1" ht="18.75" thickTop="1" x14ac:dyDescent="0.25">
      <c r="A154" s="2386"/>
      <c r="B154" s="2385"/>
      <c r="C154" s="1368"/>
      <c r="D154" s="2385"/>
      <c r="E154" s="1307"/>
      <c r="F154" s="1307"/>
      <c r="G154" s="1307"/>
      <c r="H154" s="2427"/>
      <c r="K154" s="2246"/>
      <c r="L154" s="2246"/>
    </row>
    <row r="155" spans="1:12" s="1266" customFormat="1" ht="18" x14ac:dyDescent="0.25">
      <c r="A155" s="2386"/>
      <c r="B155" s="2385"/>
      <c r="C155" s="1368"/>
      <c r="D155" s="2385"/>
      <c r="E155" s="1307"/>
      <c r="F155" s="1307"/>
      <c r="G155" s="1307"/>
      <c r="H155" s="2427"/>
      <c r="K155" s="2246"/>
      <c r="L155" s="2246"/>
    </row>
    <row r="156" spans="1:12" ht="15.75" x14ac:dyDescent="0.25">
      <c r="A156" s="2245" t="s">
        <v>564</v>
      </c>
    </row>
    <row r="157" spans="1:12" ht="15.75" x14ac:dyDescent="0.25">
      <c r="A157" s="2245"/>
    </row>
    <row r="158" spans="1:12" ht="15.75" x14ac:dyDescent="0.25">
      <c r="A158" s="2137" t="s">
        <v>818</v>
      </c>
      <c r="E158" s="1433" t="s">
        <v>755</v>
      </c>
    </row>
    <row r="159" spans="1:12" ht="13.5" thickBot="1" x14ac:dyDescent="0.25">
      <c r="A159" s="2213"/>
      <c r="H159" s="2203" t="s">
        <v>148</v>
      </c>
    </row>
    <row r="160" spans="1:12" s="2196" customFormat="1" ht="20.25" customHeight="1" thickTop="1" thickBot="1" x14ac:dyDescent="0.25">
      <c r="A160" s="2202" t="s">
        <v>149</v>
      </c>
      <c r="B160" s="2201" t="s">
        <v>150</v>
      </c>
      <c r="C160" s="2200" t="s">
        <v>639</v>
      </c>
      <c r="D160" s="2199" t="s">
        <v>151</v>
      </c>
      <c r="E160" s="1324" t="s">
        <v>569</v>
      </c>
      <c r="F160" s="1324" t="s">
        <v>570</v>
      </c>
      <c r="G160" s="2198" t="s">
        <v>797</v>
      </c>
      <c r="H160" s="2238" t="s">
        <v>798</v>
      </c>
    </row>
    <row r="161" spans="1:11" s="1292" customFormat="1" ht="13.5" thickTop="1" thickBot="1" x14ac:dyDescent="0.25">
      <c r="A161" s="1297">
        <v>1</v>
      </c>
      <c r="B161" s="1296">
        <v>2</v>
      </c>
      <c r="C161" s="1296">
        <v>3</v>
      </c>
      <c r="D161" s="1296">
        <v>4</v>
      </c>
      <c r="E161" s="1296">
        <v>5</v>
      </c>
      <c r="F161" s="1295">
        <v>6</v>
      </c>
      <c r="G161" s="1295">
        <v>7</v>
      </c>
      <c r="H161" s="1294" t="s">
        <v>54</v>
      </c>
      <c r="I161" s="1298"/>
    </row>
    <row r="162" spans="1:11" ht="15.75" thickTop="1" x14ac:dyDescent="0.25">
      <c r="A162" s="2177">
        <v>3314</v>
      </c>
      <c r="B162" s="2176">
        <v>5331</v>
      </c>
      <c r="C162" s="2409"/>
      <c r="D162" s="2174" t="s">
        <v>216</v>
      </c>
      <c r="E162" s="2408">
        <f>E163+E164+E165+E166+E167+E168</f>
        <v>38680</v>
      </c>
      <c r="F162" s="2408">
        <f>F163+F164+F165+F166+F167+F168</f>
        <v>39409</v>
      </c>
      <c r="G162" s="2408">
        <f>G163+G164+G165+G166+G167+G168</f>
        <v>39409</v>
      </c>
      <c r="H162" s="2426">
        <f t="shared" ref="H162:H175" si="5">G162/F162*100</f>
        <v>100</v>
      </c>
    </row>
    <row r="163" spans="1:11" ht="14.25" x14ac:dyDescent="0.2">
      <c r="A163" s="2170"/>
      <c r="B163" s="2169"/>
      <c r="C163" s="2191" t="s">
        <v>1811</v>
      </c>
      <c r="D163" s="2190" t="s">
        <v>1128</v>
      </c>
      <c r="E163" s="2406">
        <v>5111</v>
      </c>
      <c r="F163" s="2406">
        <v>4929</v>
      </c>
      <c r="G163" s="2406">
        <v>4929</v>
      </c>
      <c r="H163" s="2405">
        <f t="shared" si="5"/>
        <v>100</v>
      </c>
    </row>
    <row r="164" spans="1:11" ht="13.5" customHeight="1" x14ac:dyDescent="0.2">
      <c r="A164" s="2170"/>
      <c r="B164" s="2169"/>
      <c r="C164" s="2182" t="s">
        <v>1812</v>
      </c>
      <c r="D164" s="2188" t="s">
        <v>984</v>
      </c>
      <c r="E164" s="2166">
        <v>11969</v>
      </c>
      <c r="F164" s="2166">
        <v>11969</v>
      </c>
      <c r="G164" s="1274">
        <v>11969</v>
      </c>
      <c r="H164" s="2405">
        <f t="shared" si="5"/>
        <v>100</v>
      </c>
    </row>
    <row r="165" spans="1:11" ht="13.5" customHeight="1" x14ac:dyDescent="0.2">
      <c r="A165" s="2170"/>
      <c r="B165" s="2169"/>
      <c r="C165" s="2182" t="s">
        <v>1841</v>
      </c>
      <c r="D165" s="2240" t="s">
        <v>315</v>
      </c>
      <c r="E165" s="2166">
        <v>1596</v>
      </c>
      <c r="F165" s="2166">
        <v>1597</v>
      </c>
      <c r="G165" s="1274">
        <v>1597</v>
      </c>
      <c r="H165" s="2405">
        <f t="shared" si="5"/>
        <v>100</v>
      </c>
    </row>
    <row r="166" spans="1:11" ht="13.5" customHeight="1" x14ac:dyDescent="0.2">
      <c r="A166" s="2170"/>
      <c r="B166" s="2169"/>
      <c r="C166" s="2182" t="s">
        <v>1817</v>
      </c>
      <c r="D166" s="2240" t="s">
        <v>640</v>
      </c>
      <c r="E166" s="2166">
        <v>20004</v>
      </c>
      <c r="F166" s="2166">
        <v>20004</v>
      </c>
      <c r="G166" s="1274">
        <v>20004</v>
      </c>
      <c r="H166" s="2405">
        <f t="shared" si="5"/>
        <v>100</v>
      </c>
    </row>
    <row r="167" spans="1:11" ht="13.5" customHeight="1" x14ac:dyDescent="0.2">
      <c r="A167" s="2170"/>
      <c r="B167" s="2169"/>
      <c r="C167" s="2182" t="s">
        <v>1901</v>
      </c>
      <c r="D167" s="2237" t="s">
        <v>1876</v>
      </c>
      <c r="E167" s="2166"/>
      <c r="F167" s="2166">
        <v>40</v>
      </c>
      <c r="G167" s="1274">
        <v>40</v>
      </c>
      <c r="H167" s="2405">
        <f t="shared" si="5"/>
        <v>100</v>
      </c>
    </row>
    <row r="168" spans="1:11" ht="13.5" customHeight="1" x14ac:dyDescent="0.2">
      <c r="A168" s="2170"/>
      <c r="B168" s="2169"/>
      <c r="C168" s="2182" t="s">
        <v>1919</v>
      </c>
      <c r="D168" s="653" t="s">
        <v>577</v>
      </c>
      <c r="E168" s="2166"/>
      <c r="F168" s="2166">
        <v>870</v>
      </c>
      <c r="G168" s="1274">
        <v>870</v>
      </c>
      <c r="H168" s="2405">
        <f t="shared" si="5"/>
        <v>100</v>
      </c>
    </row>
    <row r="169" spans="1:11" ht="13.5" customHeight="1" x14ac:dyDescent="0.25">
      <c r="A169" s="2170">
        <v>3314</v>
      </c>
      <c r="B169" s="2169">
        <v>5336</v>
      </c>
      <c r="C169" s="2182"/>
      <c r="D169" s="2243" t="s">
        <v>1453</v>
      </c>
      <c r="E169" s="2180"/>
      <c r="F169" s="2180">
        <f>F170+F171</f>
        <v>235</v>
      </c>
      <c r="G169" s="2180">
        <f>G170+G171</f>
        <v>235</v>
      </c>
      <c r="H169" s="2414">
        <f t="shared" si="5"/>
        <v>100</v>
      </c>
    </row>
    <row r="170" spans="1:11" ht="13.5" customHeight="1" x14ac:dyDescent="0.2">
      <c r="A170" s="2170"/>
      <c r="B170" s="2169"/>
      <c r="C170" s="2168" t="s">
        <v>1918</v>
      </c>
      <c r="D170" s="2425" t="s">
        <v>802</v>
      </c>
      <c r="E170" s="638"/>
      <c r="F170" s="639">
        <v>229</v>
      </c>
      <c r="G170" s="639">
        <v>229</v>
      </c>
      <c r="H170" s="2405">
        <f t="shared" si="5"/>
        <v>100</v>
      </c>
    </row>
    <row r="171" spans="1:11" ht="14.25" customHeight="1" thickBot="1" x14ac:dyDescent="0.25">
      <c r="A171" s="2170"/>
      <c r="B171" s="2169"/>
      <c r="C171" s="2168" t="s">
        <v>1915</v>
      </c>
      <c r="D171" s="2425" t="s">
        <v>803</v>
      </c>
      <c r="E171" s="638"/>
      <c r="F171" s="639">
        <v>6</v>
      </c>
      <c r="G171" s="639">
        <v>6</v>
      </c>
      <c r="H171" s="2405">
        <f t="shared" si="5"/>
        <v>100</v>
      </c>
    </row>
    <row r="172" spans="1:11" s="2131" customFormat="1" ht="18" thickTop="1" thickBot="1" x14ac:dyDescent="0.3">
      <c r="A172" s="2162" t="s">
        <v>1000</v>
      </c>
      <c r="B172" s="2161"/>
      <c r="C172" s="2160"/>
      <c r="D172" s="2159"/>
      <c r="E172" s="2346">
        <f>E162+E169</f>
        <v>38680</v>
      </c>
      <c r="F172" s="2346">
        <f>F162+F169</f>
        <v>39644</v>
      </c>
      <c r="G172" s="2346">
        <f>G162+G169</f>
        <v>39644</v>
      </c>
      <c r="H172" s="2413">
        <f t="shared" si="5"/>
        <v>100</v>
      </c>
    </row>
    <row r="173" spans="1:11" ht="15.75" thickTop="1" x14ac:dyDescent="0.25">
      <c r="A173" s="2177">
        <v>3314</v>
      </c>
      <c r="B173" s="2176">
        <v>6351</v>
      </c>
      <c r="C173" s="2409"/>
      <c r="D173" s="2174" t="s">
        <v>1056</v>
      </c>
      <c r="E173" s="2408"/>
      <c r="F173" s="2408">
        <v>22</v>
      </c>
      <c r="G173" s="2408">
        <v>22</v>
      </c>
      <c r="H173" s="2195">
        <f t="shared" si="5"/>
        <v>100</v>
      </c>
    </row>
    <row r="174" spans="1:11" ht="15" thickBot="1" x14ac:dyDescent="0.25">
      <c r="A174" s="2170"/>
      <c r="B174" s="2169"/>
      <c r="C174" s="1281" t="s">
        <v>1917</v>
      </c>
      <c r="D174" s="2419" t="s">
        <v>1916</v>
      </c>
      <c r="E174" s="2406"/>
      <c r="F174" s="2406">
        <v>22</v>
      </c>
      <c r="G174" s="2406">
        <v>22</v>
      </c>
      <c r="H174" s="2405">
        <f t="shared" si="5"/>
        <v>100</v>
      </c>
    </row>
    <row r="175" spans="1:11" ht="20.25" customHeight="1" thickTop="1" thickBot="1" x14ac:dyDescent="0.3">
      <c r="A175" s="2162" t="s">
        <v>1001</v>
      </c>
      <c r="B175" s="2161"/>
      <c r="C175" s="2160"/>
      <c r="D175" s="2159"/>
      <c r="E175" s="2346">
        <f>E173</f>
        <v>0</v>
      </c>
      <c r="F175" s="2346">
        <f>SUM(F173)</f>
        <v>22</v>
      </c>
      <c r="G175" s="2346">
        <f>SUM(G173)</f>
        <v>22</v>
      </c>
      <c r="H175" s="2413">
        <f t="shared" si="5"/>
        <v>100</v>
      </c>
      <c r="J175" s="1254"/>
      <c r="K175" s="1254"/>
    </row>
    <row r="176" spans="1:11" s="2131" customFormat="1" ht="17.25" thickTop="1" x14ac:dyDescent="0.25">
      <c r="A176" s="2145"/>
      <c r="B176" s="2144"/>
      <c r="C176" s="2143"/>
      <c r="D176" s="2142"/>
      <c r="E176" s="2412"/>
      <c r="F176" s="2412"/>
      <c r="G176" s="2412"/>
      <c r="H176" s="1452"/>
    </row>
    <row r="177" spans="1:9" s="2131" customFormat="1" ht="27.75" customHeight="1" thickBot="1" x14ac:dyDescent="0.3">
      <c r="A177" s="2155" t="s">
        <v>819</v>
      </c>
      <c r="B177" s="2217"/>
      <c r="C177" s="2216"/>
      <c r="D177" s="2215"/>
      <c r="E177" s="2404">
        <f>SUM(E172,E175)</f>
        <v>38680</v>
      </c>
      <c r="F177" s="2404">
        <f>SUM(F172,F175)</f>
        <v>39666</v>
      </c>
      <c r="G177" s="2404">
        <f>SUM(G172,G175)</f>
        <v>39666</v>
      </c>
      <c r="H177" s="2403">
        <f>(G177/F177)*100</f>
        <v>100</v>
      </c>
    </row>
    <row r="178" spans="1:9" ht="13.5" thickTop="1" x14ac:dyDescent="0.2"/>
    <row r="181" spans="1:9" ht="15.75" x14ac:dyDescent="0.25">
      <c r="A181" s="2137" t="s">
        <v>820</v>
      </c>
      <c r="E181" s="1433" t="s">
        <v>756</v>
      </c>
    </row>
    <row r="182" spans="1:9" ht="13.5" thickBot="1" x14ac:dyDescent="0.25">
      <c r="A182" s="2213"/>
      <c r="H182" s="2203" t="s">
        <v>148</v>
      </c>
    </row>
    <row r="183" spans="1:9" s="2196" customFormat="1" ht="20.25" customHeight="1" thickTop="1" thickBot="1" x14ac:dyDescent="0.25">
      <c r="A183" s="2202" t="s">
        <v>149</v>
      </c>
      <c r="B183" s="2201" t="s">
        <v>150</v>
      </c>
      <c r="C183" s="2200" t="s">
        <v>639</v>
      </c>
      <c r="D183" s="2199" t="s">
        <v>151</v>
      </c>
      <c r="E183" s="1324" t="s">
        <v>569</v>
      </c>
      <c r="F183" s="1324" t="s">
        <v>570</v>
      </c>
      <c r="G183" s="2198" t="s">
        <v>797</v>
      </c>
      <c r="H183" s="2238" t="s">
        <v>798</v>
      </c>
    </row>
    <row r="184" spans="1:9" s="1292" customFormat="1" ht="13.5" thickTop="1" thickBot="1" x14ac:dyDescent="0.25">
      <c r="A184" s="1297">
        <v>1</v>
      </c>
      <c r="B184" s="1296">
        <v>2</v>
      </c>
      <c r="C184" s="1296">
        <v>3</v>
      </c>
      <c r="D184" s="1296">
        <v>4</v>
      </c>
      <c r="E184" s="1296">
        <v>5</v>
      </c>
      <c r="F184" s="1295">
        <v>6</v>
      </c>
      <c r="G184" s="1295">
        <v>7</v>
      </c>
      <c r="H184" s="1294" t="s">
        <v>54</v>
      </c>
      <c r="I184" s="1298"/>
    </row>
    <row r="185" spans="1:9" ht="15.75" thickTop="1" x14ac:dyDescent="0.25">
      <c r="A185" s="2177">
        <v>3315</v>
      </c>
      <c r="B185" s="2176">
        <v>5331</v>
      </c>
      <c r="C185" s="2424"/>
      <c r="D185" s="2174" t="s">
        <v>216</v>
      </c>
      <c r="E185" s="2423">
        <f>E186+E187+E188+E189+E190+E191</f>
        <v>33224</v>
      </c>
      <c r="F185" s="2423">
        <f>F186+F187+F188+F189+F190+F191</f>
        <v>37198</v>
      </c>
      <c r="G185" s="2423">
        <f>G186+G187+G188+G189+G190+G191</f>
        <v>37198</v>
      </c>
      <c r="H185" s="2195">
        <f t="shared" ref="H185:H198" si="6">G185/F185*100</f>
        <v>100</v>
      </c>
    </row>
    <row r="186" spans="1:9" ht="14.25" x14ac:dyDescent="0.2">
      <c r="A186" s="2170"/>
      <c r="B186" s="2169"/>
      <c r="C186" s="2191" t="s">
        <v>1811</v>
      </c>
      <c r="D186" s="2190" t="s">
        <v>1128</v>
      </c>
      <c r="E186" s="2422">
        <v>7911</v>
      </c>
      <c r="F186" s="2406">
        <v>7925</v>
      </c>
      <c r="G186" s="2406">
        <v>7925</v>
      </c>
      <c r="H186" s="2405">
        <f t="shared" si="6"/>
        <v>100</v>
      </c>
    </row>
    <row r="187" spans="1:9" ht="14.25" x14ac:dyDescent="0.2">
      <c r="A187" s="2170"/>
      <c r="B187" s="2169"/>
      <c r="C187" s="1281" t="s">
        <v>1908</v>
      </c>
      <c r="D187" s="2360" t="s">
        <v>804</v>
      </c>
      <c r="E187" s="2422"/>
      <c r="F187" s="2406">
        <v>4140</v>
      </c>
      <c r="G187" s="2406">
        <v>4140</v>
      </c>
      <c r="H187" s="2405">
        <f t="shared" si="6"/>
        <v>100</v>
      </c>
    </row>
    <row r="188" spans="1:9" ht="14.25" x14ac:dyDescent="0.2">
      <c r="A188" s="2170"/>
      <c r="B188" s="2169"/>
      <c r="C188" s="2182" t="s">
        <v>1812</v>
      </c>
      <c r="D188" s="2188" t="s">
        <v>984</v>
      </c>
      <c r="E188" s="2422">
        <v>9752</v>
      </c>
      <c r="F188" s="2406">
        <v>9502</v>
      </c>
      <c r="G188" s="2406">
        <v>9502</v>
      </c>
      <c r="H188" s="2405">
        <f t="shared" si="6"/>
        <v>100</v>
      </c>
    </row>
    <row r="189" spans="1:9" ht="14.25" x14ac:dyDescent="0.2">
      <c r="A189" s="2170"/>
      <c r="B189" s="2169"/>
      <c r="C189" s="1281" t="s">
        <v>1914</v>
      </c>
      <c r="D189" s="2419" t="s">
        <v>1080</v>
      </c>
      <c r="E189" s="2422"/>
      <c r="F189" s="2406">
        <v>200</v>
      </c>
      <c r="G189" s="2406">
        <v>200</v>
      </c>
      <c r="H189" s="2405">
        <f t="shared" si="6"/>
        <v>100</v>
      </c>
    </row>
    <row r="190" spans="1:9" ht="14.25" x14ac:dyDescent="0.2">
      <c r="A190" s="2170"/>
      <c r="B190" s="2169"/>
      <c r="C190" s="2182" t="s">
        <v>1817</v>
      </c>
      <c r="D190" s="2188" t="s">
        <v>640</v>
      </c>
      <c r="E190" s="2422">
        <v>15361</v>
      </c>
      <c r="F190" s="2406">
        <v>15231</v>
      </c>
      <c r="G190" s="2406">
        <v>15231</v>
      </c>
      <c r="H190" s="2405">
        <f t="shared" si="6"/>
        <v>100</v>
      </c>
    </row>
    <row r="191" spans="1:9" ht="14.25" x14ac:dyDescent="0.2">
      <c r="A191" s="2170"/>
      <c r="B191" s="2169"/>
      <c r="C191" s="2182" t="s">
        <v>1901</v>
      </c>
      <c r="D191" s="2188" t="s">
        <v>1876</v>
      </c>
      <c r="E191" s="2416">
        <v>200</v>
      </c>
      <c r="F191" s="2406">
        <v>200</v>
      </c>
      <c r="G191" s="2406">
        <v>200</v>
      </c>
      <c r="H191" s="2405">
        <f t="shared" si="6"/>
        <v>100</v>
      </c>
    </row>
    <row r="192" spans="1:9" ht="15" x14ac:dyDescent="0.25">
      <c r="A192" s="2170">
        <v>3315</v>
      </c>
      <c r="B192" s="2169">
        <v>5336</v>
      </c>
      <c r="C192" s="1277"/>
      <c r="D192" s="2243" t="s">
        <v>1453</v>
      </c>
      <c r="E192" s="1393"/>
      <c r="F192" s="1389">
        <f>F193+F194</f>
        <v>99</v>
      </c>
      <c r="G192" s="1389">
        <f>G193+G194</f>
        <v>99</v>
      </c>
      <c r="H192" s="2417">
        <f t="shared" si="6"/>
        <v>100</v>
      </c>
    </row>
    <row r="193" spans="1:11" ht="14.25" x14ac:dyDescent="0.2">
      <c r="A193" s="2170"/>
      <c r="B193" s="2169"/>
      <c r="C193" s="1277" t="s">
        <v>1909</v>
      </c>
      <c r="D193" s="2188" t="s">
        <v>1629</v>
      </c>
      <c r="E193" s="2416"/>
      <c r="F193" s="2406">
        <v>50</v>
      </c>
      <c r="G193" s="2406">
        <v>50</v>
      </c>
      <c r="H193" s="2405">
        <f t="shared" si="6"/>
        <v>100</v>
      </c>
    </row>
    <row r="194" spans="1:11" ht="15" thickBot="1" x14ac:dyDescent="0.25">
      <c r="A194" s="2170"/>
      <c r="B194" s="2169"/>
      <c r="C194" s="2168" t="s">
        <v>1915</v>
      </c>
      <c r="D194" s="2421" t="s">
        <v>803</v>
      </c>
      <c r="E194" s="654"/>
      <c r="F194" s="639">
        <v>49</v>
      </c>
      <c r="G194" s="639">
        <v>49</v>
      </c>
      <c r="H194" s="2418">
        <f t="shared" si="6"/>
        <v>100</v>
      </c>
    </row>
    <row r="195" spans="1:11" s="2131" customFormat="1" ht="20.25" customHeight="1" thickTop="1" thickBot="1" x14ac:dyDescent="0.3">
      <c r="A195" s="2162" t="s">
        <v>1000</v>
      </c>
      <c r="B195" s="2161"/>
      <c r="C195" s="2160"/>
      <c r="D195" s="2159"/>
      <c r="E195" s="2346">
        <f>E185+E192</f>
        <v>33224</v>
      </c>
      <c r="F195" s="2346">
        <f>F185+F192</f>
        <v>37297</v>
      </c>
      <c r="G195" s="2346">
        <f>G185+G192</f>
        <v>37297</v>
      </c>
      <c r="H195" s="2413">
        <f t="shared" si="6"/>
        <v>100</v>
      </c>
    </row>
    <row r="196" spans="1:11" ht="15.75" thickTop="1" x14ac:dyDescent="0.25">
      <c r="A196" s="2177">
        <v>3315</v>
      </c>
      <c r="B196" s="2176">
        <v>6351</v>
      </c>
      <c r="C196" s="2409"/>
      <c r="D196" s="2174" t="s">
        <v>1056</v>
      </c>
      <c r="E196" s="2408">
        <v>4540</v>
      </c>
      <c r="F196" s="2408">
        <v>400</v>
      </c>
      <c r="G196" s="2408">
        <v>400</v>
      </c>
      <c r="H196" s="2195">
        <f t="shared" si="6"/>
        <v>100</v>
      </c>
    </row>
    <row r="197" spans="1:11" ht="15" thickBot="1" x14ac:dyDescent="0.25">
      <c r="A197" s="2170"/>
      <c r="B197" s="2169"/>
      <c r="C197" s="1281" t="s">
        <v>168</v>
      </c>
      <c r="D197" s="2360" t="s">
        <v>804</v>
      </c>
      <c r="E197" s="2406">
        <v>4540</v>
      </c>
      <c r="F197" s="2406">
        <v>400</v>
      </c>
      <c r="G197" s="2406">
        <v>400</v>
      </c>
      <c r="H197" s="2405">
        <f t="shared" si="6"/>
        <v>100</v>
      </c>
    </row>
    <row r="198" spans="1:11" ht="20.25" customHeight="1" thickTop="1" thickBot="1" x14ac:dyDescent="0.3">
      <c r="A198" s="2162" t="s">
        <v>1001</v>
      </c>
      <c r="B198" s="2161"/>
      <c r="C198" s="2160"/>
      <c r="D198" s="2159"/>
      <c r="E198" s="2346">
        <f>E196</f>
        <v>4540</v>
      </c>
      <c r="F198" s="2346">
        <f>SUM(F196)</f>
        <v>400</v>
      </c>
      <c r="G198" s="2346">
        <f>SUM(G196)</f>
        <v>400</v>
      </c>
      <c r="H198" s="2413">
        <f t="shared" si="6"/>
        <v>100</v>
      </c>
      <c r="J198" s="1254"/>
      <c r="K198" s="1254"/>
    </row>
    <row r="199" spans="1:11" ht="20.25" customHeight="1" thickTop="1" x14ac:dyDescent="0.25">
      <c r="A199" s="2145"/>
      <c r="B199" s="2144"/>
      <c r="C199" s="2143"/>
      <c r="D199" s="2142"/>
      <c r="E199" s="2412"/>
      <c r="F199" s="2412"/>
      <c r="G199" s="2412"/>
      <c r="H199" s="1452"/>
      <c r="J199" s="1254"/>
      <c r="K199" s="1254"/>
    </row>
    <row r="200" spans="1:11" s="2131" customFormat="1" ht="27.75" customHeight="1" thickBot="1" x14ac:dyDescent="0.3">
      <c r="A200" s="2155" t="s">
        <v>821</v>
      </c>
      <c r="B200" s="2217"/>
      <c r="C200" s="2216"/>
      <c r="D200" s="2215"/>
      <c r="E200" s="2404">
        <f>E195+E198</f>
        <v>37764</v>
      </c>
      <c r="F200" s="2404">
        <f>F195+F198</f>
        <v>37697</v>
      </c>
      <c r="G200" s="2404">
        <f>G195+G198</f>
        <v>37697</v>
      </c>
      <c r="H200" s="2152">
        <f>(G200/F200)*100</f>
        <v>100</v>
      </c>
      <c r="K200" s="2400"/>
    </row>
    <row r="201" spans="1:11" s="2131" customFormat="1" ht="24.75" customHeight="1" thickTop="1" x14ac:dyDescent="0.25">
      <c r="A201" s="2145"/>
      <c r="B201" s="2144"/>
      <c r="C201" s="2143"/>
      <c r="D201" s="2142"/>
      <c r="E201" s="2412"/>
      <c r="F201" s="2412"/>
      <c r="G201" s="2412"/>
      <c r="H201" s="2220"/>
      <c r="K201" s="2400"/>
    </row>
    <row r="202" spans="1:11" ht="15.75" x14ac:dyDescent="0.25">
      <c r="A202" s="2137" t="s">
        <v>653</v>
      </c>
      <c r="E202" s="1433" t="s">
        <v>757</v>
      </c>
    </row>
    <row r="203" spans="1:11" ht="13.5" thickBot="1" x14ac:dyDescent="0.25">
      <c r="A203" s="2213"/>
      <c r="H203" s="2203" t="s">
        <v>148</v>
      </c>
    </row>
    <row r="204" spans="1:11" s="2196" customFormat="1" ht="20.25" customHeight="1" thickTop="1" thickBot="1" x14ac:dyDescent="0.25">
      <c r="A204" s="2202" t="s">
        <v>149</v>
      </c>
      <c r="B204" s="2201" t="s">
        <v>150</v>
      </c>
      <c r="C204" s="2200" t="s">
        <v>639</v>
      </c>
      <c r="D204" s="2199" t="s">
        <v>151</v>
      </c>
      <c r="E204" s="1324" t="s">
        <v>569</v>
      </c>
      <c r="F204" s="1324" t="s">
        <v>570</v>
      </c>
      <c r="G204" s="2198" t="s">
        <v>797</v>
      </c>
      <c r="H204" s="2238" t="s">
        <v>798</v>
      </c>
    </row>
    <row r="205" spans="1:11" s="1292" customFormat="1" ht="13.5" thickTop="1" thickBot="1" x14ac:dyDescent="0.25">
      <c r="A205" s="1297">
        <v>1</v>
      </c>
      <c r="B205" s="1296">
        <v>2</v>
      </c>
      <c r="C205" s="1296">
        <v>3</v>
      </c>
      <c r="D205" s="1296">
        <v>4</v>
      </c>
      <c r="E205" s="1296">
        <v>5</v>
      </c>
      <c r="F205" s="1295">
        <v>6</v>
      </c>
      <c r="G205" s="1295">
        <v>7</v>
      </c>
      <c r="H205" s="1294" t="s">
        <v>54</v>
      </c>
      <c r="I205" s="1298"/>
    </row>
    <row r="206" spans="1:11" ht="15.75" thickTop="1" x14ac:dyDescent="0.25">
      <c r="A206" s="2177">
        <v>3315</v>
      </c>
      <c r="B206" s="2176">
        <v>5331</v>
      </c>
      <c r="C206" s="2409"/>
      <c r="D206" s="2174" t="s">
        <v>216</v>
      </c>
      <c r="E206" s="2408">
        <f>E207+E208+E209+E210+E211+E212</f>
        <v>5337</v>
      </c>
      <c r="F206" s="2408">
        <f>F207+F208+F209+F210+F211+F212</f>
        <v>5759</v>
      </c>
      <c r="G206" s="2408">
        <f>G207+G208+G209+G210+G211+G212</f>
        <v>5759</v>
      </c>
      <c r="H206" s="2195">
        <f t="shared" ref="H206:H216" si="7">G206/F206*100</f>
        <v>100</v>
      </c>
    </row>
    <row r="207" spans="1:11" ht="14.25" x14ac:dyDescent="0.2">
      <c r="A207" s="2170"/>
      <c r="B207" s="2169"/>
      <c r="C207" s="2191" t="s">
        <v>1811</v>
      </c>
      <c r="D207" s="2190" t="s">
        <v>1128</v>
      </c>
      <c r="E207" s="2406">
        <v>706</v>
      </c>
      <c r="F207" s="2406">
        <v>873</v>
      </c>
      <c r="G207" s="2406">
        <v>873</v>
      </c>
      <c r="H207" s="2405">
        <f t="shared" si="7"/>
        <v>100</v>
      </c>
    </row>
    <row r="208" spans="1:11" ht="14.25" x14ac:dyDescent="0.2">
      <c r="A208" s="2170"/>
      <c r="B208" s="2169"/>
      <c r="C208" s="2182" t="s">
        <v>1812</v>
      </c>
      <c r="D208" s="2188" t="s">
        <v>984</v>
      </c>
      <c r="E208" s="2406">
        <v>1685</v>
      </c>
      <c r="F208" s="2406">
        <v>1985</v>
      </c>
      <c r="G208" s="2406">
        <v>1985</v>
      </c>
      <c r="H208" s="2405">
        <f t="shared" si="7"/>
        <v>100</v>
      </c>
    </row>
    <row r="209" spans="1:8" ht="14.25" x14ac:dyDescent="0.2">
      <c r="A209" s="2170"/>
      <c r="B209" s="2169"/>
      <c r="C209" s="2420" t="s">
        <v>1892</v>
      </c>
      <c r="D209" s="2261" t="s">
        <v>1020</v>
      </c>
      <c r="E209" s="2406"/>
      <c r="F209" s="2406">
        <v>93</v>
      </c>
      <c r="G209" s="2406">
        <v>93</v>
      </c>
      <c r="H209" s="2405">
        <f t="shared" si="7"/>
        <v>100</v>
      </c>
    </row>
    <row r="210" spans="1:8" ht="14.25" x14ac:dyDescent="0.2">
      <c r="A210" s="2170"/>
      <c r="B210" s="2169"/>
      <c r="C210" s="1281" t="s">
        <v>1914</v>
      </c>
      <c r="D210" s="2419" t="s">
        <v>1080</v>
      </c>
      <c r="E210" s="2406"/>
      <c r="F210" s="2406">
        <v>102</v>
      </c>
      <c r="G210" s="2406">
        <v>102</v>
      </c>
      <c r="H210" s="2405">
        <f t="shared" si="7"/>
        <v>100</v>
      </c>
    </row>
    <row r="211" spans="1:8" ht="14.25" x14ac:dyDescent="0.2">
      <c r="A211" s="2170"/>
      <c r="B211" s="2169"/>
      <c r="C211" s="2182" t="s">
        <v>1817</v>
      </c>
      <c r="D211" s="2240" t="s">
        <v>640</v>
      </c>
      <c r="E211" s="2406">
        <v>2946</v>
      </c>
      <c r="F211" s="2406">
        <v>2664</v>
      </c>
      <c r="G211" s="2406">
        <v>2664</v>
      </c>
      <c r="H211" s="2405">
        <f t="shared" si="7"/>
        <v>100</v>
      </c>
    </row>
    <row r="212" spans="1:8" ht="14.25" x14ac:dyDescent="0.2">
      <c r="A212" s="2170"/>
      <c r="B212" s="2169"/>
      <c r="C212" s="2182" t="s">
        <v>1901</v>
      </c>
      <c r="D212" s="2188" t="s">
        <v>1876</v>
      </c>
      <c r="E212" s="2416"/>
      <c r="F212" s="2406">
        <v>42</v>
      </c>
      <c r="G212" s="2406">
        <v>42</v>
      </c>
      <c r="H212" s="2405">
        <f t="shared" si="7"/>
        <v>100</v>
      </c>
    </row>
    <row r="213" spans="1:8" ht="15" x14ac:dyDescent="0.25">
      <c r="A213" s="2170">
        <v>3315</v>
      </c>
      <c r="B213" s="2169">
        <v>5336</v>
      </c>
      <c r="C213" s="1277"/>
      <c r="D213" s="2243" t="s">
        <v>1453</v>
      </c>
      <c r="E213" s="1393"/>
      <c r="F213" s="1389">
        <f>F214+F215</f>
        <v>26</v>
      </c>
      <c r="G213" s="1389">
        <f>G214+G215</f>
        <v>26</v>
      </c>
      <c r="H213" s="2417">
        <f t="shared" si="7"/>
        <v>100</v>
      </c>
    </row>
    <row r="214" spans="1:8" ht="14.25" x14ac:dyDescent="0.2">
      <c r="A214" s="2170"/>
      <c r="B214" s="2169"/>
      <c r="C214" s="1277" t="s">
        <v>1913</v>
      </c>
      <c r="D214" s="2188" t="s">
        <v>1912</v>
      </c>
      <c r="E214" s="2416"/>
      <c r="F214" s="2406">
        <v>10</v>
      </c>
      <c r="G214" s="2406">
        <v>10</v>
      </c>
      <c r="H214" s="2405">
        <f t="shared" si="7"/>
        <v>100</v>
      </c>
    </row>
    <row r="215" spans="1:8" ht="15" thickBot="1" x14ac:dyDescent="0.25">
      <c r="A215" s="2170"/>
      <c r="B215" s="2169"/>
      <c r="C215" s="1277" t="s">
        <v>1909</v>
      </c>
      <c r="D215" s="2188" t="s">
        <v>1629</v>
      </c>
      <c r="E215" s="654"/>
      <c r="F215" s="639">
        <v>16</v>
      </c>
      <c r="G215" s="639">
        <v>16</v>
      </c>
      <c r="H215" s="2418">
        <f t="shared" si="7"/>
        <v>100</v>
      </c>
    </row>
    <row r="216" spans="1:8" s="2131" customFormat="1" ht="20.25" customHeight="1" thickTop="1" thickBot="1" x14ac:dyDescent="0.3">
      <c r="A216" s="2162" t="s">
        <v>1000</v>
      </c>
      <c r="B216" s="2161"/>
      <c r="C216" s="2160"/>
      <c r="D216" s="2159"/>
      <c r="E216" s="2346">
        <f>SUM(E206)</f>
        <v>5337</v>
      </c>
      <c r="F216" s="2346">
        <f>SUM(F206,F213)</f>
        <v>5785</v>
      </c>
      <c r="G216" s="2346">
        <f>SUM(G206,G213)</f>
        <v>5785</v>
      </c>
      <c r="H216" s="2413">
        <f t="shared" si="7"/>
        <v>100</v>
      </c>
    </row>
    <row r="217" spans="1:8" ht="13.5" thickTop="1" x14ac:dyDescent="0.2"/>
    <row r="218" spans="1:8" s="2131" customFormat="1" ht="27.75" customHeight="1" thickBot="1" x14ac:dyDescent="0.3">
      <c r="A218" s="2155" t="s">
        <v>1118</v>
      </c>
      <c r="B218" s="2217"/>
      <c r="C218" s="2216"/>
      <c r="D218" s="2215"/>
      <c r="E218" s="2404">
        <f>SUM(E216)</f>
        <v>5337</v>
      </c>
      <c r="F218" s="2404">
        <f>SUM(F216)</f>
        <v>5785</v>
      </c>
      <c r="G218" s="2404">
        <f>SUM(G216)</f>
        <v>5785</v>
      </c>
      <c r="H218" s="2403">
        <f>(G218/F218)*100</f>
        <v>100</v>
      </c>
    </row>
    <row r="219" spans="1:8" ht="13.5" thickTop="1" x14ac:dyDescent="0.2">
      <c r="A219" s="2156"/>
    </row>
    <row r="220" spans="1:8" x14ac:dyDescent="0.2">
      <c r="A220" s="2156"/>
    </row>
    <row r="221" spans="1:8" x14ac:dyDescent="0.2">
      <c r="A221" s="2156"/>
    </row>
    <row r="222" spans="1:8" x14ac:dyDescent="0.2">
      <c r="A222" s="2156"/>
    </row>
    <row r="223" spans="1:8" x14ac:dyDescent="0.2">
      <c r="A223" s="2156"/>
    </row>
    <row r="224" spans="1:8" s="1465" customFormat="1" ht="15.75" x14ac:dyDescent="0.25">
      <c r="A224" s="2137" t="s">
        <v>1630</v>
      </c>
      <c r="B224" s="2218"/>
      <c r="C224" s="2136"/>
      <c r="E224" s="1433" t="s">
        <v>758</v>
      </c>
      <c r="F224" s="1433"/>
      <c r="G224" s="1433"/>
      <c r="H224" s="2410"/>
    </row>
    <row r="225" spans="1:11" ht="13.5" thickBot="1" x14ac:dyDescent="0.25">
      <c r="A225" s="2213"/>
      <c r="H225" s="2203" t="s">
        <v>148</v>
      </c>
    </row>
    <row r="226" spans="1:11" s="2196" customFormat="1" ht="20.25" customHeight="1" thickTop="1" thickBot="1" x14ac:dyDescent="0.25">
      <c r="A226" s="2202" t="s">
        <v>149</v>
      </c>
      <c r="B226" s="2201" t="s">
        <v>150</v>
      </c>
      <c r="C226" s="2200" t="s">
        <v>639</v>
      </c>
      <c r="D226" s="2199" t="s">
        <v>151</v>
      </c>
      <c r="E226" s="1324" t="s">
        <v>569</v>
      </c>
      <c r="F226" s="1324" t="s">
        <v>570</v>
      </c>
      <c r="G226" s="2198" t="s">
        <v>797</v>
      </c>
      <c r="H226" s="2238" t="s">
        <v>798</v>
      </c>
    </row>
    <row r="227" spans="1:11" s="1292" customFormat="1" ht="13.5" thickTop="1" thickBot="1" x14ac:dyDescent="0.25">
      <c r="A227" s="1297">
        <v>1</v>
      </c>
      <c r="B227" s="1296">
        <v>2</v>
      </c>
      <c r="C227" s="1296">
        <v>3</v>
      </c>
      <c r="D227" s="1296">
        <v>4</v>
      </c>
      <c r="E227" s="1296">
        <v>5</v>
      </c>
      <c r="F227" s="1295">
        <v>6</v>
      </c>
      <c r="G227" s="1295">
        <v>7</v>
      </c>
      <c r="H227" s="1294" t="s">
        <v>54</v>
      </c>
      <c r="I227" s="1298"/>
    </row>
    <row r="228" spans="1:11" ht="15.75" thickTop="1" x14ac:dyDescent="0.25">
      <c r="A228" s="2177">
        <v>3315</v>
      </c>
      <c r="B228" s="2176">
        <v>5331</v>
      </c>
      <c r="C228" s="2409"/>
      <c r="D228" s="2174" t="s">
        <v>216</v>
      </c>
      <c r="E228" s="2408">
        <f>E229+E230+E231</f>
        <v>12701</v>
      </c>
      <c r="F228" s="2408">
        <f>F229+F230+F231</f>
        <v>12699</v>
      </c>
      <c r="G228" s="2408">
        <f>G229+G230+G231</f>
        <v>12699</v>
      </c>
      <c r="H228" s="2195">
        <f t="shared" ref="H228:H235" si="8">G228/F228*100</f>
        <v>100</v>
      </c>
    </row>
    <row r="229" spans="1:11" ht="14.25" x14ac:dyDescent="0.2">
      <c r="A229" s="2170"/>
      <c r="B229" s="2169"/>
      <c r="C229" s="2191" t="s">
        <v>1811</v>
      </c>
      <c r="D229" s="2190" t="s">
        <v>1128</v>
      </c>
      <c r="E229" s="2406">
        <v>1405</v>
      </c>
      <c r="F229" s="2406">
        <v>1403</v>
      </c>
      <c r="G229" s="2406">
        <v>1403</v>
      </c>
      <c r="H229" s="2405">
        <f t="shared" si="8"/>
        <v>100</v>
      </c>
    </row>
    <row r="230" spans="1:11" ht="14.25" x14ac:dyDescent="0.2">
      <c r="A230" s="2170"/>
      <c r="B230" s="2169"/>
      <c r="C230" s="2182" t="s">
        <v>1812</v>
      </c>
      <c r="D230" s="2188" t="s">
        <v>984</v>
      </c>
      <c r="E230" s="2406">
        <v>4310</v>
      </c>
      <c r="F230" s="2406">
        <v>4310</v>
      </c>
      <c r="G230" s="2406">
        <v>4310</v>
      </c>
      <c r="H230" s="2405">
        <f t="shared" si="8"/>
        <v>100</v>
      </c>
    </row>
    <row r="231" spans="1:11" ht="15" thickBot="1" x14ac:dyDescent="0.25">
      <c r="A231" s="2170"/>
      <c r="B231" s="2169"/>
      <c r="C231" s="2182" t="s">
        <v>1817</v>
      </c>
      <c r="D231" s="2240" t="s">
        <v>640</v>
      </c>
      <c r="E231" s="2406">
        <v>6986</v>
      </c>
      <c r="F231" s="2406">
        <v>6986</v>
      </c>
      <c r="G231" s="2406">
        <v>6986</v>
      </c>
      <c r="H231" s="2405">
        <f t="shared" si="8"/>
        <v>100</v>
      </c>
    </row>
    <row r="232" spans="1:11" s="2131" customFormat="1" ht="20.25" customHeight="1" thickTop="1" thickBot="1" x14ac:dyDescent="0.3">
      <c r="A232" s="2162" t="s">
        <v>1000</v>
      </c>
      <c r="B232" s="2161"/>
      <c r="C232" s="2160"/>
      <c r="D232" s="2159"/>
      <c r="E232" s="2346">
        <f>SUM(E228)</f>
        <v>12701</v>
      </c>
      <c r="F232" s="2346">
        <f>SUM(F228)</f>
        <v>12699</v>
      </c>
      <c r="G232" s="2346">
        <f>SUM(G228)</f>
        <v>12699</v>
      </c>
      <c r="H232" s="2413">
        <f t="shared" si="8"/>
        <v>100</v>
      </c>
    </row>
    <row r="233" spans="1:11" ht="15.75" thickTop="1" x14ac:dyDescent="0.25">
      <c r="A233" s="2177">
        <v>3315</v>
      </c>
      <c r="B233" s="2176">
        <v>6351</v>
      </c>
      <c r="C233" s="2409"/>
      <c r="D233" s="2174" t="s">
        <v>1056</v>
      </c>
      <c r="E233" s="2408"/>
      <c r="F233" s="2408">
        <v>550</v>
      </c>
      <c r="G233" s="2408">
        <v>550</v>
      </c>
      <c r="H233" s="2195">
        <f t="shared" si="8"/>
        <v>100</v>
      </c>
    </row>
    <row r="234" spans="1:11" ht="15" thickBot="1" x14ac:dyDescent="0.25">
      <c r="A234" s="2170"/>
      <c r="B234" s="2169"/>
      <c r="C234" s="1281" t="s">
        <v>1908</v>
      </c>
      <c r="D234" s="2360" t="s">
        <v>804</v>
      </c>
      <c r="E234" s="2406"/>
      <c r="F234" s="2406">
        <v>550</v>
      </c>
      <c r="G234" s="2406">
        <v>550</v>
      </c>
      <c r="H234" s="2405">
        <f t="shared" si="8"/>
        <v>100</v>
      </c>
    </row>
    <row r="235" spans="1:11" ht="20.25" customHeight="1" thickTop="1" thickBot="1" x14ac:dyDescent="0.3">
      <c r="A235" s="2162" t="s">
        <v>1001</v>
      </c>
      <c r="B235" s="2161"/>
      <c r="C235" s="2160"/>
      <c r="D235" s="2159"/>
      <c r="E235" s="2346">
        <f>E233</f>
        <v>0</v>
      </c>
      <c r="F235" s="2346">
        <f>SUM(F233)</f>
        <v>550</v>
      </c>
      <c r="G235" s="2346">
        <f>SUM(G233)</f>
        <v>550</v>
      </c>
      <c r="H235" s="2413">
        <f t="shared" si="8"/>
        <v>100</v>
      </c>
      <c r="J235" s="1254"/>
      <c r="K235" s="1254"/>
    </row>
    <row r="236" spans="1:11" ht="14.25" customHeight="1" thickTop="1" x14ac:dyDescent="0.25">
      <c r="A236" s="2145"/>
      <c r="B236" s="2144"/>
      <c r="C236" s="2143"/>
      <c r="D236" s="2142"/>
      <c r="E236" s="2412"/>
      <c r="F236" s="2412"/>
      <c r="G236" s="2412"/>
      <c r="H236" s="2411"/>
    </row>
    <row r="237" spans="1:11" s="2131" customFormat="1" ht="27.75" customHeight="1" thickBot="1" x14ac:dyDescent="0.3">
      <c r="A237" s="2155" t="s">
        <v>822</v>
      </c>
      <c r="B237" s="2217"/>
      <c r="C237" s="2216"/>
      <c r="D237" s="2215"/>
      <c r="E237" s="2404">
        <f>E232+E235</f>
        <v>12701</v>
      </c>
      <c r="F237" s="2404">
        <f>F232+F235</f>
        <v>13249</v>
      </c>
      <c r="G237" s="2404">
        <f>G232+G235</f>
        <v>13249</v>
      </c>
      <c r="H237" s="2403">
        <f>(G237/F237)*100</f>
        <v>100</v>
      </c>
    </row>
    <row r="238" spans="1:11" s="2131" customFormat="1" ht="16.5" customHeight="1" thickTop="1" x14ac:dyDescent="0.25">
      <c r="A238" s="2145"/>
      <c r="B238" s="2144"/>
      <c r="C238" s="2143"/>
      <c r="D238" s="2142"/>
      <c r="E238" s="2412"/>
      <c r="F238" s="2412"/>
      <c r="G238" s="2412"/>
      <c r="H238" s="2411"/>
    </row>
    <row r="239" spans="1:11" s="2131" customFormat="1" ht="16.5" customHeight="1" x14ac:dyDescent="0.25">
      <c r="A239" s="2145"/>
      <c r="B239" s="2144"/>
      <c r="C239" s="2143"/>
      <c r="D239" s="2142"/>
      <c r="E239" s="2412"/>
      <c r="F239" s="2412"/>
      <c r="G239" s="2412"/>
      <c r="H239" s="2411"/>
    </row>
    <row r="240" spans="1:11" s="1465" customFormat="1" ht="15.75" x14ac:dyDescent="0.25">
      <c r="A240" s="2137" t="s">
        <v>823</v>
      </c>
      <c r="B240" s="2218"/>
      <c r="C240" s="2136"/>
      <c r="E240" s="1433" t="s">
        <v>759</v>
      </c>
      <c r="F240" s="1433"/>
      <c r="G240" s="1433"/>
      <c r="H240" s="2410"/>
    </row>
    <row r="241" spans="1:11" ht="13.5" thickBot="1" x14ac:dyDescent="0.25">
      <c r="A241" s="2213"/>
      <c r="H241" s="2203" t="s">
        <v>148</v>
      </c>
    </row>
    <row r="242" spans="1:11" s="2196" customFormat="1" ht="20.25" customHeight="1" thickTop="1" thickBot="1" x14ac:dyDescent="0.25">
      <c r="A242" s="2202" t="s">
        <v>149</v>
      </c>
      <c r="B242" s="2201" t="s">
        <v>150</v>
      </c>
      <c r="C242" s="2200" t="s">
        <v>639</v>
      </c>
      <c r="D242" s="2199" t="s">
        <v>151</v>
      </c>
      <c r="E242" s="1324" t="s">
        <v>569</v>
      </c>
      <c r="F242" s="1324" t="s">
        <v>570</v>
      </c>
      <c r="G242" s="2198" t="s">
        <v>797</v>
      </c>
      <c r="H242" s="2238" t="s">
        <v>798</v>
      </c>
    </row>
    <row r="243" spans="1:11" s="1292" customFormat="1" ht="13.5" thickTop="1" thickBot="1" x14ac:dyDescent="0.25">
      <c r="A243" s="1297">
        <v>1</v>
      </c>
      <c r="B243" s="1296">
        <v>2</v>
      </c>
      <c r="C243" s="1296">
        <v>3</v>
      </c>
      <c r="D243" s="1296">
        <v>4</v>
      </c>
      <c r="E243" s="1296">
        <v>5</v>
      </c>
      <c r="F243" s="1295">
        <v>6</v>
      </c>
      <c r="G243" s="1295">
        <v>7</v>
      </c>
      <c r="H243" s="1294" t="s">
        <v>54</v>
      </c>
      <c r="I243" s="1298"/>
    </row>
    <row r="244" spans="1:11" ht="15.75" thickTop="1" x14ac:dyDescent="0.25">
      <c r="A244" s="2177">
        <v>3315</v>
      </c>
      <c r="B244" s="2176">
        <v>5331</v>
      </c>
      <c r="C244" s="2409"/>
      <c r="D244" s="2174" t="s">
        <v>216</v>
      </c>
      <c r="E244" s="2408">
        <f>E245+E247+E248</f>
        <v>17958</v>
      </c>
      <c r="F244" s="2408">
        <f>F245+F246+F247+F248</f>
        <v>18476</v>
      </c>
      <c r="G244" s="2408">
        <f>G245+G246+G247+G248</f>
        <v>18476</v>
      </c>
      <c r="H244" s="2195">
        <f t="shared" ref="H244:H250" si="9">G244/F244*100</f>
        <v>100</v>
      </c>
    </row>
    <row r="245" spans="1:11" ht="14.25" x14ac:dyDescent="0.2">
      <c r="A245" s="2170"/>
      <c r="B245" s="2169"/>
      <c r="C245" s="2191" t="s">
        <v>1811</v>
      </c>
      <c r="D245" s="2190" t="s">
        <v>1128</v>
      </c>
      <c r="E245" s="2406">
        <v>1554</v>
      </c>
      <c r="F245" s="2406">
        <v>1278</v>
      </c>
      <c r="G245" s="2406">
        <v>1278</v>
      </c>
      <c r="H245" s="2405">
        <f t="shared" si="9"/>
        <v>100</v>
      </c>
    </row>
    <row r="246" spans="1:11" ht="14.25" x14ac:dyDescent="0.2">
      <c r="A246" s="2170"/>
      <c r="B246" s="2169"/>
      <c r="C246" s="1281" t="s">
        <v>1908</v>
      </c>
      <c r="D246" s="2360" t="s">
        <v>804</v>
      </c>
      <c r="E246" s="2406"/>
      <c r="F246" s="2406">
        <v>794</v>
      </c>
      <c r="G246" s="2406">
        <v>794</v>
      </c>
      <c r="H246" s="2405">
        <f t="shared" si="9"/>
        <v>100</v>
      </c>
    </row>
    <row r="247" spans="1:11" ht="14.25" x14ac:dyDescent="0.2">
      <c r="A247" s="2170"/>
      <c r="B247" s="2169"/>
      <c r="C247" s="2182" t="s">
        <v>1812</v>
      </c>
      <c r="D247" s="2188" t="s">
        <v>63</v>
      </c>
      <c r="E247" s="2406">
        <v>5857</v>
      </c>
      <c r="F247" s="2406">
        <v>5857</v>
      </c>
      <c r="G247" s="2406">
        <v>5857</v>
      </c>
      <c r="H247" s="2405">
        <f t="shared" si="9"/>
        <v>100</v>
      </c>
    </row>
    <row r="248" spans="1:11" ht="14.25" x14ac:dyDescent="0.2">
      <c r="A248" s="2170"/>
      <c r="B248" s="2169"/>
      <c r="C248" s="2182" t="s">
        <v>1817</v>
      </c>
      <c r="D248" s="2240" t="s">
        <v>640</v>
      </c>
      <c r="E248" s="2406">
        <v>10547</v>
      </c>
      <c r="F248" s="2406">
        <v>10547</v>
      </c>
      <c r="G248" s="2406">
        <v>10547</v>
      </c>
      <c r="H248" s="2405">
        <f t="shared" si="9"/>
        <v>100</v>
      </c>
    </row>
    <row r="249" spans="1:11" ht="15" x14ac:dyDescent="0.25">
      <c r="A249" s="2170">
        <v>3315</v>
      </c>
      <c r="B249" s="2169">
        <v>5336</v>
      </c>
      <c r="C249" s="1277"/>
      <c r="D249" s="2243" t="s">
        <v>1453</v>
      </c>
      <c r="E249" s="1393"/>
      <c r="F249" s="1389">
        <v>136</v>
      </c>
      <c r="G249" s="1389">
        <v>136</v>
      </c>
      <c r="H249" s="2417">
        <f t="shared" si="9"/>
        <v>100</v>
      </c>
    </row>
    <row r="250" spans="1:11" ht="14.25" x14ac:dyDescent="0.2">
      <c r="A250" s="2170"/>
      <c r="B250" s="2169"/>
      <c r="C250" s="1277" t="s">
        <v>1911</v>
      </c>
      <c r="D250" s="3166" t="s">
        <v>1910</v>
      </c>
      <c r="E250" s="2416"/>
      <c r="F250" s="2406">
        <v>136</v>
      </c>
      <c r="G250" s="2406">
        <v>136</v>
      </c>
      <c r="H250" s="2405">
        <f t="shared" si="9"/>
        <v>100</v>
      </c>
    </row>
    <row r="251" spans="1:11" ht="15" thickBot="1" x14ac:dyDescent="0.25">
      <c r="A251" s="2170"/>
      <c r="B251" s="2169"/>
      <c r="C251" s="1277"/>
      <c r="D251" s="3167"/>
      <c r="E251" s="2416"/>
      <c r="F251" s="2406"/>
      <c r="G251" s="2406"/>
      <c r="H251" s="2405"/>
    </row>
    <row r="252" spans="1:11" s="2131" customFormat="1" ht="20.25" customHeight="1" thickTop="1" thickBot="1" x14ac:dyDescent="0.3">
      <c r="A252" s="2162" t="s">
        <v>1000</v>
      </c>
      <c r="B252" s="2161"/>
      <c r="C252" s="2160"/>
      <c r="D252" s="2159"/>
      <c r="E252" s="2346">
        <f>SUM(E244)</f>
        <v>17958</v>
      </c>
      <c r="F252" s="2346">
        <f>F244+F249</f>
        <v>18612</v>
      </c>
      <c r="G252" s="2346">
        <f>G244+G249</f>
        <v>18612</v>
      </c>
      <c r="H252" s="2413">
        <f>G252/F252*100</f>
        <v>100</v>
      </c>
    </row>
    <row r="253" spans="1:11" ht="15.75" thickTop="1" x14ac:dyDescent="0.25">
      <c r="A253" s="2177">
        <v>3315</v>
      </c>
      <c r="B253" s="2176">
        <v>6351</v>
      </c>
      <c r="C253" s="2409"/>
      <c r="D253" s="2174" t="s">
        <v>1056</v>
      </c>
      <c r="E253" s="2408"/>
      <c r="F253" s="2408">
        <v>985</v>
      </c>
      <c r="G253" s="2408">
        <v>985</v>
      </c>
      <c r="H253" s="2195">
        <f>G253/F253*100</f>
        <v>100</v>
      </c>
    </row>
    <row r="254" spans="1:11" ht="15" thickBot="1" x14ac:dyDescent="0.25">
      <c r="A254" s="2170"/>
      <c r="B254" s="2169"/>
      <c r="C254" s="1281" t="s">
        <v>1908</v>
      </c>
      <c r="D254" s="2360" t="s">
        <v>804</v>
      </c>
      <c r="E254" s="2406"/>
      <c r="F254" s="2406">
        <v>985</v>
      </c>
      <c r="G254" s="2406">
        <v>985</v>
      </c>
      <c r="H254" s="2405">
        <f>G254/F254*100</f>
        <v>100</v>
      </c>
    </row>
    <row r="255" spans="1:11" ht="20.25" customHeight="1" thickTop="1" thickBot="1" x14ac:dyDescent="0.3">
      <c r="A255" s="2162" t="s">
        <v>1001</v>
      </c>
      <c r="B255" s="2161"/>
      <c r="C255" s="2160"/>
      <c r="D255" s="2159"/>
      <c r="E255" s="2346">
        <f>E253</f>
        <v>0</v>
      </c>
      <c r="F255" s="2346">
        <f>SUM(F253)</f>
        <v>985</v>
      </c>
      <c r="G255" s="2346">
        <f>SUM(G253)</f>
        <v>985</v>
      </c>
      <c r="H255" s="2413">
        <f>G255/F255*100</f>
        <v>100</v>
      </c>
      <c r="J255" s="1254"/>
      <c r="K255" s="1254"/>
    </row>
    <row r="256" spans="1:11" ht="15" thickTop="1" x14ac:dyDescent="0.2">
      <c r="A256" s="2156"/>
      <c r="H256" s="2118"/>
    </row>
    <row r="257" spans="1:9" s="2131" customFormat="1" ht="27.75" customHeight="1" thickBot="1" x14ac:dyDescent="0.3">
      <c r="A257" s="2155" t="s">
        <v>489</v>
      </c>
      <c r="B257" s="2217"/>
      <c r="C257" s="2216"/>
      <c r="D257" s="2215"/>
      <c r="E257" s="2404">
        <f>E252</f>
        <v>17958</v>
      </c>
      <c r="F257" s="2404">
        <f>F252</f>
        <v>18612</v>
      </c>
      <c r="G257" s="2404">
        <f>G252</f>
        <v>18612</v>
      </c>
      <c r="H257" s="2415">
        <f>G257/F257*100</f>
        <v>100</v>
      </c>
    </row>
    <row r="258" spans="1:9" ht="13.5" thickTop="1" x14ac:dyDescent="0.2"/>
    <row r="266" spans="1:9" s="1465" customFormat="1" ht="15.75" x14ac:dyDescent="0.25">
      <c r="A266" s="2137" t="s">
        <v>824</v>
      </c>
      <c r="B266" s="2218"/>
      <c r="C266" s="2136"/>
      <c r="E266" s="1433" t="s">
        <v>760</v>
      </c>
      <c r="F266" s="1433"/>
      <c r="G266" s="1433"/>
      <c r="H266" s="2410"/>
    </row>
    <row r="267" spans="1:9" ht="13.5" thickBot="1" x14ac:dyDescent="0.25">
      <c r="A267" s="2213"/>
      <c r="H267" s="2203" t="s">
        <v>148</v>
      </c>
    </row>
    <row r="268" spans="1:9" s="2196" customFormat="1" ht="20.25" customHeight="1" thickTop="1" thickBot="1" x14ac:dyDescent="0.25">
      <c r="A268" s="2202" t="s">
        <v>149</v>
      </c>
      <c r="B268" s="2201" t="s">
        <v>150</v>
      </c>
      <c r="C268" s="2200" t="s">
        <v>639</v>
      </c>
      <c r="D268" s="2199" t="s">
        <v>151</v>
      </c>
      <c r="E268" s="1324" t="s">
        <v>569</v>
      </c>
      <c r="F268" s="1324" t="s">
        <v>570</v>
      </c>
      <c r="G268" s="2198" t="s">
        <v>797</v>
      </c>
      <c r="H268" s="2238" t="s">
        <v>798</v>
      </c>
    </row>
    <row r="269" spans="1:9" s="1292" customFormat="1" ht="13.5" thickTop="1" thickBot="1" x14ac:dyDescent="0.25">
      <c r="A269" s="1297">
        <v>1</v>
      </c>
      <c r="B269" s="1296">
        <v>2</v>
      </c>
      <c r="C269" s="1296">
        <v>3</v>
      </c>
      <c r="D269" s="1296">
        <v>4</v>
      </c>
      <c r="E269" s="1296">
        <v>5</v>
      </c>
      <c r="F269" s="1295">
        <v>6</v>
      </c>
      <c r="G269" s="1295">
        <v>7</v>
      </c>
      <c r="H269" s="1294" t="s">
        <v>54</v>
      </c>
      <c r="I269" s="1298"/>
    </row>
    <row r="270" spans="1:9" ht="15.75" thickTop="1" x14ac:dyDescent="0.25">
      <c r="A270" s="2177">
        <v>3315</v>
      </c>
      <c r="B270" s="2176">
        <v>5331</v>
      </c>
      <c r="C270" s="2409"/>
      <c r="D270" s="2174" t="s">
        <v>216</v>
      </c>
      <c r="E270" s="2408">
        <f>E271+E272+E273+E274</f>
        <v>20253</v>
      </c>
      <c r="F270" s="2408">
        <f>F271+F272+F273+F274</f>
        <v>20252</v>
      </c>
      <c r="G270" s="2408">
        <f>G271+G272+G273+G274</f>
        <v>20252</v>
      </c>
      <c r="H270" s="2195">
        <f>G270/F270*100</f>
        <v>100</v>
      </c>
    </row>
    <row r="271" spans="1:9" ht="14.25" x14ac:dyDescent="0.2">
      <c r="A271" s="2170"/>
      <c r="B271" s="2169"/>
      <c r="C271" s="2191" t="s">
        <v>1811</v>
      </c>
      <c r="D271" s="2190" t="s">
        <v>1128</v>
      </c>
      <c r="E271" s="2406">
        <v>1136</v>
      </c>
      <c r="F271" s="2406">
        <v>1105</v>
      </c>
      <c r="G271" s="2406">
        <v>1105</v>
      </c>
      <c r="H271" s="2405">
        <f>G271/F271*100</f>
        <v>100</v>
      </c>
    </row>
    <row r="272" spans="1:9" ht="12.75" customHeight="1" x14ac:dyDescent="0.2">
      <c r="A272" s="2170"/>
      <c r="B272" s="2169"/>
      <c r="C272" s="2182" t="s">
        <v>1812</v>
      </c>
      <c r="D272" s="2188" t="s">
        <v>135</v>
      </c>
      <c r="E272" s="1274">
        <v>8129</v>
      </c>
      <c r="F272" s="1274">
        <v>8129</v>
      </c>
      <c r="G272" s="1274">
        <v>8129</v>
      </c>
      <c r="H272" s="2405">
        <f>G272/F272*100</f>
        <v>100</v>
      </c>
    </row>
    <row r="273" spans="1:11" ht="12.75" customHeight="1" x14ac:dyDescent="0.2">
      <c r="A273" s="2170"/>
      <c r="B273" s="2169"/>
      <c r="C273" s="2182" t="s">
        <v>1817</v>
      </c>
      <c r="D273" s="2240" t="s">
        <v>640</v>
      </c>
      <c r="E273" s="1274">
        <v>10988</v>
      </c>
      <c r="F273" s="1274">
        <v>10988</v>
      </c>
      <c r="G273" s="1274">
        <v>10988</v>
      </c>
      <c r="H273" s="2405">
        <f>G273/F273*100</f>
        <v>100</v>
      </c>
    </row>
    <row r="274" spans="1:11" ht="12.75" customHeight="1" x14ac:dyDescent="0.2">
      <c r="A274" s="2170"/>
      <c r="B274" s="2169"/>
      <c r="C274" s="2182" t="s">
        <v>1907</v>
      </c>
      <c r="D274" s="2240" t="s">
        <v>1271</v>
      </c>
      <c r="E274" s="1274"/>
      <c r="F274" s="1274">
        <v>30</v>
      </c>
      <c r="G274" s="1274">
        <v>30</v>
      </c>
      <c r="H274" s="2405"/>
    </row>
    <row r="275" spans="1:11" ht="12.75" customHeight="1" x14ac:dyDescent="0.25">
      <c r="A275" s="2170">
        <v>3315</v>
      </c>
      <c r="B275" s="2169">
        <v>5336</v>
      </c>
      <c r="C275" s="2182"/>
      <c r="D275" s="2243" t="s">
        <v>1453</v>
      </c>
      <c r="E275" s="1283"/>
      <c r="F275" s="1283">
        <v>32</v>
      </c>
      <c r="G275" s="1283">
        <v>32</v>
      </c>
      <c r="H275" s="2414">
        <f>G275/F275*100</f>
        <v>100</v>
      </c>
    </row>
    <row r="276" spans="1:11" ht="12.75" customHeight="1" thickBot="1" x14ac:dyDescent="0.25">
      <c r="A276" s="2170"/>
      <c r="B276" s="2169"/>
      <c r="C276" s="1277" t="s">
        <v>1909</v>
      </c>
      <c r="D276" s="2188" t="s">
        <v>1629</v>
      </c>
      <c r="E276" s="1274"/>
      <c r="F276" s="1274">
        <v>32</v>
      </c>
      <c r="G276" s="1274">
        <v>32</v>
      </c>
      <c r="H276" s="2405">
        <f>G276/F276*100</f>
        <v>100</v>
      </c>
    </row>
    <row r="277" spans="1:11" s="2131" customFormat="1" ht="20.25" customHeight="1" thickTop="1" thickBot="1" x14ac:dyDescent="0.3">
      <c r="A277" s="2162" t="s">
        <v>1000</v>
      </c>
      <c r="B277" s="2161"/>
      <c r="C277" s="2160"/>
      <c r="D277" s="2159"/>
      <c r="E277" s="2346">
        <f>E270+E275</f>
        <v>20253</v>
      </c>
      <c r="F277" s="2346">
        <f>F270+F275</f>
        <v>20284</v>
      </c>
      <c r="G277" s="2346">
        <f>G270+G275</f>
        <v>20284</v>
      </c>
      <c r="H277" s="2345">
        <f>(G277/F277)*100</f>
        <v>100</v>
      </c>
    </row>
    <row r="278" spans="1:11" ht="15.75" thickTop="1" x14ac:dyDescent="0.25">
      <c r="A278" s="2177">
        <v>3315</v>
      </c>
      <c r="B278" s="2176">
        <v>6351</v>
      </c>
      <c r="C278" s="2409"/>
      <c r="D278" s="2174" t="s">
        <v>1056</v>
      </c>
      <c r="E278" s="2408"/>
      <c r="F278" s="2408">
        <v>100</v>
      </c>
      <c r="G278" s="2408">
        <v>100</v>
      </c>
      <c r="H278" s="2195">
        <f>G278/F278*100</f>
        <v>100</v>
      </c>
    </row>
    <row r="279" spans="1:11" ht="15" thickBot="1" x14ac:dyDescent="0.25">
      <c r="A279" s="2170"/>
      <c r="B279" s="2169"/>
      <c r="C279" s="1281" t="s">
        <v>1908</v>
      </c>
      <c r="D279" s="2360" t="s">
        <v>804</v>
      </c>
      <c r="E279" s="2406"/>
      <c r="F279" s="2406">
        <v>100</v>
      </c>
      <c r="G279" s="2406">
        <v>100</v>
      </c>
      <c r="H279" s="2405">
        <f>G279/F279*100</f>
        <v>100</v>
      </c>
    </row>
    <row r="280" spans="1:11" ht="20.25" customHeight="1" thickTop="1" thickBot="1" x14ac:dyDescent="0.3">
      <c r="A280" s="2162" t="s">
        <v>1001</v>
      </c>
      <c r="B280" s="2161"/>
      <c r="C280" s="2160"/>
      <c r="D280" s="2159"/>
      <c r="E280" s="2346">
        <f>E278</f>
        <v>0</v>
      </c>
      <c r="F280" s="2346">
        <f>SUM(F278)</f>
        <v>100</v>
      </c>
      <c r="G280" s="2346">
        <f>SUM(G278)</f>
        <v>100</v>
      </c>
      <c r="H280" s="2413">
        <f>G280/F280*100</f>
        <v>100</v>
      </c>
      <c r="J280" s="1254"/>
      <c r="K280" s="1254"/>
    </row>
    <row r="281" spans="1:11" ht="15" thickTop="1" x14ac:dyDescent="0.2">
      <c r="A281" s="2156"/>
      <c r="H281" s="2118"/>
    </row>
    <row r="282" spans="1:11" s="2131" customFormat="1" ht="27.75" customHeight="1" thickBot="1" x14ac:dyDescent="0.3">
      <c r="A282" s="2155" t="s">
        <v>825</v>
      </c>
      <c r="B282" s="2217"/>
      <c r="C282" s="2216"/>
      <c r="D282" s="2215"/>
      <c r="E282" s="2404">
        <f>SUM(E277)</f>
        <v>20253</v>
      </c>
      <c r="F282" s="2404">
        <f>SUM(F277)</f>
        <v>20284</v>
      </c>
      <c r="G282" s="2404">
        <f>SUM(G277)</f>
        <v>20284</v>
      </c>
      <c r="H282" s="2403">
        <f>(G282/F282)*100</f>
        <v>100</v>
      </c>
    </row>
    <row r="283" spans="1:11" s="2131" customFormat="1" ht="22.5" customHeight="1" thickTop="1" x14ac:dyDescent="0.25">
      <c r="A283" s="2145"/>
      <c r="B283" s="2144"/>
      <c r="C283" s="2143"/>
      <c r="D283" s="2142"/>
      <c r="E283" s="2412"/>
      <c r="F283" s="2412"/>
      <c r="G283" s="2412"/>
      <c r="H283" s="2411"/>
    </row>
    <row r="284" spans="1:11" s="1465" customFormat="1" ht="15.75" customHeight="1" x14ac:dyDescent="0.25">
      <c r="A284" s="2137" t="s">
        <v>781</v>
      </c>
      <c r="B284" s="2218"/>
      <c r="C284" s="2136"/>
      <c r="E284" s="1433" t="s">
        <v>761</v>
      </c>
      <c r="F284" s="1433"/>
      <c r="G284" s="1433"/>
      <c r="H284" s="2410"/>
    </row>
    <row r="285" spans="1:11" ht="13.5" thickBot="1" x14ac:dyDescent="0.25">
      <c r="A285" s="2213"/>
      <c r="H285" s="2203" t="s">
        <v>148</v>
      </c>
    </row>
    <row r="286" spans="1:11" s="2196" customFormat="1" ht="20.25" customHeight="1" thickTop="1" thickBot="1" x14ac:dyDescent="0.25">
      <c r="A286" s="2202" t="s">
        <v>149</v>
      </c>
      <c r="B286" s="2201" t="s">
        <v>150</v>
      </c>
      <c r="C286" s="2200" t="s">
        <v>639</v>
      </c>
      <c r="D286" s="2199" t="s">
        <v>151</v>
      </c>
      <c r="E286" s="1324" t="s">
        <v>569</v>
      </c>
      <c r="F286" s="1324" t="s">
        <v>570</v>
      </c>
      <c r="G286" s="2198" t="s">
        <v>797</v>
      </c>
      <c r="H286" s="2238" t="s">
        <v>798</v>
      </c>
    </row>
    <row r="287" spans="1:11" s="1292" customFormat="1" ht="13.5" thickTop="1" thickBot="1" x14ac:dyDescent="0.25">
      <c r="A287" s="1297">
        <v>1</v>
      </c>
      <c r="B287" s="1296">
        <v>2</v>
      </c>
      <c r="C287" s="1296">
        <v>3</v>
      </c>
      <c r="D287" s="1296">
        <v>4</v>
      </c>
      <c r="E287" s="1296">
        <v>5</v>
      </c>
      <c r="F287" s="1295">
        <v>6</v>
      </c>
      <c r="G287" s="1295">
        <v>7</v>
      </c>
      <c r="H287" s="1294" t="s">
        <v>54</v>
      </c>
      <c r="I287" s="1298"/>
    </row>
    <row r="288" spans="1:11" ht="15.75" thickTop="1" x14ac:dyDescent="0.25">
      <c r="A288" s="2177">
        <v>3315</v>
      </c>
      <c r="B288" s="2176">
        <v>5331</v>
      </c>
      <c r="C288" s="2409"/>
      <c r="D288" s="2174" t="s">
        <v>216</v>
      </c>
      <c r="E288" s="2408">
        <f>E289+E290+E292</f>
        <v>2460</v>
      </c>
      <c r="F288" s="2408">
        <f>F289+F290+F292+F291</f>
        <v>2864</v>
      </c>
      <c r="G288" s="2408">
        <f>G289+G290+G292+G291</f>
        <v>2864</v>
      </c>
      <c r="H288" s="2195">
        <f>G288/F288*100</f>
        <v>100</v>
      </c>
    </row>
    <row r="289" spans="1:8" ht="14.25" x14ac:dyDescent="0.2">
      <c r="A289" s="2170"/>
      <c r="B289" s="2169"/>
      <c r="C289" s="2191" t="s">
        <v>1811</v>
      </c>
      <c r="D289" s="2190" t="s">
        <v>1128</v>
      </c>
      <c r="E289" s="2406">
        <v>1210</v>
      </c>
      <c r="F289" s="2406">
        <v>1205</v>
      </c>
      <c r="G289" s="2406">
        <v>1205</v>
      </c>
      <c r="H289" s="2405">
        <f>G289/F289*100</f>
        <v>100</v>
      </c>
    </row>
    <row r="290" spans="1:8" ht="14.25" x14ac:dyDescent="0.2">
      <c r="A290" s="2170"/>
      <c r="B290" s="2169"/>
      <c r="C290" s="2182" t="s">
        <v>1812</v>
      </c>
      <c r="D290" s="2188" t="s">
        <v>135</v>
      </c>
      <c r="E290" s="2406">
        <v>1250</v>
      </c>
      <c r="F290" s="2406">
        <v>1250</v>
      </c>
      <c r="G290" s="2406">
        <v>1250</v>
      </c>
      <c r="H290" s="2405">
        <f>G290/F290*100</f>
        <v>100</v>
      </c>
    </row>
    <row r="291" spans="1:8" ht="14.25" x14ac:dyDescent="0.2">
      <c r="A291" s="2170"/>
      <c r="B291" s="2169"/>
      <c r="C291" s="2182" t="s">
        <v>1901</v>
      </c>
      <c r="D291" s="2188" t="s">
        <v>1876</v>
      </c>
      <c r="E291" s="2406"/>
      <c r="F291" s="2406">
        <v>259</v>
      </c>
      <c r="G291" s="2406">
        <v>259</v>
      </c>
      <c r="H291" s="2405">
        <f>G291/F291*100</f>
        <v>100</v>
      </c>
    </row>
    <row r="292" spans="1:8" ht="15" thickBot="1" x14ac:dyDescent="0.25">
      <c r="A292" s="2170"/>
      <c r="B292" s="2169"/>
      <c r="C292" s="2407" t="s">
        <v>1907</v>
      </c>
      <c r="D292" s="2187" t="s">
        <v>1271</v>
      </c>
      <c r="E292" s="2406"/>
      <c r="F292" s="2406">
        <v>150</v>
      </c>
      <c r="G292" s="2406">
        <v>150</v>
      </c>
      <c r="H292" s="2405">
        <f>G292/F292*100</f>
        <v>100</v>
      </c>
    </row>
    <row r="293" spans="1:8" s="2131" customFormat="1" ht="20.25" customHeight="1" thickTop="1" thickBot="1" x14ac:dyDescent="0.3">
      <c r="A293" s="2162" t="s">
        <v>1000</v>
      </c>
      <c r="B293" s="2161"/>
      <c r="C293" s="2160"/>
      <c r="D293" s="2159"/>
      <c r="E293" s="2346">
        <f>SUM(E288)</f>
        <v>2460</v>
      </c>
      <c r="F293" s="2346">
        <f>F288</f>
        <v>2864</v>
      </c>
      <c r="G293" s="2346">
        <f>G288</f>
        <v>2864</v>
      </c>
      <c r="H293" s="2345">
        <f>(G293/F293)*100</f>
        <v>100</v>
      </c>
    </row>
    <row r="294" spans="1:8" ht="15" thickTop="1" x14ac:dyDescent="0.2">
      <c r="H294" s="2118"/>
    </row>
    <row r="295" spans="1:8" s="2131" customFormat="1" ht="27.75" customHeight="1" thickBot="1" x14ac:dyDescent="0.3">
      <c r="A295" s="2155" t="s">
        <v>437</v>
      </c>
      <c r="B295" s="2217"/>
      <c r="C295" s="2216"/>
      <c r="D295" s="2215"/>
      <c r="E295" s="2404">
        <f>SUM(E293)</f>
        <v>2460</v>
      </c>
      <c r="F295" s="2404">
        <f>SUM(F293)</f>
        <v>2864</v>
      </c>
      <c r="G295" s="2404">
        <f>SUM(G293)</f>
        <v>2864</v>
      </c>
      <c r="H295" s="2403">
        <f>(G295/F295)*100</f>
        <v>100</v>
      </c>
    </row>
    <row r="296" spans="1:8" ht="13.5" thickTop="1" x14ac:dyDescent="0.2"/>
    <row r="299" spans="1:8" s="1465" customFormat="1" ht="15.75" x14ac:dyDescent="0.25">
      <c r="A299" s="2207" t="s">
        <v>985</v>
      </c>
      <c r="B299" s="2402"/>
      <c r="C299" s="2402"/>
      <c r="D299" s="2402"/>
      <c r="E299" s="2205"/>
      <c r="F299" s="2205"/>
      <c r="G299" s="2205"/>
      <c r="H299" s="2204"/>
    </row>
    <row r="300" spans="1:8" ht="15" thickBot="1" x14ac:dyDescent="0.25">
      <c r="E300" s="2119"/>
      <c r="F300" s="2119"/>
      <c r="G300" s="2119"/>
      <c r="H300" s="2203" t="s">
        <v>148</v>
      </c>
    </row>
    <row r="301" spans="1:8" ht="14.25" thickTop="1" thickBot="1" x14ac:dyDescent="0.25">
      <c r="A301" s="1302" t="s">
        <v>149</v>
      </c>
      <c r="B301" s="1301" t="s">
        <v>150</v>
      </c>
      <c r="C301" s="2263" t="s">
        <v>639</v>
      </c>
      <c r="D301" s="1324" t="s">
        <v>151</v>
      </c>
      <c r="E301" s="1324" t="s">
        <v>569</v>
      </c>
      <c r="F301" s="1324" t="s">
        <v>570</v>
      </c>
      <c r="G301" s="2198" t="s">
        <v>797</v>
      </c>
      <c r="H301" s="2262" t="s">
        <v>798</v>
      </c>
    </row>
    <row r="302" spans="1:8" ht="14.25" thickTop="1" thickBot="1" x14ac:dyDescent="0.25">
      <c r="A302" s="1297">
        <v>1</v>
      </c>
      <c r="B302" s="1296">
        <v>2</v>
      </c>
      <c r="C302" s="1296">
        <v>3</v>
      </c>
      <c r="D302" s="1296">
        <v>4</v>
      </c>
      <c r="E302" s="1296">
        <v>5</v>
      </c>
      <c r="F302" s="1295">
        <v>6</v>
      </c>
      <c r="G302" s="1295">
        <v>7</v>
      </c>
      <c r="H302" s="1294" t="s">
        <v>54</v>
      </c>
    </row>
    <row r="303" spans="1:8" s="2312" customFormat="1" ht="15.75" thickTop="1" x14ac:dyDescent="0.25">
      <c r="A303" s="1331">
        <v>3319</v>
      </c>
      <c r="B303" s="1330">
        <v>5331</v>
      </c>
      <c r="C303" s="1322"/>
      <c r="D303" s="2297" t="s">
        <v>754</v>
      </c>
      <c r="E303" s="1321">
        <v>200</v>
      </c>
      <c r="F303" s="2401">
        <v>0</v>
      </c>
      <c r="G303" s="1283">
        <v>0</v>
      </c>
      <c r="H303" s="1313">
        <v>0</v>
      </c>
    </row>
    <row r="304" spans="1:8" ht="15.75" thickBot="1" x14ac:dyDescent="0.3">
      <c r="A304" s="2281"/>
      <c r="B304" s="2297"/>
      <c r="C304" s="1281" t="s">
        <v>1907</v>
      </c>
      <c r="D304" s="1280" t="s">
        <v>1271</v>
      </c>
      <c r="E304" s="1276">
        <v>200</v>
      </c>
      <c r="F304" s="1275">
        <v>0</v>
      </c>
      <c r="G304" s="1274">
        <v>0</v>
      </c>
      <c r="H304" s="1316">
        <v>0</v>
      </c>
    </row>
    <row r="305" spans="1:18" s="2126" customFormat="1" ht="20.25" customHeight="1" thickTop="1" thickBot="1" x14ac:dyDescent="0.3">
      <c r="A305" s="2162" t="s">
        <v>986</v>
      </c>
      <c r="B305" s="2161"/>
      <c r="C305" s="2160"/>
      <c r="D305" s="2159"/>
      <c r="E305" s="2158">
        <f>E303</f>
        <v>200</v>
      </c>
      <c r="F305" s="2158">
        <f>SUM(F303)</f>
        <v>0</v>
      </c>
      <c r="G305" s="2158">
        <f>SUM(G303)</f>
        <v>0</v>
      </c>
      <c r="H305" s="2157">
        <f>SUM(H303)</f>
        <v>0</v>
      </c>
      <c r="J305" s="2400"/>
      <c r="K305" s="2400"/>
      <c r="L305" s="2141"/>
      <c r="R305" s="2126">
        <v>0</v>
      </c>
    </row>
    <row r="306" spans="1:18" ht="13.5" thickTop="1" x14ac:dyDescent="0.2"/>
    <row r="308" spans="1:18" ht="16.5" x14ac:dyDescent="0.25">
      <c r="A308" s="2145" t="s">
        <v>321</v>
      </c>
      <c r="B308" s="2144"/>
      <c r="C308" s="2143"/>
      <c r="D308" s="2142"/>
      <c r="E308" s="1433">
        <f>E309+E310+E311+E312</f>
        <v>61656</v>
      </c>
      <c r="F308" s="1433">
        <f>F309+F310+F311+F312</f>
        <v>70591</v>
      </c>
      <c r="G308" s="1433">
        <f>G309+G310+G311+G312</f>
        <v>70356</v>
      </c>
      <c r="H308" s="1259">
        <f>G308/F308*100</f>
        <v>99.667096372058765</v>
      </c>
      <c r="J308" s="2132">
        <f>J309+J310+J311+J312</f>
        <v>61656000</v>
      </c>
      <c r="K308" s="2132">
        <f>K309+K310+K311+K312</f>
        <v>70591387</v>
      </c>
      <c r="L308" s="2132">
        <f>L309+L310+L311+L312</f>
        <v>70356523</v>
      </c>
    </row>
    <row r="309" spans="1:18" ht="15" x14ac:dyDescent="0.2">
      <c r="A309" s="1263" t="s">
        <v>242</v>
      </c>
      <c r="B309" s="1265"/>
      <c r="C309" s="1261"/>
      <c r="D309" s="1436"/>
      <c r="E309" s="1264">
        <f>E137</f>
        <v>61656</v>
      </c>
      <c r="F309" s="1264">
        <f>F137</f>
        <v>68491</v>
      </c>
      <c r="G309" s="1264">
        <f>G137</f>
        <v>68256</v>
      </c>
      <c r="H309" s="1259">
        <f>G309/F309*100</f>
        <v>99.656889226321709</v>
      </c>
      <c r="J309" s="1533">
        <v>61656000</v>
      </c>
      <c r="K309" s="1533">
        <v>68491387</v>
      </c>
      <c r="L309" s="1533">
        <v>68256523</v>
      </c>
    </row>
    <row r="310" spans="1:18" ht="15" x14ac:dyDescent="0.2">
      <c r="A310" s="1263" t="s">
        <v>243</v>
      </c>
      <c r="B310" s="1262"/>
      <c r="C310" s="1261"/>
      <c r="D310" s="1438"/>
      <c r="E310" s="1264">
        <f>E153</f>
        <v>0</v>
      </c>
      <c r="F310" s="1264">
        <f>F153</f>
        <v>2100</v>
      </c>
      <c r="G310" s="1264">
        <f>G153</f>
        <v>2100</v>
      </c>
      <c r="H310" s="1259">
        <f>G310/F310*100</f>
        <v>100</v>
      </c>
      <c r="J310" s="1533">
        <v>0</v>
      </c>
      <c r="K310" s="1533">
        <v>2100000</v>
      </c>
      <c r="L310" s="1533">
        <v>2100000</v>
      </c>
    </row>
    <row r="311" spans="1:18" ht="15" x14ac:dyDescent="0.2">
      <c r="A311" s="1263" t="s">
        <v>191</v>
      </c>
      <c r="B311" s="1262"/>
      <c r="C311" s="1261"/>
      <c r="D311" s="1438"/>
      <c r="E311" s="1264">
        <v>0</v>
      </c>
      <c r="F311" s="1264">
        <v>0</v>
      </c>
      <c r="G311" s="1264">
        <v>0</v>
      </c>
      <c r="H311" s="2399">
        <v>0</v>
      </c>
      <c r="J311" s="1533">
        <v>0</v>
      </c>
      <c r="K311" s="1533">
        <v>0</v>
      </c>
      <c r="L311" s="1533">
        <v>0</v>
      </c>
    </row>
    <row r="312" spans="1:18" ht="15" x14ac:dyDescent="0.2">
      <c r="A312" s="1263" t="s">
        <v>1034</v>
      </c>
      <c r="B312" s="1262"/>
      <c r="C312" s="1261"/>
      <c r="D312" s="1438"/>
      <c r="E312" s="1264">
        <v>0</v>
      </c>
      <c r="F312" s="1264">
        <v>0</v>
      </c>
      <c r="G312" s="1264">
        <v>0</v>
      </c>
      <c r="H312" s="2399">
        <v>0</v>
      </c>
      <c r="J312" s="1533">
        <v>0</v>
      </c>
      <c r="K312" s="1533">
        <v>0</v>
      </c>
      <c r="L312" s="1533">
        <v>0</v>
      </c>
    </row>
    <row r="313" spans="1:18" ht="15" x14ac:dyDescent="0.2">
      <c r="A313" s="1263"/>
      <c r="B313" s="1262"/>
      <c r="C313" s="1261"/>
      <c r="D313" s="1438"/>
    </row>
    <row r="314" spans="1:18" ht="16.5" x14ac:dyDescent="0.25">
      <c r="A314" s="2138" t="s">
        <v>244</v>
      </c>
      <c r="B314" s="1262"/>
      <c r="C314" s="1261"/>
      <c r="D314" s="1438"/>
      <c r="E314" s="1433">
        <f>E315+E316+E317+E318</f>
        <v>135353</v>
      </c>
      <c r="F314" s="1433">
        <f>F315+F316+F317+F318</f>
        <v>139242</v>
      </c>
      <c r="G314" s="1433">
        <f>G315+G316+G317+G318</f>
        <v>139242</v>
      </c>
      <c r="H314" s="1448">
        <f>G314/F314*100</f>
        <v>100</v>
      </c>
      <c r="J314" s="2132">
        <f>J315+J316+J317+J318</f>
        <v>135353000</v>
      </c>
      <c r="K314" s="2132">
        <f>K315+K316+K317+K318</f>
        <v>139241810</v>
      </c>
      <c r="L314" s="2132">
        <f>L315+L316+L317+L318</f>
        <v>139241810</v>
      </c>
    </row>
    <row r="315" spans="1:18" ht="15" x14ac:dyDescent="0.2">
      <c r="A315" s="1263" t="s">
        <v>1873</v>
      </c>
      <c r="B315" s="1262"/>
      <c r="C315" s="1261"/>
      <c r="D315" s="1438"/>
      <c r="E315" s="1264">
        <f>E172+E195+E216+E232+E252+E277+E293-E317+E305</f>
        <v>130813</v>
      </c>
      <c r="F315" s="1264">
        <f>F172+F195+F216+F232+F252+F277+F293-F317+F305</f>
        <v>136657</v>
      </c>
      <c r="G315" s="1264">
        <f>G172+G195+G216+G232+G252+G277+G293-G317+G305</f>
        <v>136657</v>
      </c>
      <c r="H315" s="1259">
        <f>G315/F315*100</f>
        <v>100</v>
      </c>
      <c r="J315" s="1533">
        <v>130813000</v>
      </c>
      <c r="K315" s="1533">
        <v>136657364</v>
      </c>
      <c r="L315" s="1533">
        <v>136657364</v>
      </c>
    </row>
    <row r="316" spans="1:18" ht="15" x14ac:dyDescent="0.2">
      <c r="A316" s="1263" t="s">
        <v>1872</v>
      </c>
      <c r="B316" s="1262"/>
      <c r="C316" s="1261"/>
      <c r="D316" s="1438"/>
      <c r="E316" s="1264">
        <f>E198+E175+E235+E280</f>
        <v>4540</v>
      </c>
      <c r="F316" s="1264">
        <f>F198+F175+F235+F280-F318+F255</f>
        <v>2035</v>
      </c>
      <c r="G316" s="1264">
        <f>G198+G175+G235+G280-G318+G255</f>
        <v>2035</v>
      </c>
      <c r="H316" s="1259">
        <f>G316/F316*100</f>
        <v>100</v>
      </c>
      <c r="J316" s="1533">
        <v>4540000</v>
      </c>
      <c r="K316" s="1533">
        <v>2034446</v>
      </c>
      <c r="L316" s="1533">
        <v>2034446</v>
      </c>
    </row>
    <row r="317" spans="1:18" ht="15" x14ac:dyDescent="0.2">
      <c r="A317" s="1263" t="s">
        <v>2149</v>
      </c>
      <c r="E317" s="1264">
        <v>0</v>
      </c>
      <c r="F317" s="1264">
        <f>F170+F171+F194+F276+F250+F193+F214+F215</f>
        <v>528</v>
      </c>
      <c r="G317" s="1264">
        <f>G170+G171+G194+G276+G250+G193+G214+G215</f>
        <v>528</v>
      </c>
      <c r="H317" s="1259">
        <f>G317/F317*100</f>
        <v>100</v>
      </c>
      <c r="J317" s="1533">
        <v>0</v>
      </c>
      <c r="K317" s="1533">
        <v>528000</v>
      </c>
      <c r="L317" s="1533">
        <v>528000</v>
      </c>
      <c r="N317" s="1533">
        <f>K311+K312+K317+K318</f>
        <v>550000</v>
      </c>
      <c r="O317" s="1533">
        <f>L311+L312+L317+L318</f>
        <v>550000</v>
      </c>
    </row>
    <row r="318" spans="1:18" ht="15" x14ac:dyDescent="0.2">
      <c r="A318" s="1263" t="s">
        <v>2150</v>
      </c>
      <c r="E318" s="1264">
        <v>0</v>
      </c>
      <c r="F318" s="1264">
        <f>F174</f>
        <v>22</v>
      </c>
      <c r="G318" s="1264">
        <f>G174</f>
        <v>22</v>
      </c>
      <c r="H318" s="1259">
        <v>0</v>
      </c>
      <c r="J318" s="1533">
        <v>0</v>
      </c>
      <c r="K318" s="1533">
        <v>22000</v>
      </c>
      <c r="L318" s="1533">
        <v>22000</v>
      </c>
    </row>
    <row r="322" spans="1:12" s="1256" customFormat="1" ht="47.25" customHeight="1" thickBot="1" x14ac:dyDescent="0.4">
      <c r="A322" s="3161" t="s">
        <v>1039</v>
      </c>
      <c r="B322" s="3162"/>
      <c r="C322" s="3162"/>
      <c r="D322" s="3162"/>
      <c r="E322" s="2398">
        <f>E308+E314</f>
        <v>197009</v>
      </c>
      <c r="F322" s="2398">
        <f>F308+F314</f>
        <v>209833</v>
      </c>
      <c r="G322" s="2398">
        <f>G308+G314</f>
        <v>209598</v>
      </c>
      <c r="H322" s="2124">
        <f>(G322/F322)*100</f>
        <v>99.888006176340227</v>
      </c>
      <c r="I322" s="2397"/>
      <c r="J322" s="2123">
        <f>J308+J314</f>
        <v>197009000</v>
      </c>
      <c r="K322" s="2123">
        <f>K308+K314</f>
        <v>209833197</v>
      </c>
      <c r="L322" s="2123">
        <f>L308+L314</f>
        <v>209598333</v>
      </c>
    </row>
    <row r="323" spans="1:12" ht="13.5" thickTop="1" x14ac:dyDescent="0.2"/>
    <row r="325" spans="1:12" x14ac:dyDescent="0.2">
      <c r="K325" s="1254">
        <f>F311+F312+F317+F318</f>
        <v>550</v>
      </c>
      <c r="L325" s="1254">
        <f>G311+G312+G317+G318</f>
        <v>550</v>
      </c>
    </row>
  </sheetData>
  <mergeCells count="4">
    <mergeCell ref="A322:D322"/>
    <mergeCell ref="D145:D146"/>
    <mergeCell ref="D148:D149"/>
    <mergeCell ref="D250:D251"/>
  </mergeCells>
  <pageMargins left="0.98425196850393704" right="0.98425196850393704" top="0.98425196850393704" bottom="0.98425196850393704" header="0.51181102362204722" footer="0.51181102362204722"/>
  <pageSetup paperSize="9" scale="70" firstPageNumber="98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 enableFormatConditionsCalculation="0">
    <tabColor rgb="FF00B050"/>
  </sheetPr>
  <dimension ref="A1:V326"/>
  <sheetViews>
    <sheetView showGridLines="0" view="pageBreakPreview" topLeftCell="A258" zoomScaleNormal="100" zoomScaleSheetLayoutView="100" workbookViewId="0">
      <selection activeCell="A136" sqref="A136"/>
    </sheetView>
  </sheetViews>
  <sheetFormatPr defaultColWidth="9.140625" defaultRowHeight="14.25" x14ac:dyDescent="0.2"/>
  <cols>
    <col min="1" max="1" width="41.5703125" style="1732" customWidth="1"/>
    <col min="2" max="2" width="5.140625" style="1730" customWidth="1"/>
    <col min="3" max="3" width="14.7109375" style="1731" customWidth="1"/>
    <col min="4" max="5" width="16" style="1731" customWidth="1"/>
    <col min="6" max="6" width="9" style="1731" customWidth="1"/>
    <col min="7" max="7" width="17.140625" style="1845" customWidth="1"/>
    <col min="8" max="8" width="20.140625" style="1845" customWidth="1"/>
    <col min="9" max="9" width="19.5703125" style="1845" customWidth="1"/>
    <col min="10" max="10" width="2.85546875" style="1845" customWidth="1"/>
    <col min="11" max="11" width="19.7109375" style="1845" customWidth="1"/>
    <col min="12" max="13" width="19.7109375" style="1728" customWidth="1"/>
    <col min="14" max="14" width="11.140625" style="1728" customWidth="1"/>
    <col min="15" max="15" width="11.5703125" style="1728" customWidth="1"/>
    <col min="16" max="16" width="14.140625" style="1728" customWidth="1"/>
    <col min="17" max="17" width="11.7109375" style="1728" bestFit="1" customWidth="1"/>
    <col min="18" max="18" width="9.85546875" style="1728" bestFit="1" customWidth="1"/>
    <col min="19" max="19" width="12.5703125" style="1728" customWidth="1"/>
    <col min="20" max="20" width="12.85546875" style="1728" customWidth="1"/>
    <col min="21" max="21" width="11.7109375" style="1728" customWidth="1"/>
    <col min="22" max="16384" width="9.140625" style="1728"/>
  </cols>
  <sheetData>
    <row r="1" spans="1:12" ht="23.25" x14ac:dyDescent="0.35">
      <c r="A1" s="3058" t="s">
        <v>1870</v>
      </c>
      <c r="B1" s="3059"/>
      <c r="C1" s="3059"/>
      <c r="D1" s="3059"/>
      <c r="E1" s="3059"/>
      <c r="F1" s="3059"/>
      <c r="G1" s="1858"/>
      <c r="H1" s="1858"/>
      <c r="I1" s="1858"/>
      <c r="J1" s="1858"/>
      <c r="K1" s="1858"/>
    </row>
    <row r="2" spans="1:12" ht="23.25" x14ac:dyDescent="0.35">
      <c r="A2" s="3060"/>
      <c r="B2" s="3061"/>
      <c r="C2" s="3061"/>
      <c r="D2" s="3061"/>
      <c r="E2" s="3061"/>
      <c r="F2" s="3061"/>
      <c r="G2" s="1859"/>
      <c r="H2" s="1859"/>
      <c r="I2" s="1859"/>
      <c r="J2" s="1859"/>
      <c r="K2" s="1859"/>
    </row>
    <row r="3" spans="1:12" ht="15" x14ac:dyDescent="0.25">
      <c r="A3" s="1729" t="s">
        <v>567</v>
      </c>
    </row>
    <row r="4" spans="1:12" ht="15" thickBot="1" x14ac:dyDescent="0.25">
      <c r="F4" s="1733" t="s">
        <v>148</v>
      </c>
      <c r="G4" s="1860"/>
      <c r="H4" s="1860"/>
      <c r="I4" s="1860"/>
      <c r="J4" s="1860"/>
      <c r="K4" s="1860"/>
    </row>
    <row r="5" spans="1:12" s="1738" customFormat="1" ht="27" thickTop="1" thickBot="1" x14ac:dyDescent="0.25">
      <c r="A5" s="1734" t="s">
        <v>568</v>
      </c>
      <c r="B5" s="1735" t="s">
        <v>571</v>
      </c>
      <c r="C5" s="1736" t="s">
        <v>569</v>
      </c>
      <c r="D5" s="1736" t="s">
        <v>570</v>
      </c>
      <c r="E5" s="1736" t="s">
        <v>797</v>
      </c>
      <c r="F5" s="1737" t="s">
        <v>798</v>
      </c>
      <c r="G5" s="1861"/>
      <c r="H5" s="1862"/>
      <c r="I5" s="1862"/>
      <c r="J5" s="1863"/>
      <c r="K5" s="1863"/>
    </row>
    <row r="6" spans="1:12" s="1743" customFormat="1" ht="12.75" thickTop="1" thickBot="1" x14ac:dyDescent="0.25">
      <c r="A6" s="1739">
        <v>1</v>
      </c>
      <c r="B6" s="1740">
        <v>2</v>
      </c>
      <c r="C6" s="1741">
        <v>3</v>
      </c>
      <c r="D6" s="1741">
        <v>4</v>
      </c>
      <c r="E6" s="1741">
        <v>5</v>
      </c>
      <c r="F6" s="1742" t="s">
        <v>387</v>
      </c>
      <c r="G6" s="1864"/>
      <c r="H6" s="1864"/>
      <c r="I6" s="1864"/>
      <c r="J6" s="1864"/>
      <c r="K6" s="1864"/>
    </row>
    <row r="7" spans="1:12" s="1729" customFormat="1" ht="15.75" thickTop="1" x14ac:dyDescent="0.25">
      <c r="A7" s="1744" t="s">
        <v>572</v>
      </c>
      <c r="B7" s="1745">
        <v>1</v>
      </c>
      <c r="C7" s="1949">
        <f>SUM(C8:C12)</f>
        <v>29033</v>
      </c>
      <c r="D7" s="1949">
        <f>SUM(D8:D12)</f>
        <v>29418</v>
      </c>
      <c r="E7" s="1949">
        <f>SUM(E8:E12)</f>
        <v>25923</v>
      </c>
      <c r="F7" s="1950">
        <f>E7/D7*100</f>
        <v>88.119518662043646</v>
      </c>
      <c r="G7" s="1746">
        <f>SUM(G8:G12)</f>
        <v>29033000</v>
      </c>
      <c r="H7" s="1746">
        <f>SUM(H8:H12)</f>
        <v>29417725</v>
      </c>
      <c r="I7" s="1746">
        <f>SUM(I8:I12)</f>
        <v>25922728.640000001</v>
      </c>
      <c r="J7" s="1746"/>
      <c r="K7" s="1746"/>
    </row>
    <row r="8" spans="1:12" x14ac:dyDescent="0.2">
      <c r="A8" s="1747" t="s">
        <v>573</v>
      </c>
      <c r="B8" s="1748"/>
      <c r="C8" s="1749">
        <f>'01 '!E52</f>
        <v>28760</v>
      </c>
      <c r="D8" s="1749">
        <f>'01 '!F52</f>
        <v>29138</v>
      </c>
      <c r="E8" s="1749">
        <f>'01 '!G52</f>
        <v>25674</v>
      </c>
      <c r="F8" s="1750">
        <f>E8/D8*100</f>
        <v>88.111744114215114</v>
      </c>
      <c r="G8" s="1751">
        <f>'01 '!J52</f>
        <v>28760000</v>
      </c>
      <c r="H8" s="1751">
        <f>'01 '!K52</f>
        <v>29137555</v>
      </c>
      <c r="I8" s="1751">
        <f>'01 '!L52</f>
        <v>25673428.640000001</v>
      </c>
      <c r="J8" s="1751"/>
      <c r="K8" s="1751"/>
    </row>
    <row r="9" spans="1:12" x14ac:dyDescent="0.2">
      <c r="A9" s="1747" t="s">
        <v>574</v>
      </c>
      <c r="B9" s="1752"/>
      <c r="C9" s="1749">
        <f>'01 '!E53</f>
        <v>0</v>
      </c>
      <c r="D9" s="1749">
        <f>'01 '!F53</f>
        <v>0</v>
      </c>
      <c r="E9" s="1749">
        <f>'01 '!G53</f>
        <v>0</v>
      </c>
      <c r="F9" s="1750">
        <v>0</v>
      </c>
      <c r="G9" s="1751">
        <f>'01 '!J53</f>
        <v>0</v>
      </c>
      <c r="H9" s="1751">
        <f>'01 '!K53</f>
        <v>0</v>
      </c>
      <c r="I9" s="1751">
        <f>'01 '!L53</f>
        <v>0</v>
      </c>
      <c r="J9" s="1751"/>
      <c r="K9" s="1751"/>
    </row>
    <row r="10" spans="1:12" x14ac:dyDescent="0.2">
      <c r="A10" s="1753" t="s">
        <v>580</v>
      </c>
      <c r="B10" s="1748"/>
      <c r="C10" s="1749">
        <f>'01 '!E54</f>
        <v>0</v>
      </c>
      <c r="D10" s="1749">
        <f>'01 '!F54</f>
        <v>0</v>
      </c>
      <c r="E10" s="1749">
        <f>'01 '!G54</f>
        <v>0</v>
      </c>
      <c r="F10" s="1750">
        <v>0</v>
      </c>
      <c r="G10" s="1751">
        <f>'01 '!J54</f>
        <v>0</v>
      </c>
      <c r="H10" s="1751">
        <f>'01 '!K54</f>
        <v>0</v>
      </c>
      <c r="I10" s="1751">
        <f>'01 '!L54</f>
        <v>0</v>
      </c>
      <c r="J10" s="1751"/>
      <c r="K10" s="1751"/>
    </row>
    <row r="11" spans="1:12" x14ac:dyDescent="0.2">
      <c r="A11" s="1753" t="s">
        <v>581</v>
      </c>
      <c r="B11" s="1748"/>
      <c r="C11" s="1749">
        <f>'01 '!E55</f>
        <v>0</v>
      </c>
      <c r="D11" s="1749">
        <f>'01 '!F55</f>
        <v>0</v>
      </c>
      <c r="E11" s="1749">
        <f>'01 '!G55</f>
        <v>0</v>
      </c>
      <c r="F11" s="1750">
        <v>0</v>
      </c>
      <c r="G11" s="1751">
        <f>'01 '!J55</f>
        <v>0</v>
      </c>
      <c r="H11" s="1751">
        <f>'01 '!K55</f>
        <v>0</v>
      </c>
      <c r="I11" s="1751">
        <f>'01 '!L55</f>
        <v>0</v>
      </c>
      <c r="J11" s="1751"/>
      <c r="K11" s="1751"/>
    </row>
    <row r="12" spans="1:12" x14ac:dyDescent="0.2">
      <c r="A12" s="1754" t="s">
        <v>1060</v>
      </c>
      <c r="B12" s="1755"/>
      <c r="C12" s="1756">
        <f>SUM('01 '!E56)</f>
        <v>273</v>
      </c>
      <c r="D12" s="1756">
        <f>SUM('01 '!F56)</f>
        <v>280</v>
      </c>
      <c r="E12" s="1756">
        <f>SUM('01 '!G56)</f>
        <v>249</v>
      </c>
      <c r="F12" s="1757">
        <f t="shared" ref="F12:F37" si="0">E12/D12*100</f>
        <v>88.928571428571416</v>
      </c>
      <c r="G12" s="1765">
        <f>'01 '!J56</f>
        <v>273000</v>
      </c>
      <c r="H12" s="1751">
        <f>'01 '!K56</f>
        <v>280170</v>
      </c>
      <c r="I12" s="1751">
        <f>'01 '!L56</f>
        <v>249300</v>
      </c>
      <c r="J12" s="1751"/>
      <c r="K12" s="1751"/>
    </row>
    <row r="13" spans="1:12" s="1764" customFormat="1" ht="15" x14ac:dyDescent="0.25">
      <c r="A13" s="1760" t="s">
        <v>2176</v>
      </c>
      <c r="B13" s="1761">
        <v>3</v>
      </c>
      <c r="C13" s="1762">
        <f>SUM(C14:C18)</f>
        <v>319847</v>
      </c>
      <c r="D13" s="1762">
        <f>SUM(D14:D18)</f>
        <v>339579</v>
      </c>
      <c r="E13" s="1762">
        <f>SUM(E14:E18)</f>
        <v>325423</v>
      </c>
      <c r="F13" s="1763">
        <f>E13/D13*100</f>
        <v>95.831308767621081</v>
      </c>
      <c r="G13" s="2110">
        <f>SUM(G14:G18)</f>
        <v>319847000</v>
      </c>
      <c r="H13" s="2111">
        <f>SUM(H14:H18)</f>
        <v>339578998.04000002</v>
      </c>
      <c r="I13" s="2111">
        <f>SUM(I14:I18)</f>
        <v>325422635.93000001</v>
      </c>
      <c r="J13" s="1746"/>
      <c r="K13" s="1746"/>
    </row>
    <row r="14" spans="1:12" s="1764" customFormat="1" x14ac:dyDescent="0.2">
      <c r="A14" s="1747" t="s">
        <v>573</v>
      </c>
      <c r="B14" s="1767"/>
      <c r="C14" s="1749">
        <f>SUM('03'!E194)</f>
        <v>312534</v>
      </c>
      <c r="D14" s="1749">
        <f>SUM('03'!F194)</f>
        <v>318921</v>
      </c>
      <c r="E14" s="1749">
        <f>SUM('03'!G194)</f>
        <v>305761</v>
      </c>
      <c r="F14" s="1750">
        <f t="shared" si="0"/>
        <v>95.873586248632108</v>
      </c>
      <c r="G14" s="1765">
        <f>'03'!J194</f>
        <v>312534000</v>
      </c>
      <c r="H14" s="1751">
        <f>'03'!K194</f>
        <v>318921647.90000004</v>
      </c>
      <c r="I14" s="1751">
        <f>'03'!L194</f>
        <v>305760873.13</v>
      </c>
      <c r="J14" s="1751"/>
      <c r="K14" s="1751"/>
      <c r="L14" s="1867"/>
    </row>
    <row r="15" spans="1:12" s="1764" customFormat="1" x14ac:dyDescent="0.2">
      <c r="A15" s="1747" t="s">
        <v>574</v>
      </c>
      <c r="B15" s="1767"/>
      <c r="C15" s="1749">
        <f>'03'!E195</f>
        <v>820</v>
      </c>
      <c r="D15" s="1749">
        <f>'03'!F195</f>
        <v>5684</v>
      </c>
      <c r="E15" s="1749">
        <f>'03'!G195</f>
        <v>5528</v>
      </c>
      <c r="F15" s="1750">
        <f t="shared" si="0"/>
        <v>97.255453905700207</v>
      </c>
      <c r="G15" s="1765">
        <f>'03'!J195</f>
        <v>820000</v>
      </c>
      <c r="H15" s="1751">
        <f>'03'!K195</f>
        <v>5683873.6799999997</v>
      </c>
      <c r="I15" s="1751">
        <f>'03'!L195</f>
        <v>5527776</v>
      </c>
      <c r="J15" s="1751"/>
      <c r="K15" s="1902"/>
      <c r="L15" s="1902"/>
    </row>
    <row r="16" spans="1:12" x14ac:dyDescent="0.2">
      <c r="A16" s="1753" t="s">
        <v>580</v>
      </c>
      <c r="B16" s="1748"/>
      <c r="C16" s="1749">
        <f>'03'!E196</f>
        <v>0</v>
      </c>
      <c r="D16" s="1749">
        <f>'03'!F196</f>
        <v>8373</v>
      </c>
      <c r="E16" s="1749">
        <f>'03'!G196</f>
        <v>7959</v>
      </c>
      <c r="F16" s="1750">
        <f t="shared" si="0"/>
        <v>95.055535650304549</v>
      </c>
      <c r="G16" s="1765">
        <f>'03'!J196</f>
        <v>0</v>
      </c>
      <c r="H16" s="1751">
        <f>'03'!K196</f>
        <v>8372976.46</v>
      </c>
      <c r="I16" s="1751">
        <f>'03'!L196</f>
        <v>7959086.7999999998</v>
      </c>
      <c r="J16" s="1751"/>
      <c r="K16" s="1902"/>
      <c r="L16" s="1902"/>
    </row>
    <row r="17" spans="1:12" x14ac:dyDescent="0.2">
      <c r="A17" s="1753" t="s">
        <v>581</v>
      </c>
      <c r="B17" s="1748"/>
      <c r="C17" s="1749">
        <f>'03'!E197</f>
        <v>0</v>
      </c>
      <c r="D17" s="1749">
        <v>0</v>
      </c>
      <c r="E17" s="1749">
        <v>0</v>
      </c>
      <c r="F17" s="1750">
        <v>0</v>
      </c>
      <c r="G17" s="1765">
        <f>'03'!J197</f>
        <v>0</v>
      </c>
      <c r="H17" s="1751">
        <f>'03'!K197</f>
        <v>0</v>
      </c>
      <c r="I17" s="1751">
        <f>'03'!L197</f>
        <v>0</v>
      </c>
      <c r="J17" s="1751"/>
      <c r="K17" s="1751"/>
      <c r="L17" s="1860"/>
    </row>
    <row r="18" spans="1:12" x14ac:dyDescent="0.2">
      <c r="A18" s="1754" t="s">
        <v>1060</v>
      </c>
      <c r="B18" s="1755"/>
      <c r="C18" s="1756">
        <f>SUM('03'!E198)</f>
        <v>6493</v>
      </c>
      <c r="D18" s="1756">
        <f>SUM('03'!F198)</f>
        <v>6601</v>
      </c>
      <c r="E18" s="1756">
        <f>SUM('03'!G198)</f>
        <v>6175</v>
      </c>
      <c r="F18" s="1757">
        <f t="shared" si="0"/>
        <v>93.546432358733526</v>
      </c>
      <c r="G18" s="1758">
        <f>'03'!J198</f>
        <v>6493000</v>
      </c>
      <c r="H18" s="1759">
        <f>'03'!K198</f>
        <v>6600500</v>
      </c>
      <c r="I18" s="1759">
        <f>'03'!L198</f>
        <v>6174900</v>
      </c>
      <c r="J18" s="1751"/>
      <c r="K18" s="1751"/>
    </row>
    <row r="19" spans="1:12" s="1764" customFormat="1" ht="15" x14ac:dyDescent="0.25">
      <c r="A19" s="1760" t="s">
        <v>1041</v>
      </c>
      <c r="B19" s="1761">
        <v>4</v>
      </c>
      <c r="C19" s="1762">
        <f>SUM(C20:C23)</f>
        <v>35136</v>
      </c>
      <c r="D19" s="1762">
        <f>SUM(D20:D23)</f>
        <v>39677</v>
      </c>
      <c r="E19" s="1762">
        <f>SUM(E20:E23)</f>
        <v>37786</v>
      </c>
      <c r="F19" s="1768">
        <f t="shared" si="0"/>
        <v>95.234014668447713</v>
      </c>
      <c r="G19" s="2110">
        <f>SUM(G20:G23)</f>
        <v>35136000</v>
      </c>
      <c r="H19" s="2111">
        <f>SUM(H20:H23)</f>
        <v>39676911</v>
      </c>
      <c r="I19" s="2111">
        <f>SUM(I20:I23)</f>
        <v>37784739.640000001</v>
      </c>
      <c r="J19" s="1746"/>
      <c r="K19" s="1746"/>
    </row>
    <row r="20" spans="1:12" s="1764" customFormat="1" x14ac:dyDescent="0.2">
      <c r="A20" s="1747" t="s">
        <v>573</v>
      </c>
      <c r="B20" s="1767"/>
      <c r="C20" s="1749">
        <f>'04'!E43</f>
        <v>34553</v>
      </c>
      <c r="D20" s="1749">
        <f>'04'!F43</f>
        <v>35392</v>
      </c>
      <c r="E20" s="1749">
        <f>'04'!G43</f>
        <v>33972</v>
      </c>
      <c r="F20" s="1750">
        <f t="shared" si="0"/>
        <v>95.98779385171791</v>
      </c>
      <c r="G20" s="1765">
        <f>'04'!J43</f>
        <v>34553000</v>
      </c>
      <c r="H20" s="1751">
        <f>'04'!K43</f>
        <v>35392221</v>
      </c>
      <c r="I20" s="1751">
        <f>'04'!L43</f>
        <v>33971475.119999997</v>
      </c>
      <c r="J20" s="1751"/>
      <c r="K20" s="1751"/>
    </row>
    <row r="21" spans="1:12" s="1764" customFormat="1" x14ac:dyDescent="0.2">
      <c r="A21" s="1747" t="s">
        <v>574</v>
      </c>
      <c r="B21" s="1767"/>
      <c r="C21" s="1749">
        <f>'04'!E44</f>
        <v>583</v>
      </c>
      <c r="D21" s="1749">
        <f>'04'!F44</f>
        <v>4155</v>
      </c>
      <c r="E21" s="1749">
        <f>'04'!G44</f>
        <v>3684</v>
      </c>
      <c r="F21" s="1750">
        <f t="shared" si="0"/>
        <v>88.664259927797843</v>
      </c>
      <c r="G21" s="1765">
        <f>'04'!J44</f>
        <v>583000</v>
      </c>
      <c r="H21" s="1751">
        <f>'04'!K44</f>
        <v>4154570</v>
      </c>
      <c r="I21" s="1751">
        <f>'04'!L44</f>
        <v>3683144.52</v>
      </c>
      <c r="J21" s="1751"/>
      <c r="K21" s="1751"/>
    </row>
    <row r="22" spans="1:12" x14ac:dyDescent="0.2">
      <c r="A22" s="1753" t="s">
        <v>580</v>
      </c>
      <c r="B22" s="1748"/>
      <c r="C22" s="1749">
        <f>'04'!E45</f>
        <v>0</v>
      </c>
      <c r="D22" s="1749">
        <f>'04'!F45</f>
        <v>0</v>
      </c>
      <c r="E22" s="1749">
        <f>'04'!G45</f>
        <v>0</v>
      </c>
      <c r="F22" s="1750">
        <v>0</v>
      </c>
      <c r="G22" s="1765">
        <f>'04'!J45</f>
        <v>0</v>
      </c>
      <c r="H22" s="1751">
        <f>'04'!K45</f>
        <v>0</v>
      </c>
      <c r="I22" s="1751">
        <f>'04'!L45</f>
        <v>0</v>
      </c>
      <c r="J22" s="1751"/>
      <c r="K22" s="1751"/>
    </row>
    <row r="23" spans="1:12" x14ac:dyDescent="0.2">
      <c r="A23" s="1769" t="s">
        <v>581</v>
      </c>
      <c r="B23" s="1755"/>
      <c r="C23" s="1756">
        <f>'04'!E46</f>
        <v>0</v>
      </c>
      <c r="D23" s="1756">
        <f>'04'!F46</f>
        <v>130</v>
      </c>
      <c r="E23" s="1756">
        <f>'04'!G46</f>
        <v>130</v>
      </c>
      <c r="F23" s="1757">
        <f t="shared" si="0"/>
        <v>100</v>
      </c>
      <c r="G23" s="1758">
        <f>'04'!J46</f>
        <v>0</v>
      </c>
      <c r="H23" s="1759">
        <f>'04'!K46</f>
        <v>130120</v>
      </c>
      <c r="I23" s="1759">
        <f>'04'!L46</f>
        <v>130120</v>
      </c>
      <c r="J23" s="1751"/>
      <c r="K23" s="1751"/>
    </row>
    <row r="24" spans="1:12" s="1764" customFormat="1" ht="15" x14ac:dyDescent="0.25">
      <c r="A24" s="1770" t="s">
        <v>205</v>
      </c>
      <c r="B24" s="1761">
        <v>5</v>
      </c>
      <c r="C24" s="1762">
        <f>SUM(C25:C28)</f>
        <v>74</v>
      </c>
      <c r="D24" s="1762">
        <f>SUM(D25:D28)</f>
        <v>89</v>
      </c>
      <c r="E24" s="1762">
        <f>SUM(E25:E28)</f>
        <v>9</v>
      </c>
      <c r="F24" s="1768">
        <f t="shared" si="0"/>
        <v>10.112359550561797</v>
      </c>
      <c r="G24" s="1746">
        <f>SUM(G25:G28)</f>
        <v>74000</v>
      </c>
      <c r="H24" s="1746">
        <f>SUM(H25:H28)</f>
        <v>89000</v>
      </c>
      <c r="I24" s="1746">
        <f>SUM(I25:I28)</f>
        <v>9000</v>
      </c>
      <c r="J24" s="1746"/>
      <c r="K24" s="1746"/>
    </row>
    <row r="25" spans="1:12" s="1764" customFormat="1" x14ac:dyDescent="0.2">
      <c r="A25" s="1771" t="s">
        <v>573</v>
      </c>
      <c r="B25" s="1767"/>
      <c r="C25" s="1749">
        <f>'05'!E17</f>
        <v>74</v>
      </c>
      <c r="D25" s="1749">
        <f>'05'!F17</f>
        <v>89</v>
      </c>
      <c r="E25" s="1749">
        <f>'05'!G17</f>
        <v>9</v>
      </c>
      <c r="F25" s="1750">
        <f t="shared" si="0"/>
        <v>10.112359550561797</v>
      </c>
      <c r="G25" s="1751">
        <f>'05'!J17</f>
        <v>74000</v>
      </c>
      <c r="H25" s="1751">
        <f>'05'!K17</f>
        <v>89000</v>
      </c>
      <c r="I25" s="1751">
        <f>'05'!L17</f>
        <v>9000</v>
      </c>
      <c r="J25" s="1751"/>
      <c r="K25" s="1751"/>
    </row>
    <row r="26" spans="1:12" s="1764" customFormat="1" x14ac:dyDescent="0.2">
      <c r="A26" s="1771" t="s">
        <v>574</v>
      </c>
      <c r="B26" s="1767"/>
      <c r="C26" s="1749">
        <f>'05'!E18</f>
        <v>0</v>
      </c>
      <c r="D26" s="1749">
        <f>'05'!F18</f>
        <v>0</v>
      </c>
      <c r="E26" s="1749">
        <f>'05'!G18</f>
        <v>0</v>
      </c>
      <c r="F26" s="1750">
        <v>0</v>
      </c>
      <c r="G26" s="1751">
        <f>'05'!J18</f>
        <v>0</v>
      </c>
      <c r="H26" s="1751">
        <f>'05'!K18</f>
        <v>0</v>
      </c>
      <c r="I26" s="1751">
        <f>'05'!L18</f>
        <v>0</v>
      </c>
      <c r="J26" s="1751"/>
      <c r="K26" s="1751"/>
    </row>
    <row r="27" spans="1:12" s="1764" customFormat="1" x14ac:dyDescent="0.2">
      <c r="A27" s="1753" t="s">
        <v>580</v>
      </c>
      <c r="B27" s="1767"/>
      <c r="C27" s="1749">
        <f>'05'!E19</f>
        <v>0</v>
      </c>
      <c r="D27" s="1749">
        <f>'05'!F19</f>
        <v>0</v>
      </c>
      <c r="E27" s="1749">
        <f>'05'!G19</f>
        <v>0</v>
      </c>
      <c r="F27" s="1750">
        <v>0</v>
      </c>
      <c r="G27" s="1751">
        <f>'05'!J19</f>
        <v>0</v>
      </c>
      <c r="H27" s="1751">
        <f>'05'!K19</f>
        <v>0</v>
      </c>
      <c r="I27" s="1751">
        <f>'05'!L19</f>
        <v>0</v>
      </c>
      <c r="J27" s="1751"/>
      <c r="K27" s="1751"/>
    </row>
    <row r="28" spans="1:12" s="1764" customFormat="1" x14ac:dyDescent="0.2">
      <c r="A28" s="1766" t="s">
        <v>581</v>
      </c>
      <c r="B28" s="1772"/>
      <c r="C28" s="1756">
        <f>'05'!E20</f>
        <v>0</v>
      </c>
      <c r="D28" s="1756">
        <f>'05'!F20</f>
        <v>0</v>
      </c>
      <c r="E28" s="1756">
        <f>'05'!G20</f>
        <v>0</v>
      </c>
      <c r="F28" s="1757">
        <v>0</v>
      </c>
      <c r="G28" s="1751">
        <f>'05'!J20</f>
        <v>0</v>
      </c>
      <c r="H28" s="1751">
        <f>'05'!K20</f>
        <v>0</v>
      </c>
      <c r="I28" s="1751">
        <f>'05'!L20</f>
        <v>0</v>
      </c>
      <c r="J28" s="1751"/>
      <c r="K28" s="1751"/>
    </row>
    <row r="29" spans="1:12" s="1764" customFormat="1" ht="15" x14ac:dyDescent="0.25">
      <c r="A29" s="1760" t="s">
        <v>1601</v>
      </c>
      <c r="B29" s="1767">
        <v>6</v>
      </c>
      <c r="C29" s="1773">
        <f>SUM(C30:C33)</f>
        <v>27753</v>
      </c>
      <c r="D29" s="1773">
        <f>SUM(D30:D33)</f>
        <v>27436</v>
      </c>
      <c r="E29" s="1773">
        <f>SUM(E30:E33)</f>
        <v>27177</v>
      </c>
      <c r="F29" s="1768">
        <f t="shared" si="0"/>
        <v>99.055984837439865</v>
      </c>
      <c r="G29" s="2110">
        <f>SUM(G30:G33)</f>
        <v>27753000</v>
      </c>
      <c r="H29" s="2111">
        <f>SUM(H30:H33)</f>
        <v>27435810</v>
      </c>
      <c r="I29" s="2111">
        <f>SUM(I30:I33)</f>
        <v>27176537.870000001</v>
      </c>
      <c r="J29" s="1746"/>
      <c r="K29" s="1746"/>
    </row>
    <row r="30" spans="1:12" s="1764" customFormat="1" x14ac:dyDescent="0.2">
      <c r="A30" s="1747" t="s">
        <v>573</v>
      </c>
      <c r="B30" s="1767"/>
      <c r="C30" s="1749">
        <f>'06'!E35</f>
        <v>27753</v>
      </c>
      <c r="D30" s="1749">
        <f>'06'!F35</f>
        <v>24848</v>
      </c>
      <c r="E30" s="1749">
        <f>'06'!G35</f>
        <v>24589</v>
      </c>
      <c r="F30" s="1750">
        <f t="shared" si="0"/>
        <v>98.957662588538312</v>
      </c>
      <c r="G30" s="1765">
        <f>'06'!J35</f>
        <v>27753000</v>
      </c>
      <c r="H30" s="1751">
        <f>'06'!K35</f>
        <v>24848361.359999999</v>
      </c>
      <c r="I30" s="1751">
        <f>'06'!L35</f>
        <v>24589115.960000001</v>
      </c>
      <c r="J30" s="1751"/>
      <c r="K30" s="1751"/>
    </row>
    <row r="31" spans="1:12" s="1764" customFormat="1" x14ac:dyDescent="0.2">
      <c r="A31" s="1747" t="s">
        <v>574</v>
      </c>
      <c r="B31" s="1767"/>
      <c r="C31" s="1749">
        <f>'06'!E36</f>
        <v>0</v>
      </c>
      <c r="D31" s="1749">
        <f>'06'!F36</f>
        <v>2588</v>
      </c>
      <c r="E31" s="1749">
        <f>'06'!G36</f>
        <v>2588</v>
      </c>
      <c r="F31" s="1750">
        <f t="shared" si="0"/>
        <v>100</v>
      </c>
      <c r="G31" s="1765">
        <f>'06'!J36</f>
        <v>0</v>
      </c>
      <c r="H31" s="1751">
        <f>'06'!K36</f>
        <v>2587448.64</v>
      </c>
      <c r="I31" s="1751">
        <f>'06'!L36</f>
        <v>2587421.91</v>
      </c>
      <c r="J31" s="1751"/>
      <c r="K31" s="1751"/>
    </row>
    <row r="32" spans="1:12" x14ac:dyDescent="0.2">
      <c r="A32" s="1753" t="s">
        <v>580</v>
      </c>
      <c r="B32" s="1748"/>
      <c r="C32" s="1749">
        <f>'06'!E37</f>
        <v>0</v>
      </c>
      <c r="D32" s="1749">
        <f>'06'!F37</f>
        <v>0</v>
      </c>
      <c r="E32" s="1749">
        <f>'06'!G37</f>
        <v>0</v>
      </c>
      <c r="F32" s="1750">
        <v>0</v>
      </c>
      <c r="G32" s="1765">
        <f>'06'!J37</f>
        <v>0</v>
      </c>
      <c r="H32" s="1751">
        <f>'06'!K37</f>
        <v>0</v>
      </c>
      <c r="I32" s="1751">
        <f>'06'!L37</f>
        <v>0</v>
      </c>
      <c r="J32" s="1751"/>
      <c r="K32" s="1751"/>
    </row>
    <row r="33" spans="1:20" x14ac:dyDescent="0.2">
      <c r="A33" s="1766" t="s">
        <v>581</v>
      </c>
      <c r="B33" s="1755"/>
      <c r="C33" s="1756">
        <f>'06'!E38</f>
        <v>0</v>
      </c>
      <c r="D33" s="1756">
        <f>'06'!F38</f>
        <v>0</v>
      </c>
      <c r="E33" s="1756">
        <f>'06'!G38</f>
        <v>0</v>
      </c>
      <c r="F33" s="1757">
        <v>0</v>
      </c>
      <c r="G33" s="1758">
        <f>'06'!J38</f>
        <v>0</v>
      </c>
      <c r="H33" s="1759">
        <f>'06'!K38</f>
        <v>0</v>
      </c>
      <c r="I33" s="1759">
        <f>'06'!L38</f>
        <v>0</v>
      </c>
      <c r="J33" s="1751"/>
      <c r="K33" s="1751"/>
    </row>
    <row r="34" spans="1:20" s="1764" customFormat="1" ht="15" x14ac:dyDescent="0.25">
      <c r="A34" s="1760" t="s">
        <v>206</v>
      </c>
      <c r="B34" s="1761">
        <v>7</v>
      </c>
      <c r="C34" s="1762">
        <f>SUM(C35:C39)</f>
        <v>227796</v>
      </c>
      <c r="D34" s="1762">
        <f>SUM(D35:D39)</f>
        <v>345129</v>
      </c>
      <c r="E34" s="1762">
        <f>SUM(E35:E39)</f>
        <v>46380</v>
      </c>
      <c r="F34" s="1768">
        <f>E34/D34*100</f>
        <v>13.438453447841242</v>
      </c>
      <c r="G34" s="1746">
        <f>SUM(G35:G39)</f>
        <v>227796000</v>
      </c>
      <c r="H34" s="1746">
        <f>SUM(H35:H39)</f>
        <v>345129449.70999998</v>
      </c>
      <c r="I34" s="1746">
        <f>SUM(I35:I39)</f>
        <v>46379729.240000002</v>
      </c>
      <c r="J34" s="1746"/>
      <c r="K34" s="1746"/>
    </row>
    <row r="35" spans="1:20" s="1764" customFormat="1" x14ac:dyDescent="0.2">
      <c r="A35" s="1747" t="s">
        <v>573</v>
      </c>
      <c r="B35" s="1767"/>
      <c r="C35" s="1749">
        <f>'07'!E57</f>
        <v>142024</v>
      </c>
      <c r="D35" s="1749">
        <f>'07'!F57</f>
        <v>343720</v>
      </c>
      <c r="E35" s="1749">
        <f>'07'!G57</f>
        <v>46380</v>
      </c>
      <c r="F35" s="1750">
        <f t="shared" si="0"/>
        <v>13.493541254509484</v>
      </c>
      <c r="G35" s="1751">
        <f>'07'!J57</f>
        <v>142024000</v>
      </c>
      <c r="H35" s="1751">
        <f>'07'!K57</f>
        <v>343720049.70999998</v>
      </c>
      <c r="I35" s="1751">
        <f>'07'!L57</f>
        <v>46379729.240000002</v>
      </c>
      <c r="J35" s="1751"/>
      <c r="K35" s="1751"/>
    </row>
    <row r="36" spans="1:20" s="1764" customFormat="1" x14ac:dyDescent="0.2">
      <c r="A36" s="1747" t="s">
        <v>574</v>
      </c>
      <c r="B36" s="1767"/>
      <c r="C36" s="1749">
        <f>'07'!E58</f>
        <v>85772</v>
      </c>
      <c r="D36" s="1749">
        <f>'07'!F58</f>
        <v>0</v>
      </c>
      <c r="E36" s="1749">
        <f>'07'!G58</f>
        <v>0</v>
      </c>
      <c r="F36" s="1750">
        <v>0</v>
      </c>
      <c r="G36" s="1751">
        <f>'07'!J58</f>
        <v>85772000</v>
      </c>
      <c r="H36" s="1751">
        <f>'07'!K58</f>
        <v>0</v>
      </c>
      <c r="I36" s="1751">
        <f>'07'!L58</f>
        <v>0</v>
      </c>
      <c r="J36" s="1751"/>
      <c r="K36" s="1751"/>
    </row>
    <row r="37" spans="1:20" x14ac:dyDescent="0.2">
      <c r="A37" s="1753" t="s">
        <v>580</v>
      </c>
      <c r="B37" s="1748"/>
      <c r="C37" s="1749">
        <f>'07'!E59</f>
        <v>0</v>
      </c>
      <c r="D37" s="1749">
        <f>'07'!F59</f>
        <v>1409</v>
      </c>
      <c r="E37" s="1749">
        <f>'07'!G59</f>
        <v>0</v>
      </c>
      <c r="F37" s="1750">
        <f t="shared" si="0"/>
        <v>0</v>
      </c>
      <c r="G37" s="1751">
        <f>'07'!J59</f>
        <v>0</v>
      </c>
      <c r="H37" s="1751">
        <f>'07'!K59</f>
        <v>1409400</v>
      </c>
      <c r="I37" s="1751">
        <f>'07'!L59</f>
        <v>0</v>
      </c>
      <c r="J37" s="1751"/>
      <c r="K37" s="1751"/>
    </row>
    <row r="38" spans="1:20" x14ac:dyDescent="0.2">
      <c r="A38" s="1753" t="s">
        <v>581</v>
      </c>
      <c r="B38" s="1748"/>
      <c r="C38" s="1749">
        <f>'07'!E60</f>
        <v>0</v>
      </c>
      <c r="D38" s="1749">
        <f>'07'!F60</f>
        <v>0</v>
      </c>
      <c r="E38" s="1749">
        <f>'07'!G60</f>
        <v>0</v>
      </c>
      <c r="F38" s="1750">
        <v>0</v>
      </c>
      <c r="G38" s="1751">
        <f>'07'!J60</f>
        <v>0</v>
      </c>
      <c r="H38" s="1751">
        <f>'07'!K60</f>
        <v>0</v>
      </c>
      <c r="I38" s="1751">
        <f>'07'!L60</f>
        <v>0</v>
      </c>
      <c r="J38" s="1751"/>
      <c r="K38" s="1751"/>
      <c r="R38" s="1733"/>
    </row>
    <row r="39" spans="1:20" x14ac:dyDescent="0.2">
      <c r="A39" s="1754" t="s">
        <v>1060</v>
      </c>
      <c r="B39" s="1755"/>
      <c r="C39" s="1756">
        <v>0</v>
      </c>
      <c r="D39" s="1756">
        <v>0</v>
      </c>
      <c r="E39" s="1756">
        <v>0</v>
      </c>
      <c r="F39" s="1757">
        <v>0</v>
      </c>
      <c r="G39" s="1758">
        <f>'07'!J61</f>
        <v>0</v>
      </c>
      <c r="H39" s="1759">
        <f>'07'!K61</f>
        <v>0</v>
      </c>
      <c r="I39" s="1759">
        <f>'07'!L61</f>
        <v>0</v>
      </c>
      <c r="J39" s="1751"/>
      <c r="K39" s="1751"/>
      <c r="R39" s="1733"/>
      <c r="S39" s="1733"/>
      <c r="T39" s="1733"/>
    </row>
    <row r="40" spans="1:20" s="1764" customFormat="1" ht="30" x14ac:dyDescent="0.25">
      <c r="A40" s="2936" t="s">
        <v>2174</v>
      </c>
      <c r="B40" s="1761">
        <v>8</v>
      </c>
      <c r="C40" s="1762">
        <f>SUM(C41:C44)</f>
        <v>35039</v>
      </c>
      <c r="D40" s="1762">
        <f>SUM(D41:D44)</f>
        <v>34540</v>
      </c>
      <c r="E40" s="1762">
        <f>SUM(E41:E44)</f>
        <v>30020</v>
      </c>
      <c r="F40" s="1768">
        <f>E40/D40*100</f>
        <v>86.913723219455704</v>
      </c>
      <c r="G40" s="1746">
        <f>SUM(G41:G44)</f>
        <v>35039000</v>
      </c>
      <c r="H40" s="1746">
        <f>SUM(H41:H44)</f>
        <v>34539500</v>
      </c>
      <c r="I40" s="1746">
        <f>SUM(I41:I44)</f>
        <v>30020277.359999999</v>
      </c>
      <c r="J40" s="1746"/>
      <c r="K40" s="1746"/>
      <c r="Q40" s="1728" t="s">
        <v>579</v>
      </c>
      <c r="R40" s="1733">
        <f t="shared" ref="R40:T43" si="1">C46+C41+C35+C30+C25+C20+C14+C8</f>
        <v>599017</v>
      </c>
      <c r="S40" s="1733">
        <f t="shared" si="1"/>
        <v>795653</v>
      </c>
      <c r="T40" s="1733">
        <f t="shared" si="1"/>
        <v>475970</v>
      </c>
    </row>
    <row r="41" spans="1:20" s="1764" customFormat="1" x14ac:dyDescent="0.2">
      <c r="A41" s="1747" t="s">
        <v>573</v>
      </c>
      <c r="B41" s="1767"/>
      <c r="C41" s="1749">
        <f>'08'!E94</f>
        <v>32412</v>
      </c>
      <c r="D41" s="1749">
        <f>'08'!F94</f>
        <v>23295</v>
      </c>
      <c r="E41" s="1749">
        <f>'08'!G94</f>
        <v>20220</v>
      </c>
      <c r="F41" s="1750">
        <f>E41/D41*100</f>
        <v>86.799742433998716</v>
      </c>
      <c r="G41" s="1751">
        <f>'08'!J94</f>
        <v>32412000</v>
      </c>
      <c r="H41" s="1751">
        <f>'08'!K94</f>
        <v>23294500</v>
      </c>
      <c r="I41" s="1751">
        <f>'08'!L94</f>
        <v>20220106.059999999</v>
      </c>
      <c r="J41" s="1751"/>
      <c r="K41" s="1751"/>
      <c r="Q41" s="1728" t="s">
        <v>613</v>
      </c>
      <c r="R41" s="1733">
        <f t="shared" si="1"/>
        <v>90302</v>
      </c>
      <c r="S41" s="1733">
        <f t="shared" si="1"/>
        <v>28737</v>
      </c>
      <c r="T41" s="1733">
        <f t="shared" si="1"/>
        <v>26415</v>
      </c>
    </row>
    <row r="42" spans="1:20" s="1764" customFormat="1" x14ac:dyDescent="0.2">
      <c r="A42" s="1747" t="s">
        <v>574</v>
      </c>
      <c r="B42" s="1767"/>
      <c r="C42" s="1749">
        <f>'08'!E95</f>
        <v>2627</v>
      </c>
      <c r="D42" s="1749">
        <f>'08'!F95</f>
        <v>11245</v>
      </c>
      <c r="E42" s="1749">
        <f>'08'!G95</f>
        <v>9800</v>
      </c>
      <c r="F42" s="1750">
        <f>E42/D42*100</f>
        <v>87.149844375277894</v>
      </c>
      <c r="G42" s="1751">
        <f>'08'!J95</f>
        <v>2627000</v>
      </c>
      <c r="H42" s="1751">
        <f>'08'!K95</f>
        <v>11245000</v>
      </c>
      <c r="I42" s="1751">
        <f>'08'!L95</f>
        <v>9800171.3000000007</v>
      </c>
      <c r="J42" s="1751"/>
      <c r="K42" s="1751"/>
      <c r="Q42" s="1728" t="s">
        <v>614</v>
      </c>
      <c r="R42" s="1733">
        <f t="shared" si="1"/>
        <v>0</v>
      </c>
      <c r="S42" s="1733">
        <f t="shared" si="1"/>
        <v>9963</v>
      </c>
      <c r="T42" s="1733">
        <f t="shared" si="1"/>
        <v>8140</v>
      </c>
    </row>
    <row r="43" spans="1:20" x14ac:dyDescent="0.2">
      <c r="A43" s="1753" t="s">
        <v>580</v>
      </c>
      <c r="B43" s="1748"/>
      <c r="C43" s="1749">
        <f>'08'!E96</f>
        <v>0</v>
      </c>
      <c r="D43" s="1749">
        <f>'08'!F96</f>
        <v>0</v>
      </c>
      <c r="E43" s="1749">
        <f>'08'!G96</f>
        <v>0</v>
      </c>
      <c r="F43" s="1750">
        <v>0</v>
      </c>
      <c r="G43" s="1751">
        <f>'08'!J96</f>
        <v>0</v>
      </c>
      <c r="H43" s="1751">
        <f>'08'!K96</f>
        <v>0</v>
      </c>
      <c r="I43" s="1751">
        <f>'08'!L96</f>
        <v>0</v>
      </c>
      <c r="J43" s="1751"/>
      <c r="K43" s="1751"/>
      <c r="Q43" s="1728" t="s">
        <v>1261</v>
      </c>
      <c r="R43" s="1733">
        <f t="shared" si="1"/>
        <v>0</v>
      </c>
      <c r="S43" s="1733">
        <f t="shared" si="1"/>
        <v>1675</v>
      </c>
      <c r="T43" s="1733">
        <f t="shared" si="1"/>
        <v>1675</v>
      </c>
    </row>
    <row r="44" spans="1:20" x14ac:dyDescent="0.2">
      <c r="A44" s="1766" t="s">
        <v>581</v>
      </c>
      <c r="B44" s="1755"/>
      <c r="C44" s="1756">
        <f>'08'!E97</f>
        <v>0</v>
      </c>
      <c r="D44" s="1756">
        <f>'08'!F97</f>
        <v>0</v>
      </c>
      <c r="E44" s="1756">
        <f>'08'!G97</f>
        <v>0</v>
      </c>
      <c r="F44" s="1750">
        <v>0</v>
      </c>
      <c r="G44" s="1751">
        <f>'08'!J97</f>
        <v>0</v>
      </c>
      <c r="H44" s="1751">
        <f>'08'!K97</f>
        <v>0</v>
      </c>
      <c r="I44" s="1751">
        <f>'08'!L97</f>
        <v>0</v>
      </c>
      <c r="J44" s="1751"/>
      <c r="K44" s="1751"/>
      <c r="Q44" s="1728" t="s">
        <v>817</v>
      </c>
      <c r="R44" s="1733">
        <f>C39+C18+C12</f>
        <v>6766</v>
      </c>
      <c r="S44" s="1733">
        <f>D39+D18+D12</f>
        <v>6881</v>
      </c>
      <c r="T44" s="1733">
        <f>E39+E18+E12</f>
        <v>6424</v>
      </c>
    </row>
    <row r="45" spans="1:20" ht="18" customHeight="1" x14ac:dyDescent="0.25">
      <c r="A45" s="1944" t="s">
        <v>778</v>
      </c>
      <c r="B45" s="1761">
        <v>9</v>
      </c>
      <c r="C45" s="1762">
        <f>SUM(C46:C49)</f>
        <v>21407</v>
      </c>
      <c r="D45" s="1762">
        <f>SUM(D46:D49)</f>
        <v>27041</v>
      </c>
      <c r="E45" s="1762">
        <f>SUM(E46:E49)</f>
        <v>25906</v>
      </c>
      <c r="F45" s="1763">
        <f>E45/D45*100</f>
        <v>95.802670019599873</v>
      </c>
      <c r="G45" s="2110">
        <f>SUM(G46:G49)</f>
        <v>21407000</v>
      </c>
      <c r="H45" s="2111">
        <f>SUM(H46:H49)</f>
        <v>27041349</v>
      </c>
      <c r="I45" s="2111">
        <f>SUM(I46:I49)</f>
        <v>25906391.329999998</v>
      </c>
      <c r="J45" s="1746"/>
      <c r="K45" s="1746">
        <f>G45+G40+G34+G29+G24+G19+G13+G7</f>
        <v>696085000</v>
      </c>
      <c r="L45" s="1746">
        <f>H45+H40+H34+H29+H24+H19+H13+H7</f>
        <v>842908742.75</v>
      </c>
      <c r="M45" s="1746">
        <f>I45+I40+I34+I29+I24+I19+I13+I7</f>
        <v>518622040.00999999</v>
      </c>
      <c r="N45" s="1782" t="s">
        <v>816</v>
      </c>
      <c r="Q45" s="1764" t="s">
        <v>612</v>
      </c>
      <c r="R45" s="1800">
        <f>R40+R41+R42+R43+R44</f>
        <v>696085</v>
      </c>
      <c r="S45" s="1800">
        <f>S40+S41+S42+S43+S44</f>
        <v>842909</v>
      </c>
      <c r="T45" s="1800">
        <f>T40+T41+T42+T43+T44</f>
        <v>518624</v>
      </c>
    </row>
    <row r="46" spans="1:20" ht="15" customHeight="1" x14ac:dyDescent="0.2">
      <c r="A46" s="1747" t="s">
        <v>573</v>
      </c>
      <c r="B46" s="1767"/>
      <c r="C46" s="1749">
        <f>'09'!E124</f>
        <v>20907</v>
      </c>
      <c r="D46" s="1749">
        <f>'09'!F124</f>
        <v>20250</v>
      </c>
      <c r="E46" s="1749">
        <f>'09'!G124</f>
        <v>19365</v>
      </c>
      <c r="F46" s="1750">
        <f>E46/D46*100</f>
        <v>95.629629629629633</v>
      </c>
      <c r="G46" s="1765">
        <f>'09'!J124</f>
        <v>20907000</v>
      </c>
      <c r="H46" s="1751">
        <f>'09'!K124</f>
        <v>20250000</v>
      </c>
      <c r="I46" s="1751">
        <f>'09'!L124</f>
        <v>19365042.329999998</v>
      </c>
      <c r="J46" s="1751"/>
      <c r="K46" s="1751">
        <f t="shared" ref="K46:M48" si="2">SUM(G8,G14,G20,G25,G30,G35,G41,G46)</f>
        <v>599017000</v>
      </c>
      <c r="L46" s="1751">
        <f t="shared" si="2"/>
        <v>795653334.97000003</v>
      </c>
      <c r="M46" s="1751">
        <f t="shared" si="2"/>
        <v>475968770.47999996</v>
      </c>
      <c r="N46" s="1774" t="s">
        <v>579</v>
      </c>
      <c r="Q46" s="1728" t="s">
        <v>1280</v>
      </c>
      <c r="R46" s="1733">
        <f>C46+C41+C35+C30+C25+C20+C14+C8+C10+C16+C22+C27+C32+C37+C43+C48</f>
        <v>599017</v>
      </c>
      <c r="S46" s="1733">
        <f>D46+D41+D35+D30+D25+D20+D14+D8+D10+D16+D22+D27+D32+D37+D43+D48</f>
        <v>805616</v>
      </c>
      <c r="T46" s="1733">
        <f>T40+T42</f>
        <v>484110</v>
      </c>
    </row>
    <row r="47" spans="1:20" ht="15" customHeight="1" x14ac:dyDescent="0.2">
      <c r="A47" s="1747" t="s">
        <v>574</v>
      </c>
      <c r="B47" s="1767"/>
      <c r="C47" s="1749">
        <f>'09'!E125</f>
        <v>500</v>
      </c>
      <c r="D47" s="1749">
        <f>'09'!F125</f>
        <v>5065</v>
      </c>
      <c r="E47" s="1749">
        <f>'09'!G125</f>
        <v>4815</v>
      </c>
      <c r="F47" s="1750">
        <f>E47/D47*100</f>
        <v>95.064165844027642</v>
      </c>
      <c r="G47" s="1765">
        <f>'09'!J125</f>
        <v>500000</v>
      </c>
      <c r="H47" s="1751">
        <f>'09'!K125</f>
        <v>5065000</v>
      </c>
      <c r="I47" s="1751">
        <f>'09'!L125</f>
        <v>4815000</v>
      </c>
      <c r="J47" s="1751"/>
      <c r="K47" s="1751">
        <f t="shared" si="2"/>
        <v>90302000</v>
      </c>
      <c r="L47" s="1751">
        <f t="shared" si="2"/>
        <v>28735892.32</v>
      </c>
      <c r="M47" s="1751">
        <f t="shared" si="2"/>
        <v>26413513.73</v>
      </c>
      <c r="N47" s="1775" t="s">
        <v>534</v>
      </c>
      <c r="Q47" s="1728" t="s">
        <v>1281</v>
      </c>
      <c r="R47" s="1733">
        <f>R41+R43</f>
        <v>90302</v>
      </c>
      <c r="S47" s="1733">
        <f>S41+S43</f>
        <v>30412</v>
      </c>
      <c r="T47" s="1733">
        <f>T41+T43</f>
        <v>28090</v>
      </c>
    </row>
    <row r="48" spans="1:20" x14ac:dyDescent="0.2">
      <c r="A48" s="1753" t="s">
        <v>580</v>
      </c>
      <c r="B48" s="1748"/>
      <c r="C48" s="1749">
        <f>'09'!E126</f>
        <v>0</v>
      </c>
      <c r="D48" s="1749">
        <f>'09'!F126</f>
        <v>181</v>
      </c>
      <c r="E48" s="1749">
        <f>'09'!G126</f>
        <v>181</v>
      </c>
      <c r="F48" s="1750">
        <f>E48/D48*100</f>
        <v>100</v>
      </c>
      <c r="G48" s="1765">
        <f>'09'!J126</f>
        <v>0</v>
      </c>
      <c r="H48" s="1751">
        <f>'09'!K126</f>
        <v>181349</v>
      </c>
      <c r="I48" s="1751">
        <f>'09'!L126</f>
        <v>181349</v>
      </c>
      <c r="J48" s="1751"/>
      <c r="K48" s="1751">
        <f t="shared" si="2"/>
        <v>0</v>
      </c>
      <c r="L48" s="1751">
        <f t="shared" si="2"/>
        <v>9963725.4600000009</v>
      </c>
      <c r="M48" s="1751">
        <f t="shared" si="2"/>
        <v>8140435.7999999998</v>
      </c>
      <c r="N48" s="1775" t="s">
        <v>614</v>
      </c>
      <c r="Q48" s="1728" t="s">
        <v>817</v>
      </c>
      <c r="R48" s="1733">
        <f>C39+C18+C12</f>
        <v>6766</v>
      </c>
      <c r="S48" s="1733">
        <f>D39+D18+D12</f>
        <v>6881</v>
      </c>
      <c r="T48" s="1733">
        <f>E39+E18+E12</f>
        <v>6424</v>
      </c>
    </row>
    <row r="49" spans="1:20" ht="15" thickBot="1" x14ac:dyDescent="0.25">
      <c r="A49" s="1776" t="s">
        <v>581</v>
      </c>
      <c r="B49" s="1777"/>
      <c r="C49" s="1778">
        <f>'09'!E127</f>
        <v>0</v>
      </c>
      <c r="D49" s="1778">
        <f>'09'!F127</f>
        <v>1545</v>
      </c>
      <c r="E49" s="1778">
        <f>'09'!G127</f>
        <v>1545</v>
      </c>
      <c r="F49" s="1779">
        <f>E49/D49*100</f>
        <v>100</v>
      </c>
      <c r="G49" s="1758">
        <f>'09'!J127</f>
        <v>0</v>
      </c>
      <c r="H49" s="1759">
        <f>'09'!K127</f>
        <v>1545000</v>
      </c>
      <c r="I49" s="1759">
        <f>'09'!L127</f>
        <v>1545000</v>
      </c>
      <c r="J49" s="1751"/>
      <c r="K49" s="1751">
        <f t="shared" ref="K49" si="3">SUM(G11,G17,G23,G28,G33,G38,G44,G49)</f>
        <v>0</v>
      </c>
      <c r="L49" s="1751">
        <f>SUM(H11,H17,H23,H28,H33,H38,H44,H49)</f>
        <v>1675120</v>
      </c>
      <c r="M49" s="1751">
        <f>SUM(I11,I17,I23,I28,I33,I38,I44,I49)</f>
        <v>1675120</v>
      </c>
      <c r="N49" s="1775" t="s">
        <v>1261</v>
      </c>
      <c r="Q49" s="1764" t="s">
        <v>612</v>
      </c>
      <c r="R49" s="1800">
        <f>R46+R47+R48</f>
        <v>696085</v>
      </c>
      <c r="S49" s="1800">
        <f>S46+S47+S48</f>
        <v>842909</v>
      </c>
      <c r="T49" s="1800">
        <f>T46+T47+T48</f>
        <v>518624</v>
      </c>
    </row>
    <row r="50" spans="1:20" ht="15.75" thickTop="1" thickBot="1" x14ac:dyDescent="0.25">
      <c r="F50" s="1733" t="s">
        <v>148</v>
      </c>
      <c r="G50" s="1860"/>
      <c r="H50" s="1860"/>
      <c r="I50" s="1860"/>
      <c r="J50" s="1860"/>
      <c r="K50" s="1935">
        <f>G18+G12</f>
        <v>6766000</v>
      </c>
      <c r="L50" s="1935">
        <f>H18+H12</f>
        <v>6880670</v>
      </c>
      <c r="M50" s="1935">
        <f>I18+I12</f>
        <v>6424200</v>
      </c>
      <c r="N50" s="1775" t="s">
        <v>817</v>
      </c>
    </row>
    <row r="51" spans="1:20" s="1738" customFormat="1" ht="27" thickTop="1" thickBot="1" x14ac:dyDescent="0.25">
      <c r="A51" s="1734" t="s">
        <v>568</v>
      </c>
      <c r="B51" s="1735" t="s">
        <v>571</v>
      </c>
      <c r="C51" s="1736" t="s">
        <v>569</v>
      </c>
      <c r="D51" s="1736" t="s">
        <v>570</v>
      </c>
      <c r="E51" s="1736" t="s">
        <v>797</v>
      </c>
      <c r="F51" s="1737" t="s">
        <v>798</v>
      </c>
      <c r="G51" s="1863"/>
      <c r="H51" s="1863"/>
      <c r="I51" s="1863"/>
      <c r="J51" s="1863"/>
      <c r="K51" s="1863"/>
      <c r="L51" s="1936"/>
    </row>
    <row r="52" spans="1:20" s="1743" customFormat="1" ht="12.75" thickTop="1" thickBot="1" x14ac:dyDescent="0.25">
      <c r="A52" s="1783">
        <v>1</v>
      </c>
      <c r="B52" s="1784">
        <v>2</v>
      </c>
      <c r="C52" s="1785">
        <v>3</v>
      </c>
      <c r="D52" s="1785">
        <v>4</v>
      </c>
      <c r="E52" s="1785">
        <v>5</v>
      </c>
      <c r="F52" s="1786" t="s">
        <v>387</v>
      </c>
      <c r="G52" s="1864"/>
      <c r="H52" s="1864"/>
      <c r="I52" s="1864"/>
      <c r="J52" s="1864"/>
      <c r="K52" s="1864"/>
    </row>
    <row r="53" spans="1:20" ht="15.75" customHeight="1" thickTop="1" x14ac:dyDescent="0.25">
      <c r="A53" s="1787" t="s">
        <v>331</v>
      </c>
      <c r="B53" s="1788">
        <v>10</v>
      </c>
      <c r="C53" s="1773">
        <f>SUM(C54,C60,C65,C70)</f>
        <v>446925</v>
      </c>
      <c r="D53" s="1773">
        <f>SUM(D54,D60,D65,D70)</f>
        <v>5651136</v>
      </c>
      <c r="E53" s="1773">
        <f>SUM(E54,E60,E65,E70)</f>
        <v>5643124</v>
      </c>
      <c r="F53" s="1768">
        <f>E53/D53*100</f>
        <v>99.858223196185691</v>
      </c>
      <c r="G53" s="1789">
        <f>SUM(G54,G60,G65,G70)</f>
        <v>446925000</v>
      </c>
      <c r="H53" s="1789">
        <f>SUM(H54,H60,H65,H70)</f>
        <v>5651136225.0500002</v>
      </c>
      <c r="I53" s="1789">
        <f>SUM(I54,I60,I65,I70)</f>
        <v>5643123744.0200005</v>
      </c>
      <c r="J53" s="1789"/>
      <c r="K53" s="1789"/>
    </row>
    <row r="54" spans="1:20" x14ac:dyDescent="0.2">
      <c r="A54" s="1790" t="s">
        <v>582</v>
      </c>
      <c r="B54" s="1788"/>
      <c r="C54" s="1791">
        <f>SUM(C55:C58)</f>
        <v>80454</v>
      </c>
      <c r="D54" s="1791">
        <f>SUM(D55:D58)</f>
        <v>101896</v>
      </c>
      <c r="E54" s="1791">
        <f>SUM(E55:E59)</f>
        <v>101239</v>
      </c>
      <c r="F54" s="1750">
        <f>E54/D54*100</f>
        <v>99.355224935228065</v>
      </c>
      <c r="G54" s="1746">
        <f>SUM(G55:G58)</f>
        <v>80454000</v>
      </c>
      <c r="H54" s="1746">
        <f>SUM(H55:H58)</f>
        <v>101895873.18000001</v>
      </c>
      <c r="I54" s="1746">
        <f>SUM(I55:I59)</f>
        <v>101237759.18000001</v>
      </c>
      <c r="J54" s="1746"/>
      <c r="K54" s="1746"/>
    </row>
    <row r="55" spans="1:20" x14ac:dyDescent="0.2">
      <c r="A55" s="1747" t="s">
        <v>573</v>
      </c>
      <c r="B55" s="1792"/>
      <c r="C55" s="1749">
        <f>'10'!E298</f>
        <v>70154</v>
      </c>
      <c r="D55" s="1749">
        <f>'10'!F298</f>
        <v>95116</v>
      </c>
      <c r="E55" s="1749">
        <f>'10'!G298</f>
        <v>94459</v>
      </c>
      <c r="F55" s="1750">
        <f>E55/D55*100</f>
        <v>99.309264477059585</v>
      </c>
      <c r="G55" s="1793">
        <f>'10'!Q298</f>
        <v>70154000</v>
      </c>
      <c r="H55" s="1793">
        <f>'10'!R298</f>
        <v>95115873.180000007</v>
      </c>
      <c r="I55" s="1793">
        <f>'10'!S298</f>
        <v>94457759.180000007</v>
      </c>
      <c r="J55" s="1793"/>
      <c r="K55" s="1793"/>
    </row>
    <row r="56" spans="1:20" x14ac:dyDescent="0.2">
      <c r="A56" s="1747" t="s">
        <v>574</v>
      </c>
      <c r="B56" s="1794"/>
      <c r="C56" s="1749">
        <f>'10'!E299</f>
        <v>10300</v>
      </c>
      <c r="D56" s="1749">
        <f>'10'!F299</f>
        <v>6600</v>
      </c>
      <c r="E56" s="1749">
        <f>'10'!G299</f>
        <v>6600</v>
      </c>
      <c r="F56" s="1750">
        <f>E56/D56*100</f>
        <v>100</v>
      </c>
      <c r="G56" s="1793">
        <f>'10'!Q299</f>
        <v>10300000</v>
      </c>
      <c r="H56" s="1793">
        <f>'10'!R299</f>
        <v>6600000</v>
      </c>
      <c r="I56" s="1793">
        <f>'10'!S299</f>
        <v>6600000</v>
      </c>
      <c r="J56" s="1793"/>
      <c r="K56" s="1793"/>
    </row>
    <row r="57" spans="1:20" x14ac:dyDescent="0.2">
      <c r="A57" s="1753" t="s">
        <v>580</v>
      </c>
      <c r="B57" s="1792"/>
      <c r="C57" s="1749">
        <f>'10'!E300</f>
        <v>0</v>
      </c>
      <c r="D57" s="1749">
        <f>'10'!F300</f>
        <v>180</v>
      </c>
      <c r="E57" s="1749">
        <f>'10'!G300</f>
        <v>180</v>
      </c>
      <c r="F57" s="1750">
        <v>0</v>
      </c>
      <c r="G57" s="1793">
        <f>'10'!Q300</f>
        <v>0</v>
      </c>
      <c r="H57" s="1793">
        <f>'10'!R300</f>
        <v>180000</v>
      </c>
      <c r="I57" s="1793">
        <f>'10'!S300</f>
        <v>180000</v>
      </c>
      <c r="J57" s="1793"/>
      <c r="K57" s="1793"/>
    </row>
    <row r="58" spans="1:20" x14ac:dyDescent="0.2">
      <c r="A58" s="1795" t="s">
        <v>581</v>
      </c>
      <c r="B58" s="1794"/>
      <c r="C58" s="1749">
        <f>'10'!E301</f>
        <v>0</v>
      </c>
      <c r="D58" s="1749">
        <f>'10'!F301</f>
        <v>0</v>
      </c>
      <c r="E58" s="1749">
        <f>'10'!G301</f>
        <v>0</v>
      </c>
      <c r="F58" s="1750">
        <v>0</v>
      </c>
      <c r="G58" s="1793">
        <f>'10'!Q301</f>
        <v>0</v>
      </c>
      <c r="H58" s="1793">
        <f>'10'!R301</f>
        <v>0</v>
      </c>
      <c r="I58" s="1793">
        <f>'10'!S301</f>
        <v>0</v>
      </c>
      <c r="J58" s="1793"/>
      <c r="K58" s="1793"/>
    </row>
    <row r="59" spans="1:20" x14ac:dyDescent="0.2">
      <c r="A59" s="1747" t="s">
        <v>1060</v>
      </c>
      <c r="B59" s="1794"/>
      <c r="C59" s="1749">
        <v>0</v>
      </c>
      <c r="D59" s="1749">
        <v>0</v>
      </c>
      <c r="E59" s="1749">
        <f>'10'!G302</f>
        <v>0</v>
      </c>
      <c r="F59" s="1750">
        <v>0</v>
      </c>
      <c r="G59" s="1793">
        <f>'10'!Q302</f>
        <v>0</v>
      </c>
      <c r="H59" s="1793">
        <f>'10'!R302</f>
        <v>0</v>
      </c>
      <c r="I59" s="1793">
        <f>'10'!S302</f>
        <v>0</v>
      </c>
      <c r="J59" s="1793"/>
      <c r="K59" s="1793"/>
    </row>
    <row r="60" spans="1:20" x14ac:dyDescent="0.2">
      <c r="A60" s="1796" t="s">
        <v>583</v>
      </c>
      <c r="B60" s="1794"/>
      <c r="C60" s="1791">
        <f>SUM(C61:C64)</f>
        <v>365121</v>
      </c>
      <c r="D60" s="1791">
        <f>SUM(D61:D64)</f>
        <v>2082134</v>
      </c>
      <c r="E60" s="1791">
        <f>SUM(E61:E64)</f>
        <v>2075240</v>
      </c>
      <c r="F60" s="1750">
        <f t="shared" ref="F60:F66" si="4">E60/D60*100</f>
        <v>99.668897390849963</v>
      </c>
      <c r="G60" s="1746">
        <f>SUM(G61:G64)</f>
        <v>365121000</v>
      </c>
      <c r="H60" s="1746">
        <f>SUM(H61:H64)</f>
        <v>2082133959.8700001</v>
      </c>
      <c r="I60" s="1746">
        <f>SUM(I61:I64)</f>
        <v>2075240459.8700001</v>
      </c>
      <c r="J60" s="1746"/>
      <c r="K60" s="1746"/>
    </row>
    <row r="61" spans="1:20" x14ac:dyDescent="0.2">
      <c r="A61" s="1747" t="s">
        <v>1982</v>
      </c>
      <c r="B61" s="1794"/>
      <c r="C61" s="1749">
        <f>'10'!E305</f>
        <v>365121</v>
      </c>
      <c r="D61" s="1749">
        <f>'10'!F305</f>
        <v>68366</v>
      </c>
      <c r="E61" s="1749">
        <f>'10'!G305</f>
        <v>61472</v>
      </c>
      <c r="F61" s="1750">
        <f t="shared" si="4"/>
        <v>89.916040136910155</v>
      </c>
      <c r="G61" s="1793">
        <f>'10'!Q305</f>
        <v>365121000</v>
      </c>
      <c r="H61" s="1793">
        <f>'10'!R305</f>
        <v>68365990</v>
      </c>
      <c r="I61" s="1793">
        <f>'10'!S305</f>
        <v>61472490</v>
      </c>
      <c r="J61" s="1793"/>
      <c r="K61" s="1793"/>
    </row>
    <row r="62" spans="1:20" x14ac:dyDescent="0.2">
      <c r="A62" s="1747" t="s">
        <v>2165</v>
      </c>
      <c r="B62" s="1794"/>
      <c r="C62" s="1749">
        <f>'10'!E306</f>
        <v>0</v>
      </c>
      <c r="D62" s="1749">
        <f>'10'!F306</f>
        <v>0</v>
      </c>
      <c r="E62" s="1749">
        <f>'10'!G306</f>
        <v>0</v>
      </c>
      <c r="F62" s="1750">
        <v>0</v>
      </c>
      <c r="G62" s="1793">
        <f>'10'!Q306</f>
        <v>0</v>
      </c>
      <c r="H62" s="1793">
        <f>'10'!R306</f>
        <v>0</v>
      </c>
      <c r="I62" s="1793">
        <f>'10'!S306</f>
        <v>0</v>
      </c>
      <c r="J62" s="1793"/>
      <c r="K62" s="1793"/>
    </row>
    <row r="63" spans="1:20" x14ac:dyDescent="0.2">
      <c r="A63" s="1795" t="s">
        <v>1983</v>
      </c>
      <c r="B63" s="1794"/>
      <c r="C63" s="1749">
        <f>'10'!E307</f>
        <v>0</v>
      </c>
      <c r="D63" s="1749">
        <f>'10'!F307</f>
        <v>2013768</v>
      </c>
      <c r="E63" s="1749">
        <f>'10'!G307</f>
        <v>2013768</v>
      </c>
      <c r="F63" s="1750">
        <f t="shared" si="4"/>
        <v>100</v>
      </c>
      <c r="G63" s="1793">
        <f>'10'!Q307</f>
        <v>0</v>
      </c>
      <c r="H63" s="1793">
        <f>'10'!R307</f>
        <v>2013767969.8700001</v>
      </c>
      <c r="I63" s="1793">
        <f>'10'!S307</f>
        <v>2013767969.8700001</v>
      </c>
      <c r="J63" s="1793"/>
      <c r="K63" s="1793"/>
    </row>
    <row r="64" spans="1:20" x14ac:dyDescent="0.2">
      <c r="A64" s="1795" t="s">
        <v>1984</v>
      </c>
      <c r="B64" s="1794"/>
      <c r="C64" s="1749">
        <f>'10'!E308</f>
        <v>0</v>
      </c>
      <c r="D64" s="1749">
        <f>'10'!F308</f>
        <v>0</v>
      </c>
      <c r="E64" s="1749">
        <f>'10'!G308</f>
        <v>0</v>
      </c>
      <c r="F64" s="1750">
        <v>0</v>
      </c>
      <c r="G64" s="1793">
        <f>'10'!Q308</f>
        <v>0</v>
      </c>
      <c r="H64" s="1793">
        <f>'10'!R308</f>
        <v>0</v>
      </c>
      <c r="I64" s="1793">
        <f>'10'!S308</f>
        <v>0</v>
      </c>
      <c r="J64" s="1793"/>
      <c r="K64" s="1793"/>
    </row>
    <row r="65" spans="1:11" x14ac:dyDescent="0.2">
      <c r="A65" s="1796" t="s">
        <v>584</v>
      </c>
      <c r="B65" s="1794"/>
      <c r="C65" s="1791">
        <f>SUM(C66:C69)</f>
        <v>1350</v>
      </c>
      <c r="D65" s="1791">
        <f>SUM(D66:D69)</f>
        <v>240739</v>
      </c>
      <c r="E65" s="1791">
        <f>SUM(E66:E69)</f>
        <v>240638</v>
      </c>
      <c r="F65" s="1750">
        <f t="shared" si="4"/>
        <v>99.958045850485377</v>
      </c>
      <c r="G65" s="1746">
        <f>SUM(G66:G69)</f>
        <v>1350000</v>
      </c>
      <c r="H65" s="1746">
        <f>SUM(H66:H69)</f>
        <v>240739579</v>
      </c>
      <c r="I65" s="1746">
        <f>SUM(I66:I69)</f>
        <v>240638154</v>
      </c>
      <c r="J65" s="1746"/>
      <c r="K65" s="1746"/>
    </row>
    <row r="66" spans="1:11" x14ac:dyDescent="0.2">
      <c r="A66" s="1747" t="s">
        <v>2166</v>
      </c>
      <c r="B66" s="1794"/>
      <c r="C66" s="1749">
        <f>'10'!E311</f>
        <v>1350</v>
      </c>
      <c r="D66" s="1749">
        <f>'10'!F311</f>
        <v>727</v>
      </c>
      <c r="E66" s="1749">
        <f>'10'!G311</f>
        <v>706</v>
      </c>
      <c r="F66" s="1750">
        <f t="shared" si="4"/>
        <v>97.111416781292974</v>
      </c>
      <c r="G66" s="1793">
        <f>'10'!Q311</f>
        <v>1350000</v>
      </c>
      <c r="H66" s="1793">
        <f>'10'!R311</f>
        <v>727250</v>
      </c>
      <c r="I66" s="1793">
        <f>'10'!S311</f>
        <v>705542</v>
      </c>
      <c r="J66" s="1793"/>
      <c r="K66" s="1793"/>
    </row>
    <row r="67" spans="1:11" x14ac:dyDescent="0.2">
      <c r="A67" s="1747" t="s">
        <v>2167</v>
      </c>
      <c r="B67" s="1794"/>
      <c r="C67" s="1749">
        <f>'10'!E312</f>
        <v>0</v>
      </c>
      <c r="D67" s="1749">
        <f>'10'!F312</f>
        <v>0</v>
      </c>
      <c r="E67" s="1749">
        <f>'10'!G312</f>
        <v>0</v>
      </c>
      <c r="F67" s="1750">
        <v>0</v>
      </c>
      <c r="G67" s="1793">
        <f>'10'!Q312</f>
        <v>0</v>
      </c>
      <c r="H67" s="1793">
        <f>'10'!R312</f>
        <v>0</v>
      </c>
      <c r="I67" s="1793">
        <f>'10'!S312</f>
        <v>0</v>
      </c>
      <c r="J67" s="1793"/>
      <c r="K67" s="1793"/>
    </row>
    <row r="68" spans="1:11" x14ac:dyDescent="0.2">
      <c r="A68" s="1795" t="s">
        <v>580</v>
      </c>
      <c r="B68" s="1794"/>
      <c r="C68" s="1749">
        <f>'10'!E313</f>
        <v>0</v>
      </c>
      <c r="D68" s="1749">
        <f>'10'!F313</f>
        <v>240012</v>
      </c>
      <c r="E68" s="1749">
        <f>'10'!G313</f>
        <v>239932</v>
      </c>
      <c r="F68" s="1750">
        <f>E68/D68*100</f>
        <v>99.966668333250013</v>
      </c>
      <c r="G68" s="1793">
        <f>'10'!Q313</f>
        <v>0</v>
      </c>
      <c r="H68" s="1793">
        <f>'10'!R313</f>
        <v>240012329</v>
      </c>
      <c r="I68" s="1793">
        <f>'10'!S313</f>
        <v>239932612</v>
      </c>
      <c r="J68" s="1793"/>
      <c r="K68" s="1793"/>
    </row>
    <row r="69" spans="1:11" x14ac:dyDescent="0.2">
      <c r="A69" s="1795" t="s">
        <v>581</v>
      </c>
      <c r="B69" s="1794"/>
      <c r="C69" s="1749">
        <f>'10'!E314</f>
        <v>0</v>
      </c>
      <c r="D69" s="1749">
        <f>'10'!F314</f>
        <v>0</v>
      </c>
      <c r="E69" s="1749">
        <f>'10'!G314</f>
        <v>0</v>
      </c>
      <c r="F69" s="1750">
        <v>0</v>
      </c>
      <c r="G69" s="1793">
        <f>'10'!Q314</f>
        <v>0</v>
      </c>
      <c r="H69" s="1793">
        <f>'10'!R314</f>
        <v>0</v>
      </c>
      <c r="I69" s="1793">
        <f>'10'!S314</f>
        <v>0</v>
      </c>
      <c r="J69" s="1793"/>
      <c r="K69" s="1793"/>
    </row>
    <row r="70" spans="1:11" x14ac:dyDescent="0.2">
      <c r="A70" s="1797" t="s">
        <v>585</v>
      </c>
      <c r="B70" s="1792"/>
      <c r="C70" s="1791">
        <f>SUM(C71:C74)</f>
        <v>0</v>
      </c>
      <c r="D70" s="1791">
        <f>SUM(D71:D74)</f>
        <v>3226367</v>
      </c>
      <c r="E70" s="1791">
        <f>SUM(E71:E74)</f>
        <v>3226007</v>
      </c>
      <c r="F70" s="1750">
        <f>E70/D70*100</f>
        <v>99.988841938936275</v>
      </c>
      <c r="G70" s="1746">
        <f>SUM(G71:G74)</f>
        <v>0</v>
      </c>
      <c r="H70" s="1746">
        <f>SUM(H71:H74)</f>
        <v>3226366813</v>
      </c>
      <c r="I70" s="1746">
        <f>SUM(I71:I74)</f>
        <v>3226007370.9699998</v>
      </c>
      <c r="J70" s="1746"/>
      <c r="K70" s="1746"/>
    </row>
    <row r="71" spans="1:11" x14ac:dyDescent="0.2">
      <c r="A71" s="1747" t="s">
        <v>2168</v>
      </c>
      <c r="B71" s="1792"/>
      <c r="C71" s="1749">
        <f>'10'!E317</f>
        <v>0</v>
      </c>
      <c r="D71" s="1749">
        <f>'10'!F317</f>
        <v>0</v>
      </c>
      <c r="E71" s="1749">
        <f>'10'!G317</f>
        <v>0</v>
      </c>
      <c r="F71" s="1750">
        <v>0</v>
      </c>
      <c r="G71" s="1751">
        <f>'10'!Q317</f>
        <v>0</v>
      </c>
      <c r="H71" s="1751">
        <f>'10'!R317</f>
        <v>0</v>
      </c>
      <c r="I71" s="1751">
        <f>'10'!S317</f>
        <v>0</v>
      </c>
      <c r="J71" s="1751"/>
      <c r="K71" s="1751"/>
    </row>
    <row r="72" spans="1:11" x14ac:dyDescent="0.2">
      <c r="A72" s="1747" t="s">
        <v>2167</v>
      </c>
      <c r="B72" s="1792"/>
      <c r="C72" s="1749">
        <f>'10'!E318</f>
        <v>0</v>
      </c>
      <c r="D72" s="1749">
        <f>'10'!F318</f>
        <v>0</v>
      </c>
      <c r="E72" s="1749">
        <f>'10'!G318</f>
        <v>0</v>
      </c>
      <c r="F72" s="1750">
        <v>0</v>
      </c>
      <c r="G72" s="1751">
        <f>'10'!Q318</f>
        <v>0</v>
      </c>
      <c r="H72" s="1751">
        <f>'10'!R318</f>
        <v>0</v>
      </c>
      <c r="I72" s="1751">
        <f>'10'!S318</f>
        <v>0</v>
      </c>
      <c r="J72" s="1751"/>
      <c r="K72" s="1751"/>
    </row>
    <row r="73" spans="1:11" x14ac:dyDescent="0.2">
      <c r="A73" s="1753" t="s">
        <v>580</v>
      </c>
      <c r="B73" s="1792"/>
      <c r="C73" s="1749">
        <f>'10'!E319</f>
        <v>0</v>
      </c>
      <c r="D73" s="1749">
        <f>'10'!F319</f>
        <v>3226367</v>
      </c>
      <c r="E73" s="1749">
        <f>'10'!G319</f>
        <v>3226007</v>
      </c>
      <c r="F73" s="1750">
        <f>E73/D73*100</f>
        <v>99.988841938936275</v>
      </c>
      <c r="G73" s="1751">
        <f>'10'!Q319</f>
        <v>0</v>
      </c>
      <c r="H73" s="1751">
        <f>'10'!R319</f>
        <v>3226366813</v>
      </c>
      <c r="I73" s="1751">
        <f>'10'!S319</f>
        <v>3226007370.9699998</v>
      </c>
      <c r="J73" s="1751"/>
      <c r="K73" s="1751">
        <f>H63+H68+H73</f>
        <v>5480147111.8699999</v>
      </c>
    </row>
    <row r="74" spans="1:11" x14ac:dyDescent="0.2">
      <c r="A74" s="1795" t="s">
        <v>581</v>
      </c>
      <c r="B74" s="1792"/>
      <c r="C74" s="1749">
        <f>'10'!E320</f>
        <v>0</v>
      </c>
      <c r="D74" s="1749">
        <f>'10'!F320</f>
        <v>0</v>
      </c>
      <c r="E74" s="1749">
        <f>'10'!G320</f>
        <v>0</v>
      </c>
      <c r="F74" s="1750">
        <v>0</v>
      </c>
      <c r="G74" s="1751">
        <f>'10'!Q320</f>
        <v>0</v>
      </c>
      <c r="H74" s="1751">
        <f>'10'!R320</f>
        <v>0</v>
      </c>
      <c r="I74" s="1751">
        <f>'10'!S320</f>
        <v>0</v>
      </c>
      <c r="J74" s="1751"/>
      <c r="K74" s="1751"/>
    </row>
    <row r="75" spans="1:11" ht="15" x14ac:dyDescent="0.25">
      <c r="A75" s="1760" t="s">
        <v>332</v>
      </c>
      <c r="B75" s="1798">
        <v>11</v>
      </c>
      <c r="C75" s="1762">
        <f>C76+C82</f>
        <v>218067</v>
      </c>
      <c r="D75" s="1762">
        <f>D76+D82</f>
        <v>903613</v>
      </c>
      <c r="E75" s="1762">
        <f>E76+E82</f>
        <v>903194</v>
      </c>
      <c r="F75" s="1763">
        <f>E75/D75*100</f>
        <v>99.953630591857362</v>
      </c>
      <c r="G75" s="1789">
        <f>SUM(G76,G82)</f>
        <v>218067000</v>
      </c>
      <c r="H75" s="1789">
        <f>SUM(H76,H82)</f>
        <v>903612849.40999997</v>
      </c>
      <c r="I75" s="1789">
        <f>SUM(I76,I82)</f>
        <v>903194139.77999997</v>
      </c>
      <c r="J75" s="1789"/>
      <c r="K75" s="1789"/>
    </row>
    <row r="76" spans="1:11" x14ac:dyDescent="0.2">
      <c r="A76" s="1790" t="s">
        <v>582</v>
      </c>
      <c r="B76" s="1748"/>
      <c r="C76" s="1791">
        <f>SUM(C77:C80)</f>
        <v>22521</v>
      </c>
      <c r="D76" s="1791">
        <f>SUM(D77:D80)</f>
        <v>352990</v>
      </c>
      <c r="E76" s="1791">
        <f>SUM(E77:E81)</f>
        <v>352571</v>
      </c>
      <c r="F76" s="1799">
        <f>E76/D76*100</f>
        <v>99.881299753534094</v>
      </c>
      <c r="G76" s="1746">
        <f>SUM(G77:G80)</f>
        <v>22521000</v>
      </c>
      <c r="H76" s="1746">
        <f>SUM(H77:H80)</f>
        <v>352989628.60000002</v>
      </c>
      <c r="I76" s="1746">
        <f>SUM(I77:I81)</f>
        <v>352571037.97000003</v>
      </c>
      <c r="J76" s="1746"/>
      <c r="K76" s="1746"/>
    </row>
    <row r="77" spans="1:11" x14ac:dyDescent="0.2">
      <c r="A77" s="1747" t="s">
        <v>573</v>
      </c>
      <c r="B77" s="1748"/>
      <c r="C77" s="1749">
        <f>'11'!E666</f>
        <v>22521</v>
      </c>
      <c r="D77" s="1749">
        <f>'11'!F666</f>
        <v>22921</v>
      </c>
      <c r="E77" s="1749">
        <f>'11'!G666</f>
        <v>22748</v>
      </c>
      <c r="F77" s="1799">
        <f>E77/D77*100</f>
        <v>99.245233628550238</v>
      </c>
      <c r="G77" s="1751">
        <f>'11'!J666</f>
        <v>22521000</v>
      </c>
      <c r="H77" s="1751">
        <f>'11'!K666</f>
        <v>22921200</v>
      </c>
      <c r="I77" s="1751">
        <f>'11'!L666</f>
        <v>22748182.750000015</v>
      </c>
      <c r="J77" s="1751"/>
      <c r="K77" s="1751"/>
    </row>
    <row r="78" spans="1:11" x14ac:dyDescent="0.2">
      <c r="A78" s="1747" t="s">
        <v>574</v>
      </c>
      <c r="B78" s="1748"/>
      <c r="C78" s="1749">
        <f>'11'!E667</f>
        <v>0</v>
      </c>
      <c r="D78" s="1749">
        <f>'11'!F667</f>
        <v>800</v>
      </c>
      <c r="E78" s="1749">
        <f>'11'!G667</f>
        <v>800</v>
      </c>
      <c r="F78" s="1799">
        <v>0</v>
      </c>
      <c r="G78" s="1751">
        <f>'11'!J667</f>
        <v>0</v>
      </c>
      <c r="H78" s="1751">
        <f>'11'!K667</f>
        <v>800000</v>
      </c>
      <c r="I78" s="1751">
        <f>'11'!L667</f>
        <v>800000</v>
      </c>
      <c r="J78" s="1751"/>
      <c r="K78" s="1751"/>
    </row>
    <row r="79" spans="1:11" x14ac:dyDescent="0.2">
      <c r="A79" s="1753" t="s">
        <v>580</v>
      </c>
      <c r="B79" s="1748"/>
      <c r="C79" s="1749">
        <f>'11'!E668</f>
        <v>0</v>
      </c>
      <c r="D79" s="1749">
        <f>'11'!F668</f>
        <v>329269</v>
      </c>
      <c r="E79" s="1749">
        <f>'11'!G668</f>
        <v>328453</v>
      </c>
      <c r="F79" s="1799">
        <f>E79/D79*100</f>
        <v>99.752178310135491</v>
      </c>
      <c r="G79" s="1751">
        <f>'11'!J668</f>
        <v>0</v>
      </c>
      <c r="H79" s="1751">
        <f>'11'!K668</f>
        <v>329268428.60000002</v>
      </c>
      <c r="I79" s="1751">
        <f>'11'!L668</f>
        <v>328452813.30000001</v>
      </c>
      <c r="J79" s="1751"/>
      <c r="K79" s="1751"/>
    </row>
    <row r="80" spans="1:11" x14ac:dyDescent="0.2">
      <c r="A80" s="1795" t="s">
        <v>581</v>
      </c>
      <c r="B80" s="1748"/>
      <c r="C80" s="1749">
        <f>'11'!E669</f>
        <v>0</v>
      </c>
      <c r="D80" s="1749">
        <f>'11'!F669</f>
        <v>0</v>
      </c>
      <c r="E80" s="1749">
        <f>'11'!G669</f>
        <v>0</v>
      </c>
      <c r="F80" s="1799">
        <v>0</v>
      </c>
      <c r="G80" s="1751">
        <f>'11'!J669</f>
        <v>0</v>
      </c>
      <c r="H80" s="1751">
        <f>'11'!K669</f>
        <v>0</v>
      </c>
      <c r="I80" s="1751">
        <f>'11'!L669</f>
        <v>0</v>
      </c>
      <c r="J80" s="1751"/>
      <c r="K80" s="1751"/>
    </row>
    <row r="81" spans="1:11" x14ac:dyDescent="0.2">
      <c r="A81" s="1747" t="s">
        <v>1060</v>
      </c>
      <c r="B81" s="1748"/>
      <c r="C81" s="1749">
        <f>'11'!E670</f>
        <v>0</v>
      </c>
      <c r="D81" s="1749">
        <f>'11'!F670</f>
        <v>0</v>
      </c>
      <c r="E81" s="1749">
        <f>'11'!G670</f>
        <v>570</v>
      </c>
      <c r="F81" s="1799"/>
      <c r="G81" s="1751">
        <f>'11'!J670</f>
        <v>0</v>
      </c>
      <c r="H81" s="1751">
        <f>'11'!K670</f>
        <v>0</v>
      </c>
      <c r="I81" s="1751">
        <f>'11'!L670</f>
        <v>570041.92000000004</v>
      </c>
      <c r="J81" s="1751"/>
      <c r="K81" s="1751"/>
    </row>
    <row r="82" spans="1:11" x14ac:dyDescent="0.2">
      <c r="A82" s="1796" t="s">
        <v>583</v>
      </c>
      <c r="B82" s="1748"/>
      <c r="C82" s="1791">
        <f>SUM(C83:C86)</f>
        <v>195546</v>
      </c>
      <c r="D82" s="1791">
        <f>SUM(D83:D86)</f>
        <v>550623</v>
      </c>
      <c r="E82" s="1791">
        <f>SUM(E83:E86)</f>
        <v>550623</v>
      </c>
      <c r="F82" s="1799">
        <f>E82/D82*100</f>
        <v>100</v>
      </c>
      <c r="G82" s="1746">
        <f>SUM(G83:G86)</f>
        <v>195546000</v>
      </c>
      <c r="H82" s="1746">
        <f>SUM(H83:H86)</f>
        <v>550623220.80999994</v>
      </c>
      <c r="I82" s="1746">
        <f>SUM(I83:I86)</f>
        <v>550623101.80999994</v>
      </c>
      <c r="J82" s="1746"/>
      <c r="K82" s="1746"/>
    </row>
    <row r="83" spans="1:11" x14ac:dyDescent="0.2">
      <c r="A83" s="1747" t="s">
        <v>1982</v>
      </c>
      <c r="B83" s="1748"/>
      <c r="C83" s="1749">
        <f>'11'!E673</f>
        <v>195546</v>
      </c>
      <c r="D83" s="1749">
        <f>'11'!F673</f>
        <v>210465</v>
      </c>
      <c r="E83" s="1749">
        <f>'11'!G673</f>
        <v>210465</v>
      </c>
      <c r="F83" s="1799">
        <f>E83/D83*100</f>
        <v>100</v>
      </c>
      <c r="G83" s="1751">
        <f>'11'!J673</f>
        <v>195546000</v>
      </c>
      <c r="H83" s="1751">
        <f>'11'!K673</f>
        <v>210465396.75</v>
      </c>
      <c r="I83" s="1751">
        <f>'11'!L673</f>
        <v>210465277.75</v>
      </c>
      <c r="J83" s="1751"/>
      <c r="K83" s="1751"/>
    </row>
    <row r="84" spans="1:11" x14ac:dyDescent="0.2">
      <c r="A84" s="1747" t="s">
        <v>2165</v>
      </c>
      <c r="B84" s="1748"/>
      <c r="C84" s="1749">
        <f>'11'!E674</f>
        <v>0</v>
      </c>
      <c r="D84" s="1749">
        <f>'11'!F674</f>
        <v>2169</v>
      </c>
      <c r="E84" s="1749">
        <f>'11'!G674</f>
        <v>2169</v>
      </c>
      <c r="F84" s="1799">
        <f>E84/D84*100</f>
        <v>100</v>
      </c>
      <c r="G84" s="1751">
        <f>'11'!J674</f>
        <v>0</v>
      </c>
      <c r="H84" s="1751">
        <f>'11'!K674</f>
        <v>2168606.7999999998</v>
      </c>
      <c r="I84" s="1751">
        <f>'11'!L674</f>
        <v>2168606.7999999998</v>
      </c>
      <c r="J84" s="1751"/>
      <c r="K84" s="1751"/>
    </row>
    <row r="85" spans="1:11" x14ac:dyDescent="0.2">
      <c r="A85" s="1795" t="s">
        <v>1983</v>
      </c>
      <c r="B85" s="1748"/>
      <c r="C85" s="1749">
        <f>'11'!E675</f>
        <v>0</v>
      </c>
      <c r="D85" s="1749">
        <f>'11'!F675</f>
        <v>337989</v>
      </c>
      <c r="E85" s="1749">
        <f>'11'!G675</f>
        <v>337989</v>
      </c>
      <c r="F85" s="1799">
        <f>E85/D85*100</f>
        <v>100</v>
      </c>
      <c r="G85" s="1751">
        <f>'11'!J675</f>
        <v>0</v>
      </c>
      <c r="H85" s="1751">
        <f>'11'!K675</f>
        <v>337989217.25999999</v>
      </c>
      <c r="I85" s="1751">
        <f>'11'!L675</f>
        <v>337989217.25999999</v>
      </c>
      <c r="J85" s="1751"/>
      <c r="K85" s="1751"/>
    </row>
    <row r="86" spans="1:11" x14ac:dyDescent="0.2">
      <c r="A86" s="1795" t="s">
        <v>1984</v>
      </c>
      <c r="B86" s="1748"/>
      <c r="C86" s="1749">
        <f>'11'!E676</f>
        <v>0</v>
      </c>
      <c r="D86" s="1749">
        <f>'11'!F676</f>
        <v>0</v>
      </c>
      <c r="E86" s="1749">
        <f>'11'!G676</f>
        <v>0</v>
      </c>
      <c r="F86" s="1799">
        <v>0</v>
      </c>
      <c r="G86" s="1751">
        <f>'11'!J676</f>
        <v>0</v>
      </c>
      <c r="H86" s="1751">
        <f>'11'!K676</f>
        <v>0</v>
      </c>
      <c r="I86" s="1751">
        <f>'11'!L676</f>
        <v>0</v>
      </c>
      <c r="J86" s="1751"/>
      <c r="K86" s="1751"/>
    </row>
    <row r="87" spans="1:11" ht="15" customHeight="1" x14ac:dyDescent="0.25">
      <c r="A87" s="1810" t="s">
        <v>1602</v>
      </c>
      <c r="B87" s="1798">
        <v>12</v>
      </c>
      <c r="C87" s="1762">
        <f>C88+C93</f>
        <v>1383352</v>
      </c>
      <c r="D87" s="1762">
        <f>D88+D93</f>
        <v>2004058</v>
      </c>
      <c r="E87" s="1762">
        <f>E88+E93</f>
        <v>1999545</v>
      </c>
      <c r="F87" s="1763">
        <f>E87/D87*100</f>
        <v>99.774806916765883</v>
      </c>
      <c r="G87" s="1789">
        <f>SUM(G88,G93)</f>
        <v>1383352000</v>
      </c>
      <c r="H87" s="1789">
        <f>SUM(H88,H93)</f>
        <v>2004058153.3099999</v>
      </c>
      <c r="I87" s="1789">
        <f>SUM(I88,I93)</f>
        <v>1999545379.4199998</v>
      </c>
      <c r="J87" s="1789"/>
      <c r="K87" s="1789"/>
    </row>
    <row r="88" spans="1:11" ht="15" customHeight="1" x14ac:dyDescent="0.2">
      <c r="A88" s="1790" t="s">
        <v>582</v>
      </c>
      <c r="B88" s="1788"/>
      <c r="C88" s="1791">
        <f>SUM(C89:C92)</f>
        <v>30620</v>
      </c>
      <c r="D88" s="1791">
        <f>SUM(D89:D92)</f>
        <v>40080</v>
      </c>
      <c r="E88" s="1791">
        <f>SUM(E89:E92)</f>
        <v>38322</v>
      </c>
      <c r="F88" s="1799">
        <f t="shared" ref="F88:F97" si="5">E88/D88*100</f>
        <v>95.613772455089816</v>
      </c>
      <c r="G88" s="1746">
        <f>SUM(G89:G92)</f>
        <v>30620000</v>
      </c>
      <c r="H88" s="1746">
        <f>SUM(H89:H92)</f>
        <v>40080000</v>
      </c>
      <c r="I88" s="1746">
        <f>SUM(I89:I92)</f>
        <v>38321541.489999995</v>
      </c>
      <c r="J88" s="1746"/>
      <c r="K88" s="1746"/>
    </row>
    <row r="89" spans="1:11" ht="15" customHeight="1" x14ac:dyDescent="0.2">
      <c r="A89" s="1747" t="s">
        <v>573</v>
      </c>
      <c r="B89" s="1788"/>
      <c r="C89" s="1749">
        <f>'12'!E100</f>
        <v>1620</v>
      </c>
      <c r="D89" s="1749">
        <f>'12'!F100</f>
        <v>15780</v>
      </c>
      <c r="E89" s="1749">
        <f>'12'!G100</f>
        <v>15409</v>
      </c>
      <c r="F89" s="1750">
        <f t="shared" si="5"/>
        <v>97.648922686945511</v>
      </c>
      <c r="G89" s="1751">
        <f>'12'!J100</f>
        <v>1620000</v>
      </c>
      <c r="H89" s="1751">
        <f>'12'!K100</f>
        <v>15779591</v>
      </c>
      <c r="I89" s="1751">
        <f>'12'!L100</f>
        <v>15408657.199999999</v>
      </c>
      <c r="J89" s="1751"/>
      <c r="K89" s="1751"/>
    </row>
    <row r="90" spans="1:11" ht="15" customHeight="1" x14ac:dyDescent="0.2">
      <c r="A90" s="1747" t="s">
        <v>574</v>
      </c>
      <c r="B90" s="1788"/>
      <c r="C90" s="1749">
        <f>'12'!E101</f>
        <v>29000</v>
      </c>
      <c r="D90" s="1749">
        <f>'12'!F101</f>
        <v>24300</v>
      </c>
      <c r="E90" s="1749">
        <f>'12'!G101</f>
        <v>22913</v>
      </c>
      <c r="F90" s="1750">
        <f t="shared" si="5"/>
        <v>94.292181069958843</v>
      </c>
      <c r="G90" s="1751">
        <f>'12'!J101</f>
        <v>29000000</v>
      </c>
      <c r="H90" s="1751">
        <f>'12'!K101</f>
        <v>24300409</v>
      </c>
      <c r="I90" s="1751">
        <f>'12'!L101</f>
        <v>22912884.289999999</v>
      </c>
      <c r="J90" s="1751"/>
      <c r="K90" s="1751"/>
    </row>
    <row r="91" spans="1:11" ht="15" customHeight="1" x14ac:dyDescent="0.2">
      <c r="A91" s="1753" t="s">
        <v>580</v>
      </c>
      <c r="B91" s="1788"/>
      <c r="C91" s="1749">
        <f>'12'!E102</f>
        <v>0</v>
      </c>
      <c r="D91" s="1749">
        <f>'12'!F102</f>
        <v>0</v>
      </c>
      <c r="E91" s="1749">
        <f>'12'!G102</f>
        <v>0</v>
      </c>
      <c r="F91" s="1750">
        <v>0</v>
      </c>
      <c r="G91" s="1751">
        <f>'12'!J102</f>
        <v>0</v>
      </c>
      <c r="H91" s="1751">
        <f>'12'!K102</f>
        <v>0</v>
      </c>
      <c r="I91" s="1751">
        <f>'12'!L102</f>
        <v>0</v>
      </c>
      <c r="J91" s="1751"/>
      <c r="K91" s="1751"/>
    </row>
    <row r="92" spans="1:11" ht="15" customHeight="1" x14ac:dyDescent="0.2">
      <c r="A92" s="1795" t="s">
        <v>581</v>
      </c>
      <c r="B92" s="1788"/>
      <c r="C92" s="1749">
        <f>'12'!E103</f>
        <v>0</v>
      </c>
      <c r="D92" s="1749">
        <f>'12'!F103</f>
        <v>0</v>
      </c>
      <c r="E92" s="1749">
        <f>'12'!G103</f>
        <v>0</v>
      </c>
      <c r="F92" s="1750">
        <v>0</v>
      </c>
      <c r="G92" s="1751">
        <f>'12'!J103</f>
        <v>0</v>
      </c>
      <c r="H92" s="1751">
        <f>'12'!K103</f>
        <v>0</v>
      </c>
      <c r="I92" s="1751">
        <f>'12'!L103</f>
        <v>0</v>
      </c>
      <c r="J92" s="1751"/>
      <c r="K92" s="1751"/>
    </row>
    <row r="93" spans="1:11" ht="15" customHeight="1" x14ac:dyDescent="0.2">
      <c r="A93" s="1796" t="s">
        <v>583</v>
      </c>
      <c r="B93" s="1788"/>
      <c r="C93" s="1791">
        <f>SUM(C94:C97)</f>
        <v>1352732</v>
      </c>
      <c r="D93" s="1791">
        <f>SUM(D94:D97)</f>
        <v>1963978</v>
      </c>
      <c r="E93" s="1791">
        <f>SUM(E94:E97)</f>
        <v>1961223</v>
      </c>
      <c r="F93" s="1799">
        <f t="shared" si="5"/>
        <v>99.859723479590912</v>
      </c>
      <c r="G93" s="1746">
        <f>SUM(G94:G97)</f>
        <v>1352732000</v>
      </c>
      <c r="H93" s="1746">
        <f>SUM(H94:H97)</f>
        <v>1963978153.3099999</v>
      </c>
      <c r="I93" s="1746">
        <f>SUM(I94:I97)</f>
        <v>1961223837.9299998</v>
      </c>
      <c r="J93" s="1746"/>
      <c r="K93" s="1746"/>
    </row>
    <row r="94" spans="1:11" ht="15" customHeight="1" x14ac:dyDescent="0.2">
      <c r="A94" s="1747" t="s">
        <v>1982</v>
      </c>
      <c r="B94" s="1788"/>
      <c r="C94" s="1749">
        <f>'12'!E106</f>
        <v>1347018</v>
      </c>
      <c r="D94" s="1749">
        <f>'12'!F106</f>
        <v>1388673</v>
      </c>
      <c r="E94" s="1749">
        <f>'12'!G106</f>
        <v>1385918</v>
      </c>
      <c r="F94" s="1750">
        <f t="shared" si="5"/>
        <v>99.801609162128159</v>
      </c>
      <c r="G94" s="1751">
        <f>'12'!J106</f>
        <v>1347018000</v>
      </c>
      <c r="H94" s="1751">
        <f>'12'!K106</f>
        <v>1388672682</v>
      </c>
      <c r="I94" s="1751">
        <f>'12'!L106</f>
        <v>1385918366.6199999</v>
      </c>
      <c r="J94" s="1751"/>
      <c r="K94" s="1751"/>
    </row>
    <row r="95" spans="1:11" ht="15" customHeight="1" x14ac:dyDescent="0.2">
      <c r="A95" s="1747" t="s">
        <v>2165</v>
      </c>
      <c r="B95" s="1788"/>
      <c r="C95" s="1749">
        <f>'12'!E107</f>
        <v>5714</v>
      </c>
      <c r="D95" s="1749">
        <f>'12'!F107</f>
        <v>123671</v>
      </c>
      <c r="E95" s="1749">
        <f>'12'!G107</f>
        <v>123671</v>
      </c>
      <c r="F95" s="1750">
        <f t="shared" si="5"/>
        <v>100</v>
      </c>
      <c r="G95" s="1751">
        <f>'12'!J107</f>
        <v>5714000</v>
      </c>
      <c r="H95" s="1751">
        <f>'12'!K107</f>
        <v>123671558.55</v>
      </c>
      <c r="I95" s="1751">
        <f>'12'!L107</f>
        <v>123671558.55</v>
      </c>
      <c r="J95" s="1751"/>
      <c r="K95" s="1751"/>
    </row>
    <row r="96" spans="1:11" ht="15" customHeight="1" x14ac:dyDescent="0.2">
      <c r="A96" s="1795" t="s">
        <v>1983</v>
      </c>
      <c r="B96" s="1788"/>
      <c r="C96" s="1749">
        <f>'12'!E108</f>
        <v>0</v>
      </c>
      <c r="D96" s="1749">
        <f>'12'!F108</f>
        <v>218434</v>
      </c>
      <c r="E96" s="1749">
        <f>'12'!G108</f>
        <v>218434</v>
      </c>
      <c r="F96" s="1750">
        <v>0</v>
      </c>
      <c r="G96" s="1751">
        <f>'12'!J108</f>
        <v>0</v>
      </c>
      <c r="H96" s="1751">
        <f>'12'!K108</f>
        <v>218434071</v>
      </c>
      <c r="I96" s="1751">
        <f>'12'!L108</f>
        <v>218434071</v>
      </c>
      <c r="J96" s="1751"/>
      <c r="K96" s="1751"/>
    </row>
    <row r="97" spans="1:20" ht="15" customHeight="1" x14ac:dyDescent="0.2">
      <c r="A97" s="1769" t="s">
        <v>1984</v>
      </c>
      <c r="B97" s="1807"/>
      <c r="C97" s="1756">
        <f>'12'!E109</f>
        <v>0</v>
      </c>
      <c r="D97" s="1756">
        <f>'12'!F109</f>
        <v>233200</v>
      </c>
      <c r="E97" s="1756">
        <f>'12'!G109</f>
        <v>233200</v>
      </c>
      <c r="F97" s="1757">
        <f t="shared" si="5"/>
        <v>100</v>
      </c>
      <c r="G97" s="1751">
        <f>'12'!J109</f>
        <v>0</v>
      </c>
      <c r="H97" s="1751">
        <f>'12'!K109</f>
        <v>233199841.75999999</v>
      </c>
      <c r="I97" s="1751">
        <f>'12'!L109</f>
        <v>233199841.75999999</v>
      </c>
      <c r="J97" s="1751"/>
      <c r="K97" s="1751"/>
    </row>
    <row r="98" spans="1:20" ht="15" customHeight="1" x14ac:dyDescent="0.25">
      <c r="A98" s="2093" t="s">
        <v>333</v>
      </c>
      <c r="B98" s="1788">
        <v>13</v>
      </c>
      <c r="C98" s="1773">
        <f>C99+C104</f>
        <v>197009</v>
      </c>
      <c r="D98" s="1773">
        <f>D99+D104</f>
        <v>209833</v>
      </c>
      <c r="E98" s="1773">
        <f>E99+E104</f>
        <v>209598</v>
      </c>
      <c r="F98" s="1768">
        <f>E98/D98*100</f>
        <v>99.888006176340227</v>
      </c>
      <c r="G98" s="1789">
        <f>SUM(G99,G104)</f>
        <v>197009000</v>
      </c>
      <c r="H98" s="1789">
        <f>SUM(H99,H104)</f>
        <v>209833197</v>
      </c>
      <c r="I98" s="1789">
        <f>SUM(I99,I104)</f>
        <v>209598333</v>
      </c>
      <c r="J98" s="1789"/>
      <c r="K98" s="1789"/>
      <c r="Q98" s="1728" t="s">
        <v>579</v>
      </c>
      <c r="R98" s="1733">
        <f>C105+C100+C94+C89+C83+C77+C71+C66+C61+C55</f>
        <v>2195799</v>
      </c>
      <c r="S98" s="1733">
        <f t="shared" ref="R98:T101" si="6">D105+D100+D94+D89+D83+D77+D71+D66+D61+D55</f>
        <v>2007196</v>
      </c>
      <c r="T98" s="1733">
        <f>E105+E100+E94+E89+E83+E77+E71+E66+E61+E55</f>
        <v>1996090</v>
      </c>
    </row>
    <row r="99" spans="1:20" x14ac:dyDescent="0.2">
      <c r="A99" s="1790" t="s">
        <v>582</v>
      </c>
      <c r="B99" s="1748"/>
      <c r="C99" s="1791">
        <f>SUM(C100:C103)</f>
        <v>61656</v>
      </c>
      <c r="D99" s="1791">
        <f>SUM(D100:D103)</f>
        <v>70591</v>
      </c>
      <c r="E99" s="1791">
        <f>SUM(E100:E103)</f>
        <v>70356</v>
      </c>
      <c r="F99" s="1799">
        <f>E99/D99*100</f>
        <v>99.667096372058765</v>
      </c>
      <c r="G99" s="1746">
        <f>SUM(G100:G103)</f>
        <v>61656000</v>
      </c>
      <c r="H99" s="1746">
        <f>SUM(H100:H103)</f>
        <v>70591387</v>
      </c>
      <c r="I99" s="1746">
        <f>SUM(I100:I103)</f>
        <v>70356523</v>
      </c>
      <c r="J99" s="1746"/>
      <c r="K99" s="1746"/>
      <c r="Q99" s="1728" t="s">
        <v>613</v>
      </c>
      <c r="R99" s="1733">
        <f>C106+C101+C95+C90+C84+C78+C72+C67+C62+C56</f>
        <v>49554</v>
      </c>
      <c r="S99" s="1733">
        <f t="shared" si="6"/>
        <v>161675</v>
      </c>
      <c r="T99" s="1733">
        <f t="shared" si="6"/>
        <v>160288</v>
      </c>
    </row>
    <row r="100" spans="1:20" x14ac:dyDescent="0.2">
      <c r="A100" s="1747" t="s">
        <v>573</v>
      </c>
      <c r="B100" s="1748"/>
      <c r="C100" s="1749">
        <f>'13'!E309</f>
        <v>61656</v>
      </c>
      <c r="D100" s="1749">
        <f>'13'!F309</f>
        <v>68491</v>
      </c>
      <c r="E100" s="1749">
        <f>'13'!G309</f>
        <v>68256</v>
      </c>
      <c r="F100" s="1750">
        <f t="shared" ref="F100:F108" si="7">E100/D100*100</f>
        <v>99.656889226321709</v>
      </c>
      <c r="G100" s="1751">
        <f>'13'!J309</f>
        <v>61656000</v>
      </c>
      <c r="H100" s="1751">
        <f>'13'!K309</f>
        <v>68491387</v>
      </c>
      <c r="I100" s="1751">
        <f>'13'!L309</f>
        <v>68256523</v>
      </c>
      <c r="J100" s="1751"/>
      <c r="K100" s="1751"/>
      <c r="L100" s="1751"/>
      <c r="M100" s="1751"/>
      <c r="Q100" s="1728" t="s">
        <v>614</v>
      </c>
      <c r="R100" s="1733">
        <f t="shared" si="6"/>
        <v>0</v>
      </c>
      <c r="S100" s="1733">
        <f t="shared" si="6"/>
        <v>6366547</v>
      </c>
      <c r="T100" s="1733">
        <f t="shared" si="6"/>
        <v>6365291</v>
      </c>
    </row>
    <row r="101" spans="1:20" x14ac:dyDescent="0.2">
      <c r="A101" s="1747" t="s">
        <v>574</v>
      </c>
      <c r="B101" s="1748"/>
      <c r="C101" s="1749">
        <f>'13'!E310</f>
        <v>0</v>
      </c>
      <c r="D101" s="1749">
        <f>'13'!F310</f>
        <v>2100</v>
      </c>
      <c r="E101" s="1749">
        <f>'13'!G310</f>
        <v>2100</v>
      </c>
      <c r="F101" s="1750">
        <f t="shared" si="7"/>
        <v>100</v>
      </c>
      <c r="G101" s="1751">
        <f>'13'!J310</f>
        <v>0</v>
      </c>
      <c r="H101" s="1751">
        <f>'13'!K310</f>
        <v>2100000</v>
      </c>
      <c r="I101" s="1751">
        <f>'13'!L310</f>
        <v>2100000</v>
      </c>
      <c r="J101" s="1751"/>
      <c r="K101" s="1751"/>
      <c r="L101" s="1751"/>
      <c r="M101" s="1751"/>
      <c r="Q101" s="1728" t="s">
        <v>1261</v>
      </c>
      <c r="R101" s="1733">
        <f t="shared" si="6"/>
        <v>0</v>
      </c>
      <c r="S101" s="1733">
        <f t="shared" si="6"/>
        <v>233222</v>
      </c>
      <c r="T101" s="1733">
        <f t="shared" si="6"/>
        <v>233222</v>
      </c>
    </row>
    <row r="102" spans="1:20" x14ac:dyDescent="0.2">
      <c r="A102" s="1753" t="s">
        <v>580</v>
      </c>
      <c r="B102" s="1748"/>
      <c r="C102" s="1749">
        <f>'13'!E311</f>
        <v>0</v>
      </c>
      <c r="D102" s="1749">
        <f>'13'!F311</f>
        <v>0</v>
      </c>
      <c r="E102" s="1749">
        <f>'13'!G311</f>
        <v>0</v>
      </c>
      <c r="F102" s="1750">
        <v>0</v>
      </c>
      <c r="G102" s="1751">
        <f>'13'!J311</f>
        <v>0</v>
      </c>
      <c r="H102" s="1751">
        <f>'13'!K311</f>
        <v>0</v>
      </c>
      <c r="I102" s="1751">
        <f>'13'!L311</f>
        <v>0</v>
      </c>
      <c r="J102" s="1751"/>
      <c r="K102" s="1751"/>
      <c r="L102" s="1751"/>
      <c r="M102" s="1751"/>
      <c r="Q102" s="1728" t="s">
        <v>817</v>
      </c>
      <c r="R102" s="1733">
        <v>0</v>
      </c>
      <c r="S102" s="1733">
        <v>0</v>
      </c>
      <c r="T102" s="1733">
        <f>E59+E81</f>
        <v>570</v>
      </c>
    </row>
    <row r="103" spans="1:20" x14ac:dyDescent="0.2">
      <c r="A103" s="1795" t="s">
        <v>581</v>
      </c>
      <c r="B103" s="1748"/>
      <c r="C103" s="1749">
        <f>'13'!E312</f>
        <v>0</v>
      </c>
      <c r="D103" s="1749">
        <f>'13'!F312</f>
        <v>0</v>
      </c>
      <c r="E103" s="1749">
        <f>'13'!G312</f>
        <v>0</v>
      </c>
      <c r="F103" s="1750">
        <v>0</v>
      </c>
      <c r="G103" s="1751">
        <f>'13'!J312</f>
        <v>0</v>
      </c>
      <c r="H103" s="1751">
        <f>'13'!K312</f>
        <v>0</v>
      </c>
      <c r="I103" s="1751">
        <f>'13'!L312</f>
        <v>0</v>
      </c>
      <c r="J103" s="1751"/>
      <c r="K103" s="1746">
        <f>G98+G87+G75+G53</f>
        <v>2245353000</v>
      </c>
      <c r="L103" s="1746">
        <f>H98+H87+H75+H53</f>
        <v>8768640424.7700005</v>
      </c>
      <c r="M103" s="1746">
        <f>I98+I87+I75+I53</f>
        <v>8755461596.2200012</v>
      </c>
      <c r="N103" s="1764" t="s">
        <v>816</v>
      </c>
      <c r="Q103" s="1764" t="s">
        <v>612</v>
      </c>
      <c r="R103" s="1800">
        <f>C98+C87+C75+C53</f>
        <v>2245353</v>
      </c>
      <c r="S103" s="1800">
        <f>D98+D87+D75+D53</f>
        <v>8768640</v>
      </c>
      <c r="T103" s="1800">
        <f>E98+E87+E75+E53</f>
        <v>8755461</v>
      </c>
    </row>
    <row r="104" spans="1:20" x14ac:dyDescent="0.2">
      <c r="A104" s="1796" t="s">
        <v>583</v>
      </c>
      <c r="B104" s="1748"/>
      <c r="C104" s="1791">
        <f>SUM(C105:C108)</f>
        <v>135353</v>
      </c>
      <c r="D104" s="1791">
        <f>SUM(D105:D108)</f>
        <v>139242</v>
      </c>
      <c r="E104" s="1791">
        <f>SUM(E105:E108)</f>
        <v>139242</v>
      </c>
      <c r="F104" s="1799">
        <f t="shared" si="7"/>
        <v>100</v>
      </c>
      <c r="G104" s="1746">
        <f>SUM(G105:G108)</f>
        <v>135353000</v>
      </c>
      <c r="H104" s="1746">
        <f>SUM(H105:H108)</f>
        <v>139241810</v>
      </c>
      <c r="I104" s="1746">
        <f>SUM(I105:I108)</f>
        <v>139241810</v>
      </c>
      <c r="J104" s="1746"/>
      <c r="K104" s="1751">
        <f t="shared" ref="K104:M105" si="8">G55+G61+G66+G71+G77+G83+G89+G94+G100+G105</f>
        <v>2195799000</v>
      </c>
      <c r="L104" s="1751">
        <f t="shared" si="8"/>
        <v>2007196733.9300001</v>
      </c>
      <c r="M104" s="1751">
        <f t="shared" si="8"/>
        <v>1996090162.5</v>
      </c>
      <c r="N104" s="1751" t="s">
        <v>579</v>
      </c>
      <c r="Q104" s="1728" t="s">
        <v>1280</v>
      </c>
      <c r="R104" s="1733">
        <f t="shared" ref="R104:T105" si="9">C107+C105+C102+C100+C96+C94+C91+C89+C85+C83+C79+C77+C73+C71+C68+C66+C63+C61+C57+C55</f>
        <v>2195799</v>
      </c>
      <c r="S104" s="1733">
        <f t="shared" si="9"/>
        <v>8373743</v>
      </c>
      <c r="T104" s="1733">
        <f>E107+E105+E102+E100+E96+E94+E91+E89+E85+E83+E79+E77+E73+E71+E68+E66+E63+E61+E57+E55</f>
        <v>8361381</v>
      </c>
    </row>
    <row r="105" spans="1:20" x14ac:dyDescent="0.2">
      <c r="A105" s="1747" t="s">
        <v>1982</v>
      </c>
      <c r="B105" s="1748"/>
      <c r="C105" s="1749">
        <f>'13'!E315</f>
        <v>130813</v>
      </c>
      <c r="D105" s="1749">
        <f>'13'!F315</f>
        <v>136657</v>
      </c>
      <c r="E105" s="1749">
        <f>'13'!G315</f>
        <v>136657</v>
      </c>
      <c r="F105" s="1750">
        <f t="shared" si="7"/>
        <v>100</v>
      </c>
      <c r="G105" s="1751">
        <f>'13'!J315</f>
        <v>130813000</v>
      </c>
      <c r="H105" s="1751">
        <f>'13'!K315</f>
        <v>136657364</v>
      </c>
      <c r="I105" s="1751">
        <f>'13'!L315</f>
        <v>136657364</v>
      </c>
      <c r="J105" s="1751"/>
      <c r="K105" s="1751">
        <f t="shared" si="8"/>
        <v>49554000</v>
      </c>
      <c r="L105" s="1751">
        <f t="shared" si="8"/>
        <v>161675020.34999999</v>
      </c>
      <c r="M105" s="1751">
        <f t="shared" si="8"/>
        <v>160287495.63999999</v>
      </c>
      <c r="N105" s="1775" t="s">
        <v>534</v>
      </c>
      <c r="Q105" s="1728" t="s">
        <v>1281</v>
      </c>
      <c r="R105" s="1733">
        <f t="shared" si="9"/>
        <v>49554</v>
      </c>
      <c r="S105" s="1733">
        <f t="shared" si="9"/>
        <v>394897</v>
      </c>
      <c r="T105" s="1733">
        <f t="shared" si="9"/>
        <v>393510</v>
      </c>
    </row>
    <row r="106" spans="1:20" x14ac:dyDescent="0.2">
      <c r="A106" s="1747" t="s">
        <v>2165</v>
      </c>
      <c r="B106" s="1748"/>
      <c r="C106" s="1749">
        <f>'13'!E316</f>
        <v>4540</v>
      </c>
      <c r="D106" s="1749">
        <f>'13'!F316</f>
        <v>2035</v>
      </c>
      <c r="E106" s="1749">
        <f>'13'!G316</f>
        <v>2035</v>
      </c>
      <c r="F106" s="1750">
        <f t="shared" si="7"/>
        <v>100</v>
      </c>
      <c r="G106" s="1751">
        <f>'13'!J316</f>
        <v>4540000</v>
      </c>
      <c r="H106" s="1751">
        <f>'13'!K316</f>
        <v>2034446</v>
      </c>
      <c r="I106" s="1751">
        <f>'13'!L316</f>
        <v>2034446</v>
      </c>
      <c r="J106" s="1751"/>
      <c r="K106" s="1751">
        <f>+G57+G63+G68+G73+G79+G85+G91+G96+G102+G107</f>
        <v>0</v>
      </c>
      <c r="L106" s="1751">
        <f>+H57+H63+H68+H73+H79+H85+H91+H96+H102+H107</f>
        <v>6366546828.7300005</v>
      </c>
      <c r="M106" s="1751">
        <f>+I57+I63+I68+I73+I79+I85+I91+I96+I102+I107</f>
        <v>6365292054.4000006</v>
      </c>
      <c r="N106" s="1775" t="s">
        <v>614</v>
      </c>
      <c r="Q106" s="1728" t="s">
        <v>817</v>
      </c>
      <c r="R106" s="1728">
        <v>0</v>
      </c>
      <c r="S106" s="1728">
        <v>0</v>
      </c>
      <c r="T106" s="1733">
        <f>E81+E59</f>
        <v>570</v>
      </c>
    </row>
    <row r="107" spans="1:20" ht="13.5" customHeight="1" x14ac:dyDescent="0.2">
      <c r="A107" s="1795" t="s">
        <v>1983</v>
      </c>
      <c r="B107" s="1748"/>
      <c r="C107" s="1749">
        <f>'13'!E317</f>
        <v>0</v>
      </c>
      <c r="D107" s="1749">
        <f>'13'!F317</f>
        <v>528</v>
      </c>
      <c r="E107" s="1749">
        <f>'13'!G317</f>
        <v>528</v>
      </c>
      <c r="F107" s="1750">
        <f t="shared" si="7"/>
        <v>100</v>
      </c>
      <c r="G107" s="1751">
        <f>'13'!J317</f>
        <v>0</v>
      </c>
      <c r="H107" s="1751">
        <f>'13'!K317</f>
        <v>528000</v>
      </c>
      <c r="I107" s="1751">
        <f>'13'!L317</f>
        <v>528000</v>
      </c>
      <c r="J107" s="1751"/>
      <c r="K107" s="1751">
        <f>G58+G64+G69+G74+G80+G86+G92+G97+G103+G108</f>
        <v>0</v>
      </c>
      <c r="L107" s="1751">
        <f>H58+H64+H69+H74+H80+H86+H92+H97+H103+H108</f>
        <v>233221841.75999999</v>
      </c>
      <c r="M107" s="1751">
        <f>I58+I64+I69+I74+I80+I86+I92+I97+I103+I108</f>
        <v>233221841.75999999</v>
      </c>
      <c r="N107" s="1775" t="s">
        <v>1261</v>
      </c>
      <c r="Q107" s="1764" t="s">
        <v>612</v>
      </c>
      <c r="R107" s="1800">
        <f>R104+R105+R106</f>
        <v>2245353</v>
      </c>
      <c r="S107" s="1800">
        <f>S104+S105+S106</f>
        <v>8768640</v>
      </c>
      <c r="T107" s="1800">
        <f>T104+T105+T106</f>
        <v>8755461</v>
      </c>
    </row>
    <row r="108" spans="1:20" ht="15" thickBot="1" x14ac:dyDescent="0.25">
      <c r="A108" s="1801" t="s">
        <v>1984</v>
      </c>
      <c r="B108" s="1777"/>
      <c r="C108" s="1778">
        <f>'13'!E318</f>
        <v>0</v>
      </c>
      <c r="D108" s="1778">
        <f>'13'!F318</f>
        <v>22</v>
      </c>
      <c r="E108" s="1778">
        <f>'13'!G318</f>
        <v>22</v>
      </c>
      <c r="F108" s="1779">
        <f t="shared" si="7"/>
        <v>100</v>
      </c>
      <c r="G108" s="1758">
        <f>'13'!J318</f>
        <v>0</v>
      </c>
      <c r="H108" s="1759">
        <f>'13'!K318</f>
        <v>22000</v>
      </c>
      <c r="I108" s="1759">
        <f>'13'!L318</f>
        <v>22000</v>
      </c>
      <c r="J108" s="1751"/>
      <c r="K108" s="1759">
        <v>0</v>
      </c>
      <c r="L108" s="1759">
        <v>0</v>
      </c>
      <c r="M108" s="1759">
        <f>I59+I81</f>
        <v>570041.92000000004</v>
      </c>
      <c r="N108" s="1775" t="s">
        <v>817</v>
      </c>
      <c r="R108" s="1733"/>
      <c r="S108" s="1733"/>
      <c r="T108" s="1733"/>
    </row>
    <row r="109" spans="1:20" ht="15.75" thickTop="1" thickBot="1" x14ac:dyDescent="0.25">
      <c r="F109" s="1733" t="s">
        <v>148</v>
      </c>
      <c r="G109" s="1860"/>
      <c r="H109" s="1860"/>
      <c r="I109" s="1860"/>
      <c r="J109" s="1860"/>
      <c r="K109" s="1860"/>
      <c r="L109" s="1860"/>
      <c r="M109" s="1860"/>
    </row>
    <row r="110" spans="1:20" s="1738" customFormat="1" ht="27" thickTop="1" thickBot="1" x14ac:dyDescent="0.25">
      <c r="A110" s="1734" t="s">
        <v>568</v>
      </c>
      <c r="B110" s="1735" t="s">
        <v>571</v>
      </c>
      <c r="C110" s="1736" t="s">
        <v>569</v>
      </c>
      <c r="D110" s="1736" t="s">
        <v>570</v>
      </c>
      <c r="E110" s="1736" t="s">
        <v>797</v>
      </c>
      <c r="F110" s="1737" t="s">
        <v>798</v>
      </c>
      <c r="G110" s="1863"/>
      <c r="H110" s="1863"/>
      <c r="I110" s="1863"/>
      <c r="J110" s="1863"/>
      <c r="K110" s="1863"/>
    </row>
    <row r="111" spans="1:20" s="1743" customFormat="1" ht="12.75" thickTop="1" thickBot="1" x14ac:dyDescent="0.25">
      <c r="A111" s="1783">
        <v>1</v>
      </c>
      <c r="B111" s="1784">
        <v>2</v>
      </c>
      <c r="C111" s="1785">
        <v>3</v>
      </c>
      <c r="D111" s="1785">
        <v>4</v>
      </c>
      <c r="E111" s="1785">
        <v>5</v>
      </c>
      <c r="F111" s="1786" t="s">
        <v>387</v>
      </c>
      <c r="G111" s="1864"/>
      <c r="H111" s="1864"/>
      <c r="I111" s="1864"/>
      <c r="J111" s="1864"/>
      <c r="K111" s="1864"/>
    </row>
    <row r="112" spans="1:20" s="1764" customFormat="1" ht="15.75" thickTop="1" x14ac:dyDescent="0.25">
      <c r="A112" s="1802" t="s">
        <v>334</v>
      </c>
      <c r="B112" s="1788">
        <v>14</v>
      </c>
      <c r="C112" s="1773">
        <f>C113+C118</f>
        <v>298517</v>
      </c>
      <c r="D112" s="1773">
        <f>D113+D118</f>
        <v>264869</v>
      </c>
      <c r="E112" s="1773">
        <f>E113+E118</f>
        <v>263523</v>
      </c>
      <c r="F112" s="1768">
        <f>E112/D112*100</f>
        <v>99.49182426029472</v>
      </c>
      <c r="G112" s="1789">
        <f>SUM(G113,G118)</f>
        <v>298517000</v>
      </c>
      <c r="H112" s="1789">
        <f>SUM(H113,H118)</f>
        <v>264869208.86000001</v>
      </c>
      <c r="I112" s="1789">
        <f>SUM(I113,I118)</f>
        <v>263523426.38</v>
      </c>
      <c r="J112" s="1789"/>
      <c r="K112" s="1751"/>
      <c r="L112" s="1728"/>
      <c r="M112" s="1728"/>
      <c r="N112" s="1775"/>
    </row>
    <row r="113" spans="1:17" x14ac:dyDescent="0.2">
      <c r="A113" s="1790" t="s">
        <v>582</v>
      </c>
      <c r="B113" s="1748"/>
      <c r="C113" s="1791">
        <f>SUM(C114:C117)</f>
        <v>20960</v>
      </c>
      <c r="D113" s="1791">
        <f>SUM(D114:D117)</f>
        <v>23444</v>
      </c>
      <c r="E113" s="1791">
        <f>SUM(E114:E117)</f>
        <v>23299</v>
      </c>
      <c r="F113" s="1799">
        <f>E113/D113*100</f>
        <v>99.381504862651425</v>
      </c>
      <c r="G113" s="1746">
        <f>G114+G115+G116+G117</f>
        <v>20960000</v>
      </c>
      <c r="H113" s="1746">
        <f>H114+H115+H116+H117</f>
        <v>23443631.329999998</v>
      </c>
      <c r="I113" s="1746">
        <f>I114+I115+I116+I117</f>
        <v>23299514.329999998</v>
      </c>
      <c r="J113" s="1746"/>
      <c r="K113" s="1751"/>
      <c r="N113" s="1775"/>
    </row>
    <row r="114" spans="1:17" x14ac:dyDescent="0.2">
      <c r="A114" s="1747" t="s">
        <v>573</v>
      </c>
      <c r="B114" s="1748"/>
      <c r="C114" s="1749">
        <f>'14'!E129</f>
        <v>20210</v>
      </c>
      <c r="D114" s="1749">
        <f>'14'!F129</f>
        <v>20422</v>
      </c>
      <c r="E114" s="1749">
        <f>'14'!G129</f>
        <v>20277</v>
      </c>
      <c r="F114" s="1750">
        <f t="shared" ref="F114:F121" si="10">E114/D114*100</f>
        <v>99.289981392615815</v>
      </c>
      <c r="G114" s="2863">
        <f>'14'!J129</f>
        <v>20210000</v>
      </c>
      <c r="H114" s="1751">
        <f>'14'!K129</f>
        <v>20421693</v>
      </c>
      <c r="I114" s="1751">
        <f>'14'!L129</f>
        <v>20277576</v>
      </c>
      <c r="J114" s="1751"/>
      <c r="K114" s="1751"/>
      <c r="N114" s="1775"/>
    </row>
    <row r="115" spans="1:17" x14ac:dyDescent="0.2">
      <c r="A115" s="1747" t="s">
        <v>574</v>
      </c>
      <c r="B115" s="1748"/>
      <c r="C115" s="1749">
        <f>'14'!E130</f>
        <v>0</v>
      </c>
      <c r="D115" s="1749">
        <f>'14'!F130</f>
        <v>500</v>
      </c>
      <c r="E115" s="1749">
        <f>'14'!G130</f>
        <v>500</v>
      </c>
      <c r="F115" s="1750">
        <f t="shared" si="10"/>
        <v>100</v>
      </c>
      <c r="G115" s="1751">
        <f>'14'!J130</f>
        <v>0</v>
      </c>
      <c r="H115" s="1751">
        <f>'14'!K130</f>
        <v>500000</v>
      </c>
      <c r="I115" s="1751">
        <f>'14'!L130</f>
        <v>500000</v>
      </c>
      <c r="J115" s="1751"/>
      <c r="K115" s="1751"/>
      <c r="L115" s="1751"/>
      <c r="M115" s="1751"/>
      <c r="N115" s="1775"/>
    </row>
    <row r="116" spans="1:17" x14ac:dyDescent="0.2">
      <c r="A116" s="1753" t="s">
        <v>580</v>
      </c>
      <c r="B116" s="1748"/>
      <c r="C116" s="1749">
        <f>'14'!E131</f>
        <v>750</v>
      </c>
      <c r="D116" s="1749">
        <f>'14'!F131</f>
        <v>2522</v>
      </c>
      <c r="E116" s="1749">
        <f>'14'!G131</f>
        <v>2522</v>
      </c>
      <c r="F116" s="1750">
        <f t="shared" si="10"/>
        <v>100</v>
      </c>
      <c r="G116" s="1751">
        <f>'14'!J131</f>
        <v>750000</v>
      </c>
      <c r="H116" s="1751">
        <f>'14'!K131</f>
        <v>2521938.33</v>
      </c>
      <c r="I116" s="1751">
        <f>'14'!L131</f>
        <v>2521938.33</v>
      </c>
      <c r="J116" s="1751"/>
      <c r="K116" s="1751"/>
    </row>
    <row r="117" spans="1:17" x14ac:dyDescent="0.2">
      <c r="A117" s="1795" t="s">
        <v>581</v>
      </c>
      <c r="B117" s="1748"/>
      <c r="C117" s="1749">
        <f>'14'!E132</f>
        <v>0</v>
      </c>
      <c r="D117" s="1749">
        <f>'14'!F132</f>
        <v>0</v>
      </c>
      <c r="E117" s="1749">
        <f>'14'!G132</f>
        <v>0</v>
      </c>
      <c r="F117" s="1750">
        <v>0</v>
      </c>
      <c r="G117" s="1751">
        <f>'14'!J132</f>
        <v>0</v>
      </c>
      <c r="H117" s="1751">
        <f>'14'!K132</f>
        <v>0</v>
      </c>
      <c r="I117" s="1751">
        <f>'14'!L132</f>
        <v>0</v>
      </c>
      <c r="J117" s="1751"/>
      <c r="K117" s="1751"/>
    </row>
    <row r="118" spans="1:17" x14ac:dyDescent="0.2">
      <c r="A118" s="1796" t="s">
        <v>583</v>
      </c>
      <c r="B118" s="1748"/>
      <c r="C118" s="1791">
        <f>C119+C120+C121+C122</f>
        <v>277557</v>
      </c>
      <c r="D118" s="1791">
        <f>D119+D120+D121+D122</f>
        <v>241425</v>
      </c>
      <c r="E118" s="1791">
        <f>E119+E120+E121+E122</f>
        <v>240224</v>
      </c>
      <c r="F118" s="1799">
        <f t="shared" si="10"/>
        <v>99.502537019778401</v>
      </c>
      <c r="G118" s="1746">
        <f>SUM(G119:G122)</f>
        <v>277557000</v>
      </c>
      <c r="H118" s="1746">
        <f>SUM(H119:H122)</f>
        <v>241425577.53</v>
      </c>
      <c r="I118" s="1746">
        <f>SUM(I119:I122)</f>
        <v>240223912.05000001</v>
      </c>
      <c r="J118" s="1746"/>
      <c r="K118" s="1746"/>
    </row>
    <row r="119" spans="1:17" x14ac:dyDescent="0.2">
      <c r="A119" s="1747" t="s">
        <v>1982</v>
      </c>
      <c r="B119" s="1748"/>
      <c r="C119" s="1749">
        <f>'14'!E135</f>
        <v>230390</v>
      </c>
      <c r="D119" s="1749">
        <f>'14'!F135</f>
        <v>231618</v>
      </c>
      <c r="E119" s="1749">
        <f>'14'!G135</f>
        <v>230417</v>
      </c>
      <c r="F119" s="1750">
        <f t="shared" si="10"/>
        <v>99.481473806008168</v>
      </c>
      <c r="G119" s="2863">
        <f>'14'!J135</f>
        <v>230390000</v>
      </c>
      <c r="H119" s="1751">
        <f>'14'!K135</f>
        <v>231618579.53</v>
      </c>
      <c r="I119" s="1751">
        <f>'14'!L135</f>
        <v>230416914.05000001</v>
      </c>
      <c r="J119" s="1751"/>
      <c r="K119" s="1751"/>
    </row>
    <row r="120" spans="1:17" x14ac:dyDescent="0.2">
      <c r="A120" s="1747" t="s">
        <v>2165</v>
      </c>
      <c r="B120" s="1748"/>
      <c r="C120" s="1749">
        <f>'14'!E136</f>
        <v>47167</v>
      </c>
      <c r="D120" s="1749">
        <f>'14'!F136</f>
        <v>700</v>
      </c>
      <c r="E120" s="1749">
        <f>'14'!G136</f>
        <v>700</v>
      </c>
      <c r="F120" s="1750">
        <f t="shared" si="10"/>
        <v>100</v>
      </c>
      <c r="G120" s="2863">
        <f>'14'!J136</f>
        <v>47167000</v>
      </c>
      <c r="H120" s="1751">
        <f>'14'!K136</f>
        <v>700000</v>
      </c>
      <c r="I120" s="1751">
        <f>'14'!L136</f>
        <v>700000</v>
      </c>
      <c r="J120" s="1751"/>
      <c r="K120" s="1751"/>
    </row>
    <row r="121" spans="1:17" x14ac:dyDescent="0.2">
      <c r="A121" s="1795" t="s">
        <v>1983</v>
      </c>
      <c r="B121" s="1748"/>
      <c r="C121" s="1749">
        <f>'14'!E137</f>
        <v>0</v>
      </c>
      <c r="D121" s="1749">
        <f>'14'!F137</f>
        <v>6308</v>
      </c>
      <c r="E121" s="1749">
        <f>'14'!G137</f>
        <v>6308</v>
      </c>
      <c r="F121" s="1750">
        <f t="shared" si="10"/>
        <v>100</v>
      </c>
      <c r="G121" s="1751">
        <f>'14'!J137</f>
        <v>0</v>
      </c>
      <c r="H121" s="1751">
        <f>'14'!K137</f>
        <v>6307550</v>
      </c>
      <c r="I121" s="1751">
        <f>'14'!L137</f>
        <v>6307550</v>
      </c>
      <c r="J121" s="1751"/>
      <c r="K121" s="1751"/>
    </row>
    <row r="122" spans="1:17" x14ac:dyDescent="0.2">
      <c r="A122" s="1795" t="s">
        <v>1984</v>
      </c>
      <c r="B122" s="1748"/>
      <c r="C122" s="1749">
        <f>'14'!E138</f>
        <v>0</v>
      </c>
      <c r="D122" s="1749">
        <f>'14'!F138</f>
        <v>2799</v>
      </c>
      <c r="E122" s="1749">
        <f>'14'!G138</f>
        <v>2799</v>
      </c>
      <c r="F122" s="1757">
        <v>0</v>
      </c>
      <c r="G122" s="1751">
        <f>'14'!J138</f>
        <v>0</v>
      </c>
      <c r="H122" s="1751">
        <f>'14'!K138</f>
        <v>2799448</v>
      </c>
      <c r="I122" s="1751">
        <f>'14'!L138</f>
        <v>2799448</v>
      </c>
      <c r="J122" s="1751"/>
      <c r="K122" s="1751"/>
    </row>
    <row r="123" spans="1:17" s="1764" customFormat="1" ht="15" x14ac:dyDescent="0.25">
      <c r="A123" s="1803" t="s">
        <v>339</v>
      </c>
      <c r="B123" s="1804">
        <v>15</v>
      </c>
      <c r="C123" s="1951">
        <f>'15'!E15</f>
        <v>15</v>
      </c>
      <c r="D123" s="1951">
        <f>'15'!F15</f>
        <v>0</v>
      </c>
      <c r="E123" s="1951">
        <f>'15'!G15</f>
        <v>0</v>
      </c>
      <c r="F123" s="1952">
        <v>0</v>
      </c>
      <c r="G123" s="2864">
        <f>'15'!J15</f>
        <v>15000</v>
      </c>
      <c r="H123" s="1954">
        <f>'15'!K15</f>
        <v>0</v>
      </c>
      <c r="I123" s="1954">
        <f>'15'!L15</f>
        <v>0</v>
      </c>
      <c r="J123" s="1746"/>
      <c r="K123" s="1746"/>
    </row>
    <row r="124" spans="1:17" s="1764" customFormat="1" ht="15" x14ac:dyDescent="0.25">
      <c r="A124" s="1803" t="s">
        <v>340</v>
      </c>
      <c r="B124" s="1804">
        <v>16</v>
      </c>
      <c r="C124" s="1951">
        <f>'16'!E15</f>
        <v>20</v>
      </c>
      <c r="D124" s="1951">
        <f>'16'!F15</f>
        <v>20</v>
      </c>
      <c r="E124" s="1951">
        <f>'16'!G15</f>
        <v>0</v>
      </c>
      <c r="F124" s="1953">
        <v>0</v>
      </c>
      <c r="G124" s="2864">
        <f>'16'!J15</f>
        <v>20000</v>
      </c>
      <c r="H124" s="1954">
        <f>'16'!K15</f>
        <v>20000</v>
      </c>
      <c r="I124" s="1954">
        <f>'16'!L15</f>
        <v>0</v>
      </c>
      <c r="J124" s="1746"/>
      <c r="K124" s="1746"/>
    </row>
    <row r="125" spans="1:17" s="1764" customFormat="1" ht="15" x14ac:dyDescent="0.25">
      <c r="A125" s="1802" t="s">
        <v>2177</v>
      </c>
      <c r="B125" s="1805">
        <v>17</v>
      </c>
      <c r="C125" s="1773">
        <f>SUM(C126:C129)</f>
        <v>122940</v>
      </c>
      <c r="D125" s="1773">
        <f>SUM(D126:D129)</f>
        <v>278676</v>
      </c>
      <c r="E125" s="1773">
        <f>SUM(E126:E129)</f>
        <v>268805</v>
      </c>
      <c r="F125" s="1768">
        <f>E125/D125*100</f>
        <v>96.457893754754622</v>
      </c>
      <c r="G125" s="1746">
        <f>SUM(G126:G129)</f>
        <v>122940000</v>
      </c>
      <c r="H125" s="1746">
        <f>SUM(H126:H129)</f>
        <v>278676043.86000001</v>
      </c>
      <c r="I125" s="1746">
        <f>SUM(I126:I129)</f>
        <v>268805503.31999999</v>
      </c>
      <c r="J125" s="1746"/>
      <c r="Q125" s="1728"/>
    </row>
    <row r="126" spans="1:17" s="1764" customFormat="1" x14ac:dyDescent="0.2">
      <c r="A126" s="1747" t="s">
        <v>573</v>
      </c>
      <c r="B126" s="1767"/>
      <c r="C126" s="1749">
        <f>'17'!E128</f>
        <v>18767</v>
      </c>
      <c r="D126" s="1749">
        <f>'17'!F128</f>
        <v>42030</v>
      </c>
      <c r="E126" s="1749">
        <f>'17'!G128</f>
        <v>38882</v>
      </c>
      <c r="F126" s="1750">
        <f>E126/D126*100</f>
        <v>92.510111824886991</v>
      </c>
      <c r="G126" s="2863">
        <f>'17'!J128</f>
        <v>18767000</v>
      </c>
      <c r="H126" s="1751">
        <f>'17'!K128</f>
        <v>42030056.119999997</v>
      </c>
      <c r="I126" s="1751">
        <f>'17'!L128</f>
        <v>38882360.93</v>
      </c>
      <c r="J126" s="1751"/>
      <c r="Q126" s="1728"/>
    </row>
    <row r="127" spans="1:17" s="1764" customFormat="1" x14ac:dyDescent="0.2">
      <c r="A127" s="1747" t="s">
        <v>574</v>
      </c>
      <c r="B127" s="1767"/>
      <c r="C127" s="1749">
        <f>'17'!E129</f>
        <v>104173</v>
      </c>
      <c r="D127" s="1749">
        <f>'17'!F129</f>
        <v>146032</v>
      </c>
      <c r="E127" s="1749">
        <f>'17'!G129</f>
        <v>139309</v>
      </c>
      <c r="F127" s="1750">
        <f>E127/D127*100</f>
        <v>95.39621452832256</v>
      </c>
      <c r="G127" s="1751">
        <f>'17'!J129</f>
        <v>104173000</v>
      </c>
      <c r="H127" s="1751">
        <f>'17'!K129</f>
        <v>146031897.38</v>
      </c>
      <c r="I127" s="1751">
        <f>'17'!L129</f>
        <v>139309052.02999997</v>
      </c>
      <c r="J127" s="1751"/>
      <c r="Q127" s="1728"/>
    </row>
    <row r="128" spans="1:17" s="1764" customFormat="1" x14ac:dyDescent="0.2">
      <c r="A128" s="1753" t="s">
        <v>580</v>
      </c>
      <c r="B128" s="1748"/>
      <c r="C128" s="1749">
        <f>'17'!E130</f>
        <v>0</v>
      </c>
      <c r="D128" s="1749">
        <f>'17'!F130</f>
        <v>0</v>
      </c>
      <c r="E128" s="1749">
        <f>'17'!G130</f>
        <v>0</v>
      </c>
      <c r="F128" s="1750">
        <v>0</v>
      </c>
      <c r="G128" s="1751">
        <f>'17'!J130</f>
        <v>0</v>
      </c>
      <c r="H128" s="1751">
        <f>'17'!K130</f>
        <v>0</v>
      </c>
      <c r="I128" s="1751">
        <f>'17'!L130</f>
        <v>0</v>
      </c>
      <c r="J128" s="1751"/>
      <c r="Q128" s="1728"/>
    </row>
    <row r="129" spans="1:20" s="1764" customFormat="1" x14ac:dyDescent="0.2">
      <c r="A129" s="1766" t="s">
        <v>581</v>
      </c>
      <c r="B129" s="1755"/>
      <c r="C129" s="1756">
        <f>'17'!E131</f>
        <v>0</v>
      </c>
      <c r="D129" s="1756">
        <f>'17'!F131</f>
        <v>90614</v>
      </c>
      <c r="E129" s="1756">
        <f>'17'!G131</f>
        <v>90614</v>
      </c>
      <c r="F129" s="1757">
        <v>0</v>
      </c>
      <c r="G129" s="1758">
        <f>'17'!J131</f>
        <v>0</v>
      </c>
      <c r="H129" s="1759">
        <f>'17'!K131</f>
        <v>90614090.359999999</v>
      </c>
      <c r="I129" s="1759">
        <f>'17'!L131</f>
        <v>90614090.359999999</v>
      </c>
      <c r="J129" s="1751"/>
      <c r="Q129" s="1728" t="s">
        <v>2139</v>
      </c>
    </row>
    <row r="130" spans="1:20" s="1764" customFormat="1" ht="15" x14ac:dyDescent="0.25">
      <c r="A130" s="1806" t="s">
        <v>1589</v>
      </c>
      <c r="B130" s="1788">
        <v>18</v>
      </c>
      <c r="C130" s="1773">
        <f>C131+C132+C133+C134</f>
        <v>39103</v>
      </c>
      <c r="D130" s="1773">
        <f>D131+D132+D133+D134</f>
        <v>41102</v>
      </c>
      <c r="E130" s="1773">
        <f>E131+E132+E133+E134</f>
        <v>37350</v>
      </c>
      <c r="F130" s="1768">
        <f>E130/D130*100</f>
        <v>90.871490438421489</v>
      </c>
      <c r="G130" s="1746">
        <f>G131+G132+G133+G134</f>
        <v>39103000</v>
      </c>
      <c r="H130" s="1746">
        <f>H131+H132+H133+H134</f>
        <v>41102000</v>
      </c>
      <c r="I130" s="1746">
        <f>I131+I132+I133+I134</f>
        <v>37349652.700000003</v>
      </c>
      <c r="J130" s="1751"/>
      <c r="Q130" s="1728" t="s">
        <v>579</v>
      </c>
      <c r="R130" s="1733">
        <f>C114+C119+C123+C124+C126+C131</f>
        <v>308505</v>
      </c>
      <c r="S130" s="1733">
        <f>D114+D119+D123+D124+D126+D131+D138+D143</f>
        <v>641452</v>
      </c>
      <c r="T130" s="1733">
        <f>E114+E119+E123+E124+E126+E131+E137+E143</f>
        <v>633572</v>
      </c>
    </row>
    <row r="131" spans="1:20" s="1764" customFormat="1" x14ac:dyDescent="0.2">
      <c r="A131" s="1747" t="s">
        <v>573</v>
      </c>
      <c r="B131" s="1767"/>
      <c r="C131" s="1749">
        <f>'18'!E143</f>
        <v>39103</v>
      </c>
      <c r="D131" s="1749">
        <f>'18'!F143</f>
        <v>40502</v>
      </c>
      <c r="E131" s="1749">
        <f>'18'!G143</f>
        <v>37150</v>
      </c>
      <c r="F131" s="1750">
        <f>E131/D131*100</f>
        <v>91.723865488124048</v>
      </c>
      <c r="G131" s="2863">
        <f>'18'!J143</f>
        <v>39103000</v>
      </c>
      <c r="H131" s="1751">
        <f>'18'!K143</f>
        <v>40502000</v>
      </c>
      <c r="I131" s="1751">
        <f>'18'!L143</f>
        <v>37149652.700000003</v>
      </c>
      <c r="J131" s="1751"/>
      <c r="K131" s="1751"/>
      <c r="Q131" s="1728" t="s">
        <v>613</v>
      </c>
      <c r="R131" s="1733">
        <f>C115+C120+C127+C132</f>
        <v>151340</v>
      </c>
      <c r="S131" s="1733">
        <f>D115+D120+D127+D132+D144</f>
        <v>158539</v>
      </c>
      <c r="T131" s="1733">
        <f>E115+E120+E127+E132+E144</f>
        <v>151416</v>
      </c>
    </row>
    <row r="132" spans="1:20" s="1764" customFormat="1" x14ac:dyDescent="0.2">
      <c r="A132" s="1747" t="s">
        <v>574</v>
      </c>
      <c r="B132" s="1767"/>
      <c r="C132" s="1749">
        <f>'18'!E144</f>
        <v>0</v>
      </c>
      <c r="D132" s="1749">
        <f>'18'!F144</f>
        <v>600</v>
      </c>
      <c r="E132" s="1749">
        <f>'18'!G144</f>
        <v>200</v>
      </c>
      <c r="F132" s="1750">
        <f t="shared" ref="F132:F144" si="11">E132/D132*100</f>
        <v>33.333333333333329</v>
      </c>
      <c r="G132" s="1751">
        <f>'18'!J144</f>
        <v>0</v>
      </c>
      <c r="H132" s="1751">
        <f>'18'!K144</f>
        <v>600000</v>
      </c>
      <c r="I132" s="1751">
        <f>'18'!L144</f>
        <v>200000</v>
      </c>
      <c r="J132" s="1751"/>
      <c r="K132" s="1751"/>
      <c r="Q132" s="1728" t="s">
        <v>614</v>
      </c>
      <c r="R132" s="1733">
        <f>C133+C128+C121+C116</f>
        <v>750</v>
      </c>
      <c r="S132" s="1733">
        <f>D133+D128+D121+D116</f>
        <v>8830</v>
      </c>
      <c r="T132" s="1733">
        <f>E133+E128+E121+E116</f>
        <v>8830</v>
      </c>
    </row>
    <row r="133" spans="1:20" x14ac:dyDescent="0.2">
      <c r="A133" s="1753" t="s">
        <v>580</v>
      </c>
      <c r="B133" s="1748"/>
      <c r="C133" s="1749">
        <f>'18'!E145</f>
        <v>0</v>
      </c>
      <c r="D133" s="1749">
        <f>'18'!F145</f>
        <v>0</v>
      </c>
      <c r="E133" s="1749">
        <f>'18'!G145</f>
        <v>0</v>
      </c>
      <c r="F133" s="1750">
        <v>0</v>
      </c>
      <c r="G133" s="1751">
        <f>'18'!J145</f>
        <v>0</v>
      </c>
      <c r="H133" s="1751">
        <f>'18'!K145</f>
        <v>0</v>
      </c>
      <c r="I133" s="1751">
        <f>'18'!L145</f>
        <v>0</v>
      </c>
      <c r="J133" s="1751"/>
      <c r="K133" s="1751"/>
      <c r="Q133" s="1728" t="s">
        <v>1261</v>
      </c>
      <c r="R133" s="1733">
        <f>C117+C122+C129+C134</f>
        <v>0</v>
      </c>
      <c r="S133" s="1733">
        <f>D117+D122+D129+D134</f>
        <v>93413</v>
      </c>
      <c r="T133" s="1733">
        <f>E117+E122+E129+E134</f>
        <v>93413</v>
      </c>
    </row>
    <row r="134" spans="1:20" x14ac:dyDescent="0.2">
      <c r="A134" s="1769" t="s">
        <v>581</v>
      </c>
      <c r="B134" s="1755"/>
      <c r="C134" s="1756">
        <f>'18'!E146</f>
        <v>0</v>
      </c>
      <c r="D134" s="1756">
        <f>'18'!F146</f>
        <v>0</v>
      </c>
      <c r="E134" s="1756">
        <f>'18'!G146</f>
        <v>0</v>
      </c>
      <c r="F134" s="1750">
        <v>0</v>
      </c>
      <c r="G134" s="1758">
        <f>'18'!J146</f>
        <v>0</v>
      </c>
      <c r="H134" s="1759">
        <f>'18'!K146</f>
        <v>0</v>
      </c>
      <c r="I134" s="1759">
        <f>'18'!L146</f>
        <v>0</v>
      </c>
      <c r="J134" s="1751"/>
      <c r="K134" s="1751"/>
      <c r="Q134" s="1728" t="s">
        <v>817</v>
      </c>
      <c r="R134" s="1728">
        <v>0</v>
      </c>
      <c r="S134" s="1728">
        <v>0</v>
      </c>
      <c r="T134" s="1733">
        <v>0</v>
      </c>
    </row>
    <row r="135" spans="1:20" ht="15" x14ac:dyDescent="0.25">
      <c r="A135" s="2633" t="s">
        <v>1985</v>
      </c>
      <c r="B135" s="2634">
        <v>19</v>
      </c>
      <c r="C135" s="1773">
        <f>C137+C142</f>
        <v>0</v>
      </c>
      <c r="D135" s="1773">
        <f t="shared" ref="D135:E135" si="12">D137+D142</f>
        <v>317567</v>
      </c>
      <c r="E135" s="1773">
        <f t="shared" si="12"/>
        <v>317553</v>
      </c>
      <c r="F135" s="1809">
        <f t="shared" si="11"/>
        <v>99.995591481482649</v>
      </c>
      <c r="G135" s="1789">
        <f>G137+G142</f>
        <v>0</v>
      </c>
      <c r="H135" s="1789">
        <f>H137+H142</f>
        <v>317567672</v>
      </c>
      <c r="I135" s="1789">
        <f>I137+I142</f>
        <v>317553406</v>
      </c>
      <c r="J135" s="1751"/>
      <c r="K135" s="1751"/>
      <c r="Q135" s="1764" t="s">
        <v>612</v>
      </c>
      <c r="R135" s="1800">
        <f>R130+R131+R132+R133+R134</f>
        <v>460595</v>
      </c>
      <c r="S135" s="1800">
        <f>S130+S131+S132+S133+S134</f>
        <v>902234</v>
      </c>
      <c r="T135" s="1800">
        <f>T130+T131+T132+T133+T134</f>
        <v>887231</v>
      </c>
    </row>
    <row r="136" spans="1:20" ht="15" x14ac:dyDescent="0.25">
      <c r="A136" s="2633" t="s">
        <v>1986</v>
      </c>
      <c r="B136" s="2634"/>
      <c r="C136" s="1773"/>
      <c r="D136" s="1773"/>
      <c r="E136" s="1773"/>
      <c r="F136" s="1750"/>
      <c r="G136" s="1751"/>
      <c r="H136" s="1751"/>
      <c r="I136" s="1751"/>
      <c r="J136" s="1751"/>
      <c r="K136" s="1751"/>
      <c r="Q136" s="1728" t="s">
        <v>1280</v>
      </c>
      <c r="R136" s="1733">
        <f>C133+C131+C128+C126+C124+C123+C121+C119+C116+C114</f>
        <v>309255</v>
      </c>
      <c r="S136" s="1733">
        <f>D133+D131+D128+D126+D124+D123+D121+D119+D116+D114+D138+D143</f>
        <v>650282</v>
      </c>
      <c r="T136" s="1733">
        <f>E133+E131+E128+E126+E124+E123+E121+E119+E116+E114+E138+E143</f>
        <v>642402</v>
      </c>
    </row>
    <row r="137" spans="1:20" x14ac:dyDescent="0.2">
      <c r="A137" s="1796" t="s">
        <v>582</v>
      </c>
      <c r="B137" s="1748"/>
      <c r="C137" s="1791">
        <f>SUM(C138:C141)</f>
        <v>0</v>
      </c>
      <c r="D137" s="1791">
        <f t="shared" ref="D137:E137" si="13">SUM(D138:D141)</f>
        <v>580</v>
      </c>
      <c r="E137" s="1791">
        <f t="shared" si="13"/>
        <v>566</v>
      </c>
      <c r="F137" s="1799">
        <f t="shared" si="11"/>
        <v>97.586206896551715</v>
      </c>
      <c r="G137" s="1746">
        <f>G138+G139+G140+G141</f>
        <v>0</v>
      </c>
      <c r="H137" s="1746">
        <f t="shared" ref="H137:I137" si="14">H138+H139+H140+H141</f>
        <v>580190</v>
      </c>
      <c r="I137" s="1746">
        <f t="shared" si="14"/>
        <v>565924</v>
      </c>
      <c r="J137" s="1751"/>
      <c r="K137" s="1751"/>
      <c r="Q137" s="1728" t="s">
        <v>1281</v>
      </c>
      <c r="R137" s="1733">
        <f>C134+C132+C129+C127+C122+C120+C117+C115</f>
        <v>151340</v>
      </c>
      <c r="S137" s="1733">
        <f>D134+D132+D129+D127+D122+D120+D117+D115+D144</f>
        <v>251952</v>
      </c>
      <c r="T137" s="1733">
        <f>E134+E132+E129+E127+E122+E120+E117+E115+E144</f>
        <v>244829</v>
      </c>
    </row>
    <row r="138" spans="1:20" x14ac:dyDescent="0.2">
      <c r="A138" s="1747" t="s">
        <v>573</v>
      </c>
      <c r="B138" s="1748"/>
      <c r="C138" s="1749">
        <f>'19'!E47</f>
        <v>0</v>
      </c>
      <c r="D138" s="1749">
        <f>'19'!F47</f>
        <v>580</v>
      </c>
      <c r="E138" s="1749">
        <f>'19'!G47</f>
        <v>566</v>
      </c>
      <c r="F138" s="1750">
        <f t="shared" si="11"/>
        <v>97.586206896551715</v>
      </c>
      <c r="G138" s="1751">
        <f>'19'!J47</f>
        <v>0</v>
      </c>
      <c r="H138" s="1751">
        <f>'19'!K47</f>
        <v>580190</v>
      </c>
      <c r="I138" s="1751">
        <f>'19'!L47</f>
        <v>565924</v>
      </c>
      <c r="J138" s="1751"/>
      <c r="K138" s="1751"/>
      <c r="Q138" s="1728" t="s">
        <v>817</v>
      </c>
      <c r="R138" s="1728">
        <v>0</v>
      </c>
      <c r="S138" s="1728">
        <v>0</v>
      </c>
      <c r="T138" s="1728">
        <v>0</v>
      </c>
    </row>
    <row r="139" spans="1:20" x14ac:dyDescent="0.2">
      <c r="A139" s="1747" t="s">
        <v>574</v>
      </c>
      <c r="B139" s="1748"/>
      <c r="C139" s="1749">
        <f>'19'!E48</f>
        <v>0</v>
      </c>
      <c r="D139" s="1749">
        <f>'19'!F48</f>
        <v>0</v>
      </c>
      <c r="E139" s="1749">
        <f>'19'!G48</f>
        <v>0</v>
      </c>
      <c r="F139" s="1750">
        <v>0</v>
      </c>
      <c r="G139" s="1751">
        <f>'19'!J48</f>
        <v>0</v>
      </c>
      <c r="H139" s="1751">
        <f>'19'!K48</f>
        <v>0</v>
      </c>
      <c r="I139" s="1751">
        <f>'19'!L48</f>
        <v>0</v>
      </c>
      <c r="J139" s="1751"/>
      <c r="K139" s="1751"/>
      <c r="Q139" s="1764" t="s">
        <v>612</v>
      </c>
      <c r="R139" s="1800">
        <f>R136+R137+R138</f>
        <v>460595</v>
      </c>
      <c r="S139" s="1800">
        <f>S136+S137+S138</f>
        <v>902234</v>
      </c>
      <c r="T139" s="1800">
        <f>T136+T137+T138</f>
        <v>887231</v>
      </c>
    </row>
    <row r="140" spans="1:20" x14ac:dyDescent="0.2">
      <c r="A140" s="1753" t="s">
        <v>580</v>
      </c>
      <c r="B140" s="1748"/>
      <c r="C140" s="1749">
        <f>'19'!E49</f>
        <v>0</v>
      </c>
      <c r="D140" s="1749">
        <f>'19'!F49</f>
        <v>0</v>
      </c>
      <c r="E140" s="1749">
        <f>'19'!G49</f>
        <v>0</v>
      </c>
      <c r="F140" s="1750">
        <v>0</v>
      </c>
      <c r="G140" s="1751">
        <f>'19'!J49</f>
        <v>0</v>
      </c>
      <c r="H140" s="1751">
        <f>'19'!K49</f>
        <v>0</v>
      </c>
      <c r="I140" s="1751">
        <f>'19'!L49</f>
        <v>0</v>
      </c>
      <c r="J140" s="1751"/>
      <c r="K140" s="1751"/>
    </row>
    <row r="141" spans="1:20" x14ac:dyDescent="0.2">
      <c r="A141" s="1795" t="s">
        <v>581</v>
      </c>
      <c r="B141" s="1748"/>
      <c r="C141" s="1749">
        <f>'19'!E50</f>
        <v>0</v>
      </c>
      <c r="D141" s="1749">
        <f>'19'!F50</f>
        <v>0</v>
      </c>
      <c r="E141" s="1749">
        <f>'19'!G50</f>
        <v>0</v>
      </c>
      <c r="F141" s="1750">
        <v>0</v>
      </c>
      <c r="G141" s="1751">
        <f>'19'!J50</f>
        <v>0</v>
      </c>
      <c r="H141" s="1751">
        <f>'19'!K50</f>
        <v>0</v>
      </c>
      <c r="I141" s="1751">
        <f>'19'!L50</f>
        <v>0</v>
      </c>
      <c r="J141" s="1751"/>
      <c r="K141" s="1751">
        <f>G114+G119+G126+G123+G124+G131+G138+G143</f>
        <v>308505000</v>
      </c>
      <c r="L141" s="1751">
        <f>H114+H119+H126+H123+H124+H131+H138+H143</f>
        <v>641453122.64999998</v>
      </c>
      <c r="M141" s="1751">
        <f>I114+I119+I126+I123+I124+I131+I138+I143</f>
        <v>633573031.68000007</v>
      </c>
      <c r="N141" s="1751" t="s">
        <v>579</v>
      </c>
    </row>
    <row r="142" spans="1:20" x14ac:dyDescent="0.2">
      <c r="A142" s="1796" t="s">
        <v>583</v>
      </c>
      <c r="B142" s="1748"/>
      <c r="C142" s="1791">
        <f>SUM(C143:C146)</f>
        <v>0</v>
      </c>
      <c r="D142" s="1791">
        <f t="shared" ref="D142:E142" si="15">SUM(D143:D146)</f>
        <v>316987</v>
      </c>
      <c r="E142" s="1791">
        <f t="shared" si="15"/>
        <v>316987</v>
      </c>
      <c r="F142" s="1799">
        <f t="shared" si="11"/>
        <v>100</v>
      </c>
      <c r="G142" s="1746">
        <f>G143+G144+G145+G146</f>
        <v>0</v>
      </c>
      <c r="H142" s="1746">
        <f t="shared" ref="H142:I142" si="16">H143+H144+H145+H146</f>
        <v>316987482</v>
      </c>
      <c r="I142" s="1746">
        <f t="shared" si="16"/>
        <v>316987482</v>
      </c>
      <c r="J142" s="1751"/>
      <c r="K142" s="1751">
        <f>G115+G120+G127+G132+G139+G144</f>
        <v>151340000</v>
      </c>
      <c r="L142" s="1751">
        <f>H115+H120+H127+H132+H144</f>
        <v>158538775.38</v>
      </c>
      <c r="M142" s="1751">
        <f>I115+I120+I127+I132+I144</f>
        <v>151415930.02999997</v>
      </c>
      <c r="N142" s="1775" t="s">
        <v>534</v>
      </c>
    </row>
    <row r="143" spans="1:20" x14ac:dyDescent="0.2">
      <c r="A143" s="1747" t="s">
        <v>1982</v>
      </c>
      <c r="B143" s="1748"/>
      <c r="C143" s="1749">
        <f>'19'!E54</f>
        <v>0</v>
      </c>
      <c r="D143" s="1749">
        <f>'19'!F54</f>
        <v>306280</v>
      </c>
      <c r="E143" s="1749">
        <f>'19'!G54</f>
        <v>306280</v>
      </c>
      <c r="F143" s="1750">
        <f t="shared" si="11"/>
        <v>100</v>
      </c>
      <c r="G143" s="1751">
        <f>'19'!J54</f>
        <v>0</v>
      </c>
      <c r="H143" s="1751">
        <f>'19'!K54</f>
        <v>306280604</v>
      </c>
      <c r="I143" s="1751">
        <f>'19'!L54</f>
        <v>306280604</v>
      </c>
      <c r="J143" s="1751"/>
      <c r="K143" s="1751">
        <f>G116+G121+G128+G133+G140+G145</f>
        <v>750000</v>
      </c>
      <c r="L143" s="1751">
        <f>H116+H121+H128+H133</f>
        <v>8829488.3300000001</v>
      </c>
      <c r="M143" s="1751">
        <f>I116+I121+I128+I133</f>
        <v>8829488.3300000001</v>
      </c>
      <c r="N143" s="1775" t="s">
        <v>614</v>
      </c>
    </row>
    <row r="144" spans="1:20" x14ac:dyDescent="0.2">
      <c r="A144" s="1747" t="s">
        <v>2165</v>
      </c>
      <c r="B144" s="1748"/>
      <c r="C144" s="1749">
        <f>'19'!E55</f>
        <v>0</v>
      </c>
      <c r="D144" s="1749">
        <f>'19'!F55</f>
        <v>10707</v>
      </c>
      <c r="E144" s="1749">
        <f>'19'!G55</f>
        <v>10707</v>
      </c>
      <c r="F144" s="1750">
        <f t="shared" si="11"/>
        <v>100</v>
      </c>
      <c r="G144" s="1751">
        <f>'19'!J55</f>
        <v>0</v>
      </c>
      <c r="H144" s="1751">
        <f>'19'!K55</f>
        <v>10706878</v>
      </c>
      <c r="I144" s="1751">
        <f>'19'!L55</f>
        <v>10706878</v>
      </c>
      <c r="J144" s="1751"/>
      <c r="K144" s="1751">
        <f>G117+G122+G129+G134+G141+G146</f>
        <v>0</v>
      </c>
      <c r="L144" s="1751">
        <f>H117+H122+H129+H134</f>
        <v>93413538.359999999</v>
      </c>
      <c r="M144" s="1751">
        <f>I117+I122+I129+I134</f>
        <v>93413538.359999999</v>
      </c>
      <c r="N144" s="1775" t="s">
        <v>1261</v>
      </c>
    </row>
    <row r="145" spans="1:19" x14ac:dyDescent="0.2">
      <c r="A145" s="1795" t="s">
        <v>1983</v>
      </c>
      <c r="B145" s="1748"/>
      <c r="C145" s="1749">
        <f>'19'!E56</f>
        <v>0</v>
      </c>
      <c r="D145" s="1749">
        <f>'19'!F56</f>
        <v>0</v>
      </c>
      <c r="E145" s="1749">
        <f>'19'!G56</f>
        <v>0</v>
      </c>
      <c r="F145" s="1750">
        <v>0</v>
      </c>
      <c r="G145" s="1765">
        <f>'19'!J56</f>
        <v>0</v>
      </c>
      <c r="H145" s="1751">
        <f>'19'!K56</f>
        <v>0</v>
      </c>
      <c r="I145" s="1751">
        <f>'19'!L56</f>
        <v>0</v>
      </c>
      <c r="J145" s="1751"/>
      <c r="K145" s="1759">
        <v>0</v>
      </c>
      <c r="L145" s="1759">
        <v>0</v>
      </c>
      <c r="M145" s="1759">
        <v>0</v>
      </c>
      <c r="N145" s="1775" t="s">
        <v>817</v>
      </c>
    </row>
    <row r="146" spans="1:19" x14ac:dyDescent="0.2">
      <c r="A146" s="1795" t="s">
        <v>1984</v>
      </c>
      <c r="B146" s="1755"/>
      <c r="C146" s="1756">
        <f>'19'!E57</f>
        <v>0</v>
      </c>
      <c r="D146" s="1756">
        <f>'19'!F57</f>
        <v>0</v>
      </c>
      <c r="E146" s="1756">
        <f>'19'!G57</f>
        <v>0</v>
      </c>
      <c r="F146" s="1757">
        <v>0</v>
      </c>
      <c r="G146" s="1758">
        <f>'19'!J57</f>
        <v>0</v>
      </c>
      <c r="H146" s="1759">
        <f>'19'!K57</f>
        <v>0</v>
      </c>
      <c r="I146" s="1759">
        <f>'19'!L57</f>
        <v>0</v>
      </c>
      <c r="J146" s="1751"/>
      <c r="K146" s="1746">
        <f>K141+K142+K143+K144+K145</f>
        <v>460595000</v>
      </c>
      <c r="L146" s="1746">
        <f>L141+L142+L143+L144+L145</f>
        <v>902234924.72000003</v>
      </c>
      <c r="M146" s="1746">
        <f>M141+M142+M143+M144+M145</f>
        <v>887231988.4000001</v>
      </c>
      <c r="N146" s="1782" t="s">
        <v>816</v>
      </c>
    </row>
    <row r="147" spans="1:19" s="1764" customFormat="1" ht="15" x14ac:dyDescent="0.25">
      <c r="A147" s="3055" t="s">
        <v>1059</v>
      </c>
      <c r="B147" s="1788">
        <v>30</v>
      </c>
      <c r="C147" s="1773">
        <f>SUM(C149:C151)</f>
        <v>496</v>
      </c>
      <c r="D147" s="1773">
        <f>SUM(D149:D151)</f>
        <v>2</v>
      </c>
      <c r="E147" s="1773">
        <f>SUM(E149:E151)</f>
        <v>1</v>
      </c>
      <c r="F147" s="1768">
        <f>E147/D147*100</f>
        <v>50</v>
      </c>
      <c r="G147" s="1746">
        <f>SUM(G149:G151)</f>
        <v>496000</v>
      </c>
      <c r="H147" s="1746">
        <f>SUM(H149:H151)</f>
        <v>1681</v>
      </c>
      <c r="I147" s="1746">
        <f>SUM(I149:I151)</f>
        <v>719</v>
      </c>
      <c r="J147" s="1746"/>
      <c r="K147" s="1751"/>
      <c r="L147" s="1751"/>
      <c r="M147" s="1751"/>
    </row>
    <row r="148" spans="1:19" s="1764" customFormat="1" ht="15" x14ac:dyDescent="0.25">
      <c r="A148" s="3054"/>
      <c r="B148" s="1788"/>
      <c r="C148" s="1773"/>
      <c r="D148" s="1773"/>
      <c r="E148" s="1773"/>
      <c r="F148" s="1768"/>
      <c r="G148" s="1746"/>
      <c r="H148" s="1746"/>
      <c r="I148" s="1746"/>
      <c r="J148" s="1746"/>
      <c r="K148" s="1751"/>
      <c r="L148" s="1751"/>
      <c r="M148" s="1751"/>
    </row>
    <row r="149" spans="1:19" s="1764" customFormat="1" x14ac:dyDescent="0.2">
      <c r="A149" s="1747" t="s">
        <v>573</v>
      </c>
      <c r="B149" s="1788"/>
      <c r="C149" s="1749">
        <f>'30'!E24</f>
        <v>496</v>
      </c>
      <c r="D149" s="1749">
        <f>'30'!F24</f>
        <v>2</v>
      </c>
      <c r="E149" s="1749">
        <f>'30'!G24</f>
        <v>1</v>
      </c>
      <c r="F149" s="1750">
        <f>E149/D149*100</f>
        <v>50</v>
      </c>
      <c r="G149" s="2865">
        <f>'30'!J24</f>
        <v>496000</v>
      </c>
      <c r="H149" s="1721">
        <f>'30'!K24</f>
        <v>1681</v>
      </c>
      <c r="I149" s="1721">
        <f>'30'!L24</f>
        <v>719</v>
      </c>
      <c r="J149" s="1751"/>
      <c r="K149" s="1751"/>
    </row>
    <row r="150" spans="1:19" s="1764" customFormat="1" x14ac:dyDescent="0.2">
      <c r="A150" s="1747" t="s">
        <v>574</v>
      </c>
      <c r="B150" s="1788"/>
      <c r="C150" s="1749">
        <f>'30'!E25</f>
        <v>0</v>
      </c>
      <c r="D150" s="1749">
        <f>'30'!F25</f>
        <v>0</v>
      </c>
      <c r="E150" s="1749">
        <f>'30'!G25</f>
        <v>0</v>
      </c>
      <c r="F150" s="1750">
        <v>0</v>
      </c>
      <c r="G150" s="1721">
        <f>'30'!J25</f>
        <v>0</v>
      </c>
      <c r="H150" s="1721">
        <f>'30'!K25</f>
        <v>0</v>
      </c>
      <c r="I150" s="1721">
        <f>'30'!L25</f>
        <v>0</v>
      </c>
      <c r="J150" s="1751"/>
      <c r="K150" s="1751"/>
    </row>
    <row r="151" spans="1:19" s="1764" customFormat="1" x14ac:dyDescent="0.2">
      <c r="A151" s="1754" t="s">
        <v>1060</v>
      </c>
      <c r="B151" s="1807"/>
      <c r="C151" s="1749">
        <f>'30'!E26</f>
        <v>0</v>
      </c>
      <c r="D151" s="1749">
        <f>'30'!F26</f>
        <v>0</v>
      </c>
      <c r="E151" s="1749">
        <f>'30'!G26</f>
        <v>0</v>
      </c>
      <c r="F151" s="1757">
        <v>0</v>
      </c>
      <c r="G151" s="1722">
        <f>'30'!J26</f>
        <v>0</v>
      </c>
      <c r="H151" s="1723">
        <f>'30'!K26</f>
        <v>0</v>
      </c>
      <c r="I151" s="1723">
        <f>'30'!L26</f>
        <v>0</v>
      </c>
      <c r="J151" s="1751"/>
      <c r="K151" s="1751"/>
    </row>
    <row r="152" spans="1:19" s="1729" customFormat="1" ht="15" x14ac:dyDescent="0.25">
      <c r="A152" s="1760" t="s">
        <v>1164</v>
      </c>
      <c r="B152" s="1798">
        <v>32</v>
      </c>
      <c r="C152" s="1762">
        <f>SUM(C153:C155)</f>
        <v>0</v>
      </c>
      <c r="D152" s="1762">
        <f>SUM(D153:D155)</f>
        <v>1067</v>
      </c>
      <c r="E152" s="1762">
        <f>SUM(E153:E155)</f>
        <v>36705</v>
      </c>
      <c r="F152" s="1768">
        <f>E152/D152*100</f>
        <v>3440.0187441424555</v>
      </c>
      <c r="G152" s="1746">
        <f>SUM(G153:G155)</f>
        <v>0</v>
      </c>
      <c r="H152" s="1746">
        <f>SUM(H153:H155)</f>
        <v>1067000</v>
      </c>
      <c r="I152" s="1746">
        <f>SUM(I153:I155)</f>
        <v>36705085.310000002</v>
      </c>
      <c r="J152" s="1746"/>
      <c r="K152" s="1746"/>
    </row>
    <row r="153" spans="1:19" s="1764" customFormat="1" x14ac:dyDescent="0.2">
      <c r="A153" s="1747" t="s">
        <v>573</v>
      </c>
      <c r="B153" s="1788"/>
      <c r="C153" s="1749">
        <f>'32'!E18</f>
        <v>0</v>
      </c>
      <c r="D153" s="1749">
        <f>'32'!F18</f>
        <v>1067</v>
      </c>
      <c r="E153" s="1749">
        <f>'32'!G18</f>
        <v>49</v>
      </c>
      <c r="F153" s="1750">
        <f>E153/D153*100</f>
        <v>4.5923149015932525</v>
      </c>
      <c r="G153" s="1720">
        <f>'32'!J18</f>
        <v>0</v>
      </c>
      <c r="H153" s="1720">
        <f>'32'!K18</f>
        <v>1067000</v>
      </c>
      <c r="I153" s="1720">
        <f>'32'!L18</f>
        <v>48651.57</v>
      </c>
      <c r="J153" s="1751"/>
      <c r="K153" s="1751"/>
    </row>
    <row r="154" spans="1:19" s="1764" customFormat="1" ht="17.25" customHeight="1" x14ac:dyDescent="0.2">
      <c r="A154" s="1747" t="s">
        <v>574</v>
      </c>
      <c r="B154" s="1788"/>
      <c r="C154" s="1749">
        <f>'32'!E19</f>
        <v>0</v>
      </c>
      <c r="D154" s="1749">
        <f>'32'!F19</f>
        <v>0</v>
      </c>
      <c r="E154" s="1749">
        <f>'32'!G19</f>
        <v>0</v>
      </c>
      <c r="F154" s="1750">
        <v>0</v>
      </c>
      <c r="G154" s="1720">
        <f>'32'!J19</f>
        <v>0</v>
      </c>
      <c r="H154" s="1720">
        <f>'32'!K19</f>
        <v>0</v>
      </c>
      <c r="I154" s="1720">
        <f>'32'!L19</f>
        <v>0</v>
      </c>
      <c r="J154" s="1751"/>
      <c r="K154" s="1751"/>
    </row>
    <row r="155" spans="1:19" s="1764" customFormat="1" x14ac:dyDescent="0.2">
      <c r="A155" s="1754" t="s">
        <v>1060</v>
      </c>
      <c r="B155" s="1807"/>
      <c r="C155" s="1756">
        <f>'32'!E20</f>
        <v>0</v>
      </c>
      <c r="D155" s="1756">
        <f>'32'!F20</f>
        <v>0</v>
      </c>
      <c r="E155" s="1756">
        <f>'32'!G20</f>
        <v>36656</v>
      </c>
      <c r="F155" s="1757">
        <v>0</v>
      </c>
      <c r="G155" s="2828">
        <f>'32'!J20</f>
        <v>0</v>
      </c>
      <c r="H155" s="2829">
        <f>'32'!K20</f>
        <v>0</v>
      </c>
      <c r="I155" s="2829">
        <f>'32'!L20</f>
        <v>36656433.740000002</v>
      </c>
      <c r="J155" s="1751"/>
      <c r="K155" s="1751"/>
    </row>
    <row r="156" spans="1:19" s="1764" customFormat="1" ht="15" hidden="1" customHeight="1" x14ac:dyDescent="0.25">
      <c r="A156" s="3055" t="s">
        <v>1588</v>
      </c>
      <c r="B156" s="1788">
        <v>36</v>
      </c>
      <c r="C156" s="1773">
        <f>C159+C160+C161</f>
        <v>0</v>
      </c>
      <c r="D156" s="1773">
        <f>D159+D160+D161</f>
        <v>0</v>
      </c>
      <c r="E156" s="1773">
        <f>E159+E160+E161</f>
        <v>0</v>
      </c>
      <c r="F156" s="1768">
        <v>0</v>
      </c>
      <c r="G156" s="1746">
        <f>G159+G160+G161</f>
        <v>0</v>
      </c>
      <c r="H156" s="1746">
        <f>H159+H160+H161</f>
        <v>0</v>
      </c>
      <c r="I156" s="1746">
        <f>I159+I160+I161</f>
        <v>0</v>
      </c>
      <c r="J156" s="1751"/>
      <c r="K156" s="1751"/>
      <c r="Q156" s="1800"/>
      <c r="R156" s="1800"/>
      <c r="S156" s="1800"/>
    </row>
    <row r="157" spans="1:19" s="1764" customFormat="1" ht="15" hidden="1" x14ac:dyDescent="0.25">
      <c r="A157" s="3053"/>
      <c r="B157" s="1788"/>
      <c r="C157" s="1749"/>
      <c r="D157" s="1749"/>
      <c r="E157" s="1749"/>
      <c r="F157" s="1768"/>
      <c r="G157" s="1751"/>
      <c r="H157" s="1751"/>
      <c r="I157" s="1751"/>
      <c r="J157" s="1751"/>
      <c r="K157" s="1751"/>
    </row>
    <row r="158" spans="1:19" s="1764" customFormat="1" ht="15" hidden="1" x14ac:dyDescent="0.25">
      <c r="A158" s="3053"/>
      <c r="B158" s="1788"/>
      <c r="C158" s="1749"/>
      <c r="D158" s="1749"/>
      <c r="E158" s="1749"/>
      <c r="F158" s="1768"/>
      <c r="G158" s="1751"/>
      <c r="H158" s="1751"/>
      <c r="I158" s="1751"/>
      <c r="J158" s="1751"/>
      <c r="K158" s="1751"/>
      <c r="Q158" s="1800"/>
      <c r="R158" s="1800"/>
      <c r="S158" s="1800"/>
    </row>
    <row r="159" spans="1:19" s="1764" customFormat="1" hidden="1" x14ac:dyDescent="0.2">
      <c r="A159" s="1747" t="s">
        <v>573</v>
      </c>
      <c r="B159" s="1788"/>
      <c r="C159" s="1749">
        <f>'36'!E15</f>
        <v>0</v>
      </c>
      <c r="D159" s="1749">
        <v>0</v>
      </c>
      <c r="E159" s="1749">
        <v>0</v>
      </c>
      <c r="F159" s="1750">
        <v>0</v>
      </c>
      <c r="G159" s="1720">
        <v>0</v>
      </c>
      <c r="H159" s="1720"/>
      <c r="I159" s="1720">
        <v>0</v>
      </c>
      <c r="J159" s="1751"/>
      <c r="K159" s="1751"/>
      <c r="Q159" s="1800"/>
      <c r="R159" s="1800"/>
      <c r="S159" s="1800"/>
    </row>
    <row r="160" spans="1:19" s="1764" customFormat="1" hidden="1" x14ac:dyDescent="0.2">
      <c r="A160" s="1747" t="s">
        <v>574</v>
      </c>
      <c r="B160" s="1788"/>
      <c r="C160" s="1749">
        <f>'36'!E16</f>
        <v>0</v>
      </c>
      <c r="D160" s="1749">
        <f>'36'!F16</f>
        <v>0</v>
      </c>
      <c r="E160" s="1749">
        <f>'36'!G16</f>
        <v>0</v>
      </c>
      <c r="F160" s="1750">
        <v>0</v>
      </c>
      <c r="G160" s="1721">
        <v>0</v>
      </c>
      <c r="H160" s="1721">
        <v>0</v>
      </c>
      <c r="I160" s="1721">
        <v>0</v>
      </c>
      <c r="J160" s="1751"/>
      <c r="K160" s="1751"/>
      <c r="Q160" s="1800"/>
      <c r="R160" s="1800"/>
      <c r="S160" s="1800"/>
    </row>
    <row r="161" spans="1:20" s="1764" customFormat="1" hidden="1" x14ac:dyDescent="0.2">
      <c r="A161" s="1754" t="s">
        <v>1060</v>
      </c>
      <c r="B161" s="1788"/>
      <c r="C161" s="1749">
        <f>'36'!E17</f>
        <v>0</v>
      </c>
      <c r="D161" s="1749">
        <f>'36'!F17</f>
        <v>0</v>
      </c>
      <c r="E161" s="1749">
        <f>'36'!G17</f>
        <v>0</v>
      </c>
      <c r="F161" s="1757">
        <v>0</v>
      </c>
      <c r="G161" s="1722">
        <v>0</v>
      </c>
      <c r="H161" s="1723">
        <v>0</v>
      </c>
      <c r="I161" s="1723">
        <v>0</v>
      </c>
      <c r="J161" s="1751"/>
      <c r="K161" s="1751"/>
      <c r="Q161" s="1800"/>
      <c r="R161" s="1800"/>
      <c r="S161" s="1800"/>
    </row>
    <row r="162" spans="1:20" s="1729" customFormat="1" ht="15" hidden="1" customHeight="1" x14ac:dyDescent="0.25">
      <c r="A162" s="3055" t="s">
        <v>1399</v>
      </c>
      <c r="B162" s="1798">
        <v>37</v>
      </c>
      <c r="C162" s="1762">
        <f>SUM(C165:C167)</f>
        <v>0</v>
      </c>
      <c r="D162" s="1762">
        <f>SUM(D165:D167)</f>
        <v>0</v>
      </c>
      <c r="E162" s="1762">
        <f>SUM(E165:E167)</f>
        <v>0</v>
      </c>
      <c r="F162" s="1768">
        <v>0</v>
      </c>
      <c r="G162" s="1746">
        <f>SUM(G165:G167)</f>
        <v>0</v>
      </c>
      <c r="H162" s="1746">
        <f>SUM(H165:H167)</f>
        <v>0</v>
      </c>
      <c r="I162" s="1746">
        <f>SUM(I165:I167)</f>
        <v>0</v>
      </c>
      <c r="J162" s="1746"/>
      <c r="K162" s="1746"/>
    </row>
    <row r="163" spans="1:20" s="1729" customFormat="1" ht="15" hidden="1" x14ac:dyDescent="0.25">
      <c r="A163" s="3053"/>
      <c r="B163" s="1788"/>
      <c r="C163" s="1773"/>
      <c r="D163" s="1773"/>
      <c r="E163" s="1773"/>
      <c r="F163" s="1768"/>
      <c r="G163" s="1746"/>
      <c r="H163" s="1746"/>
      <c r="I163" s="1746"/>
      <c r="J163" s="1746"/>
      <c r="K163" s="1746"/>
    </row>
    <row r="164" spans="1:20" s="1729" customFormat="1" ht="15" hidden="1" x14ac:dyDescent="0.25">
      <c r="A164" s="3053"/>
      <c r="B164" s="1788"/>
      <c r="C164" s="1773"/>
      <c r="D164" s="1773"/>
      <c r="E164" s="1773"/>
      <c r="F164" s="1768"/>
      <c r="G164" s="1746"/>
      <c r="H164" s="1746"/>
      <c r="I164" s="1746"/>
      <c r="J164" s="1746"/>
      <c r="K164" s="1746"/>
    </row>
    <row r="165" spans="1:20" s="1764" customFormat="1" hidden="1" x14ac:dyDescent="0.2">
      <c r="A165" s="1747" t="s">
        <v>573</v>
      </c>
      <c r="B165" s="1788"/>
      <c r="C165" s="1749">
        <f>'37'!E16</f>
        <v>0</v>
      </c>
      <c r="D165" s="1749">
        <v>0</v>
      </c>
      <c r="E165" s="1749">
        <v>0</v>
      </c>
      <c r="F165" s="1750">
        <v>0</v>
      </c>
      <c r="G165" s="1720">
        <v>0</v>
      </c>
      <c r="H165" s="1720">
        <v>0</v>
      </c>
      <c r="I165" s="1720">
        <v>0</v>
      </c>
      <c r="J165" s="1751"/>
      <c r="K165" s="1751"/>
    </row>
    <row r="166" spans="1:20" s="1764" customFormat="1" hidden="1" x14ac:dyDescent="0.2">
      <c r="A166" s="1747" t="s">
        <v>574</v>
      </c>
      <c r="B166" s="1788"/>
      <c r="C166" s="1749">
        <f>'37'!E17</f>
        <v>0</v>
      </c>
      <c r="D166" s="1749">
        <f>'37'!F17</f>
        <v>0</v>
      </c>
      <c r="E166" s="1749">
        <f>'37'!G17</f>
        <v>0</v>
      </c>
      <c r="F166" s="1750">
        <v>0</v>
      </c>
      <c r="G166" s="1721">
        <v>0</v>
      </c>
      <c r="H166" s="1721">
        <v>0</v>
      </c>
      <c r="I166" s="1721">
        <v>0</v>
      </c>
      <c r="J166" s="1751"/>
      <c r="K166" s="1751"/>
    </row>
    <row r="167" spans="1:20" s="1764" customFormat="1" hidden="1" x14ac:dyDescent="0.2">
      <c r="A167" s="1754" t="s">
        <v>1060</v>
      </c>
      <c r="B167" s="1807"/>
      <c r="C167" s="1756">
        <f>'37'!E18</f>
        <v>0</v>
      </c>
      <c r="D167" s="1756">
        <f>'37'!F18</f>
        <v>0</v>
      </c>
      <c r="E167" s="1756">
        <f>'37'!G18</f>
        <v>0</v>
      </c>
      <c r="F167" s="1757">
        <v>0</v>
      </c>
      <c r="G167" s="1722">
        <v>0</v>
      </c>
      <c r="H167" s="1723">
        <v>0</v>
      </c>
      <c r="I167" s="1723">
        <v>0</v>
      </c>
      <c r="J167" s="1751"/>
      <c r="K167" s="1751"/>
    </row>
    <row r="168" spans="1:20" s="1764" customFormat="1" ht="15.75" customHeight="1" x14ac:dyDescent="0.2">
      <c r="A168" s="3055" t="s">
        <v>32</v>
      </c>
      <c r="B168" s="1788"/>
      <c r="C168" s="1808"/>
      <c r="D168" s="1808"/>
      <c r="E168" s="1808"/>
      <c r="F168" s="1809"/>
      <c r="G168" s="1751"/>
      <c r="H168" s="1751"/>
      <c r="I168" s="1751"/>
      <c r="J168" s="1751"/>
      <c r="K168" s="1751"/>
      <c r="L168" s="1751"/>
      <c r="M168" s="1751"/>
      <c r="Q168" s="1728"/>
    </row>
    <row r="169" spans="1:20" s="1764" customFormat="1" ht="16.5" customHeight="1" x14ac:dyDescent="0.25">
      <c r="A169" s="3053"/>
      <c r="B169" s="1788">
        <v>50</v>
      </c>
      <c r="C169" s="1955">
        <f>C170+C171+C172</f>
        <v>236135</v>
      </c>
      <c r="D169" s="1955">
        <f>D170+D171+D172</f>
        <v>649418</v>
      </c>
      <c r="E169" s="1955">
        <f>E170+E171+E172</f>
        <v>683880</v>
      </c>
      <c r="F169" s="1768">
        <f>E169/D169*100</f>
        <v>105.30659759969696</v>
      </c>
      <c r="G169" s="1746">
        <f>SUM(G170:G172)</f>
        <v>236135000</v>
      </c>
      <c r="H169" s="1746">
        <f>SUM(H170:H172)</f>
        <v>649418386.59000003</v>
      </c>
      <c r="I169" s="1746">
        <f>SUM(I170:I172)</f>
        <v>683880235.83999991</v>
      </c>
      <c r="J169" s="1746"/>
      <c r="Q169" s="1728"/>
    </row>
    <row r="170" spans="1:20" s="1764" customFormat="1" x14ac:dyDescent="0.2">
      <c r="A170" s="1747" t="s">
        <v>573</v>
      </c>
      <c r="B170" s="1788"/>
      <c r="C170" s="1749">
        <f>'50'!E389</f>
        <v>0</v>
      </c>
      <c r="D170" s="1749">
        <f>'50'!F389</f>
        <v>73</v>
      </c>
      <c r="E170" s="1749">
        <f>'50'!G389</f>
        <v>73</v>
      </c>
      <c r="F170" s="1750">
        <f>E170/D170*100</f>
        <v>100</v>
      </c>
      <c r="G170" s="1721">
        <f>'50'!K389</f>
        <v>0</v>
      </c>
      <c r="H170" s="1721">
        <f>'50'!L389</f>
        <v>72563.7</v>
      </c>
      <c r="I170" s="1721">
        <f>'50'!M389</f>
        <v>72931.289999999994</v>
      </c>
      <c r="J170" s="1751"/>
      <c r="Q170" s="1728"/>
    </row>
    <row r="171" spans="1:20" s="1764" customFormat="1" x14ac:dyDescent="0.2">
      <c r="A171" s="1747" t="s">
        <v>574</v>
      </c>
      <c r="B171" s="1788"/>
      <c r="C171" s="1749">
        <f>'50'!E390</f>
        <v>236135</v>
      </c>
      <c r="D171" s="1749">
        <f>'50'!F390</f>
        <v>649345</v>
      </c>
      <c r="E171" s="1749">
        <f>'50'!G390</f>
        <v>586487</v>
      </c>
      <c r="F171" s="1750">
        <f>E171/D171*100</f>
        <v>90.319783782118904</v>
      </c>
      <c r="G171" s="2865">
        <f>'50'!K390</f>
        <v>236135000</v>
      </c>
      <c r="H171" s="1721">
        <f>'50'!L390</f>
        <v>649345822.88999999</v>
      </c>
      <c r="I171" s="1721">
        <f>'50'!M390</f>
        <v>586487536.25999999</v>
      </c>
      <c r="J171" s="1751"/>
      <c r="Q171" s="1728"/>
    </row>
    <row r="172" spans="1:20" s="1764" customFormat="1" x14ac:dyDescent="0.2">
      <c r="A172" s="1754" t="s">
        <v>1060</v>
      </c>
      <c r="B172" s="1807"/>
      <c r="C172" s="1756">
        <f>'50'!E391</f>
        <v>0</v>
      </c>
      <c r="D172" s="1756">
        <f>'50'!F391</f>
        <v>0</v>
      </c>
      <c r="E172" s="1756">
        <f>'50'!G391</f>
        <v>97320</v>
      </c>
      <c r="F172" s="1757">
        <v>0</v>
      </c>
      <c r="G172" s="1723">
        <f>'50'!K391</f>
        <v>0</v>
      </c>
      <c r="H172" s="1723">
        <f>'50'!L391</f>
        <v>0</v>
      </c>
      <c r="I172" s="1723">
        <f>'50'!M391</f>
        <v>97319768.290000007</v>
      </c>
      <c r="J172" s="1751"/>
      <c r="Q172" s="1728"/>
    </row>
    <row r="173" spans="1:20" s="1764" customFormat="1" ht="16.5" customHeight="1" x14ac:dyDescent="0.2">
      <c r="A173" s="3062" t="s">
        <v>834</v>
      </c>
      <c r="B173" s="1788"/>
      <c r="C173" s="1749"/>
      <c r="D173" s="1749"/>
      <c r="E173" s="1749"/>
      <c r="F173" s="1750"/>
      <c r="G173" s="1751"/>
      <c r="H173" s="1751"/>
      <c r="I173" s="1751"/>
      <c r="J173" s="1751"/>
      <c r="Q173" s="1764" t="s">
        <v>1736</v>
      </c>
    </row>
    <row r="174" spans="1:20" s="1764" customFormat="1" ht="13.5" customHeight="1" x14ac:dyDescent="0.2">
      <c r="A174" s="3063"/>
      <c r="B174" s="1788">
        <v>52</v>
      </c>
      <c r="C174" s="1956">
        <f>C175+C176+C177</f>
        <v>76510</v>
      </c>
      <c r="D174" s="1956">
        <f>D175+D176+D177</f>
        <v>266383</v>
      </c>
      <c r="E174" s="1956">
        <f>E175+E176+E177</f>
        <v>403350</v>
      </c>
      <c r="F174" s="1957">
        <f>E174/D174*100</f>
        <v>151.41732017433546</v>
      </c>
      <c r="G174" s="1958">
        <f>SUM(G175:G177)</f>
        <v>76510000</v>
      </c>
      <c r="H174" s="1958">
        <f>SUM(H175:H177)</f>
        <v>266382620.94999999</v>
      </c>
      <c r="I174" s="1958">
        <f>SUM(I175:I177)</f>
        <v>403349986.88999999</v>
      </c>
      <c r="J174" s="1746"/>
      <c r="Q174" s="1728" t="s">
        <v>1280</v>
      </c>
      <c r="R174" s="1733">
        <f>C153+C159+C165+C170+C175+C149</f>
        <v>496</v>
      </c>
      <c r="S174" s="1733">
        <f>D153+D159+D165+D170+D175+D149</f>
        <v>3838</v>
      </c>
      <c r="T174" s="1733">
        <f>E153+E159+E165+E170+E175+E149</f>
        <v>2525</v>
      </c>
    </row>
    <row r="175" spans="1:20" s="1764" customFormat="1" x14ac:dyDescent="0.2">
      <c r="A175" s="1747" t="s">
        <v>573</v>
      </c>
      <c r="B175" s="1788"/>
      <c r="C175" s="1749">
        <f>'52'!E597</f>
        <v>0</v>
      </c>
      <c r="D175" s="1749">
        <f>'52'!F597</f>
        <v>2696</v>
      </c>
      <c r="E175" s="1749">
        <f>'52'!G597</f>
        <v>2402</v>
      </c>
      <c r="F175" s="1750">
        <f>E175/D175*100</f>
        <v>89.09495548961425</v>
      </c>
      <c r="G175" s="1721">
        <f>'52'!J597</f>
        <v>0</v>
      </c>
      <c r="H175" s="1721">
        <f>'52'!K597</f>
        <v>2695412.72</v>
      </c>
      <c r="I175" s="1721">
        <f>'52'!L597</f>
        <v>2401677.7200000002</v>
      </c>
      <c r="J175" s="1751"/>
      <c r="Q175" s="1728" t="s">
        <v>1281</v>
      </c>
      <c r="R175" s="1733">
        <f>C154+C160+C166+C171+C176</f>
        <v>312645</v>
      </c>
      <c r="S175" s="1733">
        <f>D154+D160+D166+D171+D176+D150</f>
        <v>913032</v>
      </c>
      <c r="T175" s="1733">
        <f>E154+E160+E166+E171+E176+E150</f>
        <v>822444</v>
      </c>
    </row>
    <row r="176" spans="1:20" s="1764" customFormat="1" x14ac:dyDescent="0.2">
      <c r="A176" s="1747" t="s">
        <v>574</v>
      </c>
      <c r="B176" s="1788"/>
      <c r="C176" s="1749">
        <f>'52'!E598</f>
        <v>76510</v>
      </c>
      <c r="D176" s="1749">
        <f>'52'!F598</f>
        <v>263687</v>
      </c>
      <c r="E176" s="1749">
        <f>'52'!G598</f>
        <v>235957</v>
      </c>
      <c r="F176" s="1750">
        <f>E176/D176*100</f>
        <v>89.483743984345082</v>
      </c>
      <c r="G176" s="1721">
        <f>'52'!J598</f>
        <v>76510000</v>
      </c>
      <c r="H176" s="1721">
        <f>'52'!K598</f>
        <v>263687208.22999999</v>
      </c>
      <c r="I176" s="1721">
        <f>'52'!L598</f>
        <v>235957648.06999999</v>
      </c>
      <c r="J176" s="1751"/>
      <c r="Q176" s="1728" t="s">
        <v>817</v>
      </c>
      <c r="R176" s="1733">
        <f>C155+C161+C167+C172+C177</f>
        <v>0</v>
      </c>
      <c r="S176" s="1733">
        <f>D155+D161+D167+D172+D177</f>
        <v>0</v>
      </c>
      <c r="T176" s="1733">
        <f>E151+E155+E172+E177</f>
        <v>298967</v>
      </c>
    </row>
    <row r="177" spans="1:20" s="1764" customFormat="1" ht="15" thickBot="1" x14ac:dyDescent="0.25">
      <c r="A177" s="1934" t="s">
        <v>1060</v>
      </c>
      <c r="B177" s="1892"/>
      <c r="C177" s="1778">
        <f>'52'!E599</f>
        <v>0</v>
      </c>
      <c r="D177" s="1778">
        <f>'52'!F599</f>
        <v>0</v>
      </c>
      <c r="E177" s="1778">
        <f>'52'!G599</f>
        <v>164991</v>
      </c>
      <c r="F177" s="1779">
        <v>0</v>
      </c>
      <c r="G177" s="1723">
        <f>'52'!J599</f>
        <v>0</v>
      </c>
      <c r="H177" s="1723">
        <f>'52'!K599</f>
        <v>0</v>
      </c>
      <c r="I177" s="1723">
        <f>'52'!L599</f>
        <v>164990661.09999999</v>
      </c>
      <c r="J177" s="1751"/>
      <c r="Q177" s="1764" t="s">
        <v>612</v>
      </c>
      <c r="R177" s="1800">
        <f>R174+R175+R176</f>
        <v>313141</v>
      </c>
      <c r="S177" s="1800">
        <f>S174+S175+S176</f>
        <v>916870</v>
      </c>
      <c r="T177" s="1800">
        <f>T174+T175+T176</f>
        <v>1123936</v>
      </c>
    </row>
    <row r="178" spans="1:20" s="1764" customFormat="1" ht="15.75" thickTop="1" thickBot="1" x14ac:dyDescent="0.25">
      <c r="A178" s="1812"/>
      <c r="B178" s="2862"/>
      <c r="C178" s="1813"/>
      <c r="D178" s="1813"/>
      <c r="E178" s="1813"/>
      <c r="F178" s="1814"/>
      <c r="G178" s="1725"/>
      <c r="H178" s="1725"/>
      <c r="I178" s="1725"/>
      <c r="J178" s="1751"/>
      <c r="K178" s="1751"/>
      <c r="R178" s="1800"/>
      <c r="S178" s="1800"/>
      <c r="T178" s="1800"/>
    </row>
    <row r="179" spans="1:20" s="1764" customFormat="1" ht="15.75" thickTop="1" thickBot="1" x14ac:dyDescent="0.25">
      <c r="A179" s="2858"/>
      <c r="B179" s="2859"/>
      <c r="C179" s="2860"/>
      <c r="D179" s="2860"/>
      <c r="E179" s="2860"/>
      <c r="F179" s="2861"/>
      <c r="G179" s="1725"/>
      <c r="H179" s="1725"/>
      <c r="I179" s="1725"/>
      <c r="J179" s="1751"/>
      <c r="K179" s="1751"/>
      <c r="R179" s="1800"/>
      <c r="S179" s="1800"/>
      <c r="T179" s="1800"/>
    </row>
    <row r="180" spans="1:20" s="1764" customFormat="1" ht="27" thickTop="1" thickBot="1" x14ac:dyDescent="0.25">
      <c r="A180" s="1734" t="s">
        <v>568</v>
      </c>
      <c r="B180" s="1735" t="s">
        <v>571</v>
      </c>
      <c r="C180" s="1736" t="s">
        <v>569</v>
      </c>
      <c r="D180" s="1736" t="s">
        <v>570</v>
      </c>
      <c r="E180" s="1736" t="s">
        <v>797</v>
      </c>
      <c r="F180" s="1737" t="s">
        <v>798</v>
      </c>
      <c r="G180" s="1725"/>
      <c r="H180" s="1725"/>
      <c r="I180" s="1725"/>
      <c r="J180" s="1751"/>
      <c r="K180" s="1751"/>
      <c r="R180" s="1800"/>
      <c r="S180" s="1800"/>
      <c r="T180" s="1800"/>
    </row>
    <row r="181" spans="1:20" s="1764" customFormat="1" ht="15.75" thickTop="1" thickBot="1" x14ac:dyDescent="0.25">
      <c r="A181" s="1783">
        <v>1</v>
      </c>
      <c r="B181" s="1784">
        <v>2</v>
      </c>
      <c r="C181" s="1785">
        <v>3</v>
      </c>
      <c r="D181" s="1785">
        <v>4</v>
      </c>
      <c r="E181" s="1785">
        <v>5</v>
      </c>
      <c r="F181" s="1786" t="s">
        <v>387</v>
      </c>
      <c r="G181" s="1725"/>
      <c r="H181" s="1725"/>
      <c r="I181" s="1725"/>
      <c r="J181" s="1751"/>
      <c r="K181" s="1751"/>
      <c r="R181" s="1800"/>
      <c r="S181" s="1800"/>
      <c r="T181" s="1800"/>
    </row>
    <row r="182" spans="1:20" s="1764" customFormat="1" ht="14.25" customHeight="1" thickTop="1" x14ac:dyDescent="0.2">
      <c r="A182" s="3053" t="s">
        <v>847</v>
      </c>
      <c r="B182" s="1788"/>
      <c r="C182" s="1749"/>
      <c r="D182" s="1749"/>
      <c r="E182" s="1749"/>
      <c r="F182" s="1750"/>
      <c r="G182" s="1751"/>
      <c r="H182" s="1751"/>
      <c r="I182" s="1751"/>
      <c r="J182" s="1751"/>
      <c r="K182" s="1751"/>
    </row>
    <row r="183" spans="1:20" s="1764" customFormat="1" ht="15" x14ac:dyDescent="0.25">
      <c r="A183" s="3053"/>
      <c r="B183" s="1788">
        <v>56</v>
      </c>
      <c r="C183" s="1773">
        <f>C184+C185+C186</f>
        <v>0</v>
      </c>
      <c r="D183" s="1773">
        <f>D184+D185+D186</f>
        <v>13554</v>
      </c>
      <c r="E183" s="1773">
        <f>E184+E185+E186</f>
        <v>13529</v>
      </c>
      <c r="F183" s="1768">
        <f>E183/D183*100</f>
        <v>99.815552604397226</v>
      </c>
      <c r="G183" s="1746">
        <f>SUM(G184:G186)</f>
        <v>0</v>
      </c>
      <c r="H183" s="1746">
        <f>SUM(H184:H186)</f>
        <v>13554245.630000001</v>
      </c>
      <c r="I183" s="1746">
        <f>SUM(I184:I186)</f>
        <v>13529451.359999999</v>
      </c>
      <c r="J183" s="1746"/>
      <c r="K183" s="1746"/>
    </row>
    <row r="184" spans="1:20" s="1764" customFormat="1" x14ac:dyDescent="0.2">
      <c r="A184" s="1747" t="s">
        <v>573</v>
      </c>
      <c r="B184" s="1788"/>
      <c r="C184" s="1749">
        <f>'56'!E411</f>
        <v>0</v>
      </c>
      <c r="D184" s="1749">
        <f>'56'!F411</f>
        <v>13554</v>
      </c>
      <c r="E184" s="1749">
        <f>'56'!G411</f>
        <v>13529</v>
      </c>
      <c r="F184" s="1750">
        <f>E184/D184*100</f>
        <v>99.815552604397226</v>
      </c>
      <c r="G184" s="1724">
        <f>'56'!J411</f>
        <v>0</v>
      </c>
      <c r="H184" s="1725">
        <f>'56'!K411</f>
        <v>13554245.630000001</v>
      </c>
      <c r="I184" s="1725">
        <f>'56'!L411</f>
        <v>13529451.359999999</v>
      </c>
      <c r="J184" s="1751"/>
      <c r="K184" s="1751"/>
      <c r="Q184" s="1800"/>
      <c r="R184" s="1800"/>
      <c r="S184" s="1800"/>
    </row>
    <row r="185" spans="1:20" s="1764" customFormat="1" x14ac:dyDescent="0.2">
      <c r="A185" s="1747" t="s">
        <v>574</v>
      </c>
      <c r="B185" s="1788"/>
      <c r="C185" s="1749">
        <f>'56'!E412</f>
        <v>0</v>
      </c>
      <c r="D185" s="1749">
        <f>'56'!F412</f>
        <v>0</v>
      </c>
      <c r="E185" s="1749">
        <f>'56'!G412</f>
        <v>0</v>
      </c>
      <c r="F185" s="1750">
        <v>0</v>
      </c>
      <c r="G185" s="1724">
        <f>'56'!J412</f>
        <v>0</v>
      </c>
      <c r="H185" s="1725">
        <f>'56'!K412</f>
        <v>0</v>
      </c>
      <c r="I185" s="1725">
        <f>'56'!L412</f>
        <v>0</v>
      </c>
      <c r="J185" s="1751"/>
      <c r="K185" s="1751"/>
    </row>
    <row r="186" spans="1:20" s="1764" customFormat="1" x14ac:dyDescent="0.2">
      <c r="A186" s="1754" t="s">
        <v>1060</v>
      </c>
      <c r="B186" s="1807"/>
      <c r="C186" s="1756">
        <f>'56'!E413</f>
        <v>0</v>
      </c>
      <c r="D186" s="1756">
        <f>'56'!F413</f>
        <v>0</v>
      </c>
      <c r="E186" s="1756">
        <f>'56'!G413</f>
        <v>0</v>
      </c>
      <c r="F186" s="1757">
        <v>0</v>
      </c>
      <c r="G186" s="1722">
        <f>'56'!J413</f>
        <v>0</v>
      </c>
      <c r="H186" s="1723">
        <f>'56'!K413</f>
        <v>0</v>
      </c>
      <c r="I186" s="1723">
        <f>'56'!L413</f>
        <v>0</v>
      </c>
      <c r="J186" s="1751"/>
      <c r="K186" s="1751"/>
      <c r="Q186" s="1800"/>
      <c r="R186" s="1800"/>
      <c r="S186" s="1800"/>
    </row>
    <row r="187" spans="1:20" s="1764" customFormat="1" ht="14.25" customHeight="1" x14ac:dyDescent="0.2">
      <c r="A187" s="3055" t="s">
        <v>685</v>
      </c>
      <c r="B187" s="1788"/>
      <c r="C187" s="1749"/>
      <c r="D187" s="1749"/>
      <c r="E187" s="1749"/>
      <c r="F187" s="1750"/>
      <c r="G187" s="1751"/>
      <c r="H187" s="1751"/>
      <c r="I187" s="1751"/>
      <c r="J187" s="1751"/>
      <c r="K187" s="1751"/>
      <c r="Q187" s="1800"/>
      <c r="R187" s="1800"/>
      <c r="S187" s="1800"/>
    </row>
    <row r="188" spans="1:20" s="1764" customFormat="1" ht="15" x14ac:dyDescent="0.25">
      <c r="A188" s="3053"/>
      <c r="B188" s="1788"/>
      <c r="C188" s="1773"/>
      <c r="D188" s="1773"/>
      <c r="E188" s="1773"/>
      <c r="F188" s="1768"/>
      <c r="G188" s="1746"/>
      <c r="H188" s="1746"/>
      <c r="I188" s="1746"/>
      <c r="J188" s="1746"/>
      <c r="K188" s="1746"/>
      <c r="Q188" s="1800"/>
      <c r="R188" s="1800"/>
      <c r="S188" s="1800"/>
    </row>
    <row r="189" spans="1:20" s="1764" customFormat="1" ht="30.75" customHeight="1" x14ac:dyDescent="0.25">
      <c r="A189" s="3053"/>
      <c r="B189" s="1788">
        <v>57</v>
      </c>
      <c r="C189" s="1773">
        <f>C190+C191+C192</f>
        <v>0</v>
      </c>
      <c r="D189" s="1773">
        <f>D190+D191+D192</f>
        <v>6952</v>
      </c>
      <c r="E189" s="1773">
        <f>E190+E191+E192</f>
        <v>6941</v>
      </c>
      <c r="F189" s="1768">
        <f>E189/D189*100</f>
        <v>99.841772151898738</v>
      </c>
      <c r="G189" s="1746">
        <f>SUM(G190:G192)</f>
        <v>0</v>
      </c>
      <c r="H189" s="1746">
        <f>SUM(H190:H192)</f>
        <v>6951986.96</v>
      </c>
      <c r="I189" s="1746">
        <f>SUM(I190:I192)</f>
        <v>6940908.3600000003</v>
      </c>
      <c r="J189" s="1746"/>
      <c r="K189" s="1746"/>
      <c r="Q189" s="1800"/>
      <c r="R189" s="1800"/>
      <c r="S189" s="1800"/>
    </row>
    <row r="190" spans="1:20" s="1764" customFormat="1" x14ac:dyDescent="0.2">
      <c r="A190" s="1747" t="s">
        <v>573</v>
      </c>
      <c r="B190" s="1788"/>
      <c r="C190" s="1749">
        <f>'57'!E233</f>
        <v>0</v>
      </c>
      <c r="D190" s="1749">
        <f>'57'!F233</f>
        <v>6952</v>
      </c>
      <c r="E190" s="1749">
        <f>'57'!G233</f>
        <v>6941</v>
      </c>
      <c r="F190" s="1750">
        <f>E190/D190*100</f>
        <v>99.841772151898738</v>
      </c>
      <c r="G190" s="1724">
        <f>'57'!J233</f>
        <v>0</v>
      </c>
      <c r="H190" s="1725">
        <f>'57'!K233</f>
        <v>6951986.96</v>
      </c>
      <c r="I190" s="1725">
        <f>'57'!L233</f>
        <v>6940908.3600000003</v>
      </c>
      <c r="J190" s="1751"/>
      <c r="K190" s="1751"/>
    </row>
    <row r="191" spans="1:20" s="1764" customFormat="1" x14ac:dyDescent="0.2">
      <c r="A191" s="1747" t="s">
        <v>574</v>
      </c>
      <c r="B191" s="1788"/>
      <c r="C191" s="1749">
        <f>'57'!E234</f>
        <v>0</v>
      </c>
      <c r="D191" s="1749">
        <f>'57'!F234</f>
        <v>0</v>
      </c>
      <c r="E191" s="1749">
        <f>'57'!G234</f>
        <v>0</v>
      </c>
      <c r="F191" s="1750">
        <v>0</v>
      </c>
      <c r="G191" s="1724">
        <f>'57'!J234</f>
        <v>0</v>
      </c>
      <c r="H191" s="1725">
        <f>'57'!K234</f>
        <v>0</v>
      </c>
      <c r="I191" s="1725">
        <f>'57'!L234</f>
        <v>0</v>
      </c>
      <c r="J191" s="1751"/>
      <c r="K191" s="1751"/>
    </row>
    <row r="192" spans="1:20" s="1764" customFormat="1" x14ac:dyDescent="0.2">
      <c r="A192" s="1754" t="s">
        <v>1060</v>
      </c>
      <c r="B192" s="1807"/>
      <c r="C192" s="1756">
        <f>'57'!E235</f>
        <v>0</v>
      </c>
      <c r="D192" s="1756">
        <f>'57'!F235</f>
        <v>0</v>
      </c>
      <c r="E192" s="1756">
        <f>'57'!G235</f>
        <v>0</v>
      </c>
      <c r="F192" s="1757">
        <v>0</v>
      </c>
      <c r="G192" s="1722">
        <f>'57'!J235</f>
        <v>0</v>
      </c>
      <c r="H192" s="1723">
        <f>'57'!K235</f>
        <v>0</v>
      </c>
      <c r="I192" s="1723">
        <f>'57'!L235</f>
        <v>0</v>
      </c>
      <c r="J192" s="1751"/>
      <c r="K192" s="1751"/>
    </row>
    <row r="193" spans="1:13" s="1764" customFormat="1" ht="15" customHeight="1" x14ac:dyDescent="0.2">
      <c r="A193" s="3053" t="s">
        <v>278</v>
      </c>
      <c r="B193" s="1788"/>
      <c r="C193" s="1749"/>
      <c r="D193" s="1749"/>
      <c r="E193" s="1749"/>
      <c r="F193" s="1750"/>
      <c r="G193" s="1751"/>
      <c r="H193" s="1751"/>
      <c r="I193" s="1751"/>
      <c r="J193" s="1751"/>
      <c r="K193" s="1751"/>
    </row>
    <row r="194" spans="1:13" s="1764" customFormat="1" ht="29.25" customHeight="1" x14ac:dyDescent="0.25">
      <c r="A194" s="3053"/>
      <c r="B194" s="1788">
        <v>58</v>
      </c>
      <c r="C194" s="1773">
        <f>C195+C196+C197</f>
        <v>0</v>
      </c>
      <c r="D194" s="1773">
        <f>D195+D196+D197</f>
        <v>12728</v>
      </c>
      <c r="E194" s="1773">
        <f>E195+E196+E197</f>
        <v>12706</v>
      </c>
      <c r="F194" s="1768">
        <f>E194/D194*100</f>
        <v>99.82715273412947</v>
      </c>
      <c r="G194" s="1959">
        <f>SUM(G195:G197)</f>
        <v>0</v>
      </c>
      <c r="H194" s="1746">
        <f>SUM(H195:H197)</f>
        <v>12728224.74</v>
      </c>
      <c r="I194" s="1746">
        <f>SUM(I195:I197)</f>
        <v>12705545.960000001</v>
      </c>
      <c r="J194" s="1746"/>
      <c r="K194" s="1746"/>
    </row>
    <row r="195" spans="1:13" s="1764" customFormat="1" x14ac:dyDescent="0.2">
      <c r="A195" s="1747" t="s">
        <v>573</v>
      </c>
      <c r="B195" s="1788"/>
      <c r="C195" s="1749">
        <f>'58'!E223</f>
        <v>0</v>
      </c>
      <c r="D195" s="1749">
        <f>'58'!F223</f>
        <v>12728</v>
      </c>
      <c r="E195" s="1749">
        <f>'58'!G223</f>
        <v>12706</v>
      </c>
      <c r="F195" s="1750">
        <f>E195/D195*100</f>
        <v>99.82715273412947</v>
      </c>
      <c r="G195" s="1724">
        <f>'58'!J223</f>
        <v>0</v>
      </c>
      <c r="H195" s="1725">
        <f>'58'!K223</f>
        <v>12728224.74</v>
      </c>
      <c r="I195" s="1725">
        <f>'58'!L223</f>
        <v>12705545.960000001</v>
      </c>
      <c r="J195" s="1751"/>
      <c r="K195" s="1751"/>
    </row>
    <row r="196" spans="1:13" s="1764" customFormat="1" x14ac:dyDescent="0.2">
      <c r="A196" s="1747" t="s">
        <v>574</v>
      </c>
      <c r="B196" s="1788"/>
      <c r="C196" s="1749">
        <f>'58'!E224</f>
        <v>0</v>
      </c>
      <c r="D196" s="1749">
        <f>'58'!F224</f>
        <v>0</v>
      </c>
      <c r="E196" s="1749">
        <f>'58'!G224</f>
        <v>0</v>
      </c>
      <c r="F196" s="1750">
        <v>0</v>
      </c>
      <c r="G196" s="1724">
        <f>'58'!J224</f>
        <v>0</v>
      </c>
      <c r="H196" s="1725">
        <f>'58'!K224</f>
        <v>0</v>
      </c>
      <c r="I196" s="1725">
        <f>'58'!L224</f>
        <v>0</v>
      </c>
      <c r="J196" s="1751"/>
      <c r="K196" s="1751"/>
    </row>
    <row r="197" spans="1:13" s="1764" customFormat="1" x14ac:dyDescent="0.2">
      <c r="A197" s="1754" t="s">
        <v>1060</v>
      </c>
      <c r="B197" s="1807"/>
      <c r="C197" s="1756">
        <f>'58'!E225</f>
        <v>0</v>
      </c>
      <c r="D197" s="1756">
        <f>'58'!F225</f>
        <v>0</v>
      </c>
      <c r="E197" s="1756">
        <f>'58'!G225</f>
        <v>0</v>
      </c>
      <c r="F197" s="1757">
        <v>0</v>
      </c>
      <c r="G197" s="1722">
        <f>'58'!J225</f>
        <v>0</v>
      </c>
      <c r="H197" s="1723">
        <f>'58'!K225</f>
        <v>0</v>
      </c>
      <c r="I197" s="1723">
        <f>'58'!L225</f>
        <v>0</v>
      </c>
      <c r="J197" s="1751"/>
      <c r="K197" s="1751"/>
    </row>
    <row r="198" spans="1:13" s="1764" customFormat="1" ht="15" x14ac:dyDescent="0.25">
      <c r="A198" s="1810" t="s">
        <v>281</v>
      </c>
      <c r="B198" s="1788">
        <v>59</v>
      </c>
      <c r="C198" s="1773">
        <f>C199+C200+C201</f>
        <v>263958</v>
      </c>
      <c r="D198" s="1773">
        <f>D199+D200+D201</f>
        <v>359168</v>
      </c>
      <c r="E198" s="1773">
        <f>E199+E200+E201</f>
        <v>394659</v>
      </c>
      <c r="F198" s="1768">
        <f>E198/D198*100</f>
        <v>109.88144823592303</v>
      </c>
      <c r="G198" s="1746">
        <f>SUM(G199:G201)</f>
        <v>263958000</v>
      </c>
      <c r="H198" s="1746">
        <f>SUM(H199:H201)</f>
        <v>359167686.67000002</v>
      </c>
      <c r="I198" s="1746">
        <f>SUM(I199:I201)</f>
        <v>394659318.23000002</v>
      </c>
      <c r="J198" s="1746"/>
      <c r="K198" s="1746"/>
    </row>
    <row r="199" spans="1:13" s="1764" customFormat="1" x14ac:dyDescent="0.2">
      <c r="A199" s="1747" t="s">
        <v>573</v>
      </c>
      <c r="B199" s="1788"/>
      <c r="C199" s="1749">
        <f>'59'!E710</f>
        <v>6170</v>
      </c>
      <c r="D199" s="1749">
        <f>'59'!F710</f>
        <v>13657</v>
      </c>
      <c r="E199" s="1749">
        <f>'59'!G710</f>
        <v>12545</v>
      </c>
      <c r="F199" s="1750">
        <f>E199/D199*100</f>
        <v>91.857655414805592</v>
      </c>
      <c r="G199" s="1724">
        <f>'59'!J710</f>
        <v>6170000</v>
      </c>
      <c r="H199" s="1725">
        <f>'59'!K710</f>
        <v>13656994.369999999</v>
      </c>
      <c r="I199" s="1725">
        <f>'59'!L710</f>
        <v>12545454.1</v>
      </c>
      <c r="J199" s="1751"/>
      <c r="K199" s="1751"/>
    </row>
    <row r="200" spans="1:13" s="1764" customFormat="1" x14ac:dyDescent="0.2">
      <c r="A200" s="1747" t="s">
        <v>574</v>
      </c>
      <c r="B200" s="1788"/>
      <c r="C200" s="1749">
        <f>'59'!E711</f>
        <v>257788</v>
      </c>
      <c r="D200" s="1749">
        <f>'59'!F711</f>
        <v>345511</v>
      </c>
      <c r="E200" s="1749">
        <f>'59'!G711</f>
        <v>310833</v>
      </c>
      <c r="F200" s="1750">
        <f>E200/D200*100</f>
        <v>89.96327179163616</v>
      </c>
      <c r="G200" s="1724">
        <f>'59'!J711</f>
        <v>257788000</v>
      </c>
      <c r="H200" s="1725">
        <f>'59'!K711</f>
        <v>345510692.30000001</v>
      </c>
      <c r="I200" s="1725">
        <f>'59'!L711</f>
        <v>310832978.01999998</v>
      </c>
      <c r="J200" s="1751"/>
      <c r="K200" s="1751"/>
    </row>
    <row r="201" spans="1:13" s="1764" customFormat="1" x14ac:dyDescent="0.2">
      <c r="A201" s="1754" t="s">
        <v>1060</v>
      </c>
      <c r="B201" s="1807"/>
      <c r="C201" s="1756">
        <f>'59'!E712</f>
        <v>0</v>
      </c>
      <c r="D201" s="1756">
        <f>'59'!F712</f>
        <v>0</v>
      </c>
      <c r="E201" s="1756">
        <f>'59'!G712</f>
        <v>71281</v>
      </c>
      <c r="F201" s="1757">
        <v>0</v>
      </c>
      <c r="G201" s="1722">
        <f>'59'!J712</f>
        <v>0</v>
      </c>
      <c r="H201" s="1723">
        <f>'59'!K712</f>
        <v>0</v>
      </c>
      <c r="I201" s="1723">
        <f>'59'!L712</f>
        <v>71280886.109999999</v>
      </c>
      <c r="J201" s="1751"/>
      <c r="K201" s="1751"/>
    </row>
    <row r="202" spans="1:13" s="1764" customFormat="1" ht="14.25" customHeight="1" x14ac:dyDescent="0.2">
      <c r="A202" s="3055" t="s">
        <v>736</v>
      </c>
      <c r="B202" s="1788"/>
      <c r="C202" s="1749"/>
      <c r="D202" s="1749"/>
      <c r="E202" s="1749"/>
      <c r="F202" s="1750"/>
      <c r="G202" s="1751"/>
      <c r="H202" s="1751"/>
      <c r="I202" s="1751"/>
      <c r="J202" s="1751"/>
      <c r="K202" s="1751"/>
    </row>
    <row r="203" spans="1:13" s="1764" customFormat="1" ht="15" x14ac:dyDescent="0.25">
      <c r="A203" s="3053"/>
      <c r="B203" s="1788">
        <v>60</v>
      </c>
      <c r="C203" s="1773">
        <f>C204+C205+C206</f>
        <v>0</v>
      </c>
      <c r="D203" s="1773">
        <f>D204+D205+D206</f>
        <v>47275</v>
      </c>
      <c r="E203" s="1773">
        <f>E204+E205+E206</f>
        <v>79654</v>
      </c>
      <c r="F203" s="1768">
        <f>E203/D203*100</f>
        <v>168.490745637229</v>
      </c>
      <c r="G203" s="1959">
        <f>SUM(G204:G206)</f>
        <v>0</v>
      </c>
      <c r="H203" s="1746">
        <f>SUM(H204:H206)</f>
        <v>47274995.060000002</v>
      </c>
      <c r="I203" s="1746">
        <f>SUM(I204:I206)</f>
        <v>79653716.900000006</v>
      </c>
      <c r="J203" s="1746"/>
      <c r="K203" s="1746"/>
    </row>
    <row r="204" spans="1:13" s="1764" customFormat="1" x14ac:dyDescent="0.2">
      <c r="A204" s="1747" t="s">
        <v>573</v>
      </c>
      <c r="B204" s="1788"/>
      <c r="C204" s="1749">
        <f>'60'!E123</f>
        <v>0</v>
      </c>
      <c r="D204" s="1749">
        <f>'60'!F123</f>
        <v>47275</v>
      </c>
      <c r="E204" s="1749">
        <f>'60'!G123</f>
        <v>42991</v>
      </c>
      <c r="F204" s="1750">
        <f>E204/D204*100</f>
        <v>90.938127974616606</v>
      </c>
      <c r="G204" s="1724">
        <f>'60'!J123</f>
        <v>0</v>
      </c>
      <c r="H204" s="1725">
        <f>'60'!K123</f>
        <v>47274995.060000002</v>
      </c>
      <c r="I204" s="1725">
        <f>'60'!L123</f>
        <v>42990949.800000004</v>
      </c>
      <c r="J204" s="1751"/>
      <c r="K204" s="1751"/>
      <c r="L204" s="1751"/>
      <c r="M204" s="1751"/>
    </row>
    <row r="205" spans="1:13" s="1764" customFormat="1" x14ac:dyDescent="0.2">
      <c r="A205" s="1747" t="s">
        <v>574</v>
      </c>
      <c r="B205" s="1788"/>
      <c r="C205" s="1749">
        <f>'60'!E124</f>
        <v>0</v>
      </c>
      <c r="D205" s="1749">
        <f>'60'!F124</f>
        <v>0</v>
      </c>
      <c r="E205" s="1749">
        <f>'60'!G124</f>
        <v>0</v>
      </c>
      <c r="F205" s="1750">
        <v>0</v>
      </c>
      <c r="G205" s="1724">
        <f>'60'!J124</f>
        <v>0</v>
      </c>
      <c r="H205" s="1725">
        <f>'60'!K124</f>
        <v>0</v>
      </c>
      <c r="I205" s="1725">
        <f>'60'!L124</f>
        <v>0</v>
      </c>
      <c r="J205" s="1751"/>
      <c r="K205" s="1751"/>
      <c r="L205" s="1751"/>
      <c r="M205" s="1751"/>
    </row>
    <row r="206" spans="1:13" s="1764" customFormat="1" x14ac:dyDescent="0.2">
      <c r="A206" s="1754" t="s">
        <v>1060</v>
      </c>
      <c r="B206" s="1807"/>
      <c r="C206" s="1756">
        <f>'60'!E125</f>
        <v>0</v>
      </c>
      <c r="D206" s="1756">
        <f>'60'!F125</f>
        <v>0</v>
      </c>
      <c r="E206" s="1756">
        <f>'60'!G125</f>
        <v>36663</v>
      </c>
      <c r="F206" s="1757">
        <v>0</v>
      </c>
      <c r="G206" s="1722">
        <f>'60'!J125</f>
        <v>0</v>
      </c>
      <c r="H206" s="1723">
        <f>'60'!K125</f>
        <v>0</v>
      </c>
      <c r="I206" s="1723">
        <f>'60'!L125</f>
        <v>36662767.100000001</v>
      </c>
      <c r="J206" s="1865"/>
      <c r="K206" s="1751"/>
      <c r="L206" s="1751"/>
      <c r="M206" s="1751"/>
    </row>
    <row r="207" spans="1:13" s="1764" customFormat="1" ht="14.25" customHeight="1" x14ac:dyDescent="0.2">
      <c r="A207" s="3055" t="s">
        <v>431</v>
      </c>
      <c r="B207" s="1788"/>
      <c r="C207" s="1749"/>
      <c r="D207" s="1749"/>
      <c r="E207" s="1749"/>
      <c r="F207" s="1750"/>
      <c r="G207" s="1751"/>
      <c r="H207" s="1751"/>
      <c r="I207" s="1751"/>
      <c r="J207" s="1751"/>
      <c r="K207" s="1751"/>
    </row>
    <row r="208" spans="1:13" s="1764" customFormat="1" ht="15" x14ac:dyDescent="0.25">
      <c r="A208" s="3053"/>
      <c r="B208" s="1788">
        <v>63</v>
      </c>
      <c r="C208" s="1773">
        <f>C209+C210+C211</f>
        <v>0</v>
      </c>
      <c r="D208" s="1773">
        <f>D209+D210+D211</f>
        <v>30939</v>
      </c>
      <c r="E208" s="1773">
        <f>E209+E210+E211</f>
        <v>20568</v>
      </c>
      <c r="F208" s="1768">
        <v>0</v>
      </c>
      <c r="G208" s="1746">
        <f>SUM(G209:G211)</f>
        <v>0</v>
      </c>
      <c r="H208" s="1746">
        <f>SUM(H209:H211)</f>
        <v>30938651.469999999</v>
      </c>
      <c r="I208" s="1746">
        <f>SUM(I209:I211)</f>
        <v>20568068.359999999</v>
      </c>
      <c r="J208" s="1746"/>
      <c r="K208" s="1746"/>
      <c r="M208" s="1866"/>
    </row>
    <row r="209" spans="1:20" s="1764" customFormat="1" x14ac:dyDescent="0.2">
      <c r="A209" s="1747" t="s">
        <v>573</v>
      </c>
      <c r="B209" s="1788"/>
      <c r="C209" s="1749">
        <f>'63'!E142</f>
        <v>0</v>
      </c>
      <c r="D209" s="1749">
        <f>'63'!F142</f>
        <v>30617</v>
      </c>
      <c r="E209" s="1749">
        <f>'63'!G142</f>
        <v>20209</v>
      </c>
      <c r="F209" s="1750">
        <v>0</v>
      </c>
      <c r="G209" s="1724">
        <f>'63'!J142</f>
        <v>0</v>
      </c>
      <c r="H209" s="1725">
        <f>'63'!K142</f>
        <v>30616907.09</v>
      </c>
      <c r="I209" s="1725">
        <f>'63'!L142</f>
        <v>20208985.949999999</v>
      </c>
      <c r="J209" s="1751"/>
      <c r="K209" s="1751"/>
      <c r="L209" s="1751"/>
      <c r="M209" s="1751"/>
    </row>
    <row r="210" spans="1:20" s="1764" customFormat="1" x14ac:dyDescent="0.2">
      <c r="A210" s="1747" t="s">
        <v>574</v>
      </c>
      <c r="B210" s="1788"/>
      <c r="C210" s="1749">
        <f>'63'!E143</f>
        <v>0</v>
      </c>
      <c r="D210" s="1749">
        <f>'63'!F143</f>
        <v>322</v>
      </c>
      <c r="E210" s="1749">
        <f>'63'!G143</f>
        <v>289</v>
      </c>
      <c r="F210" s="1750">
        <v>0</v>
      </c>
      <c r="G210" s="1724">
        <f>'63'!J143</f>
        <v>0</v>
      </c>
      <c r="H210" s="1725">
        <f>'63'!K143</f>
        <v>321744.38</v>
      </c>
      <c r="I210" s="1725">
        <f>'63'!L143</f>
        <v>289249.28999999998</v>
      </c>
      <c r="J210" s="1751"/>
      <c r="K210" s="1751"/>
      <c r="L210" s="1751"/>
      <c r="M210" s="1751"/>
    </row>
    <row r="211" spans="1:20" s="1764" customFormat="1" ht="15.75" customHeight="1" x14ac:dyDescent="0.2">
      <c r="A211" s="1754" t="s">
        <v>1060</v>
      </c>
      <c r="B211" s="1807"/>
      <c r="C211" s="1756">
        <f>'63'!E144</f>
        <v>0</v>
      </c>
      <c r="D211" s="1756">
        <f>'63'!F144</f>
        <v>0</v>
      </c>
      <c r="E211" s="1756">
        <f>'63'!G144</f>
        <v>70</v>
      </c>
      <c r="F211" s="1757">
        <v>0</v>
      </c>
      <c r="G211" s="1722">
        <f>'63'!J144</f>
        <v>0</v>
      </c>
      <c r="H211" s="1723">
        <f>'63'!K144</f>
        <v>0</v>
      </c>
      <c r="I211" s="1723">
        <f>'63'!L144</f>
        <v>69833.119999999995</v>
      </c>
      <c r="J211" s="1751"/>
      <c r="K211" s="1867"/>
      <c r="L211" s="1867"/>
      <c r="M211" s="1867"/>
    </row>
    <row r="212" spans="1:20" s="1764" customFormat="1" x14ac:dyDescent="0.2">
      <c r="A212" s="3066" t="s">
        <v>948</v>
      </c>
      <c r="B212" s="1788"/>
      <c r="C212" s="1749"/>
      <c r="D212" s="1749"/>
      <c r="E212" s="1749"/>
      <c r="F212" s="1750"/>
      <c r="G212" s="1751"/>
      <c r="H212" s="1751"/>
      <c r="I212" s="1751"/>
      <c r="J212" s="1751"/>
      <c r="K212" s="1751"/>
    </row>
    <row r="213" spans="1:20" s="1764" customFormat="1" ht="15" x14ac:dyDescent="0.25">
      <c r="A213" s="3054"/>
      <c r="B213" s="1788">
        <v>64</v>
      </c>
      <c r="C213" s="1773">
        <f>C214+C215+C216</f>
        <v>600</v>
      </c>
      <c r="D213" s="1773">
        <f>D214+D215+D216</f>
        <v>12733</v>
      </c>
      <c r="E213" s="1773">
        <f>E214+E215+E216</f>
        <v>19684</v>
      </c>
      <c r="F213" s="1768">
        <f>E213/D213*100</f>
        <v>154.59043430456293</v>
      </c>
      <c r="G213" s="1746">
        <f>SUM(G214:G216)</f>
        <v>600000</v>
      </c>
      <c r="H213" s="1746">
        <f>SUM(H214:H216)</f>
        <v>12733241.369999999</v>
      </c>
      <c r="I213" s="1746">
        <f>SUM(I214:I216)</f>
        <v>19684715.43</v>
      </c>
      <c r="J213" s="1746"/>
      <c r="K213" s="1746"/>
    </row>
    <row r="214" spans="1:20" s="1764" customFormat="1" x14ac:dyDescent="0.2">
      <c r="A214" s="1747" t="s">
        <v>573</v>
      </c>
      <c r="B214" s="1788"/>
      <c r="C214" s="1749">
        <f>'64'!E285</f>
        <v>600</v>
      </c>
      <c r="D214" s="1749">
        <f>'64'!F285</f>
        <v>12733</v>
      </c>
      <c r="E214" s="1749">
        <f>'64'!G285</f>
        <v>9014</v>
      </c>
      <c r="F214" s="1750">
        <f>E214/D214*100</f>
        <v>70.792429121181172</v>
      </c>
      <c r="G214" s="1724">
        <f>'64'!J285</f>
        <v>600000</v>
      </c>
      <c r="H214" s="1725">
        <f>'64'!K285</f>
        <v>12733241.369999999</v>
      </c>
      <c r="I214" s="1725">
        <f>'64'!L285</f>
        <v>9014151.6699999999</v>
      </c>
      <c r="J214" s="1751"/>
      <c r="K214" s="1751"/>
    </row>
    <row r="215" spans="1:20" s="1764" customFormat="1" x14ac:dyDescent="0.2">
      <c r="A215" s="1747" t="s">
        <v>574</v>
      </c>
      <c r="B215" s="1788"/>
      <c r="C215" s="1749">
        <f>'64'!E286</f>
        <v>0</v>
      </c>
      <c r="D215" s="1749">
        <f>'64'!F286</f>
        <v>0</v>
      </c>
      <c r="E215" s="1749">
        <f>'64'!G286</f>
        <v>0</v>
      </c>
      <c r="F215" s="1750">
        <v>0</v>
      </c>
      <c r="G215" s="1724">
        <f>'64'!J286</f>
        <v>0</v>
      </c>
      <c r="H215" s="1725">
        <f>'64'!K286</f>
        <v>0</v>
      </c>
      <c r="I215" s="1725">
        <f>'64'!L286</f>
        <v>0</v>
      </c>
      <c r="J215" s="1751"/>
      <c r="K215" s="1751"/>
    </row>
    <row r="216" spans="1:20" s="1764" customFormat="1" x14ac:dyDescent="0.2">
      <c r="A216" s="1754" t="s">
        <v>1060</v>
      </c>
      <c r="B216" s="1807"/>
      <c r="C216" s="1756">
        <f>'64'!E287</f>
        <v>0</v>
      </c>
      <c r="D216" s="1756">
        <f>'64'!F287</f>
        <v>0</v>
      </c>
      <c r="E216" s="1756">
        <f>'64'!G287</f>
        <v>10670</v>
      </c>
      <c r="F216" s="1757">
        <v>0</v>
      </c>
      <c r="G216" s="1722">
        <f>'64'!J287</f>
        <v>0</v>
      </c>
      <c r="H216" s="1723">
        <f>'64'!K287</f>
        <v>0</v>
      </c>
      <c r="I216" s="1723">
        <f>'64'!L287</f>
        <v>10670563.76</v>
      </c>
      <c r="J216" s="1751"/>
      <c r="K216" s="1751"/>
    </row>
    <row r="217" spans="1:20" s="1764" customFormat="1" x14ac:dyDescent="0.2">
      <c r="A217" s="3055" t="s">
        <v>1262</v>
      </c>
      <c r="B217" s="1788"/>
      <c r="C217" s="1749"/>
      <c r="D217" s="1749"/>
      <c r="E217" s="1749"/>
      <c r="F217" s="1750"/>
      <c r="G217" s="1751"/>
      <c r="H217" s="1751"/>
      <c r="I217" s="1751"/>
      <c r="J217" s="1751"/>
      <c r="K217" s="1751"/>
      <c r="Q217" s="1728"/>
    </row>
    <row r="218" spans="1:20" s="1764" customFormat="1" ht="15" x14ac:dyDescent="0.25">
      <c r="A218" s="3054"/>
      <c r="B218" s="1788">
        <v>66</v>
      </c>
      <c r="C218" s="1773">
        <f>C219+C220+C221</f>
        <v>0</v>
      </c>
      <c r="D218" s="1773">
        <f>D219+D220+D221</f>
        <v>20192</v>
      </c>
      <c r="E218" s="1773">
        <f>E219+E220+E221</f>
        <v>20710</v>
      </c>
      <c r="F218" s="1768">
        <f>E218/D218*100</f>
        <v>102.56537242472265</v>
      </c>
      <c r="G218" s="1811">
        <f>SUM(G219:G221)</f>
        <v>0</v>
      </c>
      <c r="H218" s="1811">
        <f>SUM(H219:H221)</f>
        <v>20192105.82</v>
      </c>
      <c r="I218" s="1811">
        <f>SUM(I219:I221)</f>
        <v>20709703.469999999</v>
      </c>
      <c r="J218" s="1751"/>
      <c r="K218" s="1751"/>
      <c r="Q218" s="1728"/>
    </row>
    <row r="219" spans="1:20" s="1764" customFormat="1" x14ac:dyDescent="0.2">
      <c r="A219" s="1747" t="s">
        <v>573</v>
      </c>
      <c r="B219" s="1788"/>
      <c r="C219" s="1749">
        <f>'66'!E462</f>
        <v>0</v>
      </c>
      <c r="D219" s="1749">
        <f>'66'!F462</f>
        <v>19609</v>
      </c>
      <c r="E219" s="1749">
        <f>'66'!G462</f>
        <v>14602</v>
      </c>
      <c r="F219" s="1750">
        <f>E219/D219*100</f>
        <v>74.465806517415473</v>
      </c>
      <c r="G219" s="1724">
        <f>'66'!J462</f>
        <v>0</v>
      </c>
      <c r="H219" s="1725">
        <f>'66'!K462</f>
        <v>19609047.379999999</v>
      </c>
      <c r="I219" s="1725">
        <f>'66'!L462</f>
        <v>14601903.470000001</v>
      </c>
      <c r="J219" s="1867"/>
      <c r="K219" s="1867"/>
      <c r="Q219" s="1728"/>
    </row>
    <row r="220" spans="1:20" s="1764" customFormat="1" x14ac:dyDescent="0.2">
      <c r="A220" s="1747" t="s">
        <v>574</v>
      </c>
      <c r="B220" s="1788"/>
      <c r="C220" s="1749">
        <f>'66'!E463</f>
        <v>0</v>
      </c>
      <c r="D220" s="1749">
        <f>'66'!F463</f>
        <v>583</v>
      </c>
      <c r="E220" s="1749">
        <f>'66'!G463</f>
        <v>108</v>
      </c>
      <c r="F220" s="1750">
        <f>E220/D220*100</f>
        <v>18.524871355060036</v>
      </c>
      <c r="G220" s="1724">
        <f>'66'!J463</f>
        <v>0</v>
      </c>
      <c r="H220" s="1725">
        <f>'66'!K463</f>
        <v>583058.43999999994</v>
      </c>
      <c r="I220" s="1725">
        <f>'66'!L463</f>
        <v>107800</v>
      </c>
      <c r="J220" s="1751"/>
      <c r="K220" s="1751"/>
      <c r="Q220" s="1728"/>
    </row>
    <row r="221" spans="1:20" s="1764" customFormat="1" x14ac:dyDescent="0.2">
      <c r="A221" s="1754" t="s">
        <v>1060</v>
      </c>
      <c r="B221" s="1807"/>
      <c r="C221" s="1756">
        <f>'66'!E464</f>
        <v>0</v>
      </c>
      <c r="D221" s="1756">
        <f>'66'!F464</f>
        <v>0</v>
      </c>
      <c r="E221" s="1756">
        <f>'66'!G464</f>
        <v>6000</v>
      </c>
      <c r="F221" s="1757">
        <v>0</v>
      </c>
      <c r="G221" s="1722">
        <f>'66'!J464</f>
        <v>0</v>
      </c>
      <c r="H221" s="1723">
        <f>'66'!K464</f>
        <v>0</v>
      </c>
      <c r="I221" s="1723">
        <f>'66'!L464</f>
        <v>6000000</v>
      </c>
      <c r="J221" s="1751"/>
      <c r="K221" s="1751"/>
      <c r="Q221" s="1728"/>
    </row>
    <row r="222" spans="1:20" s="1764" customFormat="1" x14ac:dyDescent="0.2">
      <c r="A222" s="3053" t="s">
        <v>1263</v>
      </c>
      <c r="B222" s="1788"/>
      <c r="C222" s="1749"/>
      <c r="D222" s="1749"/>
      <c r="E222" s="1749"/>
      <c r="F222" s="1750"/>
      <c r="G222" s="1751"/>
      <c r="H222" s="1751"/>
      <c r="I222" s="1751"/>
      <c r="J222" s="1751"/>
      <c r="K222" s="1751"/>
      <c r="Q222" s="1764" t="s">
        <v>2140</v>
      </c>
      <c r="R222" s="1800"/>
      <c r="S222" s="1800"/>
    </row>
    <row r="223" spans="1:20" s="1764" customFormat="1" ht="15" x14ac:dyDescent="0.25">
      <c r="A223" s="3054"/>
      <c r="B223" s="1788">
        <v>67</v>
      </c>
      <c r="C223" s="1773">
        <f>C224+C225+C226</f>
        <v>0</v>
      </c>
      <c r="D223" s="1773">
        <f>D224+D225+D226</f>
        <v>7164</v>
      </c>
      <c r="E223" s="1773">
        <f>E224+E225+E226</f>
        <v>5075</v>
      </c>
      <c r="F223" s="1768">
        <f>E223/D223*100</f>
        <v>70.840312674483528</v>
      </c>
      <c r="G223" s="1811">
        <f>SUM(G224:G226)</f>
        <v>0</v>
      </c>
      <c r="H223" s="1811">
        <f>SUM(H224:H226)</f>
        <v>7163742.6799999997</v>
      </c>
      <c r="I223" s="1811">
        <f>SUM(I224:I226)</f>
        <v>5074592.95</v>
      </c>
      <c r="J223" s="1751"/>
      <c r="K223" s="1751"/>
      <c r="Q223" s="1728" t="s">
        <v>1280</v>
      </c>
      <c r="R223" s="1800">
        <f>C184+C190+C195+C199+C204+C209+C214+C219+C224</f>
        <v>6770</v>
      </c>
      <c r="S223" s="1800">
        <f>D184+D190+D195+D199+D204+D209+D214+D219+D224</f>
        <v>163789</v>
      </c>
      <c r="T223" s="1800">
        <f>E184+E190+E195+E199+E204+E209+E214+E219+E224</f>
        <v>137612</v>
      </c>
    </row>
    <row r="224" spans="1:20" s="1764" customFormat="1" x14ac:dyDescent="0.2">
      <c r="A224" s="1747" t="s">
        <v>573</v>
      </c>
      <c r="B224" s="1788"/>
      <c r="C224" s="1749">
        <f>'67'!E122</f>
        <v>0</v>
      </c>
      <c r="D224" s="1749">
        <f>'67'!F122</f>
        <v>6664</v>
      </c>
      <c r="E224" s="1749">
        <f>'67'!G122</f>
        <v>5075</v>
      </c>
      <c r="F224" s="1750">
        <f>E224/D224*100</f>
        <v>76.15546218487394</v>
      </c>
      <c r="G224" s="1724">
        <f>'67'!K122</f>
        <v>0</v>
      </c>
      <c r="H224" s="1725">
        <f>'67'!L122</f>
        <v>6663888.6799999997</v>
      </c>
      <c r="I224" s="1725">
        <f>'67'!M122</f>
        <v>5074592.95</v>
      </c>
      <c r="J224" s="1867"/>
      <c r="K224" s="1867"/>
      <c r="Q224" s="1728" t="s">
        <v>1281</v>
      </c>
      <c r="R224" s="1800">
        <f>C225+C220+C215+C210+C205+C200+C196+C191+C185</f>
        <v>257788</v>
      </c>
      <c r="S224" s="1800">
        <f>D225+D220+D215+D210+D205+D200+D196+D191+D185</f>
        <v>346916</v>
      </c>
      <c r="T224" s="1800">
        <f>E225+E220+E215+E210+E205+E200+E196+E191+E185</f>
        <v>311230</v>
      </c>
    </row>
    <row r="225" spans="1:20" s="1764" customFormat="1" x14ac:dyDescent="0.2">
      <c r="A225" s="1747" t="s">
        <v>574</v>
      </c>
      <c r="B225" s="1788"/>
      <c r="C225" s="1749">
        <f>'67'!E123</f>
        <v>0</v>
      </c>
      <c r="D225" s="1749">
        <f>'67'!F123</f>
        <v>500</v>
      </c>
      <c r="E225" s="1749">
        <f>'67'!G123</f>
        <v>0</v>
      </c>
      <c r="F225" s="1750">
        <f>E225/D225*100</f>
        <v>0</v>
      </c>
      <c r="G225" s="1724">
        <f>'67'!K123</f>
        <v>0</v>
      </c>
      <c r="H225" s="1725">
        <f>'67'!L123</f>
        <v>499854</v>
      </c>
      <c r="I225" s="1725">
        <f>'67'!M123</f>
        <v>0</v>
      </c>
      <c r="J225" s="1751"/>
      <c r="K225" s="1751"/>
      <c r="Q225" s="1728" t="s">
        <v>817</v>
      </c>
      <c r="R225" s="1800">
        <f>C226+C221+C216+C211+C206+C201+C197+C192+C186</f>
        <v>0</v>
      </c>
      <c r="S225" s="1800">
        <f>D226+D221+D216+D211+D206+D201+D197+D192+D186</f>
        <v>0</v>
      </c>
      <c r="T225" s="1800">
        <f>E186+E192+E197+E201+E206+E211+E216+E221+E226</f>
        <v>124684</v>
      </c>
    </row>
    <row r="226" spans="1:20" s="1764" customFormat="1" x14ac:dyDescent="0.2">
      <c r="A226" s="1747" t="s">
        <v>1060</v>
      </c>
      <c r="B226" s="1807"/>
      <c r="C226" s="1756">
        <f>'67'!E124</f>
        <v>0</v>
      </c>
      <c r="D226" s="1756">
        <f>'67'!F124</f>
        <v>0</v>
      </c>
      <c r="E226" s="1756">
        <f>'67'!G124</f>
        <v>0</v>
      </c>
      <c r="F226" s="1757">
        <v>0</v>
      </c>
      <c r="G226" s="1722">
        <f>'67'!K124</f>
        <v>0</v>
      </c>
      <c r="H226" s="1723">
        <f>'67'!L124</f>
        <v>0</v>
      </c>
      <c r="I226" s="1723">
        <f>'67'!M124</f>
        <v>0</v>
      </c>
      <c r="J226" s="1751"/>
      <c r="K226" s="1751"/>
      <c r="Q226" s="1764" t="s">
        <v>612</v>
      </c>
      <c r="R226" s="1800">
        <f>R223+R224+R225</f>
        <v>264558</v>
      </c>
      <c r="S226" s="1800">
        <f>S223+S224+S225</f>
        <v>510705</v>
      </c>
      <c r="T226" s="1800">
        <f>T223+T224+T225</f>
        <v>573526</v>
      </c>
    </row>
    <row r="227" spans="1:20" s="1764" customFormat="1" x14ac:dyDescent="0.2">
      <c r="A227" s="3055" t="s">
        <v>1264</v>
      </c>
      <c r="B227" s="1788"/>
      <c r="C227" s="1749"/>
      <c r="D227" s="1749"/>
      <c r="E227" s="1749"/>
      <c r="F227" s="1750"/>
      <c r="G227" s="1751"/>
      <c r="H227" s="1751"/>
      <c r="I227" s="1751"/>
      <c r="J227" s="1751"/>
      <c r="K227" s="1751"/>
      <c r="Q227" s="1800"/>
      <c r="R227" s="1800"/>
      <c r="S227" s="1800"/>
    </row>
    <row r="228" spans="1:20" s="1764" customFormat="1" x14ac:dyDescent="0.2">
      <c r="A228" s="3054"/>
      <c r="B228" s="1788"/>
      <c r="C228" s="1749"/>
      <c r="D228" s="1749"/>
      <c r="E228" s="1749"/>
      <c r="F228" s="1750"/>
      <c r="G228" s="1751"/>
      <c r="H228" s="1751"/>
      <c r="I228" s="1751"/>
      <c r="J228" s="1751"/>
      <c r="K228" s="1751"/>
      <c r="Q228" s="1764" t="s">
        <v>2141</v>
      </c>
    </row>
    <row r="229" spans="1:20" s="1764" customFormat="1" ht="15" x14ac:dyDescent="0.25">
      <c r="A229" s="3054"/>
      <c r="B229" s="1788">
        <v>68</v>
      </c>
      <c r="C229" s="1773">
        <f>C230+C231+C232</f>
        <v>0</v>
      </c>
      <c r="D229" s="1773">
        <f>D230+D231+D232</f>
        <v>9826</v>
      </c>
      <c r="E229" s="1773">
        <f>E230+E231+E232</f>
        <v>13281</v>
      </c>
      <c r="F229" s="1768">
        <f>E229/D229*100</f>
        <v>135.16181559128842</v>
      </c>
      <c r="G229" s="1811">
        <f>SUM(G230:G232)</f>
        <v>0</v>
      </c>
      <c r="H229" s="1811">
        <f>SUM(H230:H232)</f>
        <v>9825914.3200000003</v>
      </c>
      <c r="I229" s="1811">
        <f>SUM(I230:I232)</f>
        <v>13280926.43</v>
      </c>
      <c r="J229" s="1751"/>
      <c r="K229" s="1751"/>
      <c r="Q229" s="1728" t="s">
        <v>1280</v>
      </c>
      <c r="R229" s="1800">
        <f t="shared" ref="R229:T231" si="17">C230+C235+C244+C249+C254+C259+C264+C269+C273</f>
        <v>17391</v>
      </c>
      <c r="S229" s="1800">
        <f t="shared" si="17"/>
        <v>57288</v>
      </c>
      <c r="T229" s="1800">
        <f t="shared" si="17"/>
        <v>44393</v>
      </c>
    </row>
    <row r="230" spans="1:20" s="1764" customFormat="1" x14ac:dyDescent="0.2">
      <c r="A230" s="1747" t="s">
        <v>573</v>
      </c>
      <c r="B230" s="1788"/>
      <c r="C230" s="1749">
        <f>'68'!E89</f>
        <v>0</v>
      </c>
      <c r="D230" s="1749">
        <f>'68'!F89</f>
        <v>9537</v>
      </c>
      <c r="E230" s="1749">
        <f>'68'!G89</f>
        <v>6773</v>
      </c>
      <c r="F230" s="1750">
        <f>E230/D230*100</f>
        <v>71.018139876271363</v>
      </c>
      <c r="G230" s="1724">
        <f>'68'!J89</f>
        <v>0</v>
      </c>
      <c r="H230" s="1725">
        <f>'68'!K89</f>
        <v>9536932.3200000003</v>
      </c>
      <c r="I230" s="1725">
        <f>'68'!L89</f>
        <v>6773199.6900000004</v>
      </c>
      <c r="J230" s="1867"/>
      <c r="K230" s="1867"/>
      <c r="Q230" s="1728" t="s">
        <v>1281</v>
      </c>
      <c r="R230" s="1800">
        <f t="shared" si="17"/>
        <v>0</v>
      </c>
      <c r="S230" s="1800">
        <f t="shared" si="17"/>
        <v>2853</v>
      </c>
      <c r="T230" s="1800">
        <f t="shared" si="17"/>
        <v>2454</v>
      </c>
    </row>
    <row r="231" spans="1:20" s="1764" customFormat="1" x14ac:dyDescent="0.2">
      <c r="A231" s="1747" t="s">
        <v>574</v>
      </c>
      <c r="B231" s="1788"/>
      <c r="C231" s="1749">
        <f>'68'!E90</f>
        <v>0</v>
      </c>
      <c r="D231" s="1749">
        <f>'68'!F90</f>
        <v>289</v>
      </c>
      <c r="E231" s="1749">
        <f>'68'!G90</f>
        <v>0</v>
      </c>
      <c r="F231" s="1750">
        <f>E231/D231*100</f>
        <v>0</v>
      </c>
      <c r="G231" s="1724">
        <f>'68'!J90</f>
        <v>0</v>
      </c>
      <c r="H231" s="1725">
        <f>'68'!K90</f>
        <v>288982</v>
      </c>
      <c r="I231" s="1725">
        <f>'68'!L90</f>
        <v>0</v>
      </c>
      <c r="J231" s="1751"/>
      <c r="K231" s="1751"/>
      <c r="Q231" s="1728" t="s">
        <v>817</v>
      </c>
      <c r="R231" s="1800">
        <f t="shared" si="17"/>
        <v>0</v>
      </c>
      <c r="S231" s="1800">
        <f t="shared" si="17"/>
        <v>0</v>
      </c>
      <c r="T231" s="1800">
        <f t="shared" si="17"/>
        <v>37203</v>
      </c>
    </row>
    <row r="232" spans="1:20" s="1764" customFormat="1" x14ac:dyDescent="0.2">
      <c r="A232" s="1754" t="s">
        <v>1060</v>
      </c>
      <c r="B232" s="1807"/>
      <c r="C232" s="1756">
        <f>'68'!E91</f>
        <v>0</v>
      </c>
      <c r="D232" s="1756">
        <f>'68'!F91</f>
        <v>0</v>
      </c>
      <c r="E232" s="1756">
        <f>'68'!G91</f>
        <v>6508</v>
      </c>
      <c r="F232" s="1757">
        <v>0</v>
      </c>
      <c r="G232" s="1722">
        <f>'68'!J91</f>
        <v>0</v>
      </c>
      <c r="H232" s="1723">
        <f>'68'!K91</f>
        <v>0</v>
      </c>
      <c r="I232" s="1723">
        <f>'68'!L91</f>
        <v>6507726.7400000002</v>
      </c>
      <c r="J232" s="1751"/>
      <c r="K232" s="1751"/>
    </row>
    <row r="233" spans="1:20" s="1764" customFormat="1" x14ac:dyDescent="0.2">
      <c r="A233" s="3053" t="s">
        <v>1265</v>
      </c>
      <c r="B233" s="1788"/>
      <c r="C233" s="1749"/>
      <c r="D233" s="1749"/>
      <c r="E233" s="1749"/>
      <c r="F233" s="1750"/>
      <c r="G233" s="1751"/>
      <c r="H233" s="1751"/>
      <c r="I233" s="1751"/>
      <c r="J233" s="1751"/>
      <c r="K233" s="1751"/>
    </row>
    <row r="234" spans="1:20" s="1764" customFormat="1" ht="15" x14ac:dyDescent="0.25">
      <c r="A234" s="3054"/>
      <c r="B234" s="1788">
        <v>69</v>
      </c>
      <c r="C234" s="1773">
        <f>C235+C236+C237</f>
        <v>0</v>
      </c>
      <c r="D234" s="1773">
        <f>D235+D236+D237</f>
        <v>291</v>
      </c>
      <c r="E234" s="1773">
        <f>E235+E236+E237</f>
        <v>582</v>
      </c>
      <c r="F234" s="1768">
        <f>E234/D234*100</f>
        <v>200</v>
      </c>
      <c r="G234" s="1811">
        <f>SUM(G235:G237)</f>
        <v>0</v>
      </c>
      <c r="H234" s="1811">
        <f>SUM(H235:H237)</f>
        <v>290674.48</v>
      </c>
      <c r="I234" s="1811">
        <f>SUM(I235:I237)</f>
        <v>581339.96</v>
      </c>
      <c r="J234" s="1751"/>
      <c r="K234" s="1751"/>
    </row>
    <row r="235" spans="1:20" s="1764" customFormat="1" x14ac:dyDescent="0.2">
      <c r="A235" s="1747" t="s">
        <v>573</v>
      </c>
      <c r="B235" s="1788"/>
      <c r="C235" s="1749">
        <f>'69'!E41</f>
        <v>0</v>
      </c>
      <c r="D235" s="1749">
        <f>'69'!F41</f>
        <v>291</v>
      </c>
      <c r="E235" s="1749">
        <f>'69'!G41</f>
        <v>291</v>
      </c>
      <c r="F235" s="1750">
        <f>E235/D235*100</f>
        <v>100</v>
      </c>
      <c r="G235" s="1724">
        <f>'69'!J41</f>
        <v>0</v>
      </c>
      <c r="H235" s="1725">
        <f>'69'!K41</f>
        <v>290674.48</v>
      </c>
      <c r="I235" s="1725">
        <f>'69'!L41</f>
        <v>290665.48</v>
      </c>
      <c r="J235" s="1867"/>
      <c r="K235" s="1867"/>
    </row>
    <row r="236" spans="1:20" s="1764" customFormat="1" x14ac:dyDescent="0.2">
      <c r="A236" s="1747" t="s">
        <v>574</v>
      </c>
      <c r="B236" s="1788"/>
      <c r="C236" s="1749">
        <f>'69'!E42</f>
        <v>0</v>
      </c>
      <c r="D236" s="1749">
        <f>'69'!F42</f>
        <v>0</v>
      </c>
      <c r="E236" s="1749">
        <f>'69'!G42</f>
        <v>0</v>
      </c>
      <c r="F236" s="1750">
        <v>0</v>
      </c>
      <c r="G236" s="1724">
        <f>'69'!J42</f>
        <v>0</v>
      </c>
      <c r="H236" s="1725">
        <f>'69'!K42</f>
        <v>0</v>
      </c>
      <c r="I236" s="1725">
        <f>'69'!L42</f>
        <v>0</v>
      </c>
      <c r="J236" s="1751"/>
      <c r="K236" s="1751"/>
      <c r="L236" s="1866"/>
      <c r="M236" s="1866"/>
    </row>
    <row r="237" spans="1:20" s="1764" customFormat="1" ht="15" thickBot="1" x14ac:dyDescent="0.25">
      <c r="A237" s="1934" t="s">
        <v>1060</v>
      </c>
      <c r="B237" s="1892"/>
      <c r="C237" s="1778">
        <f>'69'!E43</f>
        <v>0</v>
      </c>
      <c r="D237" s="1778">
        <f>'69'!F43</f>
        <v>0</v>
      </c>
      <c r="E237" s="1778">
        <f>'69'!G43</f>
        <v>291</v>
      </c>
      <c r="F237" s="1779">
        <v>0</v>
      </c>
      <c r="G237" s="1722">
        <f>'69'!J43</f>
        <v>0</v>
      </c>
      <c r="H237" s="1723">
        <f>'69'!K43</f>
        <v>0</v>
      </c>
      <c r="I237" s="1723">
        <f>'69'!L43</f>
        <v>290674.48</v>
      </c>
      <c r="J237" s="1751"/>
    </row>
    <row r="238" spans="1:20" ht="15.75" thickTop="1" thickBot="1" x14ac:dyDescent="0.25">
      <c r="A238" s="1853"/>
      <c r="B238" s="1854"/>
      <c r="C238" s="1855"/>
      <c r="D238" s="1855"/>
      <c r="E238" s="1855"/>
      <c r="F238" s="3028" t="s">
        <v>148</v>
      </c>
      <c r="G238" s="1860"/>
      <c r="H238" s="1860"/>
      <c r="I238" s="1860"/>
      <c r="J238" s="1860"/>
      <c r="K238" s="1860"/>
    </row>
    <row r="239" spans="1:20" s="1738" customFormat="1" ht="27" thickTop="1" thickBot="1" x14ac:dyDescent="0.25">
      <c r="A239" s="1734" t="s">
        <v>568</v>
      </c>
      <c r="B239" s="1735" t="s">
        <v>571</v>
      </c>
      <c r="C239" s="1736" t="s">
        <v>569</v>
      </c>
      <c r="D239" s="1736" t="s">
        <v>570</v>
      </c>
      <c r="E239" s="1736" t="s">
        <v>797</v>
      </c>
      <c r="F239" s="1737" t="s">
        <v>798</v>
      </c>
      <c r="G239" s="1863"/>
      <c r="H239" s="1863"/>
      <c r="I239" s="1863"/>
      <c r="J239" s="1863"/>
      <c r="K239" s="1863"/>
    </row>
    <row r="240" spans="1:20" s="1743" customFormat="1" ht="15.75" thickTop="1" thickBot="1" x14ac:dyDescent="0.25">
      <c r="A240" s="1783">
        <v>1</v>
      </c>
      <c r="B240" s="1784">
        <v>2</v>
      </c>
      <c r="C240" s="1785">
        <v>3</v>
      </c>
      <c r="D240" s="1785">
        <v>4</v>
      </c>
      <c r="E240" s="1785">
        <v>5</v>
      </c>
      <c r="F240" s="1786" t="s">
        <v>387</v>
      </c>
      <c r="G240" s="1864"/>
      <c r="H240" s="1864"/>
      <c r="I240" s="1864"/>
      <c r="J240" s="1864"/>
      <c r="K240" s="1751">
        <f>G149+G153+G159+G165+G170+G175+G184+G190+G195+G199+G204+G209+G214+G219+G224+G230+G235+G244+G249+G259+G264+G254+G269+G273</f>
        <v>24657000</v>
      </c>
      <c r="L240" s="1751">
        <f>H149+H153+H159+H165+H170+H175+H184+H190+H195+H199+H204+H209+H214+H219+H224+H230+H235+H244+H249+H259+H264+H254+H269+H273</f>
        <v>224912232.49000001</v>
      </c>
      <c r="M240" s="1751">
        <f>I149+I153+I159+I165+I170+I175+I184+I190+I195+I199+I204+I209+I214+I219+I224+I230+I235+I244+I249+I259+I264+I254+I269+I273</f>
        <v>184529446.50999999</v>
      </c>
      <c r="N240" s="1775" t="s">
        <v>2142</v>
      </c>
      <c r="O240" s="1764"/>
      <c r="P240" s="1764"/>
      <c r="Q240" s="1764"/>
      <c r="R240" s="1800">
        <f>R229+R174+R223</f>
        <v>24657</v>
      </c>
      <c r="S240" s="1800">
        <f>S229+S174+S223</f>
        <v>224915</v>
      </c>
      <c r="T240" s="1800">
        <f>T229+T174+T223</f>
        <v>184530</v>
      </c>
    </row>
    <row r="241" spans="1:22" s="1764" customFormat="1" ht="15" thickTop="1" x14ac:dyDescent="0.2">
      <c r="A241" s="3055" t="s">
        <v>1266</v>
      </c>
      <c r="B241" s="1788"/>
      <c r="C241" s="1749"/>
      <c r="D241" s="1749"/>
      <c r="E241" s="1749"/>
      <c r="F241" s="1750"/>
      <c r="G241" s="1751"/>
      <c r="H241" s="1751"/>
      <c r="I241" s="1751"/>
      <c r="J241" s="1751"/>
      <c r="K241" s="1751">
        <f>G150+G154+G166+G171+G176+G185+G191+G196+G200+G205+G210+G215+G220+G225+G231+G236+G245+G250+G255+G260+G160+G265+G270+G274</f>
        <v>570433000</v>
      </c>
      <c r="L241" s="1751">
        <f>H150+H154+H166+H171+H176+H185+H191+H196+H200+H205+H210+H215+H220+H225+H231+H236+H245+H250+H255+H260+H160+H265+H270+H274</f>
        <v>1262801354.8500001</v>
      </c>
      <c r="M241" s="1751">
        <f>I150+I154+I166+I171+I176+I185+I191+I196+I200+I205+I210+I215+I220+I225+I231+I236+I245+I250+I255+I260+I160+I265+I270+I274</f>
        <v>1136129201.1299999</v>
      </c>
      <c r="N241" s="1775" t="s">
        <v>2143</v>
      </c>
      <c r="R241" s="1800">
        <f>R175+R224+R230</f>
        <v>570433</v>
      </c>
      <c r="S241" s="1800">
        <f>S175+S224+S230</f>
        <v>1262801</v>
      </c>
      <c r="T241" s="1800">
        <f>T230+T224+T175</f>
        <v>1136128</v>
      </c>
    </row>
    <row r="242" spans="1:22" s="1764" customFormat="1" x14ac:dyDescent="0.2">
      <c r="A242" s="3054"/>
      <c r="B242" s="1788"/>
      <c r="C242" s="1749"/>
      <c r="D242" s="1749"/>
      <c r="E242" s="1749"/>
      <c r="F242" s="1750"/>
      <c r="G242" s="1751"/>
      <c r="H242" s="1751"/>
      <c r="I242" s="1751"/>
      <c r="J242" s="1751"/>
      <c r="K242" s="1759">
        <f>G151+G155+G167+G172+G177+G186+G192+G197+G201+G206+G211+G216+G221+G226+G232+G237+G246+G251++G256+G261+G161+G266+G271+G275</f>
        <v>0</v>
      </c>
      <c r="L242" s="1759">
        <f>H151+H155+H167+H172+H177+H186+H192+H197+H201+H206+H211+H216+H221+H226+H232+H237+H246+H251++H256+H261+H161+H266+H271+H275</f>
        <v>0</v>
      </c>
      <c r="M242" s="1759">
        <f>I266+I261+I256+I251+I246+I237+I232+I226+I221+I216+I211+I206+I201+I197+I192+I186+I177+I172+I155+I151+I271+I275</f>
        <v>460853663.44</v>
      </c>
      <c r="N242" s="1775" t="s">
        <v>2144</v>
      </c>
      <c r="R242" s="1937">
        <f>R176+R225+R231</f>
        <v>0</v>
      </c>
      <c r="S242" s="1937">
        <f>S176+S225+S231</f>
        <v>0</v>
      </c>
      <c r="T242" s="1937">
        <f>T231+T225+T176</f>
        <v>460854</v>
      </c>
      <c r="U242" s="1800">
        <f>T240+T242</f>
        <v>645384</v>
      </c>
    </row>
    <row r="243" spans="1:22" s="1764" customFormat="1" ht="15" x14ac:dyDescent="0.25">
      <c r="A243" s="3054"/>
      <c r="B243" s="1788">
        <v>71</v>
      </c>
      <c r="C243" s="1773">
        <f>C244+C245+C246</f>
        <v>0</v>
      </c>
      <c r="D243" s="1773">
        <f>D244+D245+D246</f>
        <v>5789</v>
      </c>
      <c r="E243" s="1773">
        <f>E244+E245+E246</f>
        <v>7702</v>
      </c>
      <c r="F243" s="1768">
        <f>E243/D243*100</f>
        <v>133.04543098980827</v>
      </c>
      <c r="G243" s="1811">
        <f>SUM(G244:G246)</f>
        <v>0</v>
      </c>
      <c r="H243" s="1811">
        <f>SUM(H244:H246)</f>
        <v>5788601.1100000003</v>
      </c>
      <c r="I243" s="1811">
        <f>SUM(I244:I246)</f>
        <v>7701616.5600000005</v>
      </c>
      <c r="J243" s="1751"/>
      <c r="K243" s="1746">
        <f>K240+K241+K242</f>
        <v>595090000</v>
      </c>
      <c r="L243" s="1746">
        <f>L240+L241+L242</f>
        <v>1487713587.3400002</v>
      </c>
      <c r="M243" s="1746">
        <f>M240+M241+M242</f>
        <v>1781512311.0799999</v>
      </c>
      <c r="N243" s="1782" t="s">
        <v>2145</v>
      </c>
      <c r="R243" s="1800">
        <f>R240+R241+R242</f>
        <v>595090</v>
      </c>
      <c r="S243" s="1800">
        <f>S240+S241+S242</f>
        <v>1487716</v>
      </c>
      <c r="T243" s="1800">
        <f>T240+T241+T242</f>
        <v>1781512</v>
      </c>
    </row>
    <row r="244" spans="1:22" s="1764" customFormat="1" x14ac:dyDescent="0.2">
      <c r="A244" s="1747" t="s">
        <v>573</v>
      </c>
      <c r="B244" s="1788"/>
      <c r="C244" s="1749">
        <f>'71'!E36</f>
        <v>0</v>
      </c>
      <c r="D244" s="1749">
        <f>'71'!F36</f>
        <v>5789</v>
      </c>
      <c r="E244" s="1749">
        <f>'71'!G36</f>
        <v>4950</v>
      </c>
      <c r="F244" s="1750">
        <f>E244/D244*100</f>
        <v>85.506996026947661</v>
      </c>
      <c r="G244" s="1724">
        <f>'71'!J36</f>
        <v>0</v>
      </c>
      <c r="H244" s="1725">
        <f>'71'!K36</f>
        <v>5788601.1100000003</v>
      </c>
      <c r="I244" s="1725">
        <f>'71'!L36</f>
        <v>4949535.1900000004</v>
      </c>
      <c r="J244" s="1867"/>
      <c r="K244" s="1867"/>
      <c r="L244" s="1866"/>
    </row>
    <row r="245" spans="1:22" s="1764" customFormat="1" x14ac:dyDescent="0.2">
      <c r="A245" s="1747" t="s">
        <v>574</v>
      </c>
      <c r="B245" s="1788"/>
      <c r="C245" s="1749">
        <f>'71'!E37</f>
        <v>0</v>
      </c>
      <c r="D245" s="1749">
        <f>'71'!F37</f>
        <v>0</v>
      </c>
      <c r="E245" s="1749">
        <f>'71'!G37</f>
        <v>0</v>
      </c>
      <c r="F245" s="1750">
        <v>0</v>
      </c>
      <c r="G245" s="1724">
        <f>'71'!J37</f>
        <v>0</v>
      </c>
      <c r="H245" s="1725">
        <f>'71'!K37</f>
        <v>0</v>
      </c>
      <c r="I245" s="1725">
        <f>'71'!L37</f>
        <v>0</v>
      </c>
      <c r="J245" s="1751"/>
      <c r="K245" s="1751"/>
    </row>
    <row r="246" spans="1:22" s="1764" customFormat="1" x14ac:dyDescent="0.2">
      <c r="A246" s="1754" t="s">
        <v>1060</v>
      </c>
      <c r="B246" s="1807"/>
      <c r="C246" s="1756">
        <f>'71'!E38</f>
        <v>0</v>
      </c>
      <c r="D246" s="1756">
        <f>'71'!F38</f>
        <v>0</v>
      </c>
      <c r="E246" s="1756">
        <f>'71'!G38</f>
        <v>2752</v>
      </c>
      <c r="F246" s="1757">
        <v>0</v>
      </c>
      <c r="G246" s="1722">
        <f>'71'!J38</f>
        <v>0</v>
      </c>
      <c r="H246" s="1723">
        <f>'71'!K38</f>
        <v>0</v>
      </c>
      <c r="I246" s="1723">
        <f>'71'!L38</f>
        <v>2752081.37</v>
      </c>
      <c r="J246" s="1751"/>
      <c r="K246" s="1751"/>
    </row>
    <row r="247" spans="1:22" s="1764" customFormat="1" ht="15" x14ac:dyDescent="0.25">
      <c r="A247" s="3055" t="s">
        <v>1400</v>
      </c>
      <c r="B247" s="1788">
        <v>72</v>
      </c>
      <c r="C247" s="1773">
        <f>C249+C250+C251</f>
        <v>0</v>
      </c>
      <c r="D247" s="1773">
        <f>D249+D250+D251</f>
        <v>135</v>
      </c>
      <c r="E247" s="1773">
        <f>E249+E250+E251</f>
        <v>130</v>
      </c>
      <c r="F247" s="1768">
        <f>E247/D247*100</f>
        <v>96.296296296296291</v>
      </c>
      <c r="G247" s="1746">
        <f>G249+G250+G251</f>
        <v>0</v>
      </c>
      <c r="H247" s="1746">
        <f>H249+H250+H251</f>
        <v>134821.93</v>
      </c>
      <c r="I247" s="1746">
        <f>I249+I250+I251</f>
        <v>130591.59999999999</v>
      </c>
      <c r="J247" s="1751"/>
      <c r="K247" s="1751"/>
    </row>
    <row r="248" spans="1:22" s="1764" customFormat="1" x14ac:dyDescent="0.2">
      <c r="A248" s="3054"/>
      <c r="B248" s="1788"/>
      <c r="C248" s="1749"/>
      <c r="D248" s="1749"/>
      <c r="E248" s="1749"/>
      <c r="F248" s="1750"/>
      <c r="G248" s="1751"/>
      <c r="H248" s="1751"/>
      <c r="I248" s="1751"/>
      <c r="J248" s="1751"/>
      <c r="K248" s="1751"/>
    </row>
    <row r="249" spans="1:22" s="1764" customFormat="1" x14ac:dyDescent="0.2">
      <c r="A249" s="1747" t="s">
        <v>573</v>
      </c>
      <c r="B249" s="1788"/>
      <c r="C249" s="1749">
        <f>'72'!E67</f>
        <v>0</v>
      </c>
      <c r="D249" s="1749">
        <f>'72'!F67</f>
        <v>135</v>
      </c>
      <c r="E249" s="1749">
        <f>'72'!G67</f>
        <v>61</v>
      </c>
      <c r="F249" s="1750">
        <f>E249/D249*100</f>
        <v>45.185185185185183</v>
      </c>
      <c r="G249" s="1724">
        <f>'72'!J67</f>
        <v>0</v>
      </c>
      <c r="H249" s="1725">
        <f>'72'!K67</f>
        <v>134821.93</v>
      </c>
      <c r="I249" s="1725">
        <f>'72'!L67</f>
        <v>60995.7</v>
      </c>
      <c r="J249" s="1751"/>
      <c r="K249" s="1751"/>
    </row>
    <row r="250" spans="1:22" s="1764" customFormat="1" x14ac:dyDescent="0.2">
      <c r="A250" s="1747" t="s">
        <v>574</v>
      </c>
      <c r="B250" s="1788"/>
      <c r="C250" s="1749">
        <f>'72'!E68</f>
        <v>0</v>
      </c>
      <c r="D250" s="1749">
        <f>'72'!F68</f>
        <v>0</v>
      </c>
      <c r="E250" s="1749">
        <f>'72'!G68</f>
        <v>0</v>
      </c>
      <c r="F250" s="1750">
        <v>0</v>
      </c>
      <c r="G250" s="1724">
        <f>'72'!J68</f>
        <v>0</v>
      </c>
      <c r="H250" s="1725">
        <f>'72'!K68</f>
        <v>0</v>
      </c>
      <c r="I250" s="1725">
        <f>'72'!L68</f>
        <v>0</v>
      </c>
      <c r="J250" s="1751"/>
      <c r="K250" s="1751"/>
    </row>
    <row r="251" spans="1:22" s="1764" customFormat="1" x14ac:dyDescent="0.2">
      <c r="A251" s="1754" t="s">
        <v>1060</v>
      </c>
      <c r="B251" s="1807"/>
      <c r="C251" s="1756">
        <f>'72'!E69</f>
        <v>0</v>
      </c>
      <c r="D251" s="1756">
        <f>'72'!F69</f>
        <v>0</v>
      </c>
      <c r="E251" s="1756">
        <f>'72'!G69</f>
        <v>69</v>
      </c>
      <c r="F251" s="1757">
        <v>0</v>
      </c>
      <c r="G251" s="1722">
        <f>'72'!J69</f>
        <v>0</v>
      </c>
      <c r="H251" s="1723">
        <f>'72'!K69</f>
        <v>0</v>
      </c>
      <c r="I251" s="1723">
        <f>'72'!L69</f>
        <v>69595.899999999994</v>
      </c>
      <c r="J251" s="1759"/>
      <c r="K251" s="1751"/>
    </row>
    <row r="252" spans="1:22" s="1764" customFormat="1" ht="15" x14ac:dyDescent="0.25">
      <c r="A252" s="3055" t="s">
        <v>1390</v>
      </c>
      <c r="B252" s="1788">
        <v>73</v>
      </c>
      <c r="C252" s="1773">
        <f>C254+C255+C256</f>
        <v>0</v>
      </c>
      <c r="D252" s="1773">
        <f>D254+D255+D256</f>
        <v>91</v>
      </c>
      <c r="E252" s="1773">
        <f>E254+E255+E256</f>
        <v>83</v>
      </c>
      <c r="F252" s="1768">
        <f>E252/D252*100</f>
        <v>91.208791208791212</v>
      </c>
      <c r="G252" s="1746">
        <f>G254+G255+G256</f>
        <v>0</v>
      </c>
      <c r="H252" s="1746">
        <f>H254+H255+H256</f>
        <v>90951.29</v>
      </c>
      <c r="I252" s="1746">
        <f>I254+I255+I256</f>
        <v>83490</v>
      </c>
      <c r="J252" s="1751"/>
      <c r="K252" s="1751"/>
      <c r="Q252" s="1732"/>
      <c r="R252" s="1730"/>
      <c r="S252" s="1731"/>
      <c r="T252" s="1731"/>
      <c r="U252" s="1731"/>
      <c r="V252" s="1832"/>
    </row>
    <row r="253" spans="1:22" s="1764" customFormat="1" x14ac:dyDescent="0.2">
      <c r="A253" s="3054"/>
      <c r="B253" s="1788"/>
      <c r="C253" s="1749"/>
      <c r="D253" s="1749"/>
      <c r="E253" s="1749"/>
      <c r="F253" s="1750"/>
      <c r="G253" s="1751"/>
      <c r="H253" s="1751"/>
      <c r="I253" s="1751"/>
      <c r="J253" s="1751"/>
      <c r="K253" s="1751"/>
      <c r="Q253" s="1732"/>
      <c r="R253" s="1730"/>
      <c r="S253" s="1731"/>
      <c r="T253" s="1731"/>
      <c r="U253" s="1731"/>
      <c r="V253" s="1832"/>
    </row>
    <row r="254" spans="1:22" s="1764" customFormat="1" x14ac:dyDescent="0.2">
      <c r="A254" s="1747" t="s">
        <v>573</v>
      </c>
      <c r="B254" s="1788"/>
      <c r="C254" s="1749">
        <f>'73'!E55</f>
        <v>0</v>
      </c>
      <c r="D254" s="1749">
        <f>'73'!F55</f>
        <v>91</v>
      </c>
      <c r="E254" s="1749">
        <f>'73'!G55</f>
        <v>83</v>
      </c>
      <c r="F254" s="1750">
        <f>E254/D254*100</f>
        <v>91.208791208791212</v>
      </c>
      <c r="G254" s="1724">
        <f>'73'!J55</f>
        <v>0</v>
      </c>
      <c r="H254" s="1725">
        <f>'73'!K55</f>
        <v>90951.29</v>
      </c>
      <c r="I254" s="1725">
        <f>'73'!L55</f>
        <v>83490</v>
      </c>
      <c r="J254" s="1751"/>
      <c r="K254" s="1751"/>
      <c r="Q254" s="1732"/>
      <c r="R254" s="1730"/>
      <c r="S254" s="1731"/>
      <c r="T254" s="1731"/>
      <c r="U254" s="1731"/>
      <c r="V254" s="1832"/>
    </row>
    <row r="255" spans="1:22" s="1764" customFormat="1" ht="15" x14ac:dyDescent="0.25">
      <c r="A255" s="1747" t="s">
        <v>574</v>
      </c>
      <c r="B255" s="1788"/>
      <c r="C255" s="1749">
        <f>'73'!E56</f>
        <v>0</v>
      </c>
      <c r="D255" s="1749">
        <f>'73'!F56</f>
        <v>0</v>
      </c>
      <c r="E255" s="1749">
        <f>'73'!G56</f>
        <v>0</v>
      </c>
      <c r="F255" s="1750">
        <v>0</v>
      </c>
      <c r="G255" s="1724">
        <f>'73'!J56</f>
        <v>0</v>
      </c>
      <c r="H255" s="1725">
        <f>'73'!K56</f>
        <v>0</v>
      </c>
      <c r="I255" s="1725">
        <f>'73'!L56</f>
        <v>0</v>
      </c>
      <c r="J255" s="1751"/>
      <c r="K255" s="1751"/>
      <c r="Q255" s="1732"/>
      <c r="R255" s="1730"/>
      <c r="S255" s="1833"/>
      <c r="T255" s="1833"/>
      <c r="U255" s="1833"/>
      <c r="V255" s="1834"/>
    </row>
    <row r="256" spans="1:22" s="1764" customFormat="1" x14ac:dyDescent="0.2">
      <c r="A256" s="1754" t="s">
        <v>1060</v>
      </c>
      <c r="B256" s="1807"/>
      <c r="C256" s="1756">
        <f>'73'!E57</f>
        <v>0</v>
      </c>
      <c r="D256" s="1756">
        <f>'73'!F57</f>
        <v>0</v>
      </c>
      <c r="E256" s="1756">
        <f>'73'!G57</f>
        <v>0</v>
      </c>
      <c r="F256" s="1757">
        <v>0</v>
      </c>
      <c r="G256" s="1722">
        <f>'73'!J57</f>
        <v>0</v>
      </c>
      <c r="H256" s="1723">
        <f>'73'!K57</f>
        <v>0</v>
      </c>
      <c r="I256" s="1723">
        <f>'73'!L57</f>
        <v>0</v>
      </c>
      <c r="J256" s="1751"/>
      <c r="K256" s="1751"/>
      <c r="Q256" s="1732"/>
      <c r="R256" s="1730"/>
      <c r="S256" s="1731"/>
      <c r="T256" s="1731"/>
      <c r="U256" s="1731"/>
      <c r="V256" s="1832"/>
    </row>
    <row r="257" spans="1:22" s="1764" customFormat="1" ht="15" x14ac:dyDescent="0.25">
      <c r="A257" s="3053" t="s">
        <v>1401</v>
      </c>
      <c r="B257" s="1788">
        <v>74</v>
      </c>
      <c r="C257" s="1773">
        <f>C259+C260+C261</f>
        <v>17391</v>
      </c>
      <c r="D257" s="1773">
        <f>D259+D260+D261</f>
        <v>16677</v>
      </c>
      <c r="E257" s="1773">
        <f>E259+E260+E261</f>
        <v>14976</v>
      </c>
      <c r="F257" s="1768">
        <f>E257/D257*100</f>
        <v>89.800323799244467</v>
      </c>
      <c r="G257" s="1746">
        <f>G259+G260+G261</f>
        <v>17391000</v>
      </c>
      <c r="H257" s="1746">
        <f>H259+H260+H261</f>
        <v>16676400</v>
      </c>
      <c r="I257" s="1746">
        <f>I259+I260+I261</f>
        <v>14975987.859999999</v>
      </c>
      <c r="J257" s="1751"/>
      <c r="K257" s="1751"/>
      <c r="Q257" s="1732"/>
      <c r="R257" s="1730"/>
      <c r="S257" s="1731"/>
      <c r="T257" s="1731"/>
      <c r="U257" s="1731"/>
      <c r="V257" s="1832"/>
    </row>
    <row r="258" spans="1:22" s="1764" customFormat="1" ht="15" x14ac:dyDescent="0.25">
      <c r="A258" s="3054"/>
      <c r="B258" s="1788"/>
      <c r="C258" s="1749"/>
      <c r="D258" s="1749"/>
      <c r="E258" s="1749"/>
      <c r="F258" s="1750"/>
      <c r="G258" s="1751"/>
      <c r="H258" s="1751"/>
      <c r="I258" s="1751"/>
      <c r="J258" s="1751"/>
      <c r="K258" s="1751"/>
      <c r="Q258" s="1732"/>
      <c r="R258" s="1730"/>
      <c r="S258" s="1833"/>
      <c r="T258" s="1833"/>
      <c r="U258" s="1833"/>
      <c r="V258" s="1731"/>
    </row>
    <row r="259" spans="1:22" s="1764" customFormat="1" x14ac:dyDescent="0.2">
      <c r="A259" s="1747" t="s">
        <v>573</v>
      </c>
      <c r="B259" s="1788"/>
      <c r="C259" s="1749">
        <f>'74'!E209</f>
        <v>17391</v>
      </c>
      <c r="D259" s="1749">
        <f>'74'!F209</f>
        <v>16677</v>
      </c>
      <c r="E259" s="1749">
        <f>'74'!G209</f>
        <v>8180</v>
      </c>
      <c r="F259" s="1750">
        <f>E259/D259*100</f>
        <v>49.049589254662109</v>
      </c>
      <c r="G259" s="1721">
        <f>'74'!J209</f>
        <v>17391000</v>
      </c>
      <c r="H259" s="1721">
        <f>'74'!K209</f>
        <v>16676400</v>
      </c>
      <c r="I259" s="1721">
        <f>'74'!L209</f>
        <v>8180205.5499999998</v>
      </c>
      <c r="J259" s="1751"/>
      <c r="K259" s="1751"/>
      <c r="Q259" s="1732"/>
      <c r="R259" s="1730"/>
      <c r="S259" s="1731"/>
      <c r="T259" s="1731"/>
      <c r="U259" s="1731"/>
      <c r="V259" s="1731"/>
    </row>
    <row r="260" spans="1:22" s="1764" customFormat="1" ht="18" x14ac:dyDescent="0.25">
      <c r="A260" s="1747" t="s">
        <v>574</v>
      </c>
      <c r="B260" s="1788"/>
      <c r="C260" s="1749">
        <f>'74'!E210</f>
        <v>0</v>
      </c>
      <c r="D260" s="1749">
        <f>'74'!F210</f>
        <v>0</v>
      </c>
      <c r="E260" s="1749">
        <f>'74'!G210</f>
        <v>0</v>
      </c>
      <c r="F260" s="1750">
        <v>0</v>
      </c>
      <c r="G260" s="1721">
        <f>'74'!J210</f>
        <v>0</v>
      </c>
      <c r="H260" s="1721">
        <f>'74'!K210</f>
        <v>0</v>
      </c>
      <c r="I260" s="1721">
        <f>'74'!L210</f>
        <v>0</v>
      </c>
      <c r="J260" s="1751"/>
      <c r="K260" s="1751"/>
      <c r="Q260" s="1824"/>
      <c r="R260" s="1816"/>
      <c r="S260" s="1660"/>
      <c r="T260" s="1660"/>
      <c r="U260" s="1660"/>
      <c r="V260" s="1835"/>
    </row>
    <row r="261" spans="1:22" s="1764" customFormat="1" ht="18" x14ac:dyDescent="0.25">
      <c r="A261" s="1754" t="s">
        <v>1060</v>
      </c>
      <c r="B261" s="1807"/>
      <c r="C261" s="1756">
        <f>'74'!E211</f>
        <v>0</v>
      </c>
      <c r="D261" s="1756">
        <f>'74'!F211</f>
        <v>0</v>
      </c>
      <c r="E261" s="1756">
        <f>'74'!G211</f>
        <v>6796</v>
      </c>
      <c r="F261" s="1757">
        <v>0</v>
      </c>
      <c r="G261" s="1722">
        <f>'74'!J211</f>
        <v>0</v>
      </c>
      <c r="H261" s="1723">
        <f>'74'!K211</f>
        <v>0</v>
      </c>
      <c r="I261" s="1723">
        <f>'74'!L211</f>
        <v>6795782.3099999996</v>
      </c>
      <c r="J261" s="1721"/>
      <c r="K261" s="1751"/>
      <c r="Q261" s="1780"/>
      <c r="R261" s="1816"/>
      <c r="S261" s="1817"/>
      <c r="T261" s="1817"/>
      <c r="U261" s="1817"/>
      <c r="V261" s="1817"/>
    </row>
    <row r="262" spans="1:22" s="1764" customFormat="1" ht="14.25" customHeight="1" x14ac:dyDescent="0.25">
      <c r="A262" s="3055" t="s">
        <v>1581</v>
      </c>
      <c r="B262" s="1788">
        <v>75</v>
      </c>
      <c r="C262" s="1773">
        <f>C264+C265+C266</f>
        <v>0</v>
      </c>
      <c r="D262" s="1773">
        <f>D264+D265+D266</f>
        <v>27132</v>
      </c>
      <c r="E262" s="1773">
        <f>E264+E265+E266</f>
        <v>47096</v>
      </c>
      <c r="F262" s="1768">
        <f>E262/D262*100</f>
        <v>173.58101135190918</v>
      </c>
      <c r="G262" s="1746">
        <f>G264+G265+G266</f>
        <v>0</v>
      </c>
      <c r="H262" s="1746">
        <f>H264+H265+H266</f>
        <v>27131655.27</v>
      </c>
      <c r="I262" s="1746">
        <f>I264+I265+I266</f>
        <v>47096293.609999999</v>
      </c>
      <c r="J262" s="1751"/>
      <c r="K262" s="1751"/>
      <c r="Q262" s="1780"/>
      <c r="R262" s="1816"/>
      <c r="S262" s="1817"/>
      <c r="T262" s="1817"/>
      <c r="U262" s="1817"/>
      <c r="V262" s="1817"/>
    </row>
    <row r="263" spans="1:22" s="1764" customFormat="1" ht="15.75" customHeight="1" x14ac:dyDescent="0.25">
      <c r="A263" s="3054"/>
      <c r="B263" s="1788"/>
      <c r="C263" s="1749"/>
      <c r="D263" s="1749"/>
      <c r="E263" s="1749"/>
      <c r="F263" s="1750"/>
      <c r="G263" s="1751"/>
      <c r="H263" s="1751"/>
      <c r="I263" s="1751"/>
      <c r="J263" s="1751"/>
      <c r="K263" s="1751"/>
      <c r="Q263" s="1815" t="s">
        <v>2146</v>
      </c>
      <c r="R263" s="1816"/>
      <c r="S263" s="1817"/>
      <c r="T263" s="1817"/>
      <c r="U263" s="1817"/>
      <c r="V263" s="1817"/>
    </row>
    <row r="264" spans="1:22" s="1764" customFormat="1" x14ac:dyDescent="0.2">
      <c r="A264" s="1747" t="s">
        <v>573</v>
      </c>
      <c r="B264" s="1788"/>
      <c r="C264" s="1749">
        <f>'75'!E1252</f>
        <v>0</v>
      </c>
      <c r="D264" s="1749">
        <f>'75'!F1252</f>
        <v>24568</v>
      </c>
      <c r="E264" s="1749">
        <f>'75'!G1252</f>
        <v>24055</v>
      </c>
      <c r="F264" s="1750">
        <f>E264/D264*100</f>
        <v>97.911917942038428</v>
      </c>
      <c r="G264" s="1724">
        <f>'75'!J1252</f>
        <v>0</v>
      </c>
      <c r="H264" s="1725">
        <f>'75'!K1252</f>
        <v>24567662.66</v>
      </c>
      <c r="I264" s="1725">
        <f>'75'!L1252</f>
        <v>24055414.699999996</v>
      </c>
      <c r="J264" s="1751"/>
      <c r="K264" s="1751"/>
      <c r="Q264" s="1728" t="s">
        <v>1280</v>
      </c>
      <c r="R264" s="1819">
        <f>C149+C153+C170+C175+C184+C190+C195+C199+C204+C209+C214+C219+C224+C230+C235+C244+C249+C254+C259+C264+C269+C273</f>
        <v>24657</v>
      </c>
      <c r="S264" s="1819">
        <f t="shared" ref="S264:T264" si="18">D149+D153+D170+D175+D184+D190+D195+D199+D204+D209+D214+D219+D224+D230+D235+D244+D249+D254+D259+D264+D269+D273</f>
        <v>224915</v>
      </c>
      <c r="T264" s="1819">
        <f t="shared" si="18"/>
        <v>184530</v>
      </c>
      <c r="U264" s="1731"/>
      <c r="V264" s="1731"/>
    </row>
    <row r="265" spans="1:22" s="1764" customFormat="1" ht="15" x14ac:dyDescent="0.25">
      <c r="A265" s="1747" t="s">
        <v>574</v>
      </c>
      <c r="B265" s="1788"/>
      <c r="C265" s="1749">
        <f>'75'!E1253</f>
        <v>0</v>
      </c>
      <c r="D265" s="1749">
        <f>'75'!F1253</f>
        <v>2564</v>
      </c>
      <c r="E265" s="1749">
        <f>'75'!G1253</f>
        <v>2454</v>
      </c>
      <c r="F265" s="1750">
        <f>E265/D265*100</f>
        <v>95.709828393135723</v>
      </c>
      <c r="G265" s="1724">
        <f>'75'!J1253</f>
        <v>0</v>
      </c>
      <c r="H265" s="1725">
        <f>'75'!K1253</f>
        <v>2563992.61</v>
      </c>
      <c r="I265" s="1725">
        <f>'75'!L1253</f>
        <v>2453989.4900000002</v>
      </c>
      <c r="J265" s="1751"/>
      <c r="K265" s="1751"/>
      <c r="Q265" s="1728" t="s">
        <v>1281</v>
      </c>
      <c r="R265" s="1819">
        <f>C265+C260+C255+C250+C245+C236+C231+C225+C220+C215+C210+C205+C200+C196+C191+C185+C176+C171+C166+C160+C154+C150+C270+C274</f>
        <v>570433</v>
      </c>
      <c r="S265" s="1819">
        <f t="shared" ref="S265:T265" si="19">D265+D260+D255+D250+D245+D236+D231+D225+D220+D215+D210+D205+D200+D196+D191+D185+D176+D171+D166+D160+D154+D150+D270+D274</f>
        <v>1262801</v>
      </c>
      <c r="T265" s="1819">
        <f t="shared" si="19"/>
        <v>1136128</v>
      </c>
      <c r="U265" s="1660"/>
      <c r="V265" s="1835"/>
    </row>
    <row r="266" spans="1:22" s="1764" customFormat="1" x14ac:dyDescent="0.2">
      <c r="A266" s="1754" t="s">
        <v>1060</v>
      </c>
      <c r="B266" s="1807"/>
      <c r="C266" s="1749">
        <f>'75'!E1254</f>
        <v>0</v>
      </c>
      <c r="D266" s="1749">
        <f>'75'!F1254</f>
        <v>0</v>
      </c>
      <c r="E266" s="1749">
        <f>'75'!G1254</f>
        <v>20587</v>
      </c>
      <c r="F266" s="1750">
        <v>0</v>
      </c>
      <c r="G266" s="1722">
        <f>'75'!J1254</f>
        <v>0</v>
      </c>
      <c r="H266" s="1723">
        <f>'75'!K1254</f>
        <v>0</v>
      </c>
      <c r="I266" s="1723">
        <f>'75'!L1254</f>
        <v>20586889.420000002</v>
      </c>
      <c r="J266" s="1751"/>
      <c r="K266" s="1751"/>
      <c r="Q266" s="1780" t="s">
        <v>817</v>
      </c>
      <c r="R266" s="1818">
        <f>C266+C261+C256+C251+C246+C237+C232+C226+C221+C216+C211+C271+C275+C206+C201+C197+C192+C186+C177+C172+C167+C161+C155+C151</f>
        <v>0</v>
      </c>
      <c r="S266" s="1818">
        <f t="shared" ref="S266:T266" si="20">D266+D261+D256+D251+D246+D237+D232+D226+D221+D216+D211+D271+D275+D206+D201+D197+D192+D186+D177+D172+D167+D161+D155+D151</f>
        <v>0</v>
      </c>
      <c r="T266" s="1818">
        <f t="shared" si="20"/>
        <v>460854</v>
      </c>
      <c r="U266" s="1817"/>
      <c r="V266" s="1817"/>
    </row>
    <row r="267" spans="1:22" s="1764" customFormat="1" ht="15" x14ac:dyDescent="0.25">
      <c r="A267" s="3055" t="s">
        <v>2128</v>
      </c>
      <c r="B267" s="1788">
        <v>76</v>
      </c>
      <c r="C267" s="1762">
        <f>C269+C270+C271</f>
        <v>0</v>
      </c>
      <c r="D267" s="1762">
        <f t="shared" ref="D267:E267" si="21">D269+D270+D271</f>
        <v>0</v>
      </c>
      <c r="E267" s="1762">
        <f t="shared" si="21"/>
        <v>0</v>
      </c>
      <c r="F267" s="1763">
        <v>0</v>
      </c>
      <c r="G267" s="1746">
        <f>G269+G270+G271</f>
        <v>0</v>
      </c>
      <c r="H267" s="1746">
        <f t="shared" ref="H267:I267" si="22">H269+H270+H271</f>
        <v>0</v>
      </c>
      <c r="I267" s="1746">
        <f t="shared" si="22"/>
        <v>5</v>
      </c>
      <c r="J267" s="1751"/>
      <c r="K267" s="1751"/>
      <c r="Q267" s="1780" t="s">
        <v>816</v>
      </c>
      <c r="R267" s="1868">
        <f>R264+R265+R266</f>
        <v>595090</v>
      </c>
      <c r="S267" s="1868">
        <f>S264+S265+S266</f>
        <v>1487716</v>
      </c>
      <c r="T267" s="1868">
        <f>T264+T265+T266</f>
        <v>1781512</v>
      </c>
      <c r="U267" s="1817"/>
      <c r="V267" s="1817"/>
    </row>
    <row r="268" spans="1:22" s="1764" customFormat="1" x14ac:dyDescent="0.2">
      <c r="A268" s="3054"/>
      <c r="B268" s="1788"/>
      <c r="C268" s="1749"/>
      <c r="D268" s="1749"/>
      <c r="E268" s="1749"/>
      <c r="F268" s="1750"/>
      <c r="G268" s="1725"/>
      <c r="H268" s="1725"/>
      <c r="I268" s="1725"/>
      <c r="J268" s="1751"/>
      <c r="K268" s="1751"/>
      <c r="Q268" s="1780"/>
      <c r="R268" s="1868"/>
      <c r="S268" s="1868"/>
      <c r="T268" s="1868"/>
      <c r="U268" s="1817"/>
      <c r="V268" s="1817"/>
    </row>
    <row r="269" spans="1:22" s="1764" customFormat="1" x14ac:dyDescent="0.2">
      <c r="A269" s="1747" t="s">
        <v>573</v>
      </c>
      <c r="B269" s="1788"/>
      <c r="C269" s="1749">
        <f>'76'!E21</f>
        <v>0</v>
      </c>
      <c r="D269" s="1749">
        <f>'76'!F21</f>
        <v>0</v>
      </c>
      <c r="E269" s="1749">
        <f>'76'!G21</f>
        <v>0</v>
      </c>
      <c r="F269" s="1750">
        <v>0</v>
      </c>
      <c r="G269" s="1725">
        <f>'76'!J21</f>
        <v>0</v>
      </c>
      <c r="H269" s="1725">
        <f>'76'!K21</f>
        <v>0</v>
      </c>
      <c r="I269" s="1725">
        <f>'76'!L21</f>
        <v>5</v>
      </c>
      <c r="J269" s="1751"/>
      <c r="K269" s="1751"/>
      <c r="Q269" s="1780"/>
      <c r="R269" s="1868"/>
      <c r="S269" s="1868"/>
      <c r="T269" s="1868"/>
      <c r="U269" s="1817"/>
      <c r="V269" s="1817"/>
    </row>
    <row r="270" spans="1:22" s="1764" customFormat="1" x14ac:dyDescent="0.2">
      <c r="A270" s="1747" t="s">
        <v>574</v>
      </c>
      <c r="B270" s="1788"/>
      <c r="C270" s="1749">
        <f>'76'!E22</f>
        <v>0</v>
      </c>
      <c r="D270" s="1749">
        <f>'76'!F22</f>
        <v>0</v>
      </c>
      <c r="E270" s="1749">
        <f>'76'!G22</f>
        <v>0</v>
      </c>
      <c r="F270" s="1750">
        <v>0</v>
      </c>
      <c r="G270" s="1725">
        <f>'76'!J22</f>
        <v>0</v>
      </c>
      <c r="H270" s="1725">
        <f>'76'!K22</f>
        <v>0</v>
      </c>
      <c r="I270" s="1725">
        <f>'76'!L22</f>
        <v>0</v>
      </c>
      <c r="J270" s="1751"/>
      <c r="K270" s="1751"/>
      <c r="Q270" s="1780"/>
      <c r="R270" s="1868"/>
      <c r="S270" s="1868"/>
      <c r="T270" s="1868"/>
      <c r="U270" s="1817"/>
      <c r="V270" s="1817"/>
    </row>
    <row r="271" spans="1:22" s="1764" customFormat="1" x14ac:dyDescent="0.2">
      <c r="A271" s="1754" t="s">
        <v>1060</v>
      </c>
      <c r="B271" s="1788"/>
      <c r="C271" s="1749">
        <f>'76'!E23</f>
        <v>0</v>
      </c>
      <c r="D271" s="1749">
        <f>'76'!F23</f>
        <v>0</v>
      </c>
      <c r="E271" s="1749">
        <f>'76'!G23</f>
        <v>0</v>
      </c>
      <c r="F271" s="1757">
        <v>0</v>
      </c>
      <c r="G271" s="1723">
        <f>'76'!J23</f>
        <v>0</v>
      </c>
      <c r="H271" s="1723">
        <f>'76'!K23</f>
        <v>0</v>
      </c>
      <c r="I271" s="1723">
        <f>'76'!L23</f>
        <v>0</v>
      </c>
      <c r="J271" s="1751"/>
      <c r="K271" s="1751"/>
      <c r="Q271" s="1780"/>
      <c r="R271" s="1868"/>
      <c r="S271" s="1868"/>
      <c r="T271" s="1868"/>
      <c r="U271" s="1817"/>
      <c r="V271" s="1817"/>
    </row>
    <row r="272" spans="1:22" s="1764" customFormat="1" ht="14.25" customHeight="1" x14ac:dyDescent="0.25">
      <c r="A272" s="2101" t="s">
        <v>2132</v>
      </c>
      <c r="B272" s="1798">
        <v>77</v>
      </c>
      <c r="C272" s="1762">
        <f>C273+C274+C275</f>
        <v>0</v>
      </c>
      <c r="D272" s="1762">
        <f t="shared" ref="D272:E272" si="23">D273+D274+D275</f>
        <v>200</v>
      </c>
      <c r="E272" s="1762">
        <f t="shared" si="23"/>
        <v>200</v>
      </c>
      <c r="F272" s="1763">
        <f>E272/D272*100</f>
        <v>100</v>
      </c>
      <c r="G272" s="1746">
        <f>G273+G274+G275</f>
        <v>0</v>
      </c>
      <c r="H272" s="1746">
        <f t="shared" ref="H272:I272" si="24">H273+H274+H275</f>
        <v>200000</v>
      </c>
      <c r="I272" s="1746">
        <f t="shared" si="24"/>
        <v>200012</v>
      </c>
      <c r="J272" s="1751"/>
      <c r="K272" s="1751"/>
      <c r="Q272" s="1780"/>
      <c r="R272" s="1868"/>
      <c r="S272" s="1868"/>
      <c r="T272" s="1868"/>
      <c r="U272" s="1817"/>
      <c r="V272" s="1817"/>
    </row>
    <row r="273" spans="1:22" s="1764" customFormat="1" x14ac:dyDescent="0.2">
      <c r="A273" s="1747" t="s">
        <v>573</v>
      </c>
      <c r="B273" s="1788"/>
      <c r="C273" s="1749">
        <f>'77'!E28</f>
        <v>0</v>
      </c>
      <c r="D273" s="1749">
        <f>'77'!F28</f>
        <v>200</v>
      </c>
      <c r="E273" s="1749">
        <f>'77'!G28</f>
        <v>0</v>
      </c>
      <c r="F273" s="1750">
        <f t="shared" ref="F273" si="25">E273/D273*100</f>
        <v>0</v>
      </c>
      <c r="G273" s="1725">
        <f>'77'!J28</f>
        <v>0</v>
      </c>
      <c r="H273" s="1725">
        <f>'77'!K28</f>
        <v>200000</v>
      </c>
      <c r="I273" s="1725">
        <f>'77'!L28</f>
        <v>12</v>
      </c>
      <c r="J273" s="1751"/>
      <c r="K273" s="1751"/>
      <c r="Q273" s="1780"/>
      <c r="R273" s="1868"/>
      <c r="S273" s="1868"/>
      <c r="T273" s="1868"/>
      <c r="U273" s="1817"/>
      <c r="V273" s="1817"/>
    </row>
    <row r="274" spans="1:22" s="1764" customFormat="1" x14ac:dyDescent="0.2">
      <c r="A274" s="1747" t="s">
        <v>574</v>
      </c>
      <c r="B274" s="1788"/>
      <c r="C274" s="1749">
        <f>'77'!E29</f>
        <v>0</v>
      </c>
      <c r="D274" s="1749">
        <f>'77'!F29</f>
        <v>0</v>
      </c>
      <c r="E274" s="1749">
        <f>'77'!G29</f>
        <v>0</v>
      </c>
      <c r="F274" s="1750">
        <v>0</v>
      </c>
      <c r="G274" s="1725">
        <f>'77'!J29</f>
        <v>0</v>
      </c>
      <c r="H274" s="1725">
        <f>'77'!K29</f>
        <v>0</v>
      </c>
      <c r="I274" s="1725">
        <f>'77'!L29</f>
        <v>0</v>
      </c>
      <c r="J274" s="1751"/>
      <c r="K274" s="1751">
        <f>K281-G282</f>
        <v>0</v>
      </c>
      <c r="Q274" s="1780"/>
      <c r="R274" s="1868"/>
      <c r="S274" s="1868"/>
      <c r="T274" s="1868"/>
      <c r="U274" s="1817"/>
      <c r="V274" s="1817"/>
    </row>
    <row r="275" spans="1:22" s="1764" customFormat="1" x14ac:dyDescent="0.2">
      <c r="A275" s="1754" t="s">
        <v>1060</v>
      </c>
      <c r="B275" s="1788"/>
      <c r="C275" s="1749">
        <f>'77'!E30</f>
        <v>0</v>
      </c>
      <c r="D275" s="1749">
        <f>'77'!F30</f>
        <v>0</v>
      </c>
      <c r="E275" s="1749">
        <f>'77'!G30</f>
        <v>200</v>
      </c>
      <c r="F275" s="1757">
        <v>0</v>
      </c>
      <c r="G275" s="1723">
        <f>'77'!J30</f>
        <v>0</v>
      </c>
      <c r="H275" s="1723">
        <f>'77'!K30</f>
        <v>0</v>
      </c>
      <c r="I275" s="1723">
        <f>'77'!L30</f>
        <v>200000</v>
      </c>
      <c r="J275" s="1751"/>
      <c r="K275" s="1751"/>
      <c r="Q275" s="1780"/>
      <c r="R275" s="1868"/>
      <c r="S275" s="1868"/>
      <c r="T275" s="1868"/>
      <c r="U275" s="1817"/>
      <c r="V275" s="1817"/>
    </row>
    <row r="276" spans="1:22" s="1764" customFormat="1" ht="45" x14ac:dyDescent="0.25">
      <c r="A276" s="1944" t="s">
        <v>1603</v>
      </c>
      <c r="B276" s="1798">
        <v>99</v>
      </c>
      <c r="C276" s="1762">
        <f>C277+C278</f>
        <v>40000</v>
      </c>
      <c r="D276" s="1762">
        <f>SUM(D277:D278)</f>
        <v>77996</v>
      </c>
      <c r="E276" s="1762">
        <f>SUM(E277:E278)</f>
        <v>76597</v>
      </c>
      <c r="F276" s="1750">
        <f>E276/D276*100</f>
        <v>98.206318272731934</v>
      </c>
      <c r="G276" s="1746">
        <v>40000000</v>
      </c>
      <c r="H276" s="1746">
        <f>SUM(H277:H278)</f>
        <v>77996454.560000002</v>
      </c>
      <c r="I276" s="1746">
        <f>SUM(I277:I278)</f>
        <v>76597294.659999996</v>
      </c>
      <c r="J276" s="1746"/>
      <c r="K276" s="1746">
        <f>K46+K104+K141+G277+G280+K240</f>
        <v>3154746000</v>
      </c>
      <c r="L276" s="1746">
        <f>L46+L104+L141+H277+H280+L240</f>
        <v>3707457805.96</v>
      </c>
      <c r="M276" s="1746">
        <f>M46+M104+M141+I277+I280+M240</f>
        <v>3326767739.0699997</v>
      </c>
      <c r="N276" s="1775" t="s">
        <v>579</v>
      </c>
      <c r="Q276" s="1728"/>
      <c r="R276" s="1817"/>
      <c r="S276" s="1817"/>
      <c r="T276" s="1817"/>
      <c r="U276" s="1817"/>
      <c r="V276" s="1817"/>
    </row>
    <row r="277" spans="1:22" s="1764" customFormat="1" ht="18" x14ac:dyDescent="0.25">
      <c r="A277" s="1747" t="s">
        <v>573</v>
      </c>
      <c r="B277" s="1788"/>
      <c r="C277" s="1749">
        <f>'F - 99'!E39</f>
        <v>20000</v>
      </c>
      <c r="D277" s="1749">
        <f>'F - 99'!F39</f>
        <v>30000</v>
      </c>
      <c r="E277" s="1749">
        <f>'F - 99'!G39</f>
        <v>29859</v>
      </c>
      <c r="F277" s="1750">
        <f>E277/D277*100</f>
        <v>99.53</v>
      </c>
      <c r="G277" s="1751">
        <f>'F - 99'!J39</f>
        <v>20000000</v>
      </c>
      <c r="H277" s="1751">
        <f>'F - 99'!K39</f>
        <v>30000000</v>
      </c>
      <c r="I277" s="1751">
        <f>'F - 99'!L39</f>
        <v>29858523.5</v>
      </c>
      <c r="J277" s="1751"/>
      <c r="K277" s="1746">
        <f>K47+K105+K142+K241+G278+G281</f>
        <v>881629000</v>
      </c>
      <c r="L277" s="1746">
        <f>L47+L105+L142+L241+H278+H281</f>
        <v>1659747497.46</v>
      </c>
      <c r="M277" s="1746">
        <f>M47+M105+M142+M241+I278+I281</f>
        <v>1520984911.6899998</v>
      </c>
      <c r="N277" s="1775" t="s">
        <v>2147</v>
      </c>
      <c r="Q277" s="1728"/>
      <c r="R277" s="1869"/>
      <c r="S277" s="1817"/>
      <c r="T277" s="1817"/>
      <c r="U277" s="1817"/>
      <c r="V277" s="1817"/>
    </row>
    <row r="278" spans="1:22" s="1764" customFormat="1" x14ac:dyDescent="0.2">
      <c r="A278" s="1754" t="s">
        <v>574</v>
      </c>
      <c r="B278" s="1807"/>
      <c r="C278" s="1756">
        <f>'F - 99'!E40</f>
        <v>20000</v>
      </c>
      <c r="D278" s="1756">
        <f>'F - 99'!F40</f>
        <v>47996</v>
      </c>
      <c r="E278" s="1756">
        <f>'F - 99'!G40</f>
        <v>46738</v>
      </c>
      <c r="F278" s="1757">
        <f>E278/D278*100</f>
        <v>97.378948245687141</v>
      </c>
      <c r="G278" s="1758">
        <f>'F - 99'!J40</f>
        <v>20000000</v>
      </c>
      <c r="H278" s="1759">
        <f>'F - 99'!K40</f>
        <v>47996454.560000002</v>
      </c>
      <c r="I278" s="1759">
        <f>'F - 99'!L40</f>
        <v>46738771.159999996</v>
      </c>
      <c r="J278" s="1751"/>
      <c r="K278" s="1746">
        <f t="shared" ref="K278:M279" si="26">K143+K106+K48</f>
        <v>750000</v>
      </c>
      <c r="L278" s="1746">
        <f t="shared" si="26"/>
        <v>6385340042.5200005</v>
      </c>
      <c r="M278" s="1746">
        <f t="shared" si="26"/>
        <v>6382261978.5300007</v>
      </c>
      <c r="N278" s="1775" t="s">
        <v>614</v>
      </c>
      <c r="Q278" s="1764" t="s">
        <v>1737</v>
      </c>
      <c r="R278" s="1733"/>
      <c r="S278" s="1733"/>
      <c r="T278" s="1733"/>
      <c r="U278" s="1728"/>
    </row>
    <row r="279" spans="1:22" s="1764" customFormat="1" ht="15" x14ac:dyDescent="0.25">
      <c r="A279" s="1945" t="s">
        <v>124</v>
      </c>
      <c r="B279" s="1788">
        <v>199</v>
      </c>
      <c r="C279" s="1773">
        <f>SUM(C280:C281)</f>
        <v>6768</v>
      </c>
      <c r="D279" s="1773">
        <f>SUM(D280:D281)</f>
        <v>8242</v>
      </c>
      <c r="E279" s="1773">
        <f>SUM(E280:E281)</f>
        <v>6748</v>
      </c>
      <c r="F279" s="1750">
        <f>E279/D279*100</f>
        <v>81.873331715603001</v>
      </c>
      <c r="G279" s="1746">
        <f>G280</f>
        <v>6768000</v>
      </c>
      <c r="H279" s="1746">
        <f>H280</f>
        <v>8242381.9199999999</v>
      </c>
      <c r="I279" s="1746">
        <f>I280</f>
        <v>6747804.4000000004</v>
      </c>
      <c r="J279" s="1746"/>
      <c r="K279" s="1746">
        <f t="shared" si="26"/>
        <v>0</v>
      </c>
      <c r="L279" s="1746">
        <f t="shared" si="26"/>
        <v>328310500.12</v>
      </c>
      <c r="M279" s="1746">
        <f t="shared" si="26"/>
        <v>328310500.12</v>
      </c>
      <c r="N279" s="1775" t="s">
        <v>1261</v>
      </c>
      <c r="Q279" s="1728" t="s">
        <v>1280</v>
      </c>
      <c r="R279" s="1733">
        <f>C280+C277</f>
        <v>26768</v>
      </c>
      <c r="S279" s="1733">
        <f t="shared" ref="S279:T280" si="27">D280+D277</f>
        <v>38242</v>
      </c>
      <c r="T279" s="1733">
        <f t="shared" si="27"/>
        <v>36607</v>
      </c>
      <c r="U279" s="1728"/>
    </row>
    <row r="280" spans="1:22" s="1764" customFormat="1" x14ac:dyDescent="0.2">
      <c r="A280" s="1747" t="s">
        <v>573</v>
      </c>
      <c r="B280" s="1788"/>
      <c r="C280" s="1749">
        <f>'F -199'!E27</f>
        <v>6768</v>
      </c>
      <c r="D280" s="1749">
        <f>'F -199'!F27</f>
        <v>8242</v>
      </c>
      <c r="E280" s="1749">
        <f>'F -199'!G27</f>
        <v>6748</v>
      </c>
      <c r="F280" s="1750">
        <f>E280/D280*100</f>
        <v>81.873331715603001</v>
      </c>
      <c r="G280" s="1751">
        <f>'F -199'!J27</f>
        <v>6768000</v>
      </c>
      <c r="H280" s="1751">
        <f>'F -199'!K27</f>
        <v>8242381.9199999999</v>
      </c>
      <c r="I280" s="1751">
        <f>'F -199'!L27</f>
        <v>6747804.4000000004</v>
      </c>
      <c r="J280" s="1751"/>
      <c r="K280" s="1811">
        <f>K242+K145+K108+G12+G18</f>
        <v>6766000</v>
      </c>
      <c r="L280" s="1811">
        <f>L242+L145+L108+H12+H18</f>
        <v>6880670</v>
      </c>
      <c r="M280" s="1811">
        <f>M242+M145+M108+I12+I18</f>
        <v>467847905.36000001</v>
      </c>
      <c r="N280" s="1775" t="s">
        <v>817</v>
      </c>
      <c r="Q280" s="1728" t="s">
        <v>1281</v>
      </c>
      <c r="R280" s="1733">
        <f>C281+C278</f>
        <v>20000</v>
      </c>
      <c r="S280" s="1733">
        <f t="shared" si="27"/>
        <v>47996</v>
      </c>
      <c r="T280" s="1733">
        <f t="shared" si="27"/>
        <v>46738</v>
      </c>
      <c r="U280" s="1728"/>
    </row>
    <row r="281" spans="1:22" s="1764" customFormat="1" ht="15" thickBot="1" x14ac:dyDescent="0.25">
      <c r="A281" s="1754" t="s">
        <v>574</v>
      </c>
      <c r="B281" s="1807"/>
      <c r="C281" s="1749">
        <f>'F -199'!E28</f>
        <v>0</v>
      </c>
      <c r="D281" s="1749">
        <f>'F -199'!F28</f>
        <v>0</v>
      </c>
      <c r="E281" s="1749">
        <f>'F -199'!G28</f>
        <v>0</v>
      </c>
      <c r="F281" s="1757">
        <v>0</v>
      </c>
      <c r="G281" s="1751">
        <f>'F -199'!J28</f>
        <v>0</v>
      </c>
      <c r="H281" s="1751">
        <f>'F -199'!K28</f>
        <v>0</v>
      </c>
      <c r="I281" s="1751">
        <f>'F -199'!L28</f>
        <v>0</v>
      </c>
      <c r="J281" s="1751"/>
      <c r="K281" s="1820">
        <f>SUM(K276:K280)</f>
        <v>4043891000</v>
      </c>
      <c r="L281" s="1820">
        <f>SUM(L276:L280)</f>
        <v>12087736516.060001</v>
      </c>
      <c r="M281" s="1820">
        <f>SUM(M276:M280)</f>
        <v>12026173034.770002</v>
      </c>
      <c r="N281" s="1782" t="s">
        <v>690</v>
      </c>
      <c r="Q281" s="1728" t="s">
        <v>817</v>
      </c>
      <c r="R281" s="1733">
        <f>C266+C261+C256+C251+C246+C237+C232</f>
        <v>0</v>
      </c>
      <c r="S281" s="1733">
        <f>D266+D261+D256+D251+D246+D237+D232</f>
        <v>0</v>
      </c>
      <c r="T281" s="1733">
        <v>0</v>
      </c>
      <c r="U281" s="1728"/>
    </row>
    <row r="282" spans="1:22" ht="26.25" customHeight="1" thickTop="1" thickBot="1" x14ac:dyDescent="0.3">
      <c r="A282" s="3064" t="s">
        <v>1062</v>
      </c>
      <c r="B282" s="3065"/>
      <c r="C282" s="1821">
        <f>C7+C13+C19+C24+C29+C34+C40+C45+C53+C75+C87+C98+C112+C123+C124+C125+C130+C135+C147+C152+C162+C169+C174+C183+C189+C194+C198+C203+C208+C213+C218+C223+C229+C234+C243+C247+C252+C257+C276+C279+C262+C156+C272+C267</f>
        <v>4043891</v>
      </c>
      <c r="D282" s="1821">
        <f>D7+D13+D19+D24+D29+D34+D40+D45+D53+D75+D87+D98+D112+D123+D124+D125+D130+D135+D147+D152+D162+D169+D174+D183+D189+D194+D198+D203+D208+D213+D218+D223+D229+D234+D243+D247+D252+D257+D276+D279+D262+D156+D267+D272</f>
        <v>12087737</v>
      </c>
      <c r="E282" s="1821">
        <f>E7+E13+E19+E24+E29+E34+E40+E45+E53+E75+E87+E98+E112+E123+E124+E125+E130+E135+E147+E152+E162+E169+E174+E183+E189+E194+E198+E203+E208+E213+E218+E223+E229+E234+E243+E247+E252+E257+E276+E279+E262+E156+E272+E267</f>
        <v>12026173</v>
      </c>
      <c r="F282" s="1822">
        <f>E282/D282*100</f>
        <v>99.490690441064373</v>
      </c>
      <c r="G282" s="1823">
        <f>SUM(G7,G13,G19,G24,G29,G34,G40,G45,G53,G75,G87,G98,G112,G123,G124,G125,G130,G135,G147,G152,G156,G162,G169,G174,G183,G189,G194,G198,G203,G208,G213,G218,G223,G229,G234,G243,G247,G252,G257,G262,G276,G279,G267,G272)</f>
        <v>4043891000</v>
      </c>
      <c r="H282" s="1823">
        <f>SUM(H7,H13,H19,H24,H29,H34,H40,H45,H53,H75,H87,H98,H112,H123,H124,H125,H130,H135,H147,H152,H156,H162,H169,H174,H183,H189,H194,H198,H203,H208,H213,H218,H223,H229,H234,H243,H247,H252,H257,H262,H276,H279,H267,H272)</f>
        <v>12087736516.060001</v>
      </c>
      <c r="I282" s="1823">
        <f>SUM(I7,I13,I19,I24,I29,I34,I40,I45,I53,I75,I87,I98,I112,I123,I124,I125,I130,I135,I147,I152,I156,I162,I169,I174,I183,I189,I194,I198,I203,I208,I213,I218,I223,I229,I234,I243,I247,I252,I257,I262,I276,I279,I267,I272)</f>
        <v>12026173034.769999</v>
      </c>
      <c r="J282" s="1870"/>
      <c r="K282" s="1746">
        <f>SUM(K277,K279)</f>
        <v>881629000</v>
      </c>
      <c r="L282" s="1746">
        <f>SUM(L277,L279)</f>
        <v>1988057997.5799999</v>
      </c>
      <c r="M282" s="1746">
        <f>SUM(M277,M279)</f>
        <v>1849295411.8099999</v>
      </c>
      <c r="N282" s="1775" t="s">
        <v>1267</v>
      </c>
      <c r="Q282" s="1764" t="s">
        <v>612</v>
      </c>
      <c r="R282" s="1733">
        <f>R279+R280+R281</f>
        <v>46768</v>
      </c>
      <c r="S282" s="1733">
        <f>S279+S280+S281</f>
        <v>86238</v>
      </c>
      <c r="T282" s="1733">
        <f>T279+T280+T281</f>
        <v>83345</v>
      </c>
    </row>
    <row r="283" spans="1:22" ht="20.25" customHeight="1" thickTop="1" x14ac:dyDescent="0.2">
      <c r="A283" s="1824" t="s">
        <v>1199</v>
      </c>
      <c r="C283" s="1731">
        <f>SUM(C12,C18)</f>
        <v>6766</v>
      </c>
      <c r="D283" s="1731">
        <f>D12+D18+D39+D151+D155+D167+D177+D216+D172+D186+D192+D197+D201+D206+D211+D221+D226+D232+D237+D246+D251+D256+D261+D266+D161</f>
        <v>6881</v>
      </c>
      <c r="E283" s="1731">
        <f>E12+E18+E39+E59+E81+E151+E155+E172+E177+E186+E192+E197+E201+E206+E211+E216+E221+E226+E232+E237+E246+E251+E256+E261+E266+E275</f>
        <v>467848</v>
      </c>
      <c r="F283" s="1814">
        <f>E283/D283*100</f>
        <v>6799.1280337160288</v>
      </c>
      <c r="G283" s="1793">
        <f>K283</f>
        <v>6766000</v>
      </c>
      <c r="H283" s="1793">
        <f>L283</f>
        <v>6880670</v>
      </c>
      <c r="I283" s="1793">
        <f>I12+I18++I59+I81+I151+I155+I172+I177+I186+I192+I197+I201+I206+I211+I216+I221+I226+I232+I237+I246+I251+I256+I261+I266+I271+I275</f>
        <v>467847905.36000007</v>
      </c>
      <c r="J283" s="1793"/>
      <c r="K283" s="1746">
        <f>SUM(K280)</f>
        <v>6766000</v>
      </c>
      <c r="L283" s="1746">
        <f>SUM(L280)</f>
        <v>6880670</v>
      </c>
      <c r="M283" s="1746">
        <f>SUM(M280)</f>
        <v>467847905.36000001</v>
      </c>
      <c r="N283" s="1775" t="s">
        <v>817</v>
      </c>
      <c r="R283" s="1733"/>
      <c r="S283" s="1733"/>
      <c r="T283" s="1733"/>
    </row>
    <row r="284" spans="1:22" ht="32.25" thickBot="1" x14ac:dyDescent="0.3">
      <c r="A284" s="1825" t="s">
        <v>1068</v>
      </c>
      <c r="B284" s="1826"/>
      <c r="C284" s="1827">
        <f>C282-C283</f>
        <v>4037125</v>
      </c>
      <c r="D284" s="1827">
        <f>D282-D283</f>
        <v>12080856</v>
      </c>
      <c r="E284" s="1828">
        <f>E282-E283</f>
        <v>11558325</v>
      </c>
      <c r="F284" s="1829">
        <f>E284/D284*100</f>
        <v>95.674718745095547</v>
      </c>
      <c r="G284" s="1830">
        <f>G282-G283</f>
        <v>4037125000</v>
      </c>
      <c r="H284" s="1830">
        <f>H282-H283</f>
        <v>12080855846.060001</v>
      </c>
      <c r="I284" s="1830">
        <f>I282-I283</f>
        <v>11558325129.409998</v>
      </c>
      <c r="J284" s="1870"/>
      <c r="K284" s="1746">
        <f>K281</f>
        <v>4043891000</v>
      </c>
      <c r="L284" s="1746">
        <f>L281</f>
        <v>12087736516.060001</v>
      </c>
      <c r="M284" s="1746">
        <f>M281</f>
        <v>12026173034.770002</v>
      </c>
      <c r="N284" s="1775" t="s">
        <v>690</v>
      </c>
      <c r="T284" s="1733">
        <f>T281+T266</f>
        <v>460854</v>
      </c>
    </row>
    <row r="285" spans="1:22" ht="15.75" customHeight="1" thickTop="1" thickBot="1" x14ac:dyDescent="0.3">
      <c r="A285" s="1873" t="s">
        <v>1200</v>
      </c>
      <c r="B285" s="1815"/>
      <c r="C285" s="1868"/>
      <c r="D285" s="1868"/>
      <c r="E285" s="1868"/>
      <c r="F285" s="1874"/>
      <c r="G285" s="1871"/>
      <c r="H285" s="1871"/>
      <c r="I285" s="1871"/>
      <c r="J285" s="1871"/>
      <c r="K285" s="1820">
        <f>K284-K283</f>
        <v>4037125000</v>
      </c>
      <c r="L285" s="1820">
        <f>L284-L283</f>
        <v>12080855846.060001</v>
      </c>
      <c r="M285" s="1820">
        <f>M284-M283</f>
        <v>11558325129.410002</v>
      </c>
    </row>
    <row r="286" spans="1:22" ht="9.75" customHeight="1" thickTop="1" x14ac:dyDescent="0.2">
      <c r="A286" s="3056" t="s">
        <v>1201</v>
      </c>
      <c r="B286" s="3057"/>
      <c r="C286" s="3057"/>
      <c r="D286" s="3057"/>
      <c r="E286" s="3057"/>
      <c r="F286" s="3057"/>
      <c r="G286" s="1872"/>
      <c r="H286" s="1872"/>
      <c r="I286" s="1872"/>
      <c r="J286" s="1872"/>
      <c r="K286" s="1872"/>
    </row>
    <row r="287" spans="1:22" x14ac:dyDescent="0.2">
      <c r="A287" s="3057"/>
      <c r="B287" s="3057"/>
      <c r="C287" s="3057"/>
      <c r="D287" s="3057"/>
      <c r="E287" s="3057"/>
      <c r="F287" s="3057"/>
      <c r="G287" s="1751"/>
      <c r="H287" s="1751"/>
      <c r="I287" s="1751"/>
      <c r="J287" s="1751"/>
      <c r="K287" s="1751"/>
    </row>
    <row r="289" spans="1:16" ht="15" x14ac:dyDescent="0.25">
      <c r="G289" s="1831"/>
      <c r="H289" s="1831"/>
      <c r="I289" s="1831"/>
    </row>
    <row r="290" spans="1:16" ht="15" x14ac:dyDescent="0.25">
      <c r="D290" s="1813"/>
      <c r="E290" s="1813"/>
      <c r="F290" s="1938"/>
      <c r="G290" s="1831"/>
      <c r="H290" s="1831"/>
      <c r="I290" s="1831"/>
    </row>
    <row r="291" spans="1:16" s="1729" customFormat="1" ht="15" x14ac:dyDescent="0.25">
      <c r="A291" s="1836" t="s">
        <v>1276</v>
      </c>
      <c r="B291" s="1837"/>
      <c r="C291" s="1833">
        <f>SUM(C7,C13,C19,C24,C29,C34,C40,C45,C54,C65,C70,C76,C88,C99,C113,C123,C124,C125,C130)</f>
        <v>1075724</v>
      </c>
      <c r="D291" s="1833">
        <f>SUM(D7,D13,D19,D24,D29,D34,D40,D45,D54,D65,D70,D76,D88,D99,D113,D123,D124,D125,D130,D137)</f>
        <v>5219394</v>
      </c>
      <c r="E291" s="1833">
        <f>SUM(E7,E13,E19,E24,E29,E34,E40,E45,E54,E65,E70,E76,E88,E99,E113,E123,E124,E125,E130,E137)</f>
        <v>4877777</v>
      </c>
      <c r="F291" s="1939"/>
      <c r="G291" s="1831">
        <f>SUM(G7,G13,G19,G24,G29,G34,G40,G45,G54,G65,G130,G70,G76,G88,G99,G113,G123,G124,G125)</f>
        <v>1075724000</v>
      </c>
      <c r="H291" s="1831">
        <f>SUM(H7,H13,H19,H24,H29,H34,H40,H45,H54,H65,H130,H70,H76,H88,H99,H113,H123,H124,H125,H137)</f>
        <v>5219393888.7200003</v>
      </c>
      <c r="I291" s="1831">
        <f>SUM(I7,I13,I19,I24,I29,I34,I40,I45,I54,I65,I130,I70,I76,I88,I99,I113,I123,I124,I125,I137)</f>
        <v>4877775020.9699993</v>
      </c>
      <c r="J291" s="1831"/>
      <c r="K291" s="1860" t="s">
        <v>2148</v>
      </c>
      <c r="L291" s="1831">
        <v>853271873.23000002</v>
      </c>
      <c r="M291" s="1947">
        <v>723342678.80999994</v>
      </c>
      <c r="N291" s="1831"/>
      <c r="O291" s="1833">
        <v>853272</v>
      </c>
      <c r="P291" s="1833">
        <v>723343</v>
      </c>
    </row>
    <row r="292" spans="1:16" s="1729" customFormat="1" ht="15" x14ac:dyDescent="0.25">
      <c r="A292" s="1838" t="s">
        <v>564</v>
      </c>
      <c r="B292" s="1837"/>
      <c r="C292" s="1833">
        <f>SUM(C60,C82,C93,C104,C118)</f>
        <v>2326309</v>
      </c>
      <c r="D292" s="1833">
        <f>SUM(D60,D82,D93,D104,D118,D142)</f>
        <v>5294389</v>
      </c>
      <c r="E292" s="1833">
        <f>SUM(E60,E82,E93,E104,E118,E142)</f>
        <v>5283539</v>
      </c>
      <c r="F292" s="1939"/>
      <c r="G292" s="1831">
        <f>SUM(G60,G82,G93,G104,G118)</f>
        <v>2326309000</v>
      </c>
      <c r="H292" s="1831">
        <f>SUM(H60,H82,H93,H104,H118,H142)</f>
        <v>5294390203.5199995</v>
      </c>
      <c r="I292" s="1831">
        <f>SUM(I60,I82,I93,I104,I118,I142)</f>
        <v>5283540603.6600008</v>
      </c>
      <c r="J292" s="1831"/>
      <c r="K292" s="1849" t="s">
        <v>1738</v>
      </c>
      <c r="L292" s="1946">
        <f>H10+H11+H16+H17+H22+H23+H27+H28+H32+H33+H37+H38+H43+H44+H48+H49+H57+H58+H63+H64+H68+H69+H73+H74+H79+H80+H85+H86+H91+H92+H96+H97+H102+H103+H107+H108+H116+H117+H121+H122+H128+H129+H133+H134+H140+H141+H145+H146</f>
        <v>6713650542.6400003</v>
      </c>
      <c r="M292" s="1946">
        <f>I10+I11+I16+I17+I22+I23+I27+I28+I32+I33+I37+I38+I43+I44+I48+I49+I57+I58+I63+I64+I68+I69+I73+I74+I79+I80+I85+I86+I91+I92+I96+I97+I102+I103+I107+I108+I116+I117+I121+I122+I128+I129+I133+I134+I140+I141+I145+I146</f>
        <v>6710572478.6499996</v>
      </c>
      <c r="N292" s="1831"/>
      <c r="O292" s="1846">
        <f>D10+D11+D17+D16+D22+D23+D27+D28+D32+D33+D38+D37+D43+D44+D48+D49+D57+D58+D63+D64+D68+D69+D73+D74+D79+D80+D85+D86+D91+D92+D96+D97+D102+D103+D107+D108+D116+D117+D121+D122+D128+D129</f>
        <v>6713650</v>
      </c>
      <c r="P292" s="1846">
        <f>E10+E11+E17+E16+E22+E23+E27+E28+E32+E33+E38+E37+E43+E44+E48+E49+E57+E58+E63+E64+E68+E69+E73+E74+E79+E80+E85+E86+E91+E92+E96+E97+E102+E103+E107+E108+E116+E117+E121+E122+E128+E129</f>
        <v>6710571</v>
      </c>
    </row>
    <row r="293" spans="1:16" s="1729" customFormat="1" ht="15" x14ac:dyDescent="0.25">
      <c r="A293" s="1838" t="s">
        <v>1162</v>
      </c>
      <c r="B293" s="1837"/>
      <c r="C293" s="1833">
        <f>C147+C152+C169+C174+C183+C189+C194+C198+C203+C213+C218+C223+C229+C234+C243+C247+C252+C257+C262</f>
        <v>595090</v>
      </c>
      <c r="D293" s="1833">
        <f>SUM(D243,D234,D229,D223,D218,D213,D208,D203,D198,D194,D189,D183,D174,D169,D162,D152,D147,D247,D252,D257,D262,D156,D267,D272)</f>
        <v>1487716</v>
      </c>
      <c r="E293" s="1833">
        <f>SUM(E243,E234,E229,E223,E218,E213,E208,E203,E198,E194,E189,E183,E174,E169,E162,E152,E147,E247,E252,E257,E262,E156,E267,E272)</f>
        <v>1781512</v>
      </c>
      <c r="F293" s="1939"/>
      <c r="G293" s="1831">
        <f>G147+G152+G169+G174+G183+G189+G194+G198+G203+G208+G213+G218+G223+G229+G234+G243+G247+G252+G257+G262</f>
        <v>595090000</v>
      </c>
      <c r="H293" s="1831">
        <f>SUM(H243,H234,H229,H223,H218,H213,H208,H203,H198,H194,H189,H183,H174,H169,H162,H152,H147,H156,H247,H252,H257,H262,H272)</f>
        <v>1487713587.3399999</v>
      </c>
      <c r="I293" s="1831">
        <f>SUM(I243,I234,I229,I223,I218,I213,I208,I203,I198,I194,I189,I183,I174,I169,I162,I152,I147,I156,I247,I252,I257,I262,I272,I267)</f>
        <v>1781512311.0799994</v>
      </c>
      <c r="J293" s="1833"/>
      <c r="K293" s="1831" t="s">
        <v>1636</v>
      </c>
      <c r="L293" s="1831">
        <f>L291+L292</f>
        <v>7566922415.8700008</v>
      </c>
      <c r="M293" s="1947">
        <f>M291+M292</f>
        <v>7433915157.4599991</v>
      </c>
      <c r="N293" s="1831"/>
      <c r="O293" s="1833">
        <f>O291+O292</f>
        <v>7566922</v>
      </c>
      <c r="P293" s="1833">
        <f>P291+P292</f>
        <v>7433914</v>
      </c>
    </row>
    <row r="294" spans="1:16" s="1729" customFormat="1" ht="15" x14ac:dyDescent="0.25">
      <c r="A294" s="1838" t="s">
        <v>124</v>
      </c>
      <c r="B294" s="1837"/>
      <c r="C294" s="1833">
        <f>SUM(C279)</f>
        <v>6768</v>
      </c>
      <c r="D294" s="1833">
        <f>SUM(D279)</f>
        <v>8242</v>
      </c>
      <c r="E294" s="1844">
        <f>SUM(E279)</f>
        <v>6748</v>
      </c>
      <c r="F294" s="1939"/>
      <c r="G294" s="1831">
        <f>SUM(G279)</f>
        <v>6768000</v>
      </c>
      <c r="H294" s="1831">
        <f>SUM(H279)</f>
        <v>8242381.9199999999</v>
      </c>
      <c r="I294" s="1831">
        <f>SUM(I279)</f>
        <v>6747804.4000000004</v>
      </c>
      <c r="J294" s="1831"/>
      <c r="K294" s="1831"/>
    </row>
    <row r="295" spans="1:16" s="1729" customFormat="1" ht="15" x14ac:dyDescent="0.25">
      <c r="A295" s="1836" t="s">
        <v>1277</v>
      </c>
      <c r="B295" s="1837"/>
      <c r="C295" s="1833">
        <f>SUM(C276)</f>
        <v>40000</v>
      </c>
      <c r="D295" s="1833">
        <f>SUM(D276)</f>
        <v>77996</v>
      </c>
      <c r="E295" s="1844">
        <f>SUM(E276)</f>
        <v>76597</v>
      </c>
      <c r="F295" s="1939"/>
      <c r="G295" s="1831">
        <f>SUM(G276)</f>
        <v>40000000</v>
      </c>
      <c r="H295" s="1831">
        <f>SUM(H276)</f>
        <v>77996454.560000002</v>
      </c>
      <c r="I295" s="1831">
        <f>SUM(I276)</f>
        <v>76597294.659999996</v>
      </c>
      <c r="J295" s="1831"/>
      <c r="K295" s="1831"/>
    </row>
    <row r="296" spans="1:16" s="1729" customFormat="1" ht="15.75" thickBot="1" x14ac:dyDescent="0.3">
      <c r="A296" s="1839" t="s">
        <v>816</v>
      </c>
      <c r="B296" s="1840"/>
      <c r="C296" s="1841">
        <f>SUM(C291:C295)</f>
        <v>4043891</v>
      </c>
      <c r="D296" s="1841">
        <f t="shared" ref="D296:I296" si="28">SUM(D291:D295)</f>
        <v>12087737</v>
      </c>
      <c r="E296" s="1841">
        <f t="shared" si="28"/>
        <v>12026173</v>
      </c>
      <c r="F296" s="1940"/>
      <c r="G296" s="1830">
        <f t="shared" si="28"/>
        <v>4043891000</v>
      </c>
      <c r="H296" s="1830">
        <f t="shared" si="28"/>
        <v>12087736516.059999</v>
      </c>
      <c r="I296" s="1830">
        <f t="shared" si="28"/>
        <v>12026173034.77</v>
      </c>
      <c r="J296" s="1831"/>
      <c r="K296" s="1831"/>
    </row>
    <row r="297" spans="1:16" s="1764" customFormat="1" ht="15.75" thickTop="1" x14ac:dyDescent="0.25">
      <c r="A297" s="1729" t="s">
        <v>817</v>
      </c>
      <c r="B297" s="1842"/>
      <c r="C297" s="1833">
        <f>C12+C18+C39+C151+C155+C167+C172+C177+C186+C192+C197+C201+C206+C211+C216+C221+C226+C232+C237+C246+C251+C256+C261+C266+C161</f>
        <v>6766</v>
      </c>
      <c r="D297" s="1833">
        <f>D12+D18+D39+D151+D155+D167+D172+D177+D186+D192+D197+D201+D206+D211+D216+D221+D226+D232+D237+D246+D251+D256+D261+D266+D161</f>
        <v>6881</v>
      </c>
      <c r="E297" s="1844">
        <f>E12+E18+E39+E59+E81+E151+E155+E172+E177+E186+E192+E197+E201+E206+E211+E216+E221+E226+E232+E237+E246+E251+E256+E261+E266+E275</f>
        <v>467848</v>
      </c>
      <c r="F297" s="1939"/>
      <c r="G297" s="1831">
        <f>SUM(G151,G167,G172,G177,G201,G206,G216,G12,G18,G155,G161,G186,G192,G197,G211,G221,G226,G232,G237,G246,G251,G256,G261,G266)</f>
        <v>6766000</v>
      </c>
      <c r="H297" s="1831">
        <f>SUM(H151,H167,H172,H177,H201,H206,H216,H12,H18,H155,H161,H186,H192,H197,H211,H221,H226,H232,H237,H246,H251,H256,H261,H266)</f>
        <v>6880670</v>
      </c>
      <c r="I297" s="1831">
        <f>I12+I18+I39+I59+I81+I151+I155+I172+I177+I186+I192+I197+I201+I206+I211+I216+I221+I226+I232+I237+I246+I251+I256+I261+I266+I275</f>
        <v>467847905.36000007</v>
      </c>
      <c r="J297" s="1831"/>
      <c r="K297" s="1831"/>
    </row>
    <row r="298" spans="1:16" s="1764" customFormat="1" ht="15.75" thickBot="1" x14ac:dyDescent="0.3">
      <c r="A298" s="1839" t="s">
        <v>1279</v>
      </c>
      <c r="B298" s="1843"/>
      <c r="C298" s="1841">
        <f>C296-C297</f>
        <v>4037125</v>
      </c>
      <c r="D298" s="1841">
        <f t="shared" ref="D298:H298" si="29">D296-D297</f>
        <v>12080856</v>
      </c>
      <c r="E298" s="1841">
        <f t="shared" si="29"/>
        <v>11558325</v>
      </c>
      <c r="F298" s="1940"/>
      <c r="G298" s="1830">
        <f t="shared" si="29"/>
        <v>4037125000</v>
      </c>
      <c r="H298" s="1830">
        <f t="shared" si="29"/>
        <v>12080855846.059999</v>
      </c>
      <c r="I298" s="1830">
        <f>I296-I297</f>
        <v>11558325129.41</v>
      </c>
      <c r="J298" s="1831"/>
      <c r="K298" s="1831"/>
    </row>
    <row r="299" spans="1:16" s="1764" customFormat="1" ht="15.75" thickTop="1" x14ac:dyDescent="0.25">
      <c r="A299" s="1729"/>
      <c r="B299" s="1842"/>
      <c r="C299" s="1833"/>
      <c r="D299" s="1844"/>
      <c r="E299" s="1844"/>
      <c r="F299" s="1939"/>
      <c r="G299" s="1831"/>
      <c r="H299" s="1831"/>
      <c r="I299" s="1831"/>
      <c r="J299" s="1831"/>
      <c r="K299" s="1831"/>
    </row>
    <row r="300" spans="1:16" s="1729" customFormat="1" ht="15" x14ac:dyDescent="0.25">
      <c r="A300" s="1729" t="s">
        <v>799</v>
      </c>
      <c r="B300" s="1837"/>
      <c r="C300" s="1833">
        <f>R281+R279+R266+R138+R136+R106+R104+R48+R46+R264</f>
        <v>3162262</v>
      </c>
      <c r="D300" s="1833">
        <f t="shared" ref="D300:E300" si="30">S281+S279+S266+S138+S136+S106+S104+S48+S46+S264</f>
        <v>10099679</v>
      </c>
      <c r="E300" s="1833">
        <f t="shared" si="30"/>
        <v>10176878</v>
      </c>
      <c r="F300" s="1939"/>
      <c r="G300" s="1831">
        <f>SUM(G8,G10,G12,G14,G16,G18,G20,G22,G25,G27,G30,G32,G35,G37,G41,G43,G46,G48,G55,G57,G59,G61,G63,G66,G68,G71,G73,G77,G79,G83,G85,G89,G91,G94,G96,G100,G102,G105,G107,G114,G116,G119,G121,G123,G124,G126,G128,G131,G133,G149,G151,G153,G155,G159,G161,G165,G167,G170,G172,G175,G177,G184,G186,G190,G192,G195,G197,G199,G201,G204,G206,G209,G211,G214,G216,G219,G221,G224,G226,G230,G232,G235,G237,G244,G246,G249,G251,G254,G256,G259,G261,G264,G266,G277,G280)</f>
        <v>3162262000</v>
      </c>
      <c r="H300" s="1831">
        <f>SUM(H8,H10,H12,H14,H16,H18,H20,H22,H25,H27,H30,H32,H35,H37,H41,H43,H46,H48,H55,H57,H59,H61,H63,H66,H68,H71,H73,H77,H79,H83,H85,H89,H91,H94,H96,H100,H102,H105,H107,H114,H116,H119,H121,H123,H124,H126,H128,H131,H133,H149,H151,H153,H155,H159,H161,H165,H167,H170,H172,H175,H177,H184,H186,H190,H192,H195,H197,H199,H201,H204,H206,H209,H211,H214,H216,H219,H221,H224,H226,H230,H232,H235,H237,H244,H246,H249,H251,H254,H256,H259,H261,H264,H266,H277,H280,H138,H140,H143,H145,H269,H271,H273,H275)</f>
        <v>10099678518.480001</v>
      </c>
      <c r="I300" s="1831">
        <f>SUM(I8,I10,I12,I14,I16,I18,I20,I22,I25,I27,I30,I32,I35,I37,I41,I43,I46,I48,I55,I57,I59,I61,I63,I66,I68,I71,I73,I77,I79,I83,I85,I89,I91,I94,I96,I100,I102,I105,I107,I114,I116,I119,I121,I123,I124,I126,I128,I131,I133,I149,I151,I153,I155,I159,I161,I165,I167,I170,I172,I175,I177,I184,I186,I190,I192,I195,I197,I199,I201,I204,I206,I209,I211,I214,I216,I219,I221,I224,I226,I230,I232,I235,I237,I244,I246,I249,I251,I254,I256,I259,I261,I264,I266,I277,I280,I138,I140,I143,I145,I269,I271,I273,I275,I81)</f>
        <v>10176877622.960005</v>
      </c>
      <c r="J300" s="1831"/>
      <c r="K300" s="1831"/>
    </row>
    <row r="301" spans="1:16" s="1729" customFormat="1" ht="15" x14ac:dyDescent="0.25">
      <c r="A301" s="1729" t="s">
        <v>1278</v>
      </c>
      <c r="B301" s="1837"/>
      <c r="C301" s="1833">
        <f>R280+R105+R47+R131+R133+R265</f>
        <v>881629</v>
      </c>
      <c r="D301" s="1833">
        <f t="shared" ref="D301:E301" si="31">S280+S105+S47+S131+S133+S265</f>
        <v>1988058</v>
      </c>
      <c r="E301" s="1833">
        <f t="shared" si="31"/>
        <v>1849295</v>
      </c>
      <c r="F301" s="1939"/>
      <c r="G301" s="1831">
        <f>SUM(G9,G11,G15,G17,G21,G23,G26,G31,G33,G36,G38,G42,G44,G47,G49,G56,G58,G62,G64,G67,G69,G72,G74,G78,G80,G84,G86,G90,G92,G95,G97,G101,G103,G106,G108,G115,G117,G120,G122,G127,G129,G132,G134,G150,G154,G160,G166,G171,G176,G185,G191,G196,G200,G205,G210,G215,G220,G225,G231,G236,G245,G250,G255,G260,G265,G278,G281)</f>
        <v>881629000</v>
      </c>
      <c r="H301" s="1831">
        <f>SUM(H9,H11,H15,H17,H21,H23,H26,H31,H33,H36,H38,H42,H44,H47,H49,H56,H58,H62,H64,H67,H69,H72,H74,H78,H80,H84,H86,H90,H92,H95,H97,H101,H103,H106,H108,H115,H117,H120,H122,H127,H129,H132,H134,H150,H154,H160,H166,H171,H176,H185,H191,H196,H200,H205,H210,H215,H220,H225,H231,H236,H245,H250,H255,H260,H265,H278,H281,H139,H144,H270,H274)</f>
        <v>1988057997.5799999</v>
      </c>
      <c r="I301" s="1831">
        <f>SUM(I9,I11,I15,I17,I21,I23,I26,I31,I33,I36,I38,I42,I44,I47,I49,I56,I58,I62,I64,I67,I69,I72,I74,I78,I80,I84,I86,I90,I92,I95,I97,I101,I103,I106,I108,I115,I117,I120,I122,I127,I129,I132,I134,I150,I154,I160,I166,I171,I176,I185,I191,I196,I200,I205,I210,I215,I220,I225,I231,I236,I245,I250,I255,I260,I265,I278,I281,I139,I144,I270,I274)</f>
        <v>1849295411.8099999</v>
      </c>
      <c r="J301" s="1831"/>
      <c r="K301" s="1831"/>
    </row>
    <row r="302" spans="1:16" s="1729" customFormat="1" ht="15.75" thickBot="1" x14ac:dyDescent="0.3">
      <c r="A302" s="1839" t="s">
        <v>816</v>
      </c>
      <c r="B302" s="1840"/>
      <c r="C302" s="1841">
        <f>SUM(C300:C301)</f>
        <v>4043891</v>
      </c>
      <c r="D302" s="1841">
        <f t="shared" ref="D302:I302" si="32">SUM(D300:D301)</f>
        <v>12087737</v>
      </c>
      <c r="E302" s="1841">
        <f t="shared" si="32"/>
        <v>12026173</v>
      </c>
      <c r="F302" s="1940"/>
      <c r="G302" s="1830">
        <f t="shared" si="32"/>
        <v>4043891000</v>
      </c>
      <c r="H302" s="1830">
        <f t="shared" si="32"/>
        <v>12087736516.060001</v>
      </c>
      <c r="I302" s="1830">
        <f t="shared" si="32"/>
        <v>12026173034.770004</v>
      </c>
      <c r="J302" s="1831"/>
      <c r="K302" s="1831"/>
    </row>
    <row r="303" spans="1:16" s="1764" customFormat="1" ht="15.75" thickTop="1" x14ac:dyDescent="0.25">
      <c r="A303" s="1729" t="s">
        <v>817</v>
      </c>
      <c r="B303" s="1842"/>
      <c r="C303" s="1833">
        <f>R281+R225+R176+R134+R106+R48</f>
        <v>6766</v>
      </c>
      <c r="D303" s="1833">
        <f>S281+S225+S176+S134+S106+S48</f>
        <v>6881</v>
      </c>
      <c r="E303" s="1844">
        <f>T281+T134+T106+T48+T266</f>
        <v>467848</v>
      </c>
      <c r="F303" s="1939"/>
      <c r="G303" s="1831">
        <f>G283</f>
        <v>6766000</v>
      </c>
      <c r="H303" s="1831">
        <f>H283</f>
        <v>6880670</v>
      </c>
      <c r="I303" s="1831">
        <f>I283</f>
        <v>467847905.36000007</v>
      </c>
      <c r="J303" s="1831"/>
      <c r="K303" s="1831"/>
    </row>
    <row r="304" spans="1:16" s="1764" customFormat="1" ht="15.75" thickBot="1" x14ac:dyDescent="0.3">
      <c r="A304" s="1839" t="s">
        <v>1279</v>
      </c>
      <c r="B304" s="1843"/>
      <c r="C304" s="1841">
        <f>C302-C303</f>
        <v>4037125</v>
      </c>
      <c r="D304" s="1841">
        <f t="shared" ref="D304:I304" si="33">D302-D303</f>
        <v>12080856</v>
      </c>
      <c r="E304" s="1841">
        <f t="shared" si="33"/>
        <v>11558325</v>
      </c>
      <c r="F304" s="1940"/>
      <c r="G304" s="1830">
        <f t="shared" si="33"/>
        <v>4037125000</v>
      </c>
      <c r="H304" s="1830">
        <f t="shared" si="33"/>
        <v>12080855846.060001</v>
      </c>
      <c r="I304" s="1830">
        <f t="shared" si="33"/>
        <v>11558325129.410004</v>
      </c>
      <c r="J304" s="1831"/>
      <c r="K304" s="1831"/>
    </row>
    <row r="305" spans="1:16" ht="15" thickTop="1" x14ac:dyDescent="0.2">
      <c r="E305" s="1813"/>
      <c r="F305" s="1938"/>
    </row>
    <row r="306" spans="1:16" x14ac:dyDescent="0.2">
      <c r="E306" s="1813"/>
      <c r="F306" s="1938"/>
    </row>
    <row r="307" spans="1:16" x14ac:dyDescent="0.2">
      <c r="A307" s="1732" t="s">
        <v>1590</v>
      </c>
      <c r="C307" s="1731">
        <v>66667</v>
      </c>
      <c r="D307" s="1731">
        <v>66667</v>
      </c>
      <c r="E307" s="1813">
        <v>66667</v>
      </c>
      <c r="F307" s="1938"/>
      <c r="G307" s="1845">
        <v>66667000</v>
      </c>
      <c r="H307" s="1845">
        <v>66667000</v>
      </c>
      <c r="I307" s="1845">
        <v>66666672</v>
      </c>
    </row>
    <row r="308" spans="1:16" ht="15" x14ac:dyDescent="0.25">
      <c r="A308" s="1846"/>
      <c r="B308" s="1847"/>
      <c r="C308" s="1848">
        <v>134111</v>
      </c>
      <c r="D308" s="1848">
        <v>134111</v>
      </c>
      <c r="E308" s="1848">
        <v>134110</v>
      </c>
      <c r="F308" s="1941"/>
      <c r="G308" s="1849">
        <v>134111000</v>
      </c>
      <c r="H308" s="1849">
        <v>134111000</v>
      </c>
      <c r="I308" s="1849">
        <v>134109756.06</v>
      </c>
    </row>
    <row r="309" spans="1:16" ht="15" x14ac:dyDescent="0.25">
      <c r="A309" s="1850" t="s">
        <v>1591</v>
      </c>
      <c r="B309" s="1851"/>
      <c r="C309" s="1852">
        <f>C307+C308</f>
        <v>200778</v>
      </c>
      <c r="D309" s="1852">
        <f>D307+D308</f>
        <v>200778</v>
      </c>
      <c r="E309" s="1852">
        <f>E307+E308</f>
        <v>200777</v>
      </c>
      <c r="F309" s="1942"/>
      <c r="G309" s="1831">
        <f>G307+G308</f>
        <v>200778000</v>
      </c>
      <c r="H309" s="1831">
        <f>H307+H308</f>
        <v>200778000</v>
      </c>
      <c r="I309" s="1831">
        <f>I307+I308</f>
        <v>200776428.06</v>
      </c>
    </row>
    <row r="310" spans="1:16" ht="15.75" thickBot="1" x14ac:dyDescent="0.3">
      <c r="A310" s="1853"/>
      <c r="B310" s="1854"/>
      <c r="C310" s="1855"/>
      <c r="D310" s="1855"/>
      <c r="E310" s="1856"/>
      <c r="F310" s="1943"/>
      <c r="G310" s="1856"/>
      <c r="H310" s="1856"/>
      <c r="I310" s="1856"/>
    </row>
    <row r="311" spans="1:16" ht="15.75" thickTop="1" x14ac:dyDescent="0.25">
      <c r="A311" s="1732" t="s">
        <v>816</v>
      </c>
      <c r="C311" s="1833">
        <f>C298+C309</f>
        <v>4237903</v>
      </c>
      <c r="D311" s="1833">
        <f>D298+D309</f>
        <v>12281634</v>
      </c>
      <c r="E311" s="1844">
        <f>E298+E309</f>
        <v>11759102</v>
      </c>
      <c r="F311" s="1939"/>
      <c r="G311" s="1831">
        <f>G309+G298</f>
        <v>4237903000</v>
      </c>
      <c r="H311" s="1831">
        <f>H309+H298</f>
        <v>12281633846.059999</v>
      </c>
      <c r="I311" s="1831">
        <f>I309+I298</f>
        <v>11759101557.469999</v>
      </c>
    </row>
    <row r="312" spans="1:16" x14ac:dyDescent="0.2">
      <c r="E312" s="1813"/>
      <c r="F312" s="1938"/>
      <c r="G312" s="1731"/>
      <c r="H312" s="1731"/>
    </row>
    <row r="313" spans="1:16" x14ac:dyDescent="0.2">
      <c r="G313" s="1731"/>
      <c r="H313" s="1731"/>
      <c r="I313" s="1731"/>
    </row>
    <row r="316" spans="1:16" x14ac:dyDescent="0.2">
      <c r="A316" s="1857"/>
      <c r="B316" s="1781"/>
      <c r="C316" s="1813"/>
      <c r="D316" s="1813"/>
      <c r="E316" s="1813"/>
      <c r="F316" s="1813"/>
      <c r="G316" s="1793"/>
      <c r="H316" s="1793"/>
      <c r="I316" s="1793"/>
      <c r="J316" s="1813"/>
      <c r="K316" s="1793"/>
      <c r="L316" s="1812"/>
      <c r="M316" s="1812"/>
      <c r="N316" s="1812"/>
      <c r="O316" s="1812"/>
      <c r="P316" s="1812"/>
    </row>
    <row r="317" spans="1:16" x14ac:dyDescent="0.2">
      <c r="A317" s="1857"/>
      <c r="B317" s="1781"/>
      <c r="C317" s="1813"/>
      <c r="D317" s="1813"/>
      <c r="E317" s="1813"/>
      <c r="F317" s="1813"/>
      <c r="G317" s="1793"/>
      <c r="H317" s="1793"/>
      <c r="I317" s="1793"/>
      <c r="J317" s="1793"/>
      <c r="K317" s="1793"/>
      <c r="L317" s="1812"/>
      <c r="M317" s="1812"/>
      <c r="N317" s="1812"/>
      <c r="O317" s="1812"/>
      <c r="P317" s="1812"/>
    </row>
    <row r="318" spans="1:16" x14ac:dyDescent="0.2">
      <c r="A318" s="1857"/>
      <c r="B318" s="1781"/>
      <c r="C318" s="1813"/>
      <c r="D318" s="1813"/>
      <c r="E318" s="1813"/>
      <c r="F318" s="1813"/>
      <c r="G318" s="1793"/>
      <c r="H318" s="1793"/>
      <c r="I318" s="1793"/>
      <c r="J318" s="1793"/>
      <c r="K318" s="1793"/>
      <c r="L318" s="1812"/>
      <c r="M318" s="1812"/>
      <c r="N318" s="1812"/>
      <c r="O318" s="1812"/>
      <c r="P318" s="1812"/>
    </row>
    <row r="319" spans="1:16" x14ac:dyDescent="0.2">
      <c r="A319" s="1857"/>
      <c r="B319" s="1781"/>
      <c r="C319" s="1813"/>
      <c r="D319" s="1813"/>
      <c r="E319" s="1813"/>
      <c r="F319" s="1813"/>
      <c r="G319" s="1793"/>
      <c r="H319" s="1793"/>
      <c r="I319" s="1793"/>
      <c r="J319" s="1793"/>
      <c r="K319" s="1793"/>
      <c r="L319" s="1812"/>
      <c r="M319" s="1812"/>
      <c r="N319" s="1812"/>
      <c r="O319" s="1812"/>
      <c r="P319" s="1812"/>
    </row>
    <row r="320" spans="1:16" x14ac:dyDescent="0.2">
      <c r="A320" s="1857"/>
      <c r="B320" s="1781"/>
      <c r="C320" s="1813"/>
      <c r="D320" s="1813"/>
      <c r="E320" s="1813"/>
      <c r="F320" s="1813"/>
      <c r="G320" s="1793"/>
      <c r="H320" s="1793"/>
      <c r="I320" s="1793"/>
      <c r="J320" s="1793"/>
      <c r="K320" s="1793"/>
      <c r="L320" s="1812"/>
      <c r="M320" s="1812"/>
      <c r="N320" s="1812"/>
      <c r="O320" s="1812"/>
      <c r="P320" s="1812"/>
    </row>
    <row r="321" spans="1:16" x14ac:dyDescent="0.2">
      <c r="A321" s="1857"/>
      <c r="B321" s="1781"/>
      <c r="C321" s="1813"/>
      <c r="D321" s="1813"/>
      <c r="E321" s="1813"/>
      <c r="F321" s="1813"/>
      <c r="G321" s="1793"/>
      <c r="H321" s="1793"/>
      <c r="I321" s="1793"/>
      <c r="J321" s="1813"/>
      <c r="K321" s="1793"/>
      <c r="L321" s="1812"/>
      <c r="M321" s="1812"/>
      <c r="N321" s="1812"/>
      <c r="O321" s="1812"/>
      <c r="P321" s="1812"/>
    </row>
    <row r="322" spans="1:16" x14ac:dyDescent="0.2">
      <c r="A322" s="1857"/>
      <c r="B322" s="1781"/>
      <c r="C322" s="1813"/>
      <c r="D322" s="1813"/>
      <c r="E322" s="1813"/>
      <c r="F322" s="1813"/>
      <c r="G322" s="1793"/>
      <c r="H322" s="1793"/>
      <c r="I322" s="1793"/>
      <c r="J322" s="1793"/>
      <c r="K322" s="1793"/>
      <c r="L322" s="1812"/>
      <c r="M322" s="1812"/>
      <c r="N322" s="1812"/>
      <c r="O322" s="1812"/>
      <c r="P322" s="1812"/>
    </row>
    <row r="323" spans="1:16" x14ac:dyDescent="0.2">
      <c r="A323" s="1857"/>
      <c r="B323" s="1781"/>
      <c r="C323" s="1813"/>
      <c r="D323" s="1813"/>
      <c r="E323" s="1813"/>
      <c r="F323" s="1813"/>
      <c r="G323" s="1793"/>
      <c r="H323" s="1793"/>
      <c r="I323" s="1793"/>
      <c r="J323" s="1793"/>
      <c r="K323" s="1793"/>
      <c r="L323" s="1812"/>
      <c r="M323" s="1812"/>
      <c r="N323" s="1812"/>
      <c r="O323" s="1812"/>
      <c r="P323" s="1812"/>
    </row>
    <row r="324" spans="1:16" x14ac:dyDescent="0.2">
      <c r="A324" s="1857"/>
      <c r="B324" s="1781"/>
      <c r="C324" s="1813"/>
      <c r="D324" s="1813"/>
      <c r="E324" s="1813"/>
      <c r="F324" s="1813"/>
      <c r="G324" s="1793"/>
      <c r="H324" s="1793"/>
      <c r="I324" s="1793"/>
      <c r="J324" s="1793"/>
      <c r="K324" s="1793"/>
      <c r="L324" s="1812"/>
      <c r="M324" s="1812"/>
      <c r="N324" s="1812"/>
      <c r="O324" s="1812"/>
      <c r="P324" s="1812"/>
    </row>
    <row r="325" spans="1:16" x14ac:dyDescent="0.2">
      <c r="A325" s="1857"/>
      <c r="B325" s="1781"/>
      <c r="C325" s="1813"/>
      <c r="D325" s="1813"/>
      <c r="E325" s="1813"/>
      <c r="F325" s="1813"/>
      <c r="G325" s="1793"/>
      <c r="H325" s="1793"/>
      <c r="I325" s="1793"/>
      <c r="J325" s="1793"/>
      <c r="K325" s="1793"/>
      <c r="L325" s="1812"/>
      <c r="M325" s="1812"/>
      <c r="N325" s="1812"/>
      <c r="O325" s="1812"/>
      <c r="P325" s="1812"/>
    </row>
    <row r="326" spans="1:16" x14ac:dyDescent="0.2">
      <c r="A326" s="1857"/>
      <c r="B326" s="1781"/>
      <c r="C326" s="1813"/>
      <c r="D326" s="1813"/>
      <c r="E326" s="1813"/>
      <c r="F326" s="1813"/>
      <c r="G326" s="1793"/>
      <c r="H326" s="1793"/>
      <c r="I326" s="1793"/>
      <c r="J326" s="1793"/>
      <c r="K326" s="1793"/>
      <c r="L326" s="1812"/>
      <c r="M326" s="1812"/>
      <c r="N326" s="1812"/>
      <c r="O326" s="1812"/>
      <c r="P326" s="1812"/>
    </row>
  </sheetData>
  <mergeCells count="25">
    <mergeCell ref="A267:A268"/>
    <mergeCell ref="A162:A164"/>
    <mergeCell ref="A156:A158"/>
    <mergeCell ref="A286:F287"/>
    <mergeCell ref="A1:F1"/>
    <mergeCell ref="A2:F2"/>
    <mergeCell ref="A187:A189"/>
    <mergeCell ref="A202:A203"/>
    <mergeCell ref="A182:A183"/>
    <mergeCell ref="A168:A169"/>
    <mergeCell ref="A173:A174"/>
    <mergeCell ref="A207:A208"/>
    <mergeCell ref="A147:A148"/>
    <mergeCell ref="A282:B282"/>
    <mergeCell ref="A212:A213"/>
    <mergeCell ref="A217:A218"/>
    <mergeCell ref="A222:A223"/>
    <mergeCell ref="A262:A263"/>
    <mergeCell ref="A193:A194"/>
    <mergeCell ref="A241:A243"/>
    <mergeCell ref="A233:A234"/>
    <mergeCell ref="A247:A248"/>
    <mergeCell ref="A252:A253"/>
    <mergeCell ref="A257:A258"/>
    <mergeCell ref="A227:A229"/>
  </mergeCells>
  <phoneticPr fontId="35" type="noConversion"/>
  <pageMargins left="0.78740157480314965" right="0.78740157480314965" top="0.78740157480314965" bottom="0.98425196850393704" header="0.51181102362204722" footer="0.51181102362204722"/>
  <pageSetup paperSize="9" scale="80" firstPageNumber="20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  <rowBreaks count="4" manualBreakCount="4">
    <brk id="49" max="5" man="1"/>
    <brk id="108" max="5" man="1"/>
    <brk id="178" max="5" man="1"/>
    <brk id="237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144"/>
  <sheetViews>
    <sheetView showGridLines="0" view="pageBreakPreview" zoomScaleNormal="100" zoomScaleSheetLayoutView="100" workbookViewId="0">
      <selection activeCell="D146" sqref="D146"/>
    </sheetView>
  </sheetViews>
  <sheetFormatPr defaultColWidth="9.140625" defaultRowHeight="14.25" x14ac:dyDescent="0.2"/>
  <cols>
    <col min="1" max="1" width="5" style="2121" customWidth="1"/>
    <col min="2" max="2" width="5.28515625" style="2121" customWidth="1"/>
    <col min="3" max="3" width="9" style="2120" customWidth="1"/>
    <col min="4" max="4" width="45.7109375" style="1249" customWidth="1"/>
    <col min="5" max="6" width="14.5703125" style="1254" customWidth="1"/>
    <col min="7" max="7" width="14.85546875" style="1254" customWidth="1"/>
    <col min="8" max="8" width="8.42578125" style="2465" customWidth="1"/>
    <col min="9" max="9" width="9.140625" style="1249"/>
    <col min="10" max="10" width="13.7109375" style="2141" bestFit="1" customWidth="1"/>
    <col min="11" max="11" width="14" style="2141" customWidth="1"/>
    <col min="12" max="12" width="14.5703125" style="2141" customWidth="1"/>
    <col min="13" max="13" width="10" style="2141" bestFit="1" customWidth="1"/>
    <col min="14" max="14" width="13.85546875" style="2141" bestFit="1" customWidth="1"/>
    <col min="15" max="15" width="13.85546875" style="2141" customWidth="1"/>
    <col min="16" max="18" width="9.140625" style="1249"/>
    <col min="19" max="19" width="9.28515625" style="1249" bestFit="1" customWidth="1"/>
    <col min="20" max="16384" width="9.140625" style="1249"/>
  </cols>
  <sheetData>
    <row r="1" spans="1:15" s="2318" customFormat="1" ht="18.75" thickBot="1" x14ac:dyDescent="0.3">
      <c r="A1" s="2324" t="s">
        <v>1065</v>
      </c>
      <c r="B1" s="2323"/>
      <c r="C1" s="2464"/>
      <c r="D1" s="2321"/>
      <c r="E1" s="2463"/>
      <c r="F1" s="2463" t="s">
        <v>77</v>
      </c>
      <c r="G1" s="2462"/>
      <c r="H1" s="2521"/>
      <c r="J1" s="2141"/>
      <c r="K1" s="2141"/>
      <c r="L1" s="2141"/>
      <c r="M1" s="2141"/>
      <c r="N1" s="2141"/>
      <c r="O1" s="2141"/>
    </row>
    <row r="2" spans="1:15" x14ac:dyDescent="0.2">
      <c r="A2" s="2156"/>
    </row>
    <row r="3" spans="1:15" s="2141" customFormat="1" x14ac:dyDescent="0.2">
      <c r="A3" s="2317" t="s">
        <v>336</v>
      </c>
      <c r="B3" s="2316"/>
      <c r="C3" s="3168" t="s">
        <v>1943</v>
      </c>
      <c r="D3" s="3169"/>
      <c r="E3" s="2400"/>
      <c r="F3" s="2400"/>
      <c r="G3" s="2400"/>
      <c r="H3" s="2519"/>
    </row>
    <row r="4" spans="1:15" x14ac:dyDescent="0.2">
      <c r="A4" s="2156"/>
      <c r="C4" s="2317" t="s">
        <v>1455</v>
      </c>
      <c r="D4" s="2316"/>
      <c r="E4" s="2518"/>
      <c r="F4" s="1249"/>
    </row>
    <row r="5" spans="1:15" ht="12.75" customHeight="1" x14ac:dyDescent="0.2">
      <c r="A5" s="2156"/>
      <c r="C5" s="2518"/>
    </row>
    <row r="6" spans="1:15" ht="15.75" x14ac:dyDescent="0.25">
      <c r="A6" s="2245" t="s">
        <v>799</v>
      </c>
    </row>
    <row r="7" spans="1:15" ht="15" thickBot="1" x14ac:dyDescent="0.25">
      <c r="H7" s="2465" t="s">
        <v>148</v>
      </c>
    </row>
    <row r="8" spans="1:15" s="1298" customFormat="1" ht="20.25" customHeight="1" thickTop="1" thickBot="1" x14ac:dyDescent="0.25">
      <c r="A8" s="1302" t="s">
        <v>149</v>
      </c>
      <c r="B8" s="1301" t="s">
        <v>150</v>
      </c>
      <c r="C8" s="2263" t="s">
        <v>639</v>
      </c>
      <c r="D8" s="1324" t="s">
        <v>151</v>
      </c>
      <c r="E8" s="1324" t="s">
        <v>569</v>
      </c>
      <c r="F8" s="1324" t="s">
        <v>570</v>
      </c>
      <c r="G8" s="2198" t="s">
        <v>797</v>
      </c>
      <c r="H8" s="2238" t="s">
        <v>798</v>
      </c>
      <c r="J8" s="2503"/>
      <c r="K8" s="2503"/>
      <c r="L8" s="2503"/>
      <c r="M8" s="2503"/>
      <c r="N8" s="2503"/>
      <c r="O8" s="2503"/>
    </row>
    <row r="9" spans="1:15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6">
        <v>5</v>
      </c>
      <c r="F9" s="1295">
        <v>6</v>
      </c>
      <c r="G9" s="1295">
        <v>7</v>
      </c>
      <c r="H9" s="2486" t="s">
        <v>54</v>
      </c>
      <c r="I9" s="1298"/>
    </row>
    <row r="10" spans="1:15" s="2312" customFormat="1" ht="15.75" thickTop="1" x14ac:dyDescent="0.25">
      <c r="A10" s="2460">
        <v>3513</v>
      </c>
      <c r="B10" s="2517">
        <v>5169</v>
      </c>
      <c r="C10" s="2516"/>
      <c r="D10" s="2515" t="s">
        <v>769</v>
      </c>
      <c r="E10" s="2514">
        <f>E11+E12</f>
        <v>9938</v>
      </c>
      <c r="F10" s="2514">
        <f>F11+F12</f>
        <v>9916</v>
      </c>
      <c r="G10" s="2514">
        <f>G11+G12</f>
        <v>9902</v>
      </c>
      <c r="H10" s="2457">
        <f>G10/F10*100</f>
        <v>99.858814037918521</v>
      </c>
    </row>
    <row r="11" spans="1:15" s="2312" customFormat="1" x14ac:dyDescent="0.2">
      <c r="A11" s="1279"/>
      <c r="B11" s="2261"/>
      <c r="C11" s="1286" t="s">
        <v>1942</v>
      </c>
      <c r="D11" s="1287" t="s">
        <v>136</v>
      </c>
      <c r="E11" s="1276">
        <v>9597</v>
      </c>
      <c r="F11" s="1275">
        <v>9597</v>
      </c>
      <c r="G11" s="1274">
        <v>9597</v>
      </c>
      <c r="H11" s="1316">
        <f t="shared" ref="H11:H27" si="0">(G11/F11)*100</f>
        <v>100</v>
      </c>
    </row>
    <row r="12" spans="1:15" s="2312" customFormat="1" x14ac:dyDescent="0.2">
      <c r="A12" s="1279"/>
      <c r="B12" s="2261"/>
      <c r="C12" s="1286" t="s">
        <v>1941</v>
      </c>
      <c r="D12" s="1287" t="s">
        <v>137</v>
      </c>
      <c r="E12" s="1276">
        <v>341</v>
      </c>
      <c r="F12" s="1275">
        <v>319</v>
      </c>
      <c r="G12" s="1274">
        <v>305</v>
      </c>
      <c r="H12" s="1316">
        <f t="shared" si="0"/>
        <v>95.611285266457685</v>
      </c>
    </row>
    <row r="13" spans="1:15" s="2312" customFormat="1" ht="15" x14ac:dyDescent="0.25">
      <c r="A13" s="1279">
        <v>3522</v>
      </c>
      <c r="B13" s="2261">
        <v>5169</v>
      </c>
      <c r="C13" s="2512"/>
      <c r="D13" s="1285" t="s">
        <v>769</v>
      </c>
      <c r="E13" s="1288">
        <v>6099</v>
      </c>
      <c r="F13" s="1283">
        <f>F14</f>
        <v>6099</v>
      </c>
      <c r="G13" s="1283">
        <f>G14</f>
        <v>6099</v>
      </c>
      <c r="H13" s="1313">
        <f t="shared" si="0"/>
        <v>100</v>
      </c>
    </row>
    <row r="14" spans="1:15" s="2312" customFormat="1" x14ac:dyDescent="0.2">
      <c r="A14" s="1279"/>
      <c r="B14" s="2261"/>
      <c r="C14" s="1286" t="s">
        <v>1940</v>
      </c>
      <c r="D14" s="1287" t="s">
        <v>138</v>
      </c>
      <c r="E14" s="1276">
        <v>6099</v>
      </c>
      <c r="F14" s="1275">
        <v>6099</v>
      </c>
      <c r="G14" s="1274">
        <v>6099</v>
      </c>
      <c r="H14" s="1316">
        <f t="shared" si="0"/>
        <v>100</v>
      </c>
    </row>
    <row r="15" spans="1:15" s="2312" customFormat="1" ht="15" x14ac:dyDescent="0.25">
      <c r="A15" s="1279">
        <v>3522</v>
      </c>
      <c r="B15" s="2261">
        <v>5171</v>
      </c>
      <c r="C15" s="1286"/>
      <c r="D15" s="1285" t="s">
        <v>811</v>
      </c>
      <c r="E15" s="1276"/>
      <c r="F15" s="1284">
        <f>F16+F17</f>
        <v>199</v>
      </c>
      <c r="G15" s="1284">
        <f>G16+G17</f>
        <v>173</v>
      </c>
      <c r="H15" s="1313">
        <f t="shared" si="0"/>
        <v>86.934673366834176</v>
      </c>
    </row>
    <row r="16" spans="1:15" s="2312" customFormat="1" x14ac:dyDescent="0.2">
      <c r="A16" s="1279"/>
      <c r="B16" s="2261"/>
      <c r="C16" s="1281" t="s">
        <v>1931</v>
      </c>
      <c r="D16" s="1287" t="s">
        <v>704</v>
      </c>
      <c r="E16" s="1276"/>
      <c r="F16" s="1275">
        <v>150</v>
      </c>
      <c r="G16" s="1274">
        <v>124</v>
      </c>
      <c r="H16" s="1316">
        <f t="shared" si="0"/>
        <v>82.666666666666671</v>
      </c>
    </row>
    <row r="17" spans="1:8" s="2312" customFormat="1" x14ac:dyDescent="0.2">
      <c r="A17" s="1279"/>
      <c r="B17" s="2261"/>
      <c r="C17" s="1281" t="s">
        <v>1775</v>
      </c>
      <c r="D17" s="2513" t="s">
        <v>734</v>
      </c>
      <c r="E17" s="1276"/>
      <c r="F17" s="1275">
        <v>49</v>
      </c>
      <c r="G17" s="1274">
        <v>49</v>
      </c>
      <c r="H17" s="1316">
        <f t="shared" si="0"/>
        <v>100</v>
      </c>
    </row>
    <row r="18" spans="1:8" s="2312" customFormat="1" ht="15" x14ac:dyDescent="0.25">
      <c r="A18" s="1279">
        <v>3532</v>
      </c>
      <c r="B18" s="2261">
        <v>5169</v>
      </c>
      <c r="C18" s="1286"/>
      <c r="D18" s="1285" t="s">
        <v>769</v>
      </c>
      <c r="E18" s="1288">
        <v>40</v>
      </c>
      <c r="F18" s="1284">
        <v>40</v>
      </c>
      <c r="G18" s="1283">
        <v>28</v>
      </c>
      <c r="H18" s="1313">
        <f t="shared" si="0"/>
        <v>70</v>
      </c>
    </row>
    <row r="19" spans="1:8" s="2312" customFormat="1" ht="15" x14ac:dyDescent="0.25">
      <c r="A19" s="1279">
        <v>3541</v>
      </c>
      <c r="B19" s="2261">
        <v>5221</v>
      </c>
      <c r="C19" s="1286"/>
      <c r="D19" s="2454" t="s">
        <v>1074</v>
      </c>
      <c r="E19" s="1288">
        <v>1315</v>
      </c>
      <c r="F19" s="1284">
        <v>1318</v>
      </c>
      <c r="G19" s="1283">
        <v>1318</v>
      </c>
      <c r="H19" s="1313">
        <f t="shared" si="0"/>
        <v>100</v>
      </c>
    </row>
    <row r="20" spans="1:8" s="2312" customFormat="1" x14ac:dyDescent="0.2">
      <c r="A20" s="1279"/>
      <c r="B20" s="2261"/>
      <c r="C20" s="1286" t="s">
        <v>1939</v>
      </c>
      <c r="D20" s="1287" t="s">
        <v>139</v>
      </c>
      <c r="E20" s="1276">
        <v>1315</v>
      </c>
      <c r="F20" s="1275">
        <v>1318</v>
      </c>
      <c r="G20" s="1274">
        <v>1318</v>
      </c>
      <c r="H20" s="1316">
        <f t="shared" si="0"/>
        <v>100</v>
      </c>
    </row>
    <row r="21" spans="1:8" s="2312" customFormat="1" ht="15.75" customHeight="1" x14ac:dyDescent="0.25">
      <c r="A21" s="1279">
        <v>3541</v>
      </c>
      <c r="B21" s="2261">
        <v>5222</v>
      </c>
      <c r="C21" s="1286"/>
      <c r="D21" s="1285" t="s">
        <v>554</v>
      </c>
      <c r="E21" s="1288">
        <v>1185</v>
      </c>
      <c r="F21" s="1284">
        <v>1182</v>
      </c>
      <c r="G21" s="1283">
        <v>1182</v>
      </c>
      <c r="H21" s="1313">
        <f t="shared" si="0"/>
        <v>100</v>
      </c>
    </row>
    <row r="22" spans="1:8" s="2312" customFormat="1" ht="15.75" customHeight="1" x14ac:dyDescent="0.2">
      <c r="A22" s="1279"/>
      <c r="B22" s="2261"/>
      <c r="C22" s="1286" t="s">
        <v>1939</v>
      </c>
      <c r="D22" s="1287" t="s">
        <v>139</v>
      </c>
      <c r="E22" s="1276">
        <v>1185</v>
      </c>
      <c r="F22" s="1275">
        <v>1182</v>
      </c>
      <c r="G22" s="1274">
        <v>1182</v>
      </c>
      <c r="H22" s="1316">
        <f t="shared" si="0"/>
        <v>100</v>
      </c>
    </row>
    <row r="23" spans="1:8" s="2312" customFormat="1" ht="15.75" customHeight="1" x14ac:dyDescent="0.25">
      <c r="A23" s="1279">
        <v>3543</v>
      </c>
      <c r="B23" s="2261">
        <v>5221</v>
      </c>
      <c r="C23" s="1286"/>
      <c r="D23" s="2454" t="s">
        <v>1074</v>
      </c>
      <c r="E23" s="1276"/>
      <c r="F23" s="1283">
        <v>25</v>
      </c>
      <c r="G23" s="1283">
        <v>25</v>
      </c>
      <c r="H23" s="1313">
        <f t="shared" si="0"/>
        <v>100</v>
      </c>
    </row>
    <row r="24" spans="1:8" s="2312" customFormat="1" ht="15.75" customHeight="1" x14ac:dyDescent="0.2">
      <c r="A24" s="1279"/>
      <c r="B24" s="2261"/>
      <c r="C24" s="1286" t="s">
        <v>1788</v>
      </c>
      <c r="D24" s="1287" t="s">
        <v>1437</v>
      </c>
      <c r="E24" s="1276"/>
      <c r="F24" s="1275">
        <v>25</v>
      </c>
      <c r="G24" s="1274">
        <v>25</v>
      </c>
      <c r="H24" s="1316">
        <f t="shared" si="0"/>
        <v>100</v>
      </c>
    </row>
    <row r="25" spans="1:8" s="2312" customFormat="1" ht="15.75" customHeight="1" x14ac:dyDescent="0.25">
      <c r="A25" s="1279">
        <v>3543</v>
      </c>
      <c r="B25" s="2261">
        <v>5222</v>
      </c>
      <c r="C25" s="1286"/>
      <c r="D25" s="1285" t="s">
        <v>554</v>
      </c>
      <c r="E25" s="1276"/>
      <c r="F25" s="1283">
        <v>60</v>
      </c>
      <c r="G25" s="1283">
        <v>60</v>
      </c>
      <c r="H25" s="1313">
        <f t="shared" si="0"/>
        <v>100</v>
      </c>
    </row>
    <row r="26" spans="1:8" s="2312" customFormat="1" ht="15.75" customHeight="1" x14ac:dyDescent="0.2">
      <c r="A26" s="1279"/>
      <c r="B26" s="2261"/>
      <c r="C26" s="1286" t="s">
        <v>1788</v>
      </c>
      <c r="D26" s="1287" t="s">
        <v>1437</v>
      </c>
      <c r="E26" s="1276"/>
      <c r="F26" s="1275">
        <v>60</v>
      </c>
      <c r="G26" s="1274">
        <v>60</v>
      </c>
      <c r="H26" s="1316">
        <f t="shared" si="0"/>
        <v>100</v>
      </c>
    </row>
    <row r="27" spans="1:8" s="2312" customFormat="1" ht="15.75" customHeight="1" x14ac:dyDescent="0.25">
      <c r="A27" s="1279">
        <v>3543</v>
      </c>
      <c r="B27" s="2261">
        <v>5229</v>
      </c>
      <c r="C27" s="1286"/>
      <c r="D27" s="3067" t="s">
        <v>872</v>
      </c>
      <c r="E27" s="1276"/>
      <c r="F27" s="1284">
        <v>20</v>
      </c>
      <c r="G27" s="1283">
        <v>20</v>
      </c>
      <c r="H27" s="1313">
        <f t="shared" si="0"/>
        <v>100</v>
      </c>
    </row>
    <row r="28" spans="1:8" s="2312" customFormat="1" ht="15.75" customHeight="1" x14ac:dyDescent="0.2">
      <c r="A28" s="1279"/>
      <c r="B28" s="2261"/>
      <c r="C28" s="1286"/>
      <c r="D28" s="3147"/>
      <c r="E28" s="1276"/>
      <c r="F28" s="1275"/>
      <c r="G28" s="1274"/>
      <c r="H28" s="1316"/>
    </row>
    <row r="29" spans="1:8" s="2312" customFormat="1" ht="15.75" customHeight="1" x14ac:dyDescent="0.2">
      <c r="A29" s="1279"/>
      <c r="B29" s="2261"/>
      <c r="C29" s="1286" t="s">
        <v>1788</v>
      </c>
      <c r="D29" s="1287" t="s">
        <v>1437</v>
      </c>
      <c r="E29" s="1276"/>
      <c r="F29" s="1275">
        <v>20</v>
      </c>
      <c r="G29" s="1274">
        <v>20</v>
      </c>
      <c r="H29" s="1316">
        <f>(G29/F29)*100</f>
        <v>100</v>
      </c>
    </row>
    <row r="30" spans="1:8" s="2312" customFormat="1" ht="15" x14ac:dyDescent="0.25">
      <c r="A30" s="1279">
        <v>3544</v>
      </c>
      <c r="B30" s="2261">
        <v>5311</v>
      </c>
      <c r="C30" s="1286"/>
      <c r="D30" s="1327" t="s">
        <v>1622</v>
      </c>
      <c r="E30" s="1288">
        <v>200</v>
      </c>
      <c r="F30" s="1284">
        <v>200</v>
      </c>
      <c r="G30" s="1283">
        <v>200</v>
      </c>
      <c r="H30" s="1313">
        <f>(G30/F30)*100</f>
        <v>100</v>
      </c>
    </row>
    <row r="31" spans="1:8" s="2312" customFormat="1" x14ac:dyDescent="0.2">
      <c r="A31" s="1279"/>
      <c r="B31" s="2261"/>
      <c r="C31" s="1286" t="s">
        <v>1938</v>
      </c>
      <c r="D31" s="2072" t="s">
        <v>140</v>
      </c>
      <c r="E31" s="1276">
        <v>200</v>
      </c>
      <c r="F31" s="1275">
        <v>200</v>
      </c>
      <c r="G31" s="1274">
        <v>200</v>
      </c>
      <c r="H31" s="1316">
        <f>(G31/F31)*100</f>
        <v>100</v>
      </c>
    </row>
    <row r="32" spans="1:8" s="2312" customFormat="1" ht="15" x14ac:dyDescent="0.25">
      <c r="A32" s="1279">
        <v>3592</v>
      </c>
      <c r="B32" s="2261">
        <v>5212</v>
      </c>
      <c r="C32" s="1286"/>
      <c r="D32" s="2455" t="s">
        <v>610</v>
      </c>
      <c r="E32" s="1288">
        <v>150</v>
      </c>
      <c r="F32" s="1284">
        <v>0</v>
      </c>
      <c r="G32" s="1283">
        <v>0</v>
      </c>
      <c r="H32" s="1313">
        <v>0</v>
      </c>
    </row>
    <row r="33" spans="1:8" s="2312" customFormat="1" x14ac:dyDescent="0.2">
      <c r="A33" s="1279"/>
      <c r="B33" s="2261"/>
      <c r="C33" s="1286" t="s">
        <v>1937</v>
      </c>
      <c r="D33" s="2072" t="s">
        <v>1272</v>
      </c>
      <c r="E33" s="1276">
        <v>150</v>
      </c>
      <c r="F33" s="1275">
        <v>0</v>
      </c>
      <c r="G33" s="1274">
        <v>0</v>
      </c>
      <c r="H33" s="1316">
        <v>0</v>
      </c>
    </row>
    <row r="34" spans="1:8" s="2312" customFormat="1" ht="15" customHeight="1" x14ac:dyDescent="0.25">
      <c r="A34" s="1279">
        <v>3592</v>
      </c>
      <c r="B34" s="2261">
        <v>5213</v>
      </c>
      <c r="C34" s="1286"/>
      <c r="D34" s="3067" t="s">
        <v>204</v>
      </c>
      <c r="E34" s="1276"/>
      <c r="F34" s="1284"/>
      <c r="G34" s="1283"/>
      <c r="H34" s="1313"/>
    </row>
    <row r="35" spans="1:8" s="2312" customFormat="1" ht="15" x14ac:dyDescent="0.25">
      <c r="A35" s="1279"/>
      <c r="B35" s="2261"/>
      <c r="C35" s="1286"/>
      <c r="D35" s="3067"/>
      <c r="E35" s="1288">
        <v>703</v>
      </c>
      <c r="F35" s="1284">
        <v>280</v>
      </c>
      <c r="G35" s="1283">
        <v>280</v>
      </c>
      <c r="H35" s="1313">
        <f t="shared" ref="H35:H43" si="1">(G35/F35)*100</f>
        <v>100</v>
      </c>
    </row>
    <row r="36" spans="1:8" s="2312" customFormat="1" x14ac:dyDescent="0.2">
      <c r="A36" s="1279"/>
      <c r="B36" s="2261"/>
      <c r="C36" s="1286" t="s">
        <v>1937</v>
      </c>
      <c r="D36" s="2072" t="s">
        <v>1272</v>
      </c>
      <c r="E36" s="1276">
        <v>703</v>
      </c>
      <c r="F36" s="1275">
        <v>280</v>
      </c>
      <c r="G36" s="1274">
        <v>280</v>
      </c>
      <c r="H36" s="1316">
        <f t="shared" si="1"/>
        <v>100</v>
      </c>
    </row>
    <row r="37" spans="1:8" s="2312" customFormat="1" ht="15" x14ac:dyDescent="0.25">
      <c r="A37" s="1279">
        <v>3599</v>
      </c>
      <c r="B37" s="2261">
        <v>5166</v>
      </c>
      <c r="C37" s="1286"/>
      <c r="D37" s="1327" t="s">
        <v>553</v>
      </c>
      <c r="E37" s="1288">
        <v>20</v>
      </c>
      <c r="F37" s="1284">
        <v>423</v>
      </c>
      <c r="G37" s="1283">
        <v>349</v>
      </c>
      <c r="H37" s="1313">
        <f t="shared" si="1"/>
        <v>82.505910165484636</v>
      </c>
    </row>
    <row r="38" spans="1:8" s="2312" customFormat="1" ht="15" x14ac:dyDescent="0.25">
      <c r="A38" s="1279">
        <v>3599</v>
      </c>
      <c r="B38" s="1278">
        <v>5169</v>
      </c>
      <c r="C38" s="2512"/>
      <c r="D38" s="1285" t="s">
        <v>769</v>
      </c>
      <c r="E38" s="1288">
        <f>E40+E41</f>
        <v>750</v>
      </c>
      <c r="F38" s="1288">
        <f>F39+F40+F41</f>
        <v>2542</v>
      </c>
      <c r="G38" s="1288">
        <f>G39+G40+G41</f>
        <v>2534</v>
      </c>
      <c r="H38" s="1313">
        <f t="shared" si="1"/>
        <v>99.685287175452402</v>
      </c>
    </row>
    <row r="39" spans="1:8" s="2312" customFormat="1" ht="15" x14ac:dyDescent="0.25">
      <c r="A39" s="1279"/>
      <c r="B39" s="1278"/>
      <c r="C39" s="2511">
        <v>0</v>
      </c>
      <c r="D39" s="1287" t="s">
        <v>1127</v>
      </c>
      <c r="E39" s="1288"/>
      <c r="F39" s="2350">
        <v>20</v>
      </c>
      <c r="G39" s="1276">
        <v>12</v>
      </c>
      <c r="H39" s="1316">
        <f t="shared" si="1"/>
        <v>60</v>
      </c>
    </row>
    <row r="40" spans="1:8" s="2312" customFormat="1" x14ac:dyDescent="0.2">
      <c r="A40" s="1279"/>
      <c r="B40" s="1278"/>
      <c r="C40" s="1281" t="s">
        <v>1936</v>
      </c>
      <c r="D40" s="2510" t="s">
        <v>141</v>
      </c>
      <c r="E40" s="1276">
        <v>250</v>
      </c>
      <c r="F40" s="1275">
        <v>638</v>
      </c>
      <c r="G40" s="1274">
        <v>638</v>
      </c>
      <c r="H40" s="1316">
        <f t="shared" si="1"/>
        <v>100</v>
      </c>
    </row>
    <row r="41" spans="1:8" s="2312" customFormat="1" x14ac:dyDescent="0.2">
      <c r="A41" s="1279"/>
      <c r="B41" s="1278"/>
      <c r="C41" s="1281" t="s">
        <v>1935</v>
      </c>
      <c r="D41" s="2509" t="s">
        <v>477</v>
      </c>
      <c r="E41" s="1276">
        <v>500</v>
      </c>
      <c r="F41" s="1275">
        <v>1884</v>
      </c>
      <c r="G41" s="1274">
        <v>1884</v>
      </c>
      <c r="H41" s="1316">
        <f t="shared" si="1"/>
        <v>100</v>
      </c>
    </row>
    <row r="42" spans="1:8" s="2312" customFormat="1" ht="15" x14ac:dyDescent="0.25">
      <c r="A42" s="1279">
        <v>3599</v>
      </c>
      <c r="B42" s="1278">
        <v>5175</v>
      </c>
      <c r="C42" s="1281"/>
      <c r="D42" s="2301" t="s">
        <v>1618</v>
      </c>
      <c r="E42" s="1276"/>
      <c r="F42" s="1284">
        <v>5</v>
      </c>
      <c r="G42" s="1283">
        <v>4</v>
      </c>
      <c r="H42" s="1313">
        <f t="shared" si="1"/>
        <v>80</v>
      </c>
    </row>
    <row r="43" spans="1:8" s="2312" customFormat="1" ht="15" x14ac:dyDescent="0.25">
      <c r="A43" s="1279">
        <v>3599</v>
      </c>
      <c r="B43" s="1278">
        <v>5213</v>
      </c>
      <c r="C43" s="1281"/>
      <c r="D43" s="3067" t="s">
        <v>204</v>
      </c>
      <c r="E43" s="1276"/>
      <c r="F43" s="1284">
        <v>15</v>
      </c>
      <c r="G43" s="1283">
        <v>15</v>
      </c>
      <c r="H43" s="1313">
        <f t="shared" si="1"/>
        <v>100</v>
      </c>
    </row>
    <row r="44" spans="1:8" s="2312" customFormat="1" x14ac:dyDescent="0.2">
      <c r="A44" s="1279"/>
      <c r="B44" s="1278"/>
      <c r="C44" s="1281"/>
      <c r="D44" s="3067"/>
      <c r="E44" s="1276"/>
      <c r="F44" s="1275"/>
      <c r="G44" s="1274"/>
      <c r="H44" s="1316"/>
    </row>
    <row r="45" spans="1:8" s="2312" customFormat="1" x14ac:dyDescent="0.2">
      <c r="A45" s="1279"/>
      <c r="B45" s="1278"/>
      <c r="C45" s="1286" t="s">
        <v>1788</v>
      </c>
      <c r="D45" s="1287" t="s">
        <v>1437</v>
      </c>
      <c r="E45" s="1276"/>
      <c r="F45" s="1275">
        <v>15</v>
      </c>
      <c r="G45" s="1274">
        <v>15</v>
      </c>
      <c r="H45" s="1316">
        <f t="shared" ref="H45:H51" si="2">(G45/F45)*100</f>
        <v>100</v>
      </c>
    </row>
    <row r="46" spans="1:8" s="2312" customFormat="1" ht="15" x14ac:dyDescent="0.25">
      <c r="A46" s="1279">
        <v>3599</v>
      </c>
      <c r="B46" s="1278">
        <v>5221</v>
      </c>
      <c r="C46" s="1281"/>
      <c r="D46" s="2454" t="s">
        <v>1074</v>
      </c>
      <c r="E46" s="1288">
        <v>250</v>
      </c>
      <c r="F46" s="1284">
        <f>F47+F48</f>
        <v>270</v>
      </c>
      <c r="G46" s="1284">
        <f>G47+G48</f>
        <v>270</v>
      </c>
      <c r="H46" s="1313">
        <f t="shared" si="2"/>
        <v>100</v>
      </c>
    </row>
    <row r="47" spans="1:8" s="2312" customFormat="1" x14ac:dyDescent="0.2">
      <c r="A47" s="1279"/>
      <c r="B47" s="1278"/>
      <c r="C47" s="1286" t="s">
        <v>1787</v>
      </c>
      <c r="D47" s="1287" t="s">
        <v>292</v>
      </c>
      <c r="E47" s="1276">
        <v>250</v>
      </c>
      <c r="F47" s="1275">
        <v>250</v>
      </c>
      <c r="G47" s="1274">
        <v>250</v>
      </c>
      <c r="H47" s="1316">
        <f t="shared" si="2"/>
        <v>100</v>
      </c>
    </row>
    <row r="48" spans="1:8" s="2312" customFormat="1" x14ac:dyDescent="0.2">
      <c r="A48" s="1279"/>
      <c r="B48" s="1278"/>
      <c r="C48" s="1286" t="s">
        <v>1788</v>
      </c>
      <c r="D48" s="1287" t="s">
        <v>1437</v>
      </c>
      <c r="E48" s="1276"/>
      <c r="F48" s="1275">
        <v>20</v>
      </c>
      <c r="G48" s="1274">
        <v>20</v>
      </c>
      <c r="H48" s="1316">
        <f t="shared" si="2"/>
        <v>100</v>
      </c>
    </row>
    <row r="49" spans="1:19" s="2312" customFormat="1" ht="15" x14ac:dyDescent="0.25">
      <c r="A49" s="1279">
        <v>3599</v>
      </c>
      <c r="B49" s="1278">
        <v>5222</v>
      </c>
      <c r="C49" s="1286"/>
      <c r="D49" s="1285" t="s">
        <v>554</v>
      </c>
      <c r="E49" s="1288">
        <f>E50+E51</f>
        <v>300</v>
      </c>
      <c r="F49" s="1288">
        <f>F50+F51</f>
        <v>340</v>
      </c>
      <c r="G49" s="1283">
        <f>G50+G51</f>
        <v>340</v>
      </c>
      <c r="H49" s="1313">
        <f t="shared" si="2"/>
        <v>100</v>
      </c>
    </row>
    <row r="50" spans="1:19" s="2312" customFormat="1" x14ac:dyDescent="0.2">
      <c r="A50" s="1279"/>
      <c r="B50" s="1278"/>
      <c r="C50" s="1286" t="s">
        <v>1787</v>
      </c>
      <c r="D50" s="1287" t="s">
        <v>292</v>
      </c>
      <c r="E50" s="1276">
        <v>300</v>
      </c>
      <c r="F50" s="1275">
        <v>300</v>
      </c>
      <c r="G50" s="1274">
        <v>300</v>
      </c>
      <c r="H50" s="1316">
        <f t="shared" si="2"/>
        <v>100</v>
      </c>
    </row>
    <row r="51" spans="1:19" s="2312" customFormat="1" x14ac:dyDescent="0.2">
      <c r="A51" s="1279"/>
      <c r="B51" s="1278"/>
      <c r="C51" s="1286" t="s">
        <v>1788</v>
      </c>
      <c r="D51" s="1287" t="s">
        <v>1437</v>
      </c>
      <c r="E51" s="1276"/>
      <c r="F51" s="1275">
        <v>40</v>
      </c>
      <c r="G51" s="1274">
        <v>40</v>
      </c>
      <c r="H51" s="1316">
        <f t="shared" si="2"/>
        <v>100</v>
      </c>
    </row>
    <row r="52" spans="1:19" s="2312" customFormat="1" ht="15.75" thickBot="1" x14ac:dyDescent="0.3">
      <c r="A52" s="2508">
        <v>6172</v>
      </c>
      <c r="B52" s="2507">
        <v>5169</v>
      </c>
      <c r="C52" s="2506"/>
      <c r="D52" s="2505" t="s">
        <v>769</v>
      </c>
      <c r="E52" s="2276">
        <v>10</v>
      </c>
      <c r="F52" s="2275">
        <v>10</v>
      </c>
      <c r="G52" s="2274">
        <v>0</v>
      </c>
      <c r="H52" s="2273">
        <v>0</v>
      </c>
    </row>
    <row r="53" spans="1:19" s="1266" customFormat="1" ht="35.25" customHeight="1" thickTop="1" thickBot="1" x14ac:dyDescent="0.3">
      <c r="A53" s="1272" t="s">
        <v>223</v>
      </c>
      <c r="B53" s="1271"/>
      <c r="C53" s="2249"/>
      <c r="D53" s="1271"/>
      <c r="E53" s="1268">
        <f>E10+E13+E15+E18+E19+E21+E25+E27+E32+E35+E37+E38+E43+E46+E49+E52+E23+E30+E42</f>
        <v>20960</v>
      </c>
      <c r="F53" s="1268">
        <f>F10+F13+F15+F18+F19+F21+F25+F27+F32+F35+F37+F38+F43+F46+F49+F52+F23+F30+F42</f>
        <v>22944</v>
      </c>
      <c r="G53" s="1268">
        <f>G10+G13+G15+G18+G19+G21+G25+G27+G32+G35+G37+G38+G43+G46+G49+G52+G23+G30+G42</f>
        <v>22799</v>
      </c>
      <c r="H53" s="1267">
        <f>(G53/F53)*100</f>
        <v>99.368026499302658</v>
      </c>
      <c r="J53" s="2503"/>
      <c r="K53" s="2503"/>
      <c r="L53" s="2503"/>
      <c r="M53" s="2503"/>
      <c r="N53" s="2503"/>
      <c r="O53" s="2503"/>
    </row>
    <row r="54" spans="1:19" s="1266" customFormat="1" ht="18" customHeight="1" thickTop="1" x14ac:dyDescent="0.25">
      <c r="A54" s="2386"/>
      <c r="B54" s="2385"/>
      <c r="C54" s="1368"/>
      <c r="D54" s="2385"/>
      <c r="E54" s="1307"/>
      <c r="F54" s="1307"/>
      <c r="G54" s="1307"/>
      <c r="H54" s="2504"/>
      <c r="J54" s="2503"/>
      <c r="K54" s="2503"/>
      <c r="L54" s="2503"/>
      <c r="M54" s="2503"/>
      <c r="N54" s="2503"/>
      <c r="O54" s="2503"/>
    </row>
    <row r="55" spans="1:19" s="1266" customFormat="1" ht="18" customHeight="1" x14ac:dyDescent="0.25">
      <c r="A55" s="2386"/>
      <c r="B55" s="2385"/>
      <c r="C55" s="1368"/>
      <c r="D55" s="2385"/>
      <c r="E55" s="1307"/>
      <c r="F55" s="1307"/>
      <c r="G55" s="1307"/>
      <c r="H55" s="2504"/>
      <c r="J55" s="2503"/>
      <c r="K55" s="2503"/>
      <c r="L55" s="2503"/>
      <c r="M55" s="2503"/>
      <c r="N55" s="2503"/>
      <c r="O55" s="2503"/>
    </row>
    <row r="56" spans="1:19" ht="15.75" x14ac:dyDescent="0.25">
      <c r="A56" s="1312" t="s">
        <v>1120</v>
      </c>
      <c r="B56" s="2326"/>
      <c r="C56" s="2448"/>
      <c r="D56" s="2447"/>
      <c r="E56" s="2368"/>
      <c r="F56" s="2446"/>
      <c r="G56" s="2445"/>
      <c r="H56" s="2502"/>
      <c r="J56" s="1249"/>
      <c r="K56" s="1249"/>
      <c r="L56" s="1249"/>
      <c r="M56" s="1249"/>
      <c r="N56" s="1249"/>
      <c r="O56" s="1249"/>
    </row>
    <row r="57" spans="1:19" ht="15.75" thickBot="1" x14ac:dyDescent="0.3">
      <c r="A57" s="2326"/>
      <c r="B57" s="2326"/>
      <c r="C57" s="2448"/>
      <c r="D57" s="2447"/>
      <c r="E57" s="2368"/>
      <c r="F57" s="2446"/>
      <c r="G57" s="2445"/>
      <c r="H57" s="2465" t="s">
        <v>148</v>
      </c>
      <c r="J57" s="1249"/>
      <c r="K57" s="1249"/>
      <c r="L57" s="1249"/>
      <c r="M57" s="1249"/>
      <c r="N57" s="1249"/>
      <c r="O57" s="1249"/>
    </row>
    <row r="58" spans="1:19" s="1298" customFormat="1" ht="20.25" customHeight="1" thickTop="1" thickBot="1" x14ac:dyDescent="0.25">
      <c r="A58" s="2444" t="s">
        <v>149</v>
      </c>
      <c r="B58" s="2443" t="s">
        <v>150</v>
      </c>
      <c r="C58" s="2442" t="s">
        <v>639</v>
      </c>
      <c r="D58" s="2441" t="s">
        <v>151</v>
      </c>
      <c r="E58" s="1324" t="s">
        <v>569</v>
      </c>
      <c r="F58" s="1324" t="s">
        <v>570</v>
      </c>
      <c r="G58" s="2198" t="s">
        <v>797</v>
      </c>
      <c r="H58" s="2238" t="s">
        <v>798</v>
      </c>
    </row>
    <row r="59" spans="1:19" s="1292" customFormat="1" ht="13.5" thickTop="1" thickBot="1" x14ac:dyDescent="0.25">
      <c r="A59" s="1297">
        <v>1</v>
      </c>
      <c r="B59" s="1296">
        <v>2</v>
      </c>
      <c r="C59" s="1296">
        <v>3</v>
      </c>
      <c r="D59" s="1296">
        <v>4</v>
      </c>
      <c r="E59" s="1296">
        <v>5</v>
      </c>
      <c r="F59" s="1295">
        <v>6</v>
      </c>
      <c r="G59" s="1295">
        <v>7</v>
      </c>
      <c r="H59" s="2486" t="s">
        <v>54</v>
      </c>
      <c r="I59" s="1298"/>
    </row>
    <row r="60" spans="1:19" s="2312" customFormat="1" ht="15.75" thickTop="1" x14ac:dyDescent="0.25">
      <c r="A60" s="1331">
        <v>3526</v>
      </c>
      <c r="B60" s="2261">
        <v>6322</v>
      </c>
      <c r="C60" s="1286"/>
      <c r="D60" s="2501" t="s">
        <v>1616</v>
      </c>
      <c r="E60" s="2500"/>
      <c r="F60" s="1284">
        <v>500</v>
      </c>
      <c r="G60" s="1283">
        <v>500</v>
      </c>
      <c r="H60" s="1313">
        <f>(G60/F60)*100</f>
        <v>100</v>
      </c>
    </row>
    <row r="61" spans="1:19" s="2312" customFormat="1" ht="15.75" thickBot="1" x14ac:dyDescent="0.3">
      <c r="A61" s="2255"/>
      <c r="B61" s="2254"/>
      <c r="C61" s="2499" t="s">
        <v>1787</v>
      </c>
      <c r="D61" s="2435" t="s">
        <v>292</v>
      </c>
      <c r="E61" s="2498"/>
      <c r="F61" s="2304">
        <v>500</v>
      </c>
      <c r="G61" s="2303">
        <v>500</v>
      </c>
      <c r="H61" s="2497">
        <f>(G61/F61)*100</f>
        <v>100</v>
      </c>
    </row>
    <row r="62" spans="1:19" s="1266" customFormat="1" ht="35.25" customHeight="1" thickTop="1" thickBot="1" x14ac:dyDescent="0.3">
      <c r="A62" s="2432" t="s">
        <v>224</v>
      </c>
      <c r="B62" s="2430"/>
      <c r="C62" s="2431"/>
      <c r="D62" s="2430"/>
      <c r="E62" s="2429">
        <v>0</v>
      </c>
      <c r="F62" s="2429">
        <f>F60</f>
        <v>500</v>
      </c>
      <c r="G62" s="2429">
        <f>G60</f>
        <v>500</v>
      </c>
      <c r="H62" s="2496">
        <f>(G62/F62)*100</f>
        <v>100</v>
      </c>
      <c r="J62" s="2246">
        <f>E53+E62</f>
        <v>20960</v>
      </c>
      <c r="K62" s="2246">
        <f>F53+F62</f>
        <v>23444</v>
      </c>
      <c r="L62" s="2246">
        <f>G53+G62</f>
        <v>23299</v>
      </c>
      <c r="M62" s="2246"/>
      <c r="N62" s="2246"/>
      <c r="O62" s="2246"/>
      <c r="P62" s="2246"/>
      <c r="Q62" s="2246"/>
      <c r="R62" s="2246"/>
      <c r="S62" s="2246"/>
    </row>
    <row r="63" spans="1:19" s="1266" customFormat="1" ht="18.75" customHeight="1" thickTop="1" x14ac:dyDescent="0.25">
      <c r="A63" s="2386"/>
      <c r="B63" s="2385"/>
      <c r="C63" s="1368"/>
      <c r="D63" s="2385"/>
      <c r="E63" s="1307"/>
      <c r="F63" s="1307"/>
      <c r="G63" s="1307"/>
      <c r="H63" s="2495"/>
      <c r="J63" s="2246"/>
      <c r="K63" s="2246"/>
      <c r="L63" s="2246"/>
      <c r="M63" s="2246"/>
      <c r="N63" s="2246"/>
      <c r="O63" s="2246"/>
      <c r="P63" s="2246"/>
      <c r="Q63" s="2246"/>
      <c r="R63" s="2246"/>
      <c r="S63" s="2246"/>
    </row>
    <row r="64" spans="1:19" ht="15.75" x14ac:dyDescent="0.25">
      <c r="A64" s="2245" t="s">
        <v>564</v>
      </c>
    </row>
    <row r="65" spans="1:15" ht="15.75" x14ac:dyDescent="0.25">
      <c r="A65" s="2137" t="s">
        <v>1116</v>
      </c>
      <c r="E65" s="1433" t="s">
        <v>287</v>
      </c>
    </row>
    <row r="66" spans="1:15" ht="15" thickBot="1" x14ac:dyDescent="0.25">
      <c r="A66" s="2494"/>
      <c r="H66" s="2465" t="s">
        <v>148</v>
      </c>
    </row>
    <row r="67" spans="1:15" s="2196" customFormat="1" ht="20.25" customHeight="1" thickTop="1" thickBot="1" x14ac:dyDescent="0.25">
      <c r="A67" s="2487" t="s">
        <v>149</v>
      </c>
      <c r="B67" s="2201" t="s">
        <v>150</v>
      </c>
      <c r="C67" s="2200" t="s">
        <v>639</v>
      </c>
      <c r="D67" s="2199" t="s">
        <v>151</v>
      </c>
      <c r="E67" s="1324" t="s">
        <v>569</v>
      </c>
      <c r="F67" s="1324" t="s">
        <v>570</v>
      </c>
      <c r="G67" s="2198" t="s">
        <v>797</v>
      </c>
      <c r="H67" s="2238" t="s">
        <v>798</v>
      </c>
      <c r="J67" s="2141"/>
      <c r="K67" s="2141"/>
      <c r="L67" s="2141"/>
      <c r="M67" s="2141"/>
      <c r="N67" s="2141"/>
      <c r="O67" s="2141"/>
    </row>
    <row r="68" spans="1:15" s="1292" customFormat="1" ht="13.5" thickTop="1" thickBot="1" x14ac:dyDescent="0.25">
      <c r="A68" s="1297">
        <v>1</v>
      </c>
      <c r="B68" s="1296">
        <v>2</v>
      </c>
      <c r="C68" s="1296">
        <v>3</v>
      </c>
      <c r="D68" s="1296">
        <v>4</v>
      </c>
      <c r="E68" s="1296">
        <v>5</v>
      </c>
      <c r="F68" s="1295">
        <v>6</v>
      </c>
      <c r="G68" s="1295">
        <v>7</v>
      </c>
      <c r="H68" s="2486" t="s">
        <v>54</v>
      </c>
      <c r="I68" s="1298"/>
    </row>
    <row r="69" spans="1:15" ht="15.75" thickTop="1" x14ac:dyDescent="0.25">
      <c r="A69" s="2170">
        <v>3523</v>
      </c>
      <c r="B69" s="2176">
        <v>5331</v>
      </c>
      <c r="C69" s="2409"/>
      <c r="D69" s="2174" t="s">
        <v>216</v>
      </c>
      <c r="E69" s="2408">
        <f>E70+E71+E72+E73</f>
        <v>31524</v>
      </c>
      <c r="F69" s="2408">
        <f>F70+F71+F72+F73</f>
        <v>31410</v>
      </c>
      <c r="G69" s="2408">
        <f>G70+G71+G72+G73</f>
        <v>30208</v>
      </c>
      <c r="H69" s="2485">
        <f t="shared" ref="H69:H74" si="3">G69/F69*100</f>
        <v>96.173193250557148</v>
      </c>
    </row>
    <row r="70" spans="1:15" x14ac:dyDescent="0.2">
      <c r="A70" s="2170"/>
      <c r="B70" s="2169"/>
      <c r="C70" s="2191" t="s">
        <v>1811</v>
      </c>
      <c r="D70" s="2190" t="s">
        <v>1128</v>
      </c>
      <c r="E70" s="2406">
        <v>6041</v>
      </c>
      <c r="F70" s="2406">
        <v>5927</v>
      </c>
      <c r="G70" s="2406">
        <v>5927</v>
      </c>
      <c r="H70" s="2405">
        <f t="shared" si="3"/>
        <v>100</v>
      </c>
    </row>
    <row r="71" spans="1:15" x14ac:dyDescent="0.2">
      <c r="A71" s="2170"/>
      <c r="B71" s="2169"/>
      <c r="C71" s="1281" t="s">
        <v>1931</v>
      </c>
      <c r="D71" s="1287" t="s">
        <v>704</v>
      </c>
      <c r="E71" s="638"/>
      <c r="F71" s="639">
        <v>3792</v>
      </c>
      <c r="G71" s="639">
        <v>2590</v>
      </c>
      <c r="H71" s="2405">
        <f t="shared" si="3"/>
        <v>68.301687763713076</v>
      </c>
    </row>
    <row r="72" spans="1:15" x14ac:dyDescent="0.2">
      <c r="A72" s="2170"/>
      <c r="B72" s="2169"/>
      <c r="C72" s="2182" t="s">
        <v>1812</v>
      </c>
      <c r="D72" s="2188" t="s">
        <v>984</v>
      </c>
      <c r="E72" s="2406">
        <v>20127</v>
      </c>
      <c r="F72" s="2406">
        <v>16335</v>
      </c>
      <c r="G72" s="2406">
        <v>16335</v>
      </c>
      <c r="H72" s="2405">
        <f t="shared" si="3"/>
        <v>100</v>
      </c>
    </row>
    <row r="73" spans="1:15" ht="15" thickBot="1" x14ac:dyDescent="0.25">
      <c r="A73" s="2170"/>
      <c r="B73" s="2169"/>
      <c r="C73" s="2182" t="s">
        <v>1841</v>
      </c>
      <c r="D73" s="2240" t="s">
        <v>315</v>
      </c>
      <c r="E73" s="2166">
        <v>5356</v>
      </c>
      <c r="F73" s="2166">
        <v>5356</v>
      </c>
      <c r="G73" s="2166">
        <v>5356</v>
      </c>
      <c r="H73" s="2405">
        <f t="shared" si="3"/>
        <v>100</v>
      </c>
    </row>
    <row r="74" spans="1:15" s="2131" customFormat="1" ht="20.25" customHeight="1" thickTop="1" thickBot="1" x14ac:dyDescent="0.3">
      <c r="A74" s="2162" t="s">
        <v>1000</v>
      </c>
      <c r="B74" s="2161"/>
      <c r="C74" s="2160"/>
      <c r="D74" s="2159"/>
      <c r="E74" s="2346">
        <f>SUM(E69)</f>
        <v>31524</v>
      </c>
      <c r="F74" s="2346">
        <f>SUM(F69)</f>
        <v>31410</v>
      </c>
      <c r="G74" s="2346">
        <f>SUM(G69)</f>
        <v>30208</v>
      </c>
      <c r="H74" s="2493">
        <f t="shared" si="3"/>
        <v>96.173193250557148</v>
      </c>
      <c r="J74" s="2400"/>
      <c r="K74" s="2400"/>
      <c r="L74" s="2400"/>
      <c r="M74" s="2141"/>
      <c r="N74" s="2141"/>
      <c r="O74" s="2141"/>
    </row>
    <row r="75" spans="1:15" ht="15.75" thickTop="1" x14ac:dyDescent="0.25">
      <c r="A75" s="2177">
        <v>3523</v>
      </c>
      <c r="B75" s="2176">
        <v>6351</v>
      </c>
      <c r="C75" s="2409"/>
      <c r="D75" s="2174" t="s">
        <v>1056</v>
      </c>
      <c r="E75" s="2173">
        <f>E77+E76</f>
        <v>47167</v>
      </c>
      <c r="F75" s="2173">
        <f>F77</f>
        <v>0</v>
      </c>
      <c r="G75" s="2173">
        <f>G77</f>
        <v>0</v>
      </c>
      <c r="H75" s="2485">
        <v>0</v>
      </c>
      <c r="J75" s="1249"/>
      <c r="K75" s="1249"/>
      <c r="L75" s="1249"/>
      <c r="M75" s="1249"/>
      <c r="N75" s="1249"/>
      <c r="O75" s="1249"/>
    </row>
    <row r="76" spans="1:15" x14ac:dyDescent="0.2">
      <c r="A76" s="2170"/>
      <c r="B76" s="2169"/>
      <c r="C76" s="2182" t="s">
        <v>1890</v>
      </c>
      <c r="D76" s="2492" t="s">
        <v>1625</v>
      </c>
      <c r="E76" s="2491">
        <v>16394</v>
      </c>
      <c r="F76" s="2491">
        <v>0</v>
      </c>
      <c r="G76" s="2491">
        <v>0</v>
      </c>
      <c r="H76" s="2405">
        <v>0</v>
      </c>
      <c r="J76" s="1249"/>
      <c r="K76" s="1249"/>
      <c r="L76" s="1249"/>
      <c r="M76" s="1249"/>
      <c r="N76" s="1249"/>
      <c r="O76" s="1249"/>
    </row>
    <row r="77" spans="1:15" ht="15" thickBot="1" x14ac:dyDescent="0.25">
      <c r="A77" s="2170"/>
      <c r="B77" s="2169"/>
      <c r="C77" s="2182" t="s">
        <v>1934</v>
      </c>
      <c r="D77" s="2240" t="s">
        <v>1933</v>
      </c>
      <c r="E77" s="2166">
        <v>30773</v>
      </c>
      <c r="F77" s="2166">
        <v>0</v>
      </c>
      <c r="G77" s="2166">
        <v>0</v>
      </c>
      <c r="H77" s="2405">
        <v>0</v>
      </c>
      <c r="J77" s="1249"/>
      <c r="K77" s="1249"/>
      <c r="L77" s="1249"/>
      <c r="M77" s="1249"/>
      <c r="N77" s="1249"/>
      <c r="O77" s="1249"/>
    </row>
    <row r="78" spans="1:15" ht="20.25" customHeight="1" thickTop="1" thickBot="1" x14ac:dyDescent="0.3">
      <c r="A78" s="2162" t="s">
        <v>1001</v>
      </c>
      <c r="B78" s="2161"/>
      <c r="C78" s="2160"/>
      <c r="D78" s="2159"/>
      <c r="E78" s="2158">
        <f>E75</f>
        <v>47167</v>
      </c>
      <c r="F78" s="2158">
        <f>F75</f>
        <v>0</v>
      </c>
      <c r="G78" s="2158">
        <f>G75</f>
        <v>0</v>
      </c>
      <c r="H78" s="2413">
        <v>0</v>
      </c>
      <c r="J78" s="1249"/>
      <c r="K78" s="1249"/>
      <c r="L78" s="1249"/>
      <c r="M78" s="1249"/>
      <c r="N78" s="1249"/>
      <c r="O78" s="1249"/>
    </row>
    <row r="79" spans="1:15" ht="14.25" customHeight="1" thickTop="1" x14ac:dyDescent="0.25">
      <c r="A79" s="2490"/>
      <c r="B79" s="2144"/>
      <c r="C79" s="2143"/>
      <c r="D79" s="2142"/>
      <c r="E79" s="2412"/>
      <c r="F79" s="2412"/>
      <c r="G79" s="2412"/>
      <c r="H79" s="2489"/>
    </row>
    <row r="80" spans="1:15" s="2131" customFormat="1" ht="27.75" customHeight="1" thickBot="1" x14ac:dyDescent="0.3">
      <c r="A80" s="2227" t="s">
        <v>1117</v>
      </c>
      <c r="B80" s="2217"/>
      <c r="C80" s="2216"/>
      <c r="D80" s="2215"/>
      <c r="E80" s="2404">
        <f>E74+E78</f>
        <v>78691</v>
      </c>
      <c r="F80" s="2404">
        <f>F74+F78</f>
        <v>31410</v>
      </c>
      <c r="G80" s="2404">
        <f>G74+G78</f>
        <v>30208</v>
      </c>
      <c r="H80" s="2483">
        <f>(G80/F80)*100</f>
        <v>96.173193250557148</v>
      </c>
      <c r="J80" s="2141"/>
      <c r="K80" s="2141"/>
      <c r="L80" s="2141"/>
      <c r="M80" s="2141"/>
      <c r="N80" s="2141"/>
      <c r="O80" s="2141"/>
    </row>
    <row r="81" spans="1:15" ht="15" thickTop="1" x14ac:dyDescent="0.2">
      <c r="A81" s="2156"/>
    </row>
    <row r="82" spans="1:15" x14ac:dyDescent="0.2">
      <c r="A82" s="2156"/>
    </row>
    <row r="83" spans="1:15" s="2131" customFormat="1" ht="18" customHeight="1" x14ac:dyDescent="0.25">
      <c r="A83" s="2145"/>
      <c r="B83" s="2144"/>
      <c r="C83" s="2143"/>
      <c r="D83" s="2142"/>
      <c r="E83" s="2412"/>
      <c r="F83" s="2412"/>
      <c r="G83" s="2412"/>
      <c r="H83" s="2482"/>
      <c r="J83" s="2141"/>
      <c r="K83" s="2141"/>
      <c r="L83" s="2141"/>
      <c r="M83" s="2141"/>
      <c r="N83" s="2141"/>
      <c r="O83" s="2141"/>
    </row>
    <row r="84" spans="1:15" s="2131" customFormat="1" ht="15.75" customHeight="1" x14ac:dyDescent="0.25">
      <c r="A84" s="2137" t="s">
        <v>1456</v>
      </c>
      <c r="B84" s="2144"/>
      <c r="C84" s="2143"/>
      <c r="D84" s="2142"/>
      <c r="E84" s="1433" t="s">
        <v>288</v>
      </c>
      <c r="F84" s="2412"/>
      <c r="G84" s="2412"/>
      <c r="H84" s="3170" t="s">
        <v>148</v>
      </c>
      <c r="J84" s="2141"/>
      <c r="K84" s="2141"/>
      <c r="L84" s="2141"/>
      <c r="M84" s="2141"/>
      <c r="N84" s="2141"/>
      <c r="O84" s="2141"/>
    </row>
    <row r="85" spans="1:15" s="1465" customFormat="1" ht="11.25" customHeight="1" thickBot="1" x14ac:dyDescent="0.3">
      <c r="A85" s="2488"/>
      <c r="B85" s="2218"/>
      <c r="C85" s="2136"/>
      <c r="E85" s="1433"/>
      <c r="F85" s="1433"/>
      <c r="G85" s="1433"/>
      <c r="H85" s="3171"/>
      <c r="J85" s="2141"/>
      <c r="K85" s="2141"/>
      <c r="L85" s="2141"/>
      <c r="M85" s="2141"/>
      <c r="N85" s="2141"/>
      <c r="O85" s="2141"/>
    </row>
    <row r="86" spans="1:15" s="2196" customFormat="1" ht="20.25" customHeight="1" thickTop="1" thickBot="1" x14ac:dyDescent="0.25">
      <c r="A86" s="2487" t="s">
        <v>149</v>
      </c>
      <c r="B86" s="2201" t="s">
        <v>150</v>
      </c>
      <c r="C86" s="2200" t="s">
        <v>639</v>
      </c>
      <c r="D86" s="2199" t="s">
        <v>151</v>
      </c>
      <c r="E86" s="1324" t="s">
        <v>569</v>
      </c>
      <c r="F86" s="1324" t="s">
        <v>570</v>
      </c>
      <c r="G86" s="2198" t="s">
        <v>797</v>
      </c>
      <c r="H86" s="2238" t="s">
        <v>798</v>
      </c>
      <c r="J86" s="2141"/>
      <c r="K86" s="2141"/>
      <c r="L86" s="2141"/>
      <c r="M86" s="2141"/>
      <c r="N86" s="2141"/>
      <c r="O86" s="2141"/>
    </row>
    <row r="87" spans="1:15" s="1292" customFormat="1" ht="13.5" thickTop="1" thickBot="1" x14ac:dyDescent="0.25">
      <c r="A87" s="1297">
        <v>1</v>
      </c>
      <c r="B87" s="1296">
        <v>2</v>
      </c>
      <c r="C87" s="1296">
        <v>3</v>
      </c>
      <c r="D87" s="1296">
        <v>4</v>
      </c>
      <c r="E87" s="1296">
        <v>5</v>
      </c>
      <c r="F87" s="1295">
        <v>6</v>
      </c>
      <c r="G87" s="1295">
        <v>7</v>
      </c>
      <c r="H87" s="2486" t="s">
        <v>54</v>
      </c>
      <c r="I87" s="1298"/>
    </row>
    <row r="88" spans="1:15" ht="15.75" thickTop="1" x14ac:dyDescent="0.25">
      <c r="A88" s="2170">
        <v>3529</v>
      </c>
      <c r="B88" s="2176">
        <v>5331</v>
      </c>
      <c r="C88" s="2409"/>
      <c r="D88" s="2174" t="s">
        <v>216</v>
      </c>
      <c r="E88" s="2408">
        <f>E89+E90+E91</f>
        <v>44407</v>
      </c>
      <c r="F88" s="2408">
        <f>F89+F90+F91</f>
        <v>44407</v>
      </c>
      <c r="G88" s="2408">
        <f>G89+G90+G91</f>
        <v>44407</v>
      </c>
      <c r="H88" s="2414">
        <f t="shared" ref="H88:H93" si="4">G88/F88*100</f>
        <v>100</v>
      </c>
    </row>
    <row r="89" spans="1:15" x14ac:dyDescent="0.2">
      <c r="A89" s="2170"/>
      <c r="B89" s="2169"/>
      <c r="C89" s="2191" t="s">
        <v>1811</v>
      </c>
      <c r="D89" s="2190" t="s">
        <v>1128</v>
      </c>
      <c r="E89" s="2406">
        <v>1041</v>
      </c>
      <c r="F89" s="2406">
        <v>1041</v>
      </c>
      <c r="G89" s="2406">
        <v>1041</v>
      </c>
      <c r="H89" s="2405">
        <f t="shared" si="4"/>
        <v>100</v>
      </c>
    </row>
    <row r="90" spans="1:15" x14ac:dyDescent="0.2">
      <c r="A90" s="2170"/>
      <c r="B90" s="2169"/>
      <c r="C90" s="2182" t="s">
        <v>1812</v>
      </c>
      <c r="D90" s="2188" t="s">
        <v>63</v>
      </c>
      <c r="E90" s="2406">
        <v>13166</v>
      </c>
      <c r="F90" s="2422">
        <v>13166</v>
      </c>
      <c r="G90" s="2406">
        <v>13166</v>
      </c>
      <c r="H90" s="2405">
        <f t="shared" si="4"/>
        <v>100</v>
      </c>
    </row>
    <row r="91" spans="1:15" x14ac:dyDescent="0.2">
      <c r="A91" s="2170"/>
      <c r="B91" s="2169"/>
      <c r="C91" s="2182" t="s">
        <v>1817</v>
      </c>
      <c r="D91" s="2237" t="s">
        <v>1160</v>
      </c>
      <c r="E91" s="2406">
        <v>30200</v>
      </c>
      <c r="F91" s="2416">
        <v>30200</v>
      </c>
      <c r="G91" s="2406">
        <v>30200</v>
      </c>
      <c r="H91" s="2405">
        <f t="shared" si="4"/>
        <v>100</v>
      </c>
    </row>
    <row r="92" spans="1:15" ht="15" x14ac:dyDescent="0.25">
      <c r="A92" s="2170">
        <v>4324</v>
      </c>
      <c r="B92" s="2169">
        <v>5336</v>
      </c>
      <c r="C92" s="2182"/>
      <c r="D92" s="2239" t="s">
        <v>1453</v>
      </c>
      <c r="E92" s="1389"/>
      <c r="F92" s="1393">
        <v>2751</v>
      </c>
      <c r="G92" s="1389">
        <v>2751</v>
      </c>
      <c r="H92" s="2417">
        <f t="shared" si="4"/>
        <v>100</v>
      </c>
    </row>
    <row r="93" spans="1:15" x14ac:dyDescent="0.2">
      <c r="A93" s="2170"/>
      <c r="B93" s="2169"/>
      <c r="C93" s="2182" t="s">
        <v>1784</v>
      </c>
      <c r="D93" s="3174" t="s">
        <v>920</v>
      </c>
      <c r="E93" s="643"/>
      <c r="F93" s="644">
        <v>2751</v>
      </c>
      <c r="G93" s="2406">
        <v>2751</v>
      </c>
      <c r="H93" s="2405">
        <f t="shared" si="4"/>
        <v>100</v>
      </c>
    </row>
    <row r="94" spans="1:15" ht="15" thickBot="1" x14ac:dyDescent="0.25">
      <c r="A94" s="2170"/>
      <c r="B94" s="2169"/>
      <c r="C94" s="2182"/>
      <c r="D94" s="3174"/>
      <c r="E94" s="643"/>
      <c r="F94" s="644"/>
      <c r="G94" s="2406"/>
      <c r="H94" s="2405"/>
    </row>
    <row r="95" spans="1:15" s="2131" customFormat="1" ht="20.25" customHeight="1" thickTop="1" thickBot="1" x14ac:dyDescent="0.3">
      <c r="A95" s="2162" t="s">
        <v>1000</v>
      </c>
      <c r="B95" s="2161"/>
      <c r="C95" s="2160"/>
      <c r="D95" s="2159"/>
      <c r="E95" s="2346">
        <f>SUM(E88)</f>
        <v>44407</v>
      </c>
      <c r="F95" s="2346">
        <f>SUM(F88,F92)</f>
        <v>47158</v>
      </c>
      <c r="G95" s="2346">
        <f>SUM(G88,G92)</f>
        <v>47158</v>
      </c>
      <c r="H95" s="2484">
        <f>(G95/F95)*100</f>
        <v>100</v>
      </c>
      <c r="J95" s="2400"/>
      <c r="K95" s="2400"/>
      <c r="L95" s="2400"/>
      <c r="M95" s="2141"/>
      <c r="N95" s="2141"/>
      <c r="O95" s="2141"/>
    </row>
    <row r="96" spans="1:15" s="2131" customFormat="1" ht="27.75" customHeight="1" thickTop="1" thickBot="1" x14ac:dyDescent="0.3">
      <c r="A96" s="2227" t="s">
        <v>1457</v>
      </c>
      <c r="B96" s="2217"/>
      <c r="C96" s="2216"/>
      <c r="D96" s="2215"/>
      <c r="E96" s="2404">
        <f>E95</f>
        <v>44407</v>
      </c>
      <c r="F96" s="2404">
        <f>F95</f>
        <v>47158</v>
      </c>
      <c r="G96" s="2404">
        <f>G95</f>
        <v>47158</v>
      </c>
      <c r="H96" s="2483">
        <f>(G96/F96)*100</f>
        <v>100</v>
      </c>
      <c r="J96" s="2141"/>
      <c r="K96" s="2141"/>
      <c r="L96" s="2141"/>
      <c r="M96" s="2141"/>
      <c r="N96" s="2141"/>
      <c r="O96" s="2141"/>
    </row>
    <row r="97" spans="1:15" s="2131" customFormat="1" ht="27.75" customHeight="1" thickTop="1" x14ac:dyDescent="0.25">
      <c r="A97" s="2145"/>
      <c r="B97" s="2144"/>
      <c r="C97" s="2143"/>
      <c r="D97" s="2142"/>
      <c r="E97" s="2412"/>
      <c r="F97" s="2412"/>
      <c r="G97" s="2412"/>
      <c r="H97" s="2482"/>
      <c r="J97" s="2141"/>
      <c r="K97" s="2141"/>
      <c r="L97" s="2141"/>
      <c r="M97" s="2141"/>
      <c r="N97" s="2141"/>
      <c r="O97" s="2141"/>
    </row>
    <row r="98" spans="1:15" s="2131" customFormat="1" ht="15" customHeight="1" x14ac:dyDescent="0.25">
      <c r="A98" s="2137" t="s">
        <v>665</v>
      </c>
      <c r="B98" s="2144"/>
      <c r="C98" s="2143"/>
      <c r="D98" s="2142"/>
      <c r="E98" s="1433" t="s">
        <v>53</v>
      </c>
      <c r="F98" s="2412"/>
      <c r="G98" s="2412"/>
      <c r="H98" s="2489"/>
      <c r="J98" s="2141"/>
      <c r="K98" s="2141"/>
      <c r="L98" s="2141"/>
      <c r="M98" s="2141"/>
      <c r="N98" s="2141"/>
      <c r="O98" s="2141"/>
    </row>
    <row r="99" spans="1:15" s="1465" customFormat="1" ht="13.5" customHeight="1" thickBot="1" x14ac:dyDescent="0.3">
      <c r="A99" s="2488"/>
      <c r="B99" s="2218"/>
      <c r="C99" s="2136"/>
      <c r="E99" s="1433"/>
      <c r="F99" s="1433"/>
      <c r="G99" s="1433"/>
      <c r="H99" s="2465" t="s">
        <v>148</v>
      </c>
      <c r="J99" s="2141"/>
      <c r="K99" s="2141"/>
      <c r="L99" s="2141"/>
      <c r="M99" s="2141"/>
      <c r="N99" s="2141"/>
      <c r="O99" s="2141"/>
    </row>
    <row r="100" spans="1:15" s="2196" customFormat="1" ht="20.25" customHeight="1" thickTop="1" thickBot="1" x14ac:dyDescent="0.25">
      <c r="A100" s="2487" t="s">
        <v>149</v>
      </c>
      <c r="B100" s="2201" t="s">
        <v>150</v>
      </c>
      <c r="C100" s="2200" t="s">
        <v>639</v>
      </c>
      <c r="D100" s="2199" t="s">
        <v>151</v>
      </c>
      <c r="E100" s="1324" t="s">
        <v>569</v>
      </c>
      <c r="F100" s="1324" t="s">
        <v>570</v>
      </c>
      <c r="G100" s="2198" t="s">
        <v>797</v>
      </c>
      <c r="H100" s="2238" t="s">
        <v>798</v>
      </c>
      <c r="J100" s="2141"/>
      <c r="K100" s="2141"/>
      <c r="L100" s="2141"/>
      <c r="M100" s="2141"/>
      <c r="N100" s="2141"/>
      <c r="O100" s="2141"/>
    </row>
    <row r="101" spans="1:15" s="1292" customFormat="1" ht="13.5" thickTop="1" thickBot="1" x14ac:dyDescent="0.25">
      <c r="A101" s="1297">
        <v>1</v>
      </c>
      <c r="B101" s="1296">
        <v>2</v>
      </c>
      <c r="C101" s="1296">
        <v>3</v>
      </c>
      <c r="D101" s="1296">
        <v>4</v>
      </c>
      <c r="E101" s="1296">
        <v>5</v>
      </c>
      <c r="F101" s="1295">
        <v>6</v>
      </c>
      <c r="G101" s="1295">
        <v>7</v>
      </c>
      <c r="H101" s="2486" t="s">
        <v>54</v>
      </c>
      <c r="I101" s="1298"/>
    </row>
    <row r="102" spans="1:15" ht="15.75" thickTop="1" x14ac:dyDescent="0.25">
      <c r="A102" s="2170">
        <v>3533</v>
      </c>
      <c r="B102" s="2176">
        <v>5331</v>
      </c>
      <c r="C102" s="2409"/>
      <c r="D102" s="2174" t="s">
        <v>216</v>
      </c>
      <c r="E102" s="2408">
        <f>E103+E104+E105+E106+E107+E108</f>
        <v>154459</v>
      </c>
      <c r="F102" s="2408">
        <f>F103+F104+F105+F106+F107+F108</f>
        <v>155801</v>
      </c>
      <c r="G102" s="2408">
        <f>G103+G104+G105+G106+G107+G108</f>
        <v>155802</v>
      </c>
      <c r="H102" s="2485">
        <f t="shared" ref="H102:H110" si="5">G102/F102*100</f>
        <v>100.00064184440407</v>
      </c>
    </row>
    <row r="103" spans="1:15" x14ac:dyDescent="0.2">
      <c r="A103" s="2170"/>
      <c r="B103" s="2169"/>
      <c r="C103" s="2191" t="s">
        <v>1811</v>
      </c>
      <c r="D103" s="2190" t="s">
        <v>1128</v>
      </c>
      <c r="E103" s="2406">
        <v>7884</v>
      </c>
      <c r="F103" s="2406">
        <v>7570</v>
      </c>
      <c r="G103" s="2406">
        <v>7570</v>
      </c>
      <c r="H103" s="2405">
        <f t="shared" si="5"/>
        <v>100</v>
      </c>
    </row>
    <row r="104" spans="1:15" x14ac:dyDescent="0.2">
      <c r="A104" s="2170"/>
      <c r="B104" s="2169"/>
      <c r="C104" s="1281" t="s">
        <v>1931</v>
      </c>
      <c r="D104" s="1287" t="s">
        <v>704</v>
      </c>
      <c r="E104" s="638"/>
      <c r="F104" s="639">
        <v>1966</v>
      </c>
      <c r="G104" s="639">
        <v>1966</v>
      </c>
      <c r="H104" s="2405">
        <f t="shared" si="5"/>
        <v>100</v>
      </c>
    </row>
    <row r="105" spans="1:15" x14ac:dyDescent="0.2">
      <c r="A105" s="2170"/>
      <c r="B105" s="2169"/>
      <c r="C105" s="2182" t="s">
        <v>1812</v>
      </c>
      <c r="D105" s="2188" t="s">
        <v>984</v>
      </c>
      <c r="E105" s="2406">
        <v>44982</v>
      </c>
      <c r="F105" s="2406">
        <v>44622</v>
      </c>
      <c r="G105" s="2406">
        <v>44622</v>
      </c>
      <c r="H105" s="2405">
        <f t="shared" si="5"/>
        <v>100</v>
      </c>
    </row>
    <row r="106" spans="1:15" x14ac:dyDescent="0.2">
      <c r="A106" s="2170"/>
      <c r="B106" s="2169"/>
      <c r="C106" s="2182" t="s">
        <v>1841</v>
      </c>
      <c r="D106" s="2240" t="s">
        <v>315</v>
      </c>
      <c r="E106" s="2406">
        <v>2788</v>
      </c>
      <c r="F106" s="2406">
        <v>2788</v>
      </c>
      <c r="G106" s="2406">
        <v>2788</v>
      </c>
      <c r="H106" s="2405">
        <f t="shared" si="5"/>
        <v>100</v>
      </c>
    </row>
    <row r="107" spans="1:15" x14ac:dyDescent="0.2">
      <c r="A107" s="2170"/>
      <c r="B107" s="2169"/>
      <c r="C107" s="2182" t="s">
        <v>1817</v>
      </c>
      <c r="D107" s="2240" t="s">
        <v>640</v>
      </c>
      <c r="E107" s="2166">
        <v>98805</v>
      </c>
      <c r="F107" s="2166">
        <v>98805</v>
      </c>
      <c r="G107" s="1274">
        <v>98805</v>
      </c>
      <c r="H107" s="2405">
        <f t="shared" si="5"/>
        <v>100</v>
      </c>
    </row>
    <row r="108" spans="1:15" x14ac:dyDescent="0.2">
      <c r="A108" s="2170"/>
      <c r="B108" s="2169"/>
      <c r="C108" s="2182" t="s">
        <v>1901</v>
      </c>
      <c r="D108" s="2237" t="s">
        <v>1876</v>
      </c>
      <c r="E108" s="2166"/>
      <c r="F108" s="2166">
        <v>50</v>
      </c>
      <c r="G108" s="1274">
        <v>51</v>
      </c>
      <c r="H108" s="2405">
        <f t="shared" si="5"/>
        <v>102</v>
      </c>
    </row>
    <row r="109" spans="1:15" ht="15" x14ac:dyDescent="0.25">
      <c r="A109" s="2170">
        <v>3533</v>
      </c>
      <c r="B109" s="2169">
        <v>5336</v>
      </c>
      <c r="C109" s="2182"/>
      <c r="D109" s="2243" t="s">
        <v>1453</v>
      </c>
      <c r="E109" s="1389"/>
      <c r="F109" s="1389">
        <v>3557</v>
      </c>
      <c r="G109" s="1389">
        <v>3557</v>
      </c>
      <c r="H109" s="2417">
        <f t="shared" si="5"/>
        <v>100</v>
      </c>
    </row>
    <row r="110" spans="1:15" x14ac:dyDescent="0.2">
      <c r="A110" s="2170"/>
      <c r="B110" s="2169"/>
      <c r="C110" s="2182" t="s">
        <v>1932</v>
      </c>
      <c r="D110" s="3166" t="s">
        <v>1624</v>
      </c>
      <c r="E110" s="2406"/>
      <c r="F110" s="2406">
        <v>3557</v>
      </c>
      <c r="G110" s="2406">
        <v>3557</v>
      </c>
      <c r="H110" s="2405">
        <f t="shared" si="5"/>
        <v>100</v>
      </c>
    </row>
    <row r="111" spans="1:15" ht="15" thickBot="1" x14ac:dyDescent="0.25">
      <c r="A111" s="2170"/>
      <c r="B111" s="2169"/>
      <c r="C111" s="2182"/>
      <c r="D111" s="3173"/>
      <c r="E111" s="2406"/>
      <c r="F111" s="2406"/>
      <c r="G111" s="2406"/>
      <c r="H111" s="2405"/>
    </row>
    <row r="112" spans="1:15" s="2131" customFormat="1" ht="20.25" customHeight="1" thickTop="1" thickBot="1" x14ac:dyDescent="0.3">
      <c r="A112" s="2162" t="s">
        <v>1000</v>
      </c>
      <c r="B112" s="2161"/>
      <c r="C112" s="2160"/>
      <c r="D112" s="2159"/>
      <c r="E112" s="2346">
        <f>SUM(E102)</f>
        <v>154459</v>
      </c>
      <c r="F112" s="2346">
        <f>SUM(F102,F109)</f>
        <v>159358</v>
      </c>
      <c r="G112" s="2346">
        <f>SUM(G102,G109)</f>
        <v>159359</v>
      </c>
      <c r="H112" s="2484">
        <f>(G112/F112)*100</f>
        <v>100.00062751791563</v>
      </c>
      <c r="J112" s="2400"/>
      <c r="K112" s="2400"/>
      <c r="L112" s="2400"/>
      <c r="M112" s="2141"/>
      <c r="N112" s="2141"/>
      <c r="O112" s="2141"/>
    </row>
    <row r="113" spans="1:15" ht="15.75" thickTop="1" x14ac:dyDescent="0.25">
      <c r="A113" s="2170">
        <v>3533</v>
      </c>
      <c r="B113" s="2169">
        <v>6351</v>
      </c>
      <c r="C113" s="1281"/>
      <c r="D113" s="1454" t="s">
        <v>1056</v>
      </c>
      <c r="E113" s="1906"/>
      <c r="F113" s="1906">
        <f>F114+F115</f>
        <v>3499</v>
      </c>
      <c r="G113" s="1906">
        <f>G114+G115</f>
        <v>3499</v>
      </c>
      <c r="H113" s="2417">
        <f>G113/F113*100</f>
        <v>100</v>
      </c>
      <c r="J113" s="1249"/>
      <c r="K113" s="1249"/>
      <c r="L113" s="1249"/>
      <c r="M113" s="1249"/>
      <c r="N113" s="1249"/>
      <c r="O113" s="1249"/>
    </row>
    <row r="114" spans="1:15" x14ac:dyDescent="0.2">
      <c r="A114" s="2170"/>
      <c r="B114" s="2169"/>
      <c r="C114" s="1281" t="s">
        <v>1931</v>
      </c>
      <c r="D114" s="1287" t="s">
        <v>704</v>
      </c>
      <c r="E114" s="638"/>
      <c r="F114" s="639">
        <v>700</v>
      </c>
      <c r="G114" s="639">
        <v>700</v>
      </c>
      <c r="H114" s="2405">
        <f>G114/F114*100</f>
        <v>100</v>
      </c>
      <c r="J114" s="1249"/>
      <c r="K114" s="1249"/>
      <c r="L114" s="1249"/>
      <c r="M114" s="1249"/>
      <c r="N114" s="1249"/>
      <c r="O114" s="1249"/>
    </row>
    <row r="115" spans="1:15" x14ac:dyDescent="0.2">
      <c r="A115" s="2170"/>
      <c r="B115" s="2169"/>
      <c r="C115" s="1281" t="s">
        <v>1930</v>
      </c>
      <c r="D115" s="3159" t="s">
        <v>1929</v>
      </c>
      <c r="E115" s="638"/>
      <c r="F115" s="639">
        <v>2799</v>
      </c>
      <c r="G115" s="639">
        <v>2799</v>
      </c>
      <c r="H115" s="2405">
        <f>G115/F115*100</f>
        <v>100</v>
      </c>
      <c r="J115" s="1249"/>
      <c r="K115" s="1249"/>
      <c r="L115" s="1249"/>
      <c r="M115" s="1249"/>
      <c r="N115" s="1249"/>
      <c r="O115" s="1249"/>
    </row>
    <row r="116" spans="1:15" ht="15" thickBot="1" x14ac:dyDescent="0.25">
      <c r="A116" s="2170"/>
      <c r="B116" s="2169"/>
      <c r="C116" s="1281"/>
      <c r="D116" s="3172"/>
      <c r="E116" s="638"/>
      <c r="F116" s="639"/>
      <c r="G116" s="639"/>
      <c r="H116" s="2405"/>
      <c r="J116" s="1249"/>
      <c r="K116" s="1249"/>
      <c r="L116" s="1249"/>
      <c r="M116" s="1249"/>
      <c r="N116" s="1249"/>
      <c r="O116" s="1249"/>
    </row>
    <row r="117" spans="1:15" ht="20.25" customHeight="1" thickTop="1" thickBot="1" x14ac:dyDescent="0.3">
      <c r="A117" s="2162" t="s">
        <v>1001</v>
      </c>
      <c r="B117" s="2161"/>
      <c r="C117" s="2160"/>
      <c r="D117" s="2159"/>
      <c r="E117" s="2158">
        <f>E113</f>
        <v>0</v>
      </c>
      <c r="F117" s="2158">
        <f>F113</f>
        <v>3499</v>
      </c>
      <c r="G117" s="2158">
        <f>G113</f>
        <v>3499</v>
      </c>
      <c r="H117" s="2413">
        <f>G117/F117*100</f>
        <v>100</v>
      </c>
      <c r="J117" s="1249"/>
      <c r="K117" s="1249"/>
      <c r="L117" s="1249"/>
      <c r="M117" s="1249"/>
      <c r="N117" s="1249"/>
      <c r="O117" s="1249"/>
    </row>
    <row r="118" spans="1:15" ht="17.25" thickTop="1" x14ac:dyDescent="0.25">
      <c r="A118" s="2233"/>
    </row>
    <row r="119" spans="1:15" s="2131" customFormat="1" ht="27.75" customHeight="1" thickBot="1" x14ac:dyDescent="0.3">
      <c r="A119" s="2227" t="s">
        <v>436</v>
      </c>
      <c r="B119" s="2217"/>
      <c r="C119" s="2216"/>
      <c r="D119" s="2215"/>
      <c r="E119" s="2404">
        <f>E112+E117</f>
        <v>154459</v>
      </c>
      <c r="F119" s="2404">
        <f>F112+F117</f>
        <v>162857</v>
      </c>
      <c r="G119" s="2404">
        <f>G112+G117</f>
        <v>162858</v>
      </c>
      <c r="H119" s="2483">
        <f>(G119/F119)*100</f>
        <v>100.00061403562634</v>
      </c>
      <c r="J119" s="2141"/>
      <c r="K119" s="2141"/>
      <c r="L119" s="2141"/>
      <c r="M119" s="2141"/>
      <c r="N119" s="2141"/>
      <c r="O119" s="2141"/>
    </row>
    <row r="120" spans="1:15" s="2131" customFormat="1" ht="20.25" customHeight="1" thickTop="1" x14ac:dyDescent="0.25">
      <c r="A120" s="2145"/>
      <c r="B120" s="2144"/>
      <c r="C120" s="2143"/>
      <c r="D120" s="2142"/>
      <c r="E120" s="2412"/>
      <c r="F120" s="2412"/>
      <c r="G120" s="2412"/>
      <c r="H120" s="2482"/>
      <c r="J120" s="2141"/>
      <c r="K120" s="2141"/>
      <c r="L120" s="2141"/>
      <c r="M120" s="2141"/>
      <c r="N120" s="2141"/>
      <c r="O120" s="2141"/>
    </row>
    <row r="121" spans="1:15" s="2131" customFormat="1" ht="20.25" customHeight="1" x14ac:dyDescent="0.25">
      <c r="A121" s="2145"/>
      <c r="B121" s="2144"/>
      <c r="C121" s="2143"/>
      <c r="D121" s="2142"/>
      <c r="E121" s="2412"/>
      <c r="F121" s="2412"/>
      <c r="G121" s="2412"/>
      <c r="H121" s="2482"/>
      <c r="J121" s="2141"/>
      <c r="K121" s="2141"/>
      <c r="L121" s="2141"/>
      <c r="M121" s="2141"/>
      <c r="N121" s="2141"/>
      <c r="O121" s="2141"/>
    </row>
    <row r="122" spans="1:15" s="2131" customFormat="1" ht="20.25" customHeight="1" x14ac:dyDescent="0.25">
      <c r="A122" s="2145"/>
      <c r="B122" s="2144"/>
      <c r="C122" s="2143"/>
      <c r="D122" s="2142"/>
      <c r="E122" s="2412"/>
      <c r="F122" s="2412"/>
      <c r="G122" s="2412"/>
      <c r="H122" s="2482"/>
      <c r="J122" s="2141"/>
      <c r="K122" s="2141"/>
      <c r="L122" s="2141"/>
      <c r="M122" s="2141"/>
      <c r="N122" s="2141"/>
      <c r="O122" s="2141"/>
    </row>
    <row r="123" spans="1:15" s="2131" customFormat="1" ht="20.25" customHeight="1" x14ac:dyDescent="0.25">
      <c r="A123" s="2145"/>
      <c r="B123" s="2144"/>
      <c r="C123" s="2143"/>
      <c r="D123" s="2142"/>
      <c r="E123" s="2412"/>
      <c r="F123" s="2412"/>
      <c r="G123" s="2412"/>
      <c r="H123" s="2482"/>
      <c r="J123" s="2141"/>
      <c r="K123" s="2141"/>
      <c r="L123" s="2141"/>
      <c r="M123" s="2141"/>
      <c r="N123" s="2141"/>
      <c r="O123" s="2141"/>
    </row>
    <row r="124" spans="1:15" s="2131" customFormat="1" ht="20.25" customHeight="1" x14ac:dyDescent="0.25">
      <c r="A124" s="2145"/>
      <c r="B124" s="2144"/>
      <c r="C124" s="2143"/>
      <c r="D124" s="2142"/>
      <c r="E124" s="2412"/>
      <c r="F124" s="2412"/>
      <c r="G124" s="2412"/>
      <c r="H124" s="2482"/>
      <c r="J124" s="2141"/>
      <c r="K124" s="2141"/>
      <c r="L124" s="2141"/>
      <c r="M124" s="2141"/>
      <c r="N124" s="2141"/>
      <c r="O124" s="2141"/>
    </row>
    <row r="125" spans="1:15" s="2131" customFormat="1" ht="20.25" customHeight="1" x14ac:dyDescent="0.25">
      <c r="A125" s="2145"/>
      <c r="B125" s="2144"/>
      <c r="C125" s="2143"/>
      <c r="D125" s="2142"/>
      <c r="E125" s="2412"/>
      <c r="F125" s="2412"/>
      <c r="G125" s="2412"/>
      <c r="H125" s="2482"/>
      <c r="J125" s="2141"/>
      <c r="K125" s="2141"/>
      <c r="L125" s="2141"/>
      <c r="M125" s="2141"/>
      <c r="N125" s="2141"/>
      <c r="O125" s="2141"/>
    </row>
    <row r="126" spans="1:15" s="2131" customFormat="1" ht="20.25" customHeight="1" x14ac:dyDescent="0.25">
      <c r="A126" s="2145"/>
      <c r="B126" s="2144"/>
      <c r="C126" s="2143"/>
      <c r="D126" s="2142"/>
      <c r="E126" s="2412"/>
      <c r="F126" s="2412"/>
      <c r="G126" s="2412"/>
      <c r="H126" s="2482"/>
      <c r="J126" s="2141"/>
      <c r="K126" s="2141"/>
      <c r="L126" s="2141"/>
      <c r="M126" s="2141"/>
      <c r="N126" s="2141"/>
      <c r="O126" s="2141"/>
    </row>
    <row r="127" spans="1:15" s="2131" customFormat="1" ht="20.25" customHeight="1" x14ac:dyDescent="0.25">
      <c r="A127" s="2145"/>
      <c r="B127" s="2144"/>
      <c r="C127" s="2143"/>
      <c r="D127" s="2142"/>
      <c r="E127" s="2412"/>
      <c r="F127" s="2412"/>
      <c r="G127" s="2412"/>
      <c r="H127" s="2482"/>
      <c r="J127" s="2141"/>
      <c r="K127" s="2141"/>
      <c r="L127" s="2141"/>
      <c r="M127" s="2141"/>
      <c r="N127" s="2141"/>
      <c r="O127" s="2141"/>
    </row>
    <row r="128" spans="1:15" s="2131" customFormat="1" ht="18" customHeight="1" x14ac:dyDescent="0.25">
      <c r="A128" s="2145" t="s">
        <v>241</v>
      </c>
      <c r="B128" s="2144"/>
      <c r="C128" s="2143"/>
      <c r="D128" s="2142"/>
      <c r="E128" s="2412">
        <f>E129+E130+E131+E132</f>
        <v>20960</v>
      </c>
      <c r="F128" s="2412">
        <f>F129+F130+F131+F132</f>
        <v>23444</v>
      </c>
      <c r="G128" s="2412">
        <f>G129+G130+G131+G132</f>
        <v>23299</v>
      </c>
      <c r="H128" s="2472">
        <f>G128/F128*100</f>
        <v>99.381504862651425</v>
      </c>
      <c r="J128" s="2132">
        <f>J129+J130+J131+J132</f>
        <v>20960000</v>
      </c>
      <c r="K128" s="2132">
        <f>K129+K130+K131+K132</f>
        <v>23443631.329999998</v>
      </c>
      <c r="L128" s="2132">
        <f>L129+L130+L131+L132</f>
        <v>23299514.329999998</v>
      </c>
      <c r="M128" s="2141"/>
      <c r="N128" s="2141"/>
      <c r="O128" s="2141"/>
    </row>
    <row r="129" spans="1:15" s="2131" customFormat="1" ht="18" customHeight="1" x14ac:dyDescent="0.25">
      <c r="A129" s="1263" t="s">
        <v>242</v>
      </c>
      <c r="B129" s="2144"/>
      <c r="C129" s="2143"/>
      <c r="D129" s="2142"/>
      <c r="E129" s="2481">
        <f>E53-E131</f>
        <v>20210</v>
      </c>
      <c r="F129" s="2481">
        <f>F53-F131</f>
        <v>20422</v>
      </c>
      <c r="G129" s="2481">
        <f>G53-G131</f>
        <v>20277</v>
      </c>
      <c r="H129" s="2470">
        <f>G129/F129*100</f>
        <v>99.289981392615815</v>
      </c>
      <c r="J129" s="1533">
        <v>20210000</v>
      </c>
      <c r="K129" s="1533">
        <v>20421693</v>
      </c>
      <c r="L129" s="1533">
        <v>20277576</v>
      </c>
      <c r="M129" s="2141"/>
      <c r="N129" s="2141"/>
      <c r="O129" s="2141"/>
    </row>
    <row r="130" spans="1:15" s="1465" customFormat="1" ht="15.75" x14ac:dyDescent="0.25">
      <c r="A130" s="1263" t="s">
        <v>243</v>
      </c>
      <c r="B130" s="1265"/>
      <c r="C130" s="1261"/>
      <c r="D130" s="1436"/>
      <c r="E130" s="1264">
        <f>E62-E132</f>
        <v>0</v>
      </c>
      <c r="F130" s="1264">
        <f>F62-F132</f>
        <v>500</v>
      </c>
      <c r="G130" s="1264">
        <f>G62-G132</f>
        <v>500</v>
      </c>
      <c r="H130" s="2470">
        <f>G130/F130*100</f>
        <v>100</v>
      </c>
      <c r="J130" s="1533">
        <v>0</v>
      </c>
      <c r="K130" s="1533">
        <v>500000</v>
      </c>
      <c r="L130" s="1533">
        <v>500000</v>
      </c>
      <c r="M130" s="2141"/>
      <c r="N130" s="2141"/>
      <c r="O130" s="2141"/>
    </row>
    <row r="131" spans="1:15" s="1465" customFormat="1" ht="15.75" x14ac:dyDescent="0.25">
      <c r="A131" s="1263" t="s">
        <v>191</v>
      </c>
      <c r="B131" s="1262"/>
      <c r="C131" s="1261"/>
      <c r="D131" s="1438"/>
      <c r="E131" s="1264">
        <f>E41+E40</f>
        <v>750</v>
      </c>
      <c r="F131" s="1264">
        <f>F41+F40</f>
        <v>2522</v>
      </c>
      <c r="G131" s="1264">
        <f>G41+G40</f>
        <v>2522</v>
      </c>
      <c r="H131" s="2470">
        <f>G131/F131*100</f>
        <v>100</v>
      </c>
      <c r="J131" s="1533">
        <v>750000</v>
      </c>
      <c r="K131" s="1533">
        <v>2521938.33</v>
      </c>
      <c r="L131" s="1533">
        <v>2521938.33</v>
      </c>
      <c r="M131" s="2141"/>
      <c r="N131" s="2141"/>
      <c r="O131" s="2141"/>
    </row>
    <row r="132" spans="1:15" s="2474" customFormat="1" ht="15.75" x14ac:dyDescent="0.2">
      <c r="A132" s="1263" t="s">
        <v>1034</v>
      </c>
      <c r="B132" s="2473"/>
      <c r="C132" s="2480"/>
      <c r="D132" s="2479"/>
      <c r="E132" s="2478">
        <v>0</v>
      </c>
      <c r="F132" s="2478">
        <v>0</v>
      </c>
      <c r="G132" s="2478">
        <v>0</v>
      </c>
      <c r="H132" s="2477">
        <v>0</v>
      </c>
      <c r="J132" s="2476">
        <v>0</v>
      </c>
      <c r="K132" s="2476">
        <v>0</v>
      </c>
      <c r="L132" s="2476">
        <v>0</v>
      </c>
      <c r="M132" s="2475"/>
      <c r="N132" s="2475"/>
      <c r="O132" s="2475"/>
    </row>
    <row r="133" spans="1:15" s="1465" customFormat="1" ht="15.75" x14ac:dyDescent="0.25">
      <c r="A133" s="1263"/>
      <c r="B133" s="1262"/>
      <c r="C133" s="1261"/>
      <c r="D133" s="1438"/>
      <c r="E133" s="1264"/>
      <c r="F133" s="1264"/>
      <c r="G133" s="1264"/>
      <c r="H133" s="2470"/>
      <c r="J133" s="2141"/>
      <c r="K133" s="2141"/>
      <c r="L133" s="2141"/>
      <c r="M133" s="2141"/>
      <c r="N133" s="2141"/>
      <c r="O133" s="2141"/>
    </row>
    <row r="134" spans="1:15" s="1465" customFormat="1" ht="16.5" x14ac:dyDescent="0.25">
      <c r="A134" s="2138" t="s">
        <v>244</v>
      </c>
      <c r="B134" s="2473"/>
      <c r="C134" s="1261"/>
      <c r="D134" s="1438"/>
      <c r="E134" s="1433">
        <f>E135+E136+E137+E138</f>
        <v>277557</v>
      </c>
      <c r="F134" s="1433">
        <f>F135+F136+F137+F138</f>
        <v>241425</v>
      </c>
      <c r="G134" s="1433">
        <f>G135+G136+G137+G138</f>
        <v>240224</v>
      </c>
      <c r="H134" s="2472">
        <f>G134/F134*100</f>
        <v>99.502537019778401</v>
      </c>
      <c r="J134" s="2132">
        <f>J135+J136+J137+J138</f>
        <v>277557000</v>
      </c>
      <c r="K134" s="2132">
        <f>K135+K136+K137+K138</f>
        <v>241425577.53</v>
      </c>
      <c r="L134" s="2132">
        <f>L135+L136+L137+L138</f>
        <v>240223912.05000001</v>
      </c>
      <c r="M134" s="2141"/>
      <c r="N134" s="2141"/>
      <c r="O134" s="2141"/>
    </row>
    <row r="135" spans="1:15" s="1465" customFormat="1" ht="15.75" x14ac:dyDescent="0.25">
      <c r="A135" s="1263" t="s">
        <v>1873</v>
      </c>
      <c r="B135" s="1262"/>
      <c r="C135" s="1261"/>
      <c r="D135" s="1438"/>
      <c r="E135" s="1264">
        <f>E112+E95+E74-E137</f>
        <v>230390</v>
      </c>
      <c r="F135" s="1264">
        <f>F112+F95+F74-F137</f>
        <v>231618</v>
      </c>
      <c r="G135" s="1264">
        <f>G112+G95+G74-G137</f>
        <v>230417</v>
      </c>
      <c r="H135" s="2470">
        <f>G135/F135*100</f>
        <v>99.481473806008168</v>
      </c>
      <c r="J135" s="1533">
        <v>230390000</v>
      </c>
      <c r="K135" s="1533">
        <v>231618579.53</v>
      </c>
      <c r="L135" s="1533">
        <v>230416914.05000001</v>
      </c>
      <c r="M135" s="2141"/>
      <c r="N135" s="2141"/>
      <c r="O135" s="2141"/>
    </row>
    <row r="136" spans="1:15" s="1465" customFormat="1" ht="15.75" x14ac:dyDescent="0.25">
      <c r="A136" s="1263" t="s">
        <v>1872</v>
      </c>
      <c r="B136" s="1262"/>
      <c r="C136" s="1261"/>
      <c r="D136" s="1438"/>
      <c r="E136" s="1264">
        <f>E117+E78-E138</f>
        <v>47167</v>
      </c>
      <c r="F136" s="1264">
        <f>F117+F78-F138</f>
        <v>700</v>
      </c>
      <c r="G136" s="1264">
        <f>G117+G78-G138</f>
        <v>700</v>
      </c>
      <c r="H136" s="2470">
        <f>G136/F136*100</f>
        <v>100</v>
      </c>
      <c r="J136" s="1533">
        <v>47167000</v>
      </c>
      <c r="K136" s="1533">
        <v>700000</v>
      </c>
      <c r="L136" s="1533">
        <v>700000</v>
      </c>
      <c r="M136" s="2141"/>
      <c r="N136" s="1533">
        <f>K131+K132+K137+K138</f>
        <v>11628936.33</v>
      </c>
      <c r="O136" s="1533">
        <f>L131+L132+L137+L138</f>
        <v>11628936.33</v>
      </c>
    </row>
    <row r="137" spans="1:15" s="1465" customFormat="1" ht="15.75" x14ac:dyDescent="0.25">
      <c r="A137" s="1263" t="s">
        <v>2149</v>
      </c>
      <c r="B137" s="1262"/>
      <c r="C137" s="1261"/>
      <c r="D137" s="1438"/>
      <c r="E137" s="1264">
        <v>0</v>
      </c>
      <c r="F137" s="1264">
        <f>F110+F93</f>
        <v>6308</v>
      </c>
      <c r="G137" s="1264">
        <f>G110+G93</f>
        <v>6308</v>
      </c>
      <c r="H137" s="2470">
        <f>G137/F137*100</f>
        <v>100</v>
      </c>
      <c r="I137" s="1436"/>
      <c r="J137" s="1533">
        <v>0</v>
      </c>
      <c r="K137" s="1533">
        <v>6307550</v>
      </c>
      <c r="L137" s="1533">
        <v>6307550</v>
      </c>
      <c r="M137" s="2400"/>
      <c r="N137" s="2141"/>
      <c r="O137" s="2141"/>
    </row>
    <row r="138" spans="1:15" ht="15" x14ac:dyDescent="0.2">
      <c r="A138" s="1263" t="s">
        <v>2150</v>
      </c>
      <c r="E138" s="1264">
        <v>0</v>
      </c>
      <c r="F138" s="1264">
        <f>F115</f>
        <v>2799</v>
      </c>
      <c r="G138" s="1264">
        <f>G115</f>
        <v>2799</v>
      </c>
      <c r="H138" s="2470">
        <f>G138/F138*100</f>
        <v>100</v>
      </c>
      <c r="J138" s="1533">
        <v>0</v>
      </c>
      <c r="K138" s="1533">
        <v>2799448</v>
      </c>
      <c r="L138" s="1533">
        <v>2799448</v>
      </c>
    </row>
    <row r="139" spans="1:15" ht="15" x14ac:dyDescent="0.2">
      <c r="A139" s="2471"/>
      <c r="E139" s="1264"/>
      <c r="F139" s="1264"/>
      <c r="G139" s="1264"/>
      <c r="H139" s="2470"/>
      <c r="J139" s="1254"/>
      <c r="K139" s="1254"/>
      <c r="L139" s="1254"/>
    </row>
    <row r="140" spans="1:15" x14ac:dyDescent="0.2">
      <c r="A140" s="2469"/>
      <c r="J140" s="1254"/>
      <c r="K140" s="1254"/>
      <c r="L140" s="1254"/>
    </row>
    <row r="141" spans="1:15" s="1256" customFormat="1" ht="47.25" customHeight="1" thickBot="1" x14ac:dyDescent="0.4">
      <c r="A141" s="2468" t="s">
        <v>1123</v>
      </c>
      <c r="B141" s="2467"/>
      <c r="C141" s="2467"/>
      <c r="D141" s="2467"/>
      <c r="E141" s="1258">
        <f>SUM(E128,E134)</f>
        <v>298517</v>
      </c>
      <c r="F141" s="1258">
        <f>SUM(F128,F134)</f>
        <v>264869</v>
      </c>
      <c r="G141" s="1258">
        <f>SUM(G128,G134)</f>
        <v>263523</v>
      </c>
      <c r="H141" s="1257">
        <f>(G141/F141)*100</f>
        <v>99.49182426029472</v>
      </c>
      <c r="J141" s="2123">
        <f>J128+J134</f>
        <v>298517000</v>
      </c>
      <c r="K141" s="2123">
        <f>K128+K134</f>
        <v>264869208.86000001</v>
      </c>
      <c r="L141" s="2123">
        <f>L128+L134</f>
        <v>263523426.38</v>
      </c>
      <c r="M141" s="2466"/>
      <c r="N141" s="2466"/>
      <c r="O141" s="2466"/>
    </row>
    <row r="142" spans="1:15" ht="15" thickTop="1" x14ac:dyDescent="0.2">
      <c r="J142" s="1249"/>
      <c r="K142" s="1249"/>
      <c r="L142" s="1249"/>
    </row>
    <row r="143" spans="1:15" x14ac:dyDescent="0.2">
      <c r="J143" s="1249"/>
      <c r="K143" s="1249"/>
      <c r="L143" s="1249"/>
    </row>
    <row r="144" spans="1:15" x14ac:dyDescent="0.2">
      <c r="J144" s="1254">
        <f>E131+E132+E137+E138</f>
        <v>750</v>
      </c>
      <c r="K144" s="1254">
        <f>F131+F132+F137+F138</f>
        <v>11629</v>
      </c>
      <c r="L144" s="1254">
        <f>G131+G132+G137+G138</f>
        <v>11629</v>
      </c>
    </row>
  </sheetData>
  <mergeCells count="8">
    <mergeCell ref="D115:D116"/>
    <mergeCell ref="D110:D111"/>
    <mergeCell ref="D93:D94"/>
    <mergeCell ref="C3:D3"/>
    <mergeCell ref="D27:D28"/>
    <mergeCell ref="H84:H85"/>
    <mergeCell ref="D34:D35"/>
    <mergeCell ref="D43:D44"/>
  </mergeCells>
  <pageMargins left="0.98425196850393704" right="0.98425196850393704" top="0.98425196850393704" bottom="0.98425196850393704" header="0.51181102362204722" footer="0.51181102362204722"/>
  <pageSetup paperSize="9" scale="69" firstPageNumber="103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rowBreaks count="1" manualBreakCount="1">
    <brk id="63" max="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7"/>
  <sheetViews>
    <sheetView showGridLines="0" view="pageBreakPreview" zoomScaleNormal="100" zoomScaleSheetLayoutView="100" workbookViewId="0">
      <selection activeCell="F29" sqref="F29"/>
    </sheetView>
  </sheetViews>
  <sheetFormatPr defaultColWidth="9.140625" defaultRowHeight="12.75" x14ac:dyDescent="0.2"/>
  <cols>
    <col min="1" max="1" width="5.28515625" style="1372" customWidth="1"/>
    <col min="2" max="2" width="4.85546875" style="1372" customWidth="1"/>
    <col min="3" max="3" width="6.140625" style="1372" customWidth="1"/>
    <col min="4" max="4" width="46.42578125" style="1372" customWidth="1"/>
    <col min="5" max="5" width="14.7109375" style="1372" customWidth="1"/>
    <col min="6" max="6" width="13.85546875" style="1372" customWidth="1"/>
    <col min="7" max="7" width="14.140625" style="1372" customWidth="1"/>
    <col min="8" max="8" width="6.28515625" style="2522" customWidth="1"/>
    <col min="9" max="9" width="9.140625" style="1372"/>
    <col min="10" max="10" width="16.5703125" style="1372" bestFit="1" customWidth="1"/>
    <col min="11" max="16384" width="9.140625" style="1372"/>
  </cols>
  <sheetData>
    <row r="1" spans="1:14" ht="21.75" customHeight="1" thickBot="1" x14ac:dyDescent="0.3">
      <c r="A1" s="1342" t="s">
        <v>358</v>
      </c>
      <c r="B1" s="1341"/>
      <c r="C1" s="1341"/>
      <c r="D1" s="1340"/>
      <c r="E1" s="2545"/>
      <c r="F1" s="1338" t="s">
        <v>359</v>
      </c>
      <c r="G1" s="1373"/>
      <c r="I1" s="1307"/>
    </row>
    <row r="2" spans="1:14" ht="12.75" customHeight="1" x14ac:dyDescent="0.25">
      <c r="A2" s="1335"/>
      <c r="B2" s="1311"/>
      <c r="C2" s="1311"/>
      <c r="D2" s="1334"/>
      <c r="E2" s="2544"/>
      <c r="F2" s="2544"/>
      <c r="G2" s="2094"/>
      <c r="H2" s="2384"/>
      <c r="I2" s="1307"/>
    </row>
    <row r="3" spans="1:14" ht="12.75" customHeight="1" x14ac:dyDescent="0.25">
      <c r="A3" s="1337" t="s">
        <v>336</v>
      </c>
      <c r="B3" s="1311"/>
      <c r="C3" s="2141" t="s">
        <v>1884</v>
      </c>
      <c r="D3" s="1336"/>
      <c r="E3" s="2544"/>
      <c r="F3" s="2094"/>
      <c r="G3" s="1307"/>
      <c r="H3" s="2384"/>
    </row>
    <row r="4" spans="1:14" ht="12.75" customHeight="1" x14ac:dyDescent="0.25">
      <c r="A4" s="1335"/>
      <c r="B4" s="1311"/>
      <c r="C4" s="2141" t="s">
        <v>360</v>
      </c>
      <c r="D4" s="1373"/>
      <c r="E4" s="2544"/>
      <c r="F4" s="2094"/>
      <c r="G4" s="1307"/>
      <c r="H4" s="2384"/>
    </row>
    <row r="5" spans="1:14" ht="12.75" customHeight="1" x14ac:dyDescent="0.25">
      <c r="A5" s="1335"/>
      <c r="B5" s="1311"/>
      <c r="C5" s="1311"/>
      <c r="D5" s="1334"/>
      <c r="E5" s="2544"/>
      <c r="F5" s="2544"/>
      <c r="G5" s="2094"/>
      <c r="H5" s="2384"/>
      <c r="I5" s="1307"/>
    </row>
    <row r="6" spans="1:14" ht="18" x14ac:dyDescent="0.25">
      <c r="A6" s="1312" t="s">
        <v>799</v>
      </c>
      <c r="B6" s="1311"/>
      <c r="C6" s="1311"/>
      <c r="D6" s="1334"/>
      <c r="E6" s="2544"/>
      <c r="F6" s="2544"/>
      <c r="G6" s="2094"/>
      <c r="H6" s="2384"/>
      <c r="I6" s="1307"/>
    </row>
    <row r="7" spans="1:14" ht="13.5" thickBot="1" x14ac:dyDescent="0.25">
      <c r="A7" s="1305"/>
      <c r="B7" s="1305"/>
      <c r="C7" s="1305"/>
      <c r="D7" s="1325"/>
      <c r="E7" s="1373"/>
      <c r="F7" s="1373"/>
      <c r="G7" s="2543"/>
      <c r="H7" s="2522" t="s">
        <v>148</v>
      </c>
    </row>
    <row r="8" spans="1:14" s="1298" customFormat="1" ht="20.25" customHeight="1" thickTop="1" thickBot="1" x14ac:dyDescent="0.25">
      <c r="A8" s="1302" t="s">
        <v>149</v>
      </c>
      <c r="B8" s="1301" t="s">
        <v>150</v>
      </c>
      <c r="C8" s="1324" t="s">
        <v>639</v>
      </c>
      <c r="D8" s="1324" t="s">
        <v>151</v>
      </c>
      <c r="E8" s="1324" t="s">
        <v>569</v>
      </c>
      <c r="F8" s="1324" t="s">
        <v>570</v>
      </c>
      <c r="G8" s="2198" t="s">
        <v>797</v>
      </c>
      <c r="H8" s="2238" t="s">
        <v>798</v>
      </c>
    </row>
    <row r="9" spans="1:14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6">
        <v>5</v>
      </c>
      <c r="F9" s="1295">
        <v>6</v>
      </c>
      <c r="G9" s="1295">
        <v>7</v>
      </c>
      <c r="H9" s="1294" t="s">
        <v>54</v>
      </c>
      <c r="I9" s="1298"/>
    </row>
    <row r="10" spans="1:14" s="2312" customFormat="1" ht="16.5" thickTop="1" thickBot="1" x14ac:dyDescent="0.3">
      <c r="A10" s="2508">
        <v>6172</v>
      </c>
      <c r="B10" s="2254">
        <v>5192</v>
      </c>
      <c r="C10" s="2542"/>
      <c r="D10" s="2541" t="s">
        <v>1612</v>
      </c>
      <c r="E10" s="2540">
        <v>15</v>
      </c>
      <c r="F10" s="2539">
        <v>0</v>
      </c>
      <c r="G10" s="2538">
        <v>0</v>
      </c>
      <c r="H10" s="2537">
        <v>0</v>
      </c>
      <c r="I10" s="2536"/>
    </row>
    <row r="11" spans="1:14" s="1266" customFormat="1" ht="35.25" customHeight="1" thickTop="1" thickBot="1" x14ac:dyDescent="0.3">
      <c r="A11" s="1272" t="s">
        <v>225</v>
      </c>
      <c r="B11" s="2535"/>
      <c r="C11" s="1270"/>
      <c r="D11" s="1271"/>
      <c r="E11" s="1268">
        <f>E10</f>
        <v>15</v>
      </c>
      <c r="F11" s="1268">
        <v>0</v>
      </c>
      <c r="G11" s="1268">
        <f>G10</f>
        <v>0</v>
      </c>
      <c r="H11" s="2534">
        <v>0</v>
      </c>
    </row>
    <row r="12" spans="1:14" ht="15.75" thickTop="1" x14ac:dyDescent="0.25">
      <c r="A12" s="2326"/>
      <c r="B12" s="2326"/>
      <c r="C12" s="2326"/>
      <c r="D12" s="2533"/>
      <c r="E12" s="2533"/>
      <c r="F12" s="2532"/>
      <c r="G12" s="2531"/>
      <c r="H12" s="2530"/>
    </row>
    <row r="13" spans="1:14" x14ac:dyDescent="0.2">
      <c r="A13" s="2326"/>
      <c r="H13" s="2529"/>
    </row>
    <row r="14" spans="1:14" x14ac:dyDescent="0.2">
      <c r="A14" s="2326"/>
      <c r="H14" s="2529"/>
    </row>
    <row r="15" spans="1:14" s="1256" customFormat="1" ht="47.25" customHeight="1" thickBot="1" x14ac:dyDescent="0.4">
      <c r="A15" s="2528" t="s">
        <v>361</v>
      </c>
      <c r="B15" s="2527"/>
      <c r="C15" s="2526"/>
      <c r="D15" s="2525"/>
      <c r="E15" s="2398">
        <f>SUM(E11)</f>
        <v>15</v>
      </c>
      <c r="F15" s="2398">
        <f>SUM(F11)</f>
        <v>0</v>
      </c>
      <c r="G15" s="2398">
        <f>SUM(G11)</f>
        <v>0</v>
      </c>
      <c r="H15" s="2124">
        <v>0</v>
      </c>
      <c r="I15" s="2524"/>
      <c r="J15" s="2123">
        <v>15000</v>
      </c>
      <c r="K15" s="2123">
        <v>0</v>
      </c>
      <c r="L15" s="2123">
        <v>0</v>
      </c>
      <c r="M15" s="2523"/>
      <c r="N15" s="2523"/>
    </row>
    <row r="16" spans="1:14" ht="13.5" thickTop="1" x14ac:dyDescent="0.2"/>
    <row r="17" spans="1:1" x14ac:dyDescent="0.2">
      <c r="A17" s="2196" t="s">
        <v>1944</v>
      </c>
    </row>
  </sheetData>
  <pageMargins left="0.98425196850393704" right="0.98425196850393704" top="0.98425196850393704" bottom="0.98425196850393704" header="0.51181102362204722" footer="0.51181102362204722"/>
  <pageSetup paperSize="9" scale="70" firstPageNumber="106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6"/>
  <sheetViews>
    <sheetView showGridLines="0" view="pageBreakPreview" zoomScaleNormal="100" zoomScaleSheetLayoutView="100" workbookViewId="0">
      <selection activeCell="F29" sqref="F29"/>
    </sheetView>
  </sheetViews>
  <sheetFormatPr defaultColWidth="9.140625" defaultRowHeight="12.75" x14ac:dyDescent="0.2"/>
  <cols>
    <col min="1" max="1" width="5.7109375" style="1372" customWidth="1"/>
    <col min="2" max="2" width="4.85546875" style="1372" customWidth="1"/>
    <col min="3" max="3" width="6.140625" style="1372" customWidth="1"/>
    <col min="4" max="4" width="46.42578125" style="1372" customWidth="1"/>
    <col min="5" max="6" width="13.85546875" style="1372" customWidth="1"/>
    <col min="7" max="7" width="12.85546875" style="1372" customWidth="1"/>
    <col min="8" max="8" width="8" style="2522" customWidth="1"/>
    <col min="9" max="9" width="9.140625" style="1372"/>
    <col min="10" max="10" width="10.7109375" style="1372" customWidth="1"/>
    <col min="11" max="11" width="11.28515625" style="1372" customWidth="1"/>
    <col min="12" max="16384" width="9.140625" style="1372"/>
  </cols>
  <sheetData>
    <row r="1" spans="1:21" ht="21.75" customHeight="1" thickBot="1" x14ac:dyDescent="0.3">
      <c r="A1" s="1342" t="s">
        <v>341</v>
      </c>
      <c r="B1" s="1341"/>
      <c r="C1" s="1341"/>
      <c r="D1" s="1340"/>
      <c r="E1" s="2545"/>
      <c r="F1" s="1338" t="s">
        <v>342</v>
      </c>
      <c r="G1" s="1373"/>
      <c r="I1" s="1307"/>
    </row>
    <row r="2" spans="1:21" ht="12.75" customHeight="1" x14ac:dyDescent="0.25">
      <c r="A2" s="1335"/>
      <c r="B2" s="1311"/>
      <c r="C2" s="1311"/>
      <c r="D2" s="1334"/>
      <c r="E2" s="2544"/>
      <c r="F2" s="2544"/>
      <c r="G2" s="2094"/>
      <c r="H2" s="2384"/>
      <c r="I2" s="1307"/>
    </row>
    <row r="3" spans="1:21" ht="12.75" customHeight="1" x14ac:dyDescent="0.25">
      <c r="A3" s="1337" t="s">
        <v>336</v>
      </c>
      <c r="B3" s="1311"/>
      <c r="C3" s="2141" t="s">
        <v>1945</v>
      </c>
      <c r="D3" s="1336"/>
      <c r="E3" s="2544"/>
      <c r="F3" s="2094"/>
      <c r="G3" s="1307"/>
      <c r="H3" s="2384"/>
    </row>
    <row r="4" spans="1:21" ht="16.5" customHeight="1" x14ac:dyDescent="0.25">
      <c r="A4" s="1335"/>
      <c r="B4" s="1311"/>
      <c r="C4" s="2141" t="s">
        <v>987</v>
      </c>
      <c r="D4" s="1373"/>
      <c r="E4" s="2544"/>
      <c r="F4" s="2094"/>
      <c r="G4" s="1307"/>
      <c r="H4" s="2384"/>
    </row>
    <row r="5" spans="1:21" ht="12.75" customHeight="1" x14ac:dyDescent="0.25">
      <c r="A5" s="1335"/>
      <c r="B5" s="1311"/>
      <c r="C5" s="1311"/>
      <c r="D5" s="1334"/>
      <c r="E5" s="2544"/>
      <c r="F5" s="2544"/>
      <c r="G5" s="2094"/>
      <c r="H5" s="2384"/>
      <c r="I5" s="1307"/>
    </row>
    <row r="6" spans="1:21" ht="18" x14ac:dyDescent="0.25">
      <c r="A6" s="1312" t="s">
        <v>799</v>
      </c>
      <c r="B6" s="1311"/>
      <c r="C6" s="1311"/>
      <c r="D6" s="1334"/>
      <c r="E6" s="2544"/>
      <c r="F6" s="2544"/>
      <c r="G6" s="2094"/>
      <c r="H6" s="2384"/>
      <c r="I6" s="1307"/>
    </row>
    <row r="7" spans="1:21" ht="13.5" thickBot="1" x14ac:dyDescent="0.25">
      <c r="A7" s="1305"/>
      <c r="B7" s="1305"/>
      <c r="C7" s="1305"/>
      <c r="D7" s="1325"/>
      <c r="E7" s="1373"/>
      <c r="F7" s="1373"/>
      <c r="G7" s="2543"/>
      <c r="H7" s="2558" t="s">
        <v>148</v>
      </c>
    </row>
    <row r="8" spans="1:21" s="1298" customFormat="1" ht="20.25" customHeight="1" thickTop="1" thickBot="1" x14ac:dyDescent="0.25">
      <c r="A8" s="1302" t="s">
        <v>149</v>
      </c>
      <c r="B8" s="1301" t="s">
        <v>150</v>
      </c>
      <c r="C8" s="2557" t="s">
        <v>639</v>
      </c>
      <c r="D8" s="1324" t="s">
        <v>151</v>
      </c>
      <c r="E8" s="1324" t="s">
        <v>569</v>
      </c>
      <c r="F8" s="1324" t="s">
        <v>570</v>
      </c>
      <c r="G8" s="2198" t="s">
        <v>797</v>
      </c>
      <c r="H8" s="2238" t="s">
        <v>798</v>
      </c>
    </row>
    <row r="9" spans="1:21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6">
        <v>5</v>
      </c>
      <c r="F9" s="1295">
        <v>6</v>
      </c>
      <c r="G9" s="1295">
        <v>7</v>
      </c>
      <c r="H9" s="1294" t="s">
        <v>54</v>
      </c>
      <c r="I9" s="1298"/>
    </row>
    <row r="10" spans="1:21" s="2312" customFormat="1" ht="19.5" thickTop="1" thickBot="1" x14ac:dyDescent="0.3">
      <c r="A10" s="2556">
        <v>6172</v>
      </c>
      <c r="B10" s="2555">
        <v>5166</v>
      </c>
      <c r="C10" s="2554"/>
      <c r="D10" s="2553" t="s">
        <v>553</v>
      </c>
      <c r="E10" s="2552">
        <v>20</v>
      </c>
      <c r="F10" s="2551">
        <v>20</v>
      </c>
      <c r="G10" s="2550">
        <v>0</v>
      </c>
      <c r="H10" s="2549">
        <v>0</v>
      </c>
      <c r="I10" s="2300"/>
      <c r="J10" s="2300"/>
      <c r="K10" s="2300"/>
      <c r="L10" s="2300"/>
      <c r="M10" s="2300"/>
      <c r="N10" s="2300"/>
      <c r="O10" s="2300"/>
      <c r="P10" s="2300"/>
      <c r="Q10" s="2300"/>
      <c r="R10" s="2300"/>
      <c r="S10" s="2300"/>
      <c r="T10" s="2300"/>
      <c r="U10" s="2300"/>
    </row>
    <row r="11" spans="1:21" s="1266" customFormat="1" ht="35.25" customHeight="1" thickTop="1" thickBot="1" x14ac:dyDescent="0.3">
      <c r="A11" s="1272" t="s">
        <v>225</v>
      </c>
      <c r="B11" s="2535"/>
      <c r="C11" s="1270"/>
      <c r="D11" s="1271"/>
      <c r="E11" s="1268">
        <f>SUM(E10)</f>
        <v>20</v>
      </c>
      <c r="F11" s="1268">
        <f>SUM(F10)</f>
        <v>20</v>
      </c>
      <c r="G11" s="1268">
        <f>SUM(G10)</f>
        <v>0</v>
      </c>
      <c r="H11" s="2390">
        <v>0</v>
      </c>
    </row>
    <row r="12" spans="1:21" ht="15.75" thickTop="1" x14ac:dyDescent="0.25">
      <c r="A12" s="2326"/>
      <c r="B12" s="2326"/>
      <c r="C12" s="2326"/>
      <c r="D12" s="2533"/>
      <c r="E12" s="2533"/>
      <c r="F12" s="2532"/>
      <c r="G12" s="2531"/>
      <c r="H12" s="2548"/>
    </row>
    <row r="13" spans="1:21" x14ac:dyDescent="0.2">
      <c r="A13" s="2326"/>
    </row>
    <row r="14" spans="1:21" x14ac:dyDescent="0.2">
      <c r="A14" s="2326"/>
    </row>
    <row r="15" spans="1:21" s="1256" customFormat="1" ht="47.25" customHeight="1" thickBot="1" x14ac:dyDescent="0.4">
      <c r="A15" s="2528" t="s">
        <v>1198</v>
      </c>
      <c r="B15" s="2527"/>
      <c r="C15" s="2526"/>
      <c r="D15" s="2525"/>
      <c r="E15" s="1258">
        <f>SUM(E11)</f>
        <v>20</v>
      </c>
      <c r="F15" s="1258">
        <f>SUM(F11)</f>
        <v>20</v>
      </c>
      <c r="G15" s="1258">
        <f>SUM(G11)</f>
        <v>0</v>
      </c>
      <c r="H15" s="2547">
        <v>0</v>
      </c>
      <c r="I15" s="2524"/>
      <c r="J15" s="2546">
        <v>20000</v>
      </c>
      <c r="K15" s="2546">
        <v>20000</v>
      </c>
      <c r="L15" s="2546">
        <v>0</v>
      </c>
    </row>
    <row r="16" spans="1:21" ht="13.5" thickTop="1" x14ac:dyDescent="0.2"/>
  </sheetData>
  <pageMargins left="0.98425196850393704" right="0.98425196850393704" top="0.98425196850393704" bottom="0.98425196850393704" header="0.51181102362204722" footer="0.51181102362204722"/>
  <pageSetup paperSize="9" scale="70" firstPageNumber="107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indexed="13"/>
  </sheetPr>
  <dimension ref="A1:O1234"/>
  <sheetViews>
    <sheetView showGridLines="0" topLeftCell="A88" zoomScaleNormal="100" zoomScaleSheetLayoutView="75" workbookViewId="0">
      <selection activeCell="D128" sqref="A128:E133"/>
    </sheetView>
  </sheetViews>
  <sheetFormatPr defaultColWidth="9.140625" defaultRowHeight="12.75" x14ac:dyDescent="0.2"/>
  <cols>
    <col min="1" max="1" width="11.7109375" style="798" customWidth="1"/>
    <col min="2" max="2" width="5.140625" style="799" customWidth="1"/>
    <col min="3" max="3" width="5.28515625" style="611" customWidth="1"/>
    <col min="4" max="4" width="8.85546875" style="613" customWidth="1"/>
    <col min="5" max="5" width="41.28515625" style="611" customWidth="1"/>
    <col min="6" max="6" width="11.7109375" style="613" customWidth="1"/>
    <col min="7" max="7" width="13.85546875" style="613" customWidth="1"/>
    <col min="8" max="8" width="11.85546875" style="613" customWidth="1"/>
    <col min="9" max="9" width="7" style="797" customWidth="1"/>
    <col min="10" max="10" width="9.140625" style="611"/>
    <col min="11" max="11" width="12.140625" style="611" customWidth="1"/>
    <col min="12" max="12" width="11.42578125" style="611" bestFit="1" customWidth="1"/>
    <col min="13" max="16384" width="9.140625" style="611"/>
  </cols>
  <sheetData>
    <row r="1" spans="1:10" ht="18.75" thickBot="1" x14ac:dyDescent="0.3">
      <c r="A1" s="468" t="s">
        <v>575</v>
      </c>
      <c r="B1" s="469"/>
      <c r="C1" s="472"/>
      <c r="D1" s="471"/>
      <c r="E1" s="470"/>
      <c r="F1" s="471"/>
      <c r="G1" s="461" t="s">
        <v>826</v>
      </c>
      <c r="H1" s="614"/>
      <c r="I1" s="613"/>
    </row>
    <row r="2" spans="1:10" ht="18" x14ac:dyDescent="0.25">
      <c r="A2" s="967"/>
      <c r="B2" s="968"/>
      <c r="C2" s="969"/>
      <c r="D2" s="136"/>
      <c r="E2" s="970"/>
      <c r="F2" s="136"/>
      <c r="G2" s="971"/>
      <c r="H2" s="614"/>
      <c r="I2" s="613"/>
    </row>
    <row r="3" spans="1:10" s="504" customFormat="1" ht="12.75" customHeight="1" x14ac:dyDescent="0.25">
      <c r="A3" s="6"/>
      <c r="B3" s="28"/>
      <c r="C3" s="130"/>
      <c r="D3" s="10"/>
      <c r="E3" s="135"/>
      <c r="F3" s="135"/>
      <c r="G3" s="16"/>
      <c r="H3" s="191"/>
      <c r="I3" s="17"/>
      <c r="J3" s="467"/>
    </row>
    <row r="4" spans="1:10" s="504" customFormat="1" ht="12.75" customHeight="1" x14ac:dyDescent="0.25">
      <c r="A4" s="67" t="s">
        <v>336</v>
      </c>
      <c r="B4" s="28"/>
      <c r="C4" s="523" t="s">
        <v>317</v>
      </c>
      <c r="D4" s="583"/>
      <c r="E4" s="135"/>
      <c r="F4" s="16"/>
      <c r="G4" s="17"/>
      <c r="H4" s="191"/>
    </row>
    <row r="5" spans="1:10" s="504" customFormat="1" ht="12.75" customHeight="1" x14ac:dyDescent="0.25">
      <c r="A5" s="6"/>
      <c r="B5" s="28"/>
      <c r="C5" s="523" t="s">
        <v>318</v>
      </c>
      <c r="D5" s="613"/>
      <c r="E5" s="136"/>
      <c r="F5" s="16"/>
      <c r="G5" s="17"/>
      <c r="H5" s="191"/>
    </row>
    <row r="7" spans="1:10" s="504" customFormat="1" ht="18" x14ac:dyDescent="0.25">
      <c r="A7" s="33" t="s">
        <v>543</v>
      </c>
      <c r="B7" s="33"/>
      <c r="C7" s="28"/>
      <c r="D7" s="63"/>
      <c r="E7" s="10"/>
      <c r="F7" s="135"/>
      <c r="G7" s="135"/>
      <c r="H7" s="16"/>
      <c r="I7" s="792"/>
      <c r="J7" s="17"/>
    </row>
    <row r="8" spans="1:10" s="504" customFormat="1" x14ac:dyDescent="0.2">
      <c r="B8" s="598"/>
      <c r="D8" s="670"/>
      <c r="F8" s="467"/>
      <c r="G8" s="467"/>
      <c r="H8" s="467"/>
      <c r="I8" s="792"/>
    </row>
    <row r="9" spans="1:10" s="504" customFormat="1" x14ac:dyDescent="0.2">
      <c r="B9" s="598"/>
      <c r="D9" s="670"/>
      <c r="F9" s="467"/>
      <c r="G9" s="467"/>
      <c r="H9" s="467"/>
      <c r="I9" s="792"/>
    </row>
    <row r="10" spans="1:10" s="504" customFormat="1" ht="13.5" thickBot="1" x14ac:dyDescent="0.25">
      <c r="A10" s="421" t="s">
        <v>1167</v>
      </c>
      <c r="B10" s="598"/>
      <c r="D10" s="670"/>
      <c r="F10" s="467"/>
      <c r="G10" s="467"/>
      <c r="H10" s="467"/>
      <c r="I10" s="792" t="s">
        <v>148</v>
      </c>
    </row>
    <row r="11" spans="1:10" s="106" customFormat="1" ht="20.25" customHeight="1" thickTop="1" thickBot="1" x14ac:dyDescent="0.25">
      <c r="A11" s="626" t="s">
        <v>565</v>
      </c>
      <c r="B11" s="628" t="s">
        <v>149</v>
      </c>
      <c r="C11" s="627" t="s">
        <v>150</v>
      </c>
      <c r="D11" s="589" t="s">
        <v>639</v>
      </c>
      <c r="E11" s="629" t="s">
        <v>151</v>
      </c>
      <c r="F11" s="629" t="s">
        <v>152</v>
      </c>
      <c r="G11" s="629" t="s">
        <v>796</v>
      </c>
      <c r="H11" s="629" t="s">
        <v>797</v>
      </c>
      <c r="I11" s="674" t="s">
        <v>798</v>
      </c>
    </row>
    <row r="12" spans="1:10" s="375" customFormat="1" ht="13.5" thickTop="1" thickBot="1" x14ac:dyDescent="0.25">
      <c r="A12" s="525">
        <v>1</v>
      </c>
      <c r="B12" s="526">
        <v>2</v>
      </c>
      <c r="C12" s="526">
        <v>3</v>
      </c>
      <c r="D12" s="526">
        <v>4</v>
      </c>
      <c r="E12" s="526">
        <v>5</v>
      </c>
      <c r="F12" s="512">
        <v>6</v>
      </c>
      <c r="G12" s="512">
        <v>7</v>
      </c>
      <c r="H12" s="513">
        <v>8</v>
      </c>
      <c r="I12" s="591" t="s">
        <v>689</v>
      </c>
    </row>
    <row r="13" spans="1:10" s="504" customFormat="1" ht="16.5" thickTop="1" thickBot="1" x14ac:dyDescent="0.3">
      <c r="A13" s="802">
        <v>60001100026</v>
      </c>
      <c r="B13" s="659">
        <v>3122</v>
      </c>
      <c r="C13" s="659">
        <v>6121</v>
      </c>
      <c r="D13" s="801">
        <v>10</v>
      </c>
      <c r="E13" s="662" t="s">
        <v>548</v>
      </c>
      <c r="F13" s="803"/>
      <c r="G13" s="803">
        <v>751</v>
      </c>
      <c r="H13" s="803">
        <v>640</v>
      </c>
      <c r="I13" s="707">
        <v>0</v>
      </c>
    </row>
    <row r="14" spans="1:10" s="504" customFormat="1" ht="18" customHeight="1" thickTop="1" thickBot="1" x14ac:dyDescent="0.3">
      <c r="A14" s="3110" t="s">
        <v>224</v>
      </c>
      <c r="B14" s="3111"/>
      <c r="C14" s="3111"/>
      <c r="D14" s="3111"/>
      <c r="E14" s="3111"/>
      <c r="F14" s="680">
        <v>0</v>
      </c>
      <c r="G14" s="680">
        <f>SUM(G13)</f>
        <v>751</v>
      </c>
      <c r="H14" s="680">
        <f>SUM(H13)</f>
        <v>640</v>
      </c>
      <c r="I14" s="681">
        <v>0</v>
      </c>
    </row>
    <row r="15" spans="1:10" s="504" customFormat="1" ht="13.5" thickTop="1" x14ac:dyDescent="0.2">
      <c r="B15" s="598"/>
      <c r="D15" s="670"/>
      <c r="F15" s="467"/>
      <c r="G15" s="467"/>
      <c r="H15" s="467"/>
      <c r="I15" s="792"/>
    </row>
    <row r="16" spans="1:10" s="504" customFormat="1" x14ac:dyDescent="0.2">
      <c r="B16" s="598"/>
      <c r="D16" s="670"/>
      <c r="F16" s="467"/>
      <c r="G16" s="467"/>
      <c r="H16" s="467"/>
      <c r="I16" s="792"/>
    </row>
    <row r="17" spans="1:9" s="504" customFormat="1" ht="13.5" thickBot="1" x14ac:dyDescent="0.25">
      <c r="A17" s="421" t="s">
        <v>1168</v>
      </c>
      <c r="B17" s="598"/>
      <c r="D17" s="670"/>
      <c r="F17" s="467"/>
      <c r="G17" s="467"/>
      <c r="H17" s="467"/>
      <c r="I17" s="792" t="s">
        <v>148</v>
      </c>
    </row>
    <row r="18" spans="1:9" s="106" customFormat="1" ht="20.25" customHeight="1" thickTop="1" thickBot="1" x14ac:dyDescent="0.25">
      <c r="A18" s="626" t="s">
        <v>565</v>
      </c>
      <c r="B18" s="628" t="s">
        <v>149</v>
      </c>
      <c r="C18" s="627" t="s">
        <v>150</v>
      </c>
      <c r="D18" s="589" t="s">
        <v>639</v>
      </c>
      <c r="E18" s="629" t="s">
        <v>151</v>
      </c>
      <c r="F18" s="629" t="s">
        <v>152</v>
      </c>
      <c r="G18" s="629" t="s">
        <v>796</v>
      </c>
      <c r="H18" s="629" t="s">
        <v>797</v>
      </c>
      <c r="I18" s="674" t="s">
        <v>798</v>
      </c>
    </row>
    <row r="19" spans="1:9" s="375" customFormat="1" ht="13.5" thickTop="1" thickBot="1" x14ac:dyDescent="0.25">
      <c r="A19" s="525">
        <v>1</v>
      </c>
      <c r="B19" s="526">
        <v>2</v>
      </c>
      <c r="C19" s="526">
        <v>3</v>
      </c>
      <c r="D19" s="526">
        <v>4</v>
      </c>
      <c r="E19" s="526">
        <v>5</v>
      </c>
      <c r="F19" s="512">
        <v>6</v>
      </c>
      <c r="G19" s="512">
        <v>7</v>
      </c>
      <c r="H19" s="513">
        <v>8</v>
      </c>
      <c r="I19" s="591" t="s">
        <v>689</v>
      </c>
    </row>
    <row r="20" spans="1:9" s="504" customFormat="1" ht="16.5" thickTop="1" thickBot="1" x14ac:dyDescent="0.3">
      <c r="A20" s="802">
        <v>60001100028</v>
      </c>
      <c r="B20" s="659">
        <v>3121</v>
      </c>
      <c r="C20" s="659">
        <v>6121</v>
      </c>
      <c r="D20" s="801">
        <v>10</v>
      </c>
      <c r="E20" s="662" t="s">
        <v>548</v>
      </c>
      <c r="F20" s="803">
        <v>2100</v>
      </c>
      <c r="G20" s="803">
        <v>1897</v>
      </c>
      <c r="H20" s="803">
        <v>1897</v>
      </c>
      <c r="I20" s="707">
        <f>(H20/G20)*100</f>
        <v>100</v>
      </c>
    </row>
    <row r="21" spans="1:9" s="504" customFormat="1" ht="18" customHeight="1" thickTop="1" thickBot="1" x14ac:dyDescent="0.3">
      <c r="A21" s="3110" t="s">
        <v>224</v>
      </c>
      <c r="B21" s="3111"/>
      <c r="C21" s="3111"/>
      <c r="D21" s="3111"/>
      <c r="E21" s="3111"/>
      <c r="F21" s="680">
        <v>2100</v>
      </c>
      <c r="G21" s="680">
        <f>SUM(G20)</f>
        <v>1897</v>
      </c>
      <c r="H21" s="680">
        <f>SUM(H20)</f>
        <v>1897</v>
      </c>
      <c r="I21" s="681">
        <f>(H21/G21)*100</f>
        <v>100</v>
      </c>
    </row>
    <row r="22" spans="1:9" s="504" customFormat="1" ht="13.5" thickTop="1" x14ac:dyDescent="0.2">
      <c r="B22" s="598"/>
      <c r="D22" s="670"/>
      <c r="F22" s="467"/>
      <c r="G22" s="467"/>
      <c r="H22" s="467"/>
      <c r="I22" s="792"/>
    </row>
    <row r="23" spans="1:9" s="504" customFormat="1" x14ac:dyDescent="0.2">
      <c r="B23" s="598"/>
      <c r="D23" s="670"/>
      <c r="F23" s="467"/>
      <c r="G23" s="467"/>
      <c r="H23" s="467"/>
      <c r="I23" s="792"/>
    </row>
    <row r="24" spans="1:9" s="504" customFormat="1" ht="13.5" thickBot="1" x14ac:dyDescent="0.25">
      <c r="A24" s="421" t="s">
        <v>980</v>
      </c>
      <c r="B24" s="598"/>
      <c r="D24" s="670"/>
      <c r="F24" s="467"/>
      <c r="G24" s="467"/>
      <c r="H24" s="467"/>
      <c r="I24" s="792" t="s">
        <v>148</v>
      </c>
    </row>
    <row r="25" spans="1:9" s="106" customFormat="1" ht="20.25" customHeight="1" thickTop="1" thickBot="1" x14ac:dyDescent="0.25">
      <c r="A25" s="626" t="s">
        <v>565</v>
      </c>
      <c r="B25" s="628" t="s">
        <v>149</v>
      </c>
      <c r="C25" s="627" t="s">
        <v>150</v>
      </c>
      <c r="D25" s="589" t="s">
        <v>639</v>
      </c>
      <c r="E25" s="629" t="s">
        <v>151</v>
      </c>
      <c r="F25" s="629" t="s">
        <v>152</v>
      </c>
      <c r="G25" s="629" t="s">
        <v>796</v>
      </c>
      <c r="H25" s="629" t="s">
        <v>797</v>
      </c>
      <c r="I25" s="674" t="s">
        <v>798</v>
      </c>
    </row>
    <row r="26" spans="1:9" s="375" customFormat="1" ht="13.5" thickTop="1" thickBot="1" x14ac:dyDescent="0.25">
      <c r="A26" s="974">
        <v>1</v>
      </c>
      <c r="B26" s="975">
        <v>2</v>
      </c>
      <c r="C26" s="975">
        <v>3</v>
      </c>
      <c r="D26" s="975">
        <v>4</v>
      </c>
      <c r="E26" s="975">
        <v>5</v>
      </c>
      <c r="F26" s="976">
        <v>6</v>
      </c>
      <c r="G26" s="976">
        <v>7</v>
      </c>
      <c r="H26" s="977">
        <v>8</v>
      </c>
      <c r="I26" s="978" t="s">
        <v>689</v>
      </c>
    </row>
    <row r="27" spans="1:9" s="375" customFormat="1" ht="15.75" thickTop="1" x14ac:dyDescent="0.25">
      <c r="A27" s="1029">
        <v>60001100030</v>
      </c>
      <c r="B27" s="1030">
        <v>3142</v>
      </c>
      <c r="C27" s="1031">
        <v>5137</v>
      </c>
      <c r="D27" s="815">
        <v>870</v>
      </c>
      <c r="E27" s="980" t="s">
        <v>142</v>
      </c>
      <c r="F27" s="402"/>
      <c r="G27" s="982">
        <v>5979</v>
      </c>
      <c r="H27" s="402">
        <v>5957</v>
      </c>
      <c r="I27" s="804">
        <f t="shared" ref="I27:I33" si="0">(H27/G27)*100</f>
        <v>99.632045492557282</v>
      </c>
    </row>
    <row r="28" spans="1:9" s="375" customFormat="1" ht="15.75" thickBot="1" x14ac:dyDescent="0.3">
      <c r="A28" s="1032">
        <v>60001100030</v>
      </c>
      <c r="B28" s="1033">
        <v>3142</v>
      </c>
      <c r="C28" s="1034">
        <v>5172</v>
      </c>
      <c r="D28" s="801">
        <v>870</v>
      </c>
      <c r="E28" s="979" t="s">
        <v>812</v>
      </c>
      <c r="F28" s="403"/>
      <c r="G28" s="983">
        <v>106</v>
      </c>
      <c r="H28" s="403">
        <v>101</v>
      </c>
      <c r="I28" s="691">
        <f t="shared" si="0"/>
        <v>95.283018867924525</v>
      </c>
    </row>
    <row r="29" spans="1:9" s="504" customFormat="1" ht="18" customHeight="1" thickTop="1" thickBot="1" x14ac:dyDescent="0.3">
      <c r="A29" s="3110" t="s">
        <v>225</v>
      </c>
      <c r="B29" s="3111"/>
      <c r="C29" s="3111"/>
      <c r="D29" s="3111"/>
      <c r="E29" s="3111"/>
      <c r="F29" s="680">
        <v>0</v>
      </c>
      <c r="G29" s="680">
        <f>G27+G28</f>
        <v>6085</v>
      </c>
      <c r="H29" s="680">
        <f>H27+H28</f>
        <v>6058</v>
      </c>
      <c r="I29" s="681">
        <f t="shared" si="0"/>
        <v>99.556285949055052</v>
      </c>
    </row>
    <row r="30" spans="1:9" s="504" customFormat="1" ht="18" customHeight="1" thickTop="1" x14ac:dyDescent="0.25">
      <c r="A30" s="1017">
        <v>60001100030</v>
      </c>
      <c r="B30" s="1018">
        <v>3142</v>
      </c>
      <c r="C30" s="1019">
        <v>6121</v>
      </c>
      <c r="D30" s="801">
        <v>10</v>
      </c>
      <c r="E30" s="979" t="s">
        <v>548</v>
      </c>
      <c r="F30" s="676">
        <v>50100</v>
      </c>
      <c r="G30" s="178">
        <v>0</v>
      </c>
      <c r="H30" s="676">
        <v>0</v>
      </c>
      <c r="I30" s="691">
        <v>0</v>
      </c>
    </row>
    <row r="31" spans="1:9" s="375" customFormat="1" ht="15" x14ac:dyDescent="0.25">
      <c r="A31" s="1032">
        <v>60001100030</v>
      </c>
      <c r="B31" s="1033">
        <v>3142</v>
      </c>
      <c r="C31" s="1034">
        <v>6121</v>
      </c>
      <c r="D31" s="801">
        <v>870</v>
      </c>
      <c r="E31" s="979" t="s">
        <v>548</v>
      </c>
      <c r="F31" s="403"/>
      <c r="G31" s="983">
        <v>85669</v>
      </c>
      <c r="H31" s="403">
        <v>85083</v>
      </c>
      <c r="I31" s="691">
        <f t="shared" si="0"/>
        <v>99.315971938507502</v>
      </c>
    </row>
    <row r="32" spans="1:9" s="504" customFormat="1" ht="15.75" thickBot="1" x14ac:dyDescent="0.3">
      <c r="A32" s="805">
        <v>60001100030</v>
      </c>
      <c r="B32" s="738">
        <v>3142</v>
      </c>
      <c r="C32" s="650">
        <v>6122</v>
      </c>
      <c r="D32" s="806">
        <v>870</v>
      </c>
      <c r="E32" s="981" t="s">
        <v>549</v>
      </c>
      <c r="F32" s="732"/>
      <c r="G32" s="807">
        <v>24343</v>
      </c>
      <c r="H32" s="732">
        <v>24343</v>
      </c>
      <c r="I32" s="814">
        <f t="shared" si="0"/>
        <v>100</v>
      </c>
    </row>
    <row r="33" spans="1:9" s="504" customFormat="1" ht="18" customHeight="1" thickTop="1" thickBot="1" x14ac:dyDescent="0.3">
      <c r="A33" s="3127" t="s">
        <v>224</v>
      </c>
      <c r="B33" s="3126"/>
      <c r="C33" s="3126"/>
      <c r="D33" s="3126"/>
      <c r="E33" s="3126"/>
      <c r="F33" s="725">
        <f>F30</f>
        <v>50100</v>
      </c>
      <c r="G33" s="725">
        <f>G30+G31+G32</f>
        <v>110012</v>
      </c>
      <c r="H33" s="725">
        <f>H30+H31+H32</f>
        <v>109426</v>
      </c>
      <c r="I33" s="681">
        <f t="shared" si="0"/>
        <v>99.467330836636009</v>
      </c>
    </row>
    <row r="34" spans="1:9" s="504" customFormat="1" ht="13.5" thickTop="1" x14ac:dyDescent="0.2">
      <c r="B34" s="598"/>
      <c r="D34" s="670"/>
      <c r="F34" s="467"/>
      <c r="G34" s="467"/>
      <c r="H34" s="467"/>
      <c r="I34" s="792"/>
    </row>
    <row r="35" spans="1:9" s="504" customFormat="1" x14ac:dyDescent="0.2">
      <c r="B35" s="598"/>
      <c r="D35" s="670"/>
      <c r="F35" s="467"/>
      <c r="G35" s="467"/>
      <c r="H35" s="467"/>
      <c r="I35" s="792"/>
    </row>
    <row r="36" spans="1:9" s="504" customFormat="1" ht="13.5" thickBot="1" x14ac:dyDescent="0.25">
      <c r="A36" s="421" t="s">
        <v>981</v>
      </c>
      <c r="B36" s="598"/>
      <c r="D36" s="670"/>
      <c r="F36" s="467"/>
      <c r="G36" s="467"/>
      <c r="H36" s="467"/>
      <c r="I36" s="792" t="s">
        <v>148</v>
      </c>
    </row>
    <row r="37" spans="1:9" s="106" customFormat="1" ht="20.25" customHeight="1" thickTop="1" thickBot="1" x14ac:dyDescent="0.25">
      <c r="A37" s="626" t="s">
        <v>565</v>
      </c>
      <c r="B37" s="628" t="s">
        <v>149</v>
      </c>
      <c r="C37" s="627" t="s">
        <v>150</v>
      </c>
      <c r="D37" s="589" t="s">
        <v>639</v>
      </c>
      <c r="E37" s="629" t="s">
        <v>151</v>
      </c>
      <c r="F37" s="629" t="s">
        <v>152</v>
      </c>
      <c r="G37" s="629" t="s">
        <v>796</v>
      </c>
      <c r="H37" s="629" t="s">
        <v>797</v>
      </c>
      <c r="I37" s="674" t="s">
        <v>798</v>
      </c>
    </row>
    <row r="38" spans="1:9" s="375" customFormat="1" ht="13.5" thickTop="1" thickBot="1" x14ac:dyDescent="0.25">
      <c r="A38" s="974">
        <v>1</v>
      </c>
      <c r="B38" s="975">
        <v>2</v>
      </c>
      <c r="C38" s="975">
        <v>3</v>
      </c>
      <c r="D38" s="975">
        <v>4</v>
      </c>
      <c r="E38" s="975">
        <v>5</v>
      </c>
      <c r="F38" s="976">
        <v>6</v>
      </c>
      <c r="G38" s="976">
        <v>7</v>
      </c>
      <c r="H38" s="977">
        <v>8</v>
      </c>
      <c r="I38" s="978" t="s">
        <v>689</v>
      </c>
    </row>
    <row r="39" spans="1:9" s="375" customFormat="1" ht="15.75" thickTop="1" x14ac:dyDescent="0.25">
      <c r="A39" s="1029">
        <v>60001100031</v>
      </c>
      <c r="B39" s="1030">
        <v>3121</v>
      </c>
      <c r="C39" s="1030">
        <v>6121</v>
      </c>
      <c r="D39" s="1002">
        <v>10</v>
      </c>
      <c r="E39" s="1001" t="s">
        <v>548</v>
      </c>
      <c r="F39" s="1020">
        <v>3900</v>
      </c>
      <c r="G39" s="1020">
        <v>0</v>
      </c>
      <c r="H39" s="1020">
        <v>0</v>
      </c>
      <c r="I39" s="985">
        <v>0</v>
      </c>
    </row>
    <row r="40" spans="1:9" s="504" customFormat="1" ht="15.75" thickBot="1" x14ac:dyDescent="0.3">
      <c r="A40" s="1007">
        <v>60001100031</v>
      </c>
      <c r="B40" s="617">
        <v>3121</v>
      </c>
      <c r="C40" s="617">
        <v>6121</v>
      </c>
      <c r="D40" s="801">
        <v>870</v>
      </c>
      <c r="E40" s="372" t="s">
        <v>548</v>
      </c>
      <c r="F40" s="705"/>
      <c r="G40" s="705">
        <v>3900</v>
      </c>
      <c r="H40" s="705">
        <v>3683</v>
      </c>
      <c r="I40" s="707">
        <f>(H40/G40)*100</f>
        <v>94.435897435897431</v>
      </c>
    </row>
    <row r="41" spans="1:9" s="504" customFormat="1" ht="18" customHeight="1" thickTop="1" thickBot="1" x14ac:dyDescent="0.3">
      <c r="A41" s="3110" t="s">
        <v>224</v>
      </c>
      <c r="B41" s="3111"/>
      <c r="C41" s="3111"/>
      <c r="D41" s="3111"/>
      <c r="E41" s="3111"/>
      <c r="F41" s="680">
        <f>F39</f>
        <v>3900</v>
      </c>
      <c r="G41" s="680">
        <f>SUM(G40)</f>
        <v>3900</v>
      </c>
      <c r="H41" s="680">
        <f>SUM(H40)</f>
        <v>3683</v>
      </c>
      <c r="I41" s="681">
        <f>(H41/G41)*100</f>
        <v>94.435897435897431</v>
      </c>
    </row>
    <row r="42" spans="1:9" s="504" customFormat="1" ht="13.5" thickTop="1" x14ac:dyDescent="0.2">
      <c r="B42" s="598"/>
      <c r="D42" s="670"/>
      <c r="F42" s="467"/>
      <c r="G42" s="467"/>
      <c r="H42" s="467"/>
      <c r="I42" s="792"/>
    </row>
    <row r="43" spans="1:9" s="504" customFormat="1" x14ac:dyDescent="0.2">
      <c r="B43" s="598"/>
      <c r="D43" s="670"/>
      <c r="F43" s="467"/>
      <c r="G43" s="467"/>
      <c r="H43" s="467"/>
      <c r="I43" s="792"/>
    </row>
    <row r="44" spans="1:9" s="504" customFormat="1" ht="13.5" thickBot="1" x14ac:dyDescent="0.25">
      <c r="A44" s="421" t="s">
        <v>982</v>
      </c>
      <c r="B44" s="598"/>
      <c r="D44" s="670"/>
      <c r="F44" s="467"/>
      <c r="G44" s="467"/>
      <c r="H44" s="467"/>
      <c r="I44" s="792" t="s">
        <v>148</v>
      </c>
    </row>
    <row r="45" spans="1:9" s="106" customFormat="1" ht="20.25" customHeight="1" thickTop="1" thickBot="1" x14ac:dyDescent="0.25">
      <c r="A45" s="626" t="s">
        <v>565</v>
      </c>
      <c r="B45" s="628" t="s">
        <v>149</v>
      </c>
      <c r="C45" s="627" t="s">
        <v>150</v>
      </c>
      <c r="D45" s="589" t="s">
        <v>639</v>
      </c>
      <c r="E45" s="629" t="s">
        <v>151</v>
      </c>
      <c r="F45" s="629" t="s">
        <v>152</v>
      </c>
      <c r="G45" s="629" t="s">
        <v>796</v>
      </c>
      <c r="H45" s="629" t="s">
        <v>797</v>
      </c>
      <c r="I45" s="674" t="s">
        <v>798</v>
      </c>
    </row>
    <row r="46" spans="1:9" s="375" customFormat="1" ht="13.5" thickTop="1" thickBot="1" x14ac:dyDescent="0.25">
      <c r="A46" s="525">
        <v>1</v>
      </c>
      <c r="B46" s="526">
        <v>2</v>
      </c>
      <c r="C46" s="526">
        <v>3</v>
      </c>
      <c r="D46" s="526">
        <v>4</v>
      </c>
      <c r="E46" s="526">
        <v>5</v>
      </c>
      <c r="F46" s="512">
        <v>6</v>
      </c>
      <c r="G46" s="512">
        <v>7</v>
      </c>
      <c r="H46" s="513">
        <v>8</v>
      </c>
      <c r="I46" s="591" t="s">
        <v>689</v>
      </c>
    </row>
    <row r="47" spans="1:9" s="504" customFormat="1" ht="16.5" thickTop="1" thickBot="1" x14ac:dyDescent="0.3">
      <c r="A47" s="808">
        <v>60001100039</v>
      </c>
      <c r="B47" s="809">
        <v>3145</v>
      </c>
      <c r="C47" s="809">
        <v>6121</v>
      </c>
      <c r="D47" s="810">
        <v>10</v>
      </c>
      <c r="E47" s="811" t="s">
        <v>548</v>
      </c>
      <c r="F47" s="736">
        <v>1900</v>
      </c>
      <c r="G47" s="736">
        <v>1937</v>
      </c>
      <c r="H47" s="736">
        <v>851</v>
      </c>
      <c r="I47" s="737">
        <f>(H47/G47)*100</f>
        <v>43.933918430562727</v>
      </c>
    </row>
    <row r="48" spans="1:9" s="504" customFormat="1" ht="18" customHeight="1" thickTop="1" thickBot="1" x14ac:dyDescent="0.3">
      <c r="A48" s="3127" t="s">
        <v>224</v>
      </c>
      <c r="B48" s="3126"/>
      <c r="C48" s="3126"/>
      <c r="D48" s="3126"/>
      <c r="E48" s="3126"/>
      <c r="F48" s="725">
        <f>F47</f>
        <v>1900</v>
      </c>
      <c r="G48" s="725">
        <f>G47</f>
        <v>1937</v>
      </c>
      <c r="H48" s="725">
        <f>H47</f>
        <v>851</v>
      </c>
      <c r="I48" s="710">
        <f>(H48/G48)*100</f>
        <v>43.933918430562727</v>
      </c>
    </row>
    <row r="49" spans="1:9" s="504" customFormat="1" ht="13.5" thickTop="1" x14ac:dyDescent="0.2">
      <c r="B49" s="598"/>
      <c r="D49" s="670"/>
      <c r="F49" s="467"/>
      <c r="G49" s="467"/>
      <c r="H49" s="467"/>
      <c r="I49" s="792"/>
    </row>
    <row r="50" spans="1:9" s="504" customFormat="1" x14ac:dyDescent="0.2">
      <c r="B50" s="598"/>
      <c r="D50" s="670"/>
      <c r="F50" s="467"/>
      <c r="G50" s="467"/>
      <c r="H50" s="467"/>
      <c r="I50" s="792"/>
    </row>
    <row r="51" spans="1:9" s="504" customFormat="1" ht="13.5" thickBot="1" x14ac:dyDescent="0.25">
      <c r="A51" s="421" t="s">
        <v>983</v>
      </c>
      <c r="B51" s="598"/>
      <c r="D51" s="670"/>
      <c r="F51" s="467"/>
      <c r="G51" s="467"/>
      <c r="H51" s="467"/>
      <c r="I51" s="792" t="s">
        <v>148</v>
      </c>
    </row>
    <row r="52" spans="1:9" s="106" customFormat="1" ht="20.25" customHeight="1" thickTop="1" thickBot="1" x14ac:dyDescent="0.25">
      <c r="A52" s="626" t="s">
        <v>565</v>
      </c>
      <c r="B52" s="628" t="s">
        <v>149</v>
      </c>
      <c r="C52" s="627" t="s">
        <v>150</v>
      </c>
      <c r="D52" s="589" t="s">
        <v>639</v>
      </c>
      <c r="E52" s="629" t="s">
        <v>151</v>
      </c>
      <c r="F52" s="629" t="s">
        <v>152</v>
      </c>
      <c r="G52" s="629" t="s">
        <v>796</v>
      </c>
      <c r="H52" s="629" t="s">
        <v>797</v>
      </c>
      <c r="I52" s="674" t="s">
        <v>798</v>
      </c>
    </row>
    <row r="53" spans="1:9" s="375" customFormat="1" ht="13.5" thickTop="1" thickBot="1" x14ac:dyDescent="0.25">
      <c r="A53" s="974">
        <v>1</v>
      </c>
      <c r="B53" s="975">
        <v>2</v>
      </c>
      <c r="C53" s="975">
        <v>3</v>
      </c>
      <c r="D53" s="975">
        <v>4</v>
      </c>
      <c r="E53" s="975">
        <v>5</v>
      </c>
      <c r="F53" s="976">
        <v>6</v>
      </c>
      <c r="G53" s="976">
        <v>7</v>
      </c>
      <c r="H53" s="977">
        <v>8</v>
      </c>
      <c r="I53" s="978" t="s">
        <v>689</v>
      </c>
    </row>
    <row r="54" spans="1:9" s="504" customFormat="1" ht="15.75" thickTop="1" x14ac:dyDescent="0.25">
      <c r="A54" s="800">
        <v>60001100042</v>
      </c>
      <c r="B54" s="659">
        <v>3123</v>
      </c>
      <c r="C54" s="607">
        <v>6121</v>
      </c>
      <c r="D54" s="815">
        <v>10</v>
      </c>
      <c r="E54" s="966" t="s">
        <v>548</v>
      </c>
      <c r="F54" s="803">
        <v>4847</v>
      </c>
      <c r="G54" s="984">
        <v>4324</v>
      </c>
      <c r="H54" s="803">
        <v>4350</v>
      </c>
      <c r="I54" s="985">
        <f>(H54/G54)*100</f>
        <v>100.60129509713229</v>
      </c>
    </row>
    <row r="55" spans="1:9" s="504" customFormat="1" ht="15.75" thickBot="1" x14ac:dyDescent="0.3">
      <c r="A55" s="813">
        <v>60001100042</v>
      </c>
      <c r="B55" s="618">
        <v>3123</v>
      </c>
      <c r="C55" s="650">
        <v>6123</v>
      </c>
      <c r="D55" s="806">
        <v>10</v>
      </c>
      <c r="E55" s="981" t="s">
        <v>1106</v>
      </c>
      <c r="F55" s="732"/>
      <c r="G55" s="807">
        <v>175</v>
      </c>
      <c r="H55" s="732">
        <v>175</v>
      </c>
      <c r="I55" s="816">
        <f>(H55/G55)*100</f>
        <v>100</v>
      </c>
    </row>
    <row r="56" spans="1:9" s="504" customFormat="1" ht="18" customHeight="1" thickTop="1" thickBot="1" x14ac:dyDescent="0.3">
      <c r="A56" s="3127" t="s">
        <v>224</v>
      </c>
      <c r="B56" s="3126"/>
      <c r="C56" s="3126"/>
      <c r="D56" s="3126"/>
      <c r="E56" s="3126"/>
      <c r="F56" s="725">
        <f>F54</f>
        <v>4847</v>
      </c>
      <c r="G56" s="725">
        <f>G54+G55</f>
        <v>4499</v>
      </c>
      <c r="H56" s="725">
        <f>H54+H55</f>
        <v>4525</v>
      </c>
      <c r="I56" s="710">
        <f>(H56/G56)*100</f>
        <v>100.57790620137807</v>
      </c>
    </row>
    <row r="57" spans="1:9" s="504" customFormat="1" ht="13.5" thickTop="1" x14ac:dyDescent="0.2">
      <c r="B57" s="598"/>
      <c r="D57" s="670"/>
      <c r="F57" s="467"/>
      <c r="G57" s="467"/>
      <c r="H57" s="467"/>
      <c r="I57" s="792"/>
    </row>
    <row r="58" spans="1:9" s="504" customFormat="1" x14ac:dyDescent="0.2">
      <c r="B58" s="598"/>
      <c r="D58" s="670"/>
      <c r="F58" s="467"/>
      <c r="G58" s="467"/>
      <c r="H58" s="467"/>
      <c r="I58" s="792"/>
    </row>
    <row r="59" spans="1:9" s="504" customFormat="1" ht="13.5" thickBot="1" x14ac:dyDescent="0.25">
      <c r="A59" s="421" t="s">
        <v>619</v>
      </c>
      <c r="B59" s="598"/>
      <c r="D59" s="670"/>
      <c r="F59" s="467"/>
      <c r="G59" s="467"/>
      <c r="H59" s="467"/>
      <c r="I59" s="792" t="s">
        <v>148</v>
      </c>
    </row>
    <row r="60" spans="1:9" s="106" customFormat="1" ht="20.25" customHeight="1" thickTop="1" thickBot="1" x14ac:dyDescent="0.25">
      <c r="A60" s="626" t="s">
        <v>565</v>
      </c>
      <c r="B60" s="628" t="s">
        <v>149</v>
      </c>
      <c r="C60" s="627" t="s">
        <v>150</v>
      </c>
      <c r="D60" s="589" t="s">
        <v>639</v>
      </c>
      <c r="E60" s="629" t="s">
        <v>151</v>
      </c>
      <c r="F60" s="629" t="s">
        <v>152</v>
      </c>
      <c r="G60" s="629" t="s">
        <v>796</v>
      </c>
      <c r="H60" s="629" t="s">
        <v>797</v>
      </c>
      <c r="I60" s="674" t="s">
        <v>798</v>
      </c>
    </row>
    <row r="61" spans="1:9" s="375" customFormat="1" ht="13.5" thickTop="1" thickBot="1" x14ac:dyDescent="0.25">
      <c r="A61" s="974">
        <v>1</v>
      </c>
      <c r="B61" s="975">
        <v>2</v>
      </c>
      <c r="C61" s="975">
        <v>3</v>
      </c>
      <c r="D61" s="975">
        <v>4</v>
      </c>
      <c r="E61" s="975">
        <v>5</v>
      </c>
      <c r="F61" s="976">
        <v>6</v>
      </c>
      <c r="G61" s="976">
        <v>7</v>
      </c>
      <c r="H61" s="977">
        <v>8</v>
      </c>
      <c r="I61" s="978" t="s">
        <v>689</v>
      </c>
    </row>
    <row r="62" spans="1:9" s="504" customFormat="1" ht="16.5" thickTop="1" thickBot="1" x14ac:dyDescent="0.3">
      <c r="A62" s="986">
        <v>60001100188</v>
      </c>
      <c r="B62" s="809">
        <v>3114</v>
      </c>
      <c r="C62" s="987">
        <v>6121</v>
      </c>
      <c r="D62" s="810">
        <v>10</v>
      </c>
      <c r="E62" s="988" t="s">
        <v>548</v>
      </c>
      <c r="F62" s="736"/>
      <c r="G62" s="989">
        <v>1</v>
      </c>
      <c r="H62" s="736">
        <v>1</v>
      </c>
      <c r="I62" s="990">
        <f>(H62/G62)*100</f>
        <v>100</v>
      </c>
    </row>
    <row r="63" spans="1:9" s="504" customFormat="1" ht="18" customHeight="1" thickTop="1" thickBot="1" x14ac:dyDescent="0.3">
      <c r="A63" s="3127" t="s">
        <v>224</v>
      </c>
      <c r="B63" s="3126"/>
      <c r="C63" s="3126"/>
      <c r="D63" s="3126"/>
      <c r="E63" s="3126"/>
      <c r="F63" s="725">
        <f>F62</f>
        <v>0</v>
      </c>
      <c r="G63" s="725">
        <f>G62</f>
        <v>1</v>
      </c>
      <c r="H63" s="725">
        <f>H62</f>
        <v>1</v>
      </c>
      <c r="I63" s="710">
        <f>(H63/G63)*100</f>
        <v>100</v>
      </c>
    </row>
    <row r="64" spans="1:9" s="504" customFormat="1" ht="13.5" thickTop="1" x14ac:dyDescent="0.2">
      <c r="B64" s="598"/>
      <c r="D64" s="670"/>
      <c r="F64" s="467"/>
      <c r="G64" s="467"/>
      <c r="H64" s="467"/>
      <c r="I64" s="792"/>
    </row>
    <row r="65" spans="1:9" s="504" customFormat="1" x14ac:dyDescent="0.2">
      <c r="B65" s="598"/>
      <c r="D65" s="670"/>
      <c r="F65" s="467"/>
      <c r="G65" s="467"/>
      <c r="H65" s="467"/>
      <c r="I65" s="792"/>
    </row>
    <row r="66" spans="1:9" s="504" customFormat="1" x14ac:dyDescent="0.2">
      <c r="B66" s="598"/>
      <c r="D66" s="670"/>
      <c r="F66" s="467"/>
      <c r="G66" s="467"/>
      <c r="H66" s="467"/>
      <c r="I66" s="792"/>
    </row>
    <row r="67" spans="1:9" s="504" customFormat="1" x14ac:dyDescent="0.2">
      <c r="B67" s="598"/>
      <c r="D67" s="670"/>
      <c r="F67" s="467"/>
      <c r="G67" s="467"/>
      <c r="H67" s="467"/>
      <c r="I67" s="792"/>
    </row>
    <row r="68" spans="1:9" s="504" customFormat="1" ht="13.5" thickBot="1" x14ac:dyDescent="0.25">
      <c r="A68" s="421" t="s">
        <v>620</v>
      </c>
      <c r="B68" s="598"/>
      <c r="D68" s="670"/>
      <c r="F68" s="467"/>
      <c r="G68" s="467"/>
      <c r="H68" s="467"/>
      <c r="I68" s="792" t="s">
        <v>148</v>
      </c>
    </row>
    <row r="69" spans="1:9" s="106" customFormat="1" ht="20.25" customHeight="1" thickTop="1" thickBot="1" x14ac:dyDescent="0.25">
      <c r="A69" s="626" t="s">
        <v>565</v>
      </c>
      <c r="B69" s="628" t="s">
        <v>149</v>
      </c>
      <c r="C69" s="627" t="s">
        <v>150</v>
      </c>
      <c r="D69" s="589" t="s">
        <v>639</v>
      </c>
      <c r="E69" s="629" t="s">
        <v>151</v>
      </c>
      <c r="F69" s="629" t="s">
        <v>152</v>
      </c>
      <c r="G69" s="629" t="s">
        <v>796</v>
      </c>
      <c r="H69" s="629" t="s">
        <v>797</v>
      </c>
      <c r="I69" s="674" t="s">
        <v>798</v>
      </c>
    </row>
    <row r="70" spans="1:9" s="375" customFormat="1" ht="13.5" thickTop="1" thickBot="1" x14ac:dyDescent="0.25">
      <c r="A70" s="974">
        <v>1</v>
      </c>
      <c r="B70" s="975">
        <v>2</v>
      </c>
      <c r="C70" s="975">
        <v>3</v>
      </c>
      <c r="D70" s="975">
        <v>4</v>
      </c>
      <c r="E70" s="975">
        <v>5</v>
      </c>
      <c r="F70" s="976">
        <v>6</v>
      </c>
      <c r="G70" s="976">
        <v>7</v>
      </c>
      <c r="H70" s="977">
        <v>8</v>
      </c>
      <c r="I70" s="978" t="s">
        <v>689</v>
      </c>
    </row>
    <row r="71" spans="1:9" s="504" customFormat="1" ht="16.5" thickTop="1" thickBot="1" x14ac:dyDescent="0.3">
      <c r="A71" s="986">
        <v>60001100191</v>
      </c>
      <c r="B71" s="809">
        <v>4322</v>
      </c>
      <c r="C71" s="987">
        <v>6121</v>
      </c>
      <c r="D71" s="810">
        <v>870</v>
      </c>
      <c r="E71" s="988" t="s">
        <v>548</v>
      </c>
      <c r="F71" s="736"/>
      <c r="G71" s="989">
        <v>11692</v>
      </c>
      <c r="H71" s="736">
        <v>1207</v>
      </c>
      <c r="I71" s="990">
        <f>(H71/G71)*100</f>
        <v>10.32329798152583</v>
      </c>
    </row>
    <row r="72" spans="1:9" s="504" customFormat="1" ht="18" customHeight="1" thickTop="1" thickBot="1" x14ac:dyDescent="0.3">
      <c r="A72" s="3127" t="s">
        <v>224</v>
      </c>
      <c r="B72" s="3126"/>
      <c r="C72" s="3126"/>
      <c r="D72" s="3126"/>
      <c r="E72" s="3126"/>
      <c r="F72" s="725">
        <f>F71</f>
        <v>0</v>
      </c>
      <c r="G72" s="725">
        <f>G71</f>
        <v>11692</v>
      </c>
      <c r="H72" s="725">
        <f>H71</f>
        <v>1207</v>
      </c>
      <c r="I72" s="710">
        <f>(H72/G72)*100</f>
        <v>10.32329798152583</v>
      </c>
    </row>
    <row r="73" spans="1:9" s="504" customFormat="1" ht="13.5" thickTop="1" x14ac:dyDescent="0.2">
      <c r="B73" s="598"/>
      <c r="D73" s="670"/>
      <c r="F73" s="467"/>
      <c r="G73" s="467"/>
      <c r="H73" s="467"/>
      <c r="I73" s="792"/>
    </row>
    <row r="74" spans="1:9" s="504" customFormat="1" x14ac:dyDescent="0.2">
      <c r="B74" s="598"/>
      <c r="D74" s="670"/>
      <c r="F74" s="467"/>
      <c r="G74" s="467"/>
      <c r="H74" s="467"/>
      <c r="I74" s="792"/>
    </row>
    <row r="75" spans="1:9" s="504" customFormat="1" ht="13.5" thickBot="1" x14ac:dyDescent="0.25">
      <c r="A75" s="421" t="s">
        <v>621</v>
      </c>
      <c r="B75" s="598"/>
      <c r="D75" s="670"/>
      <c r="F75" s="467"/>
      <c r="G75" s="467"/>
      <c r="H75" s="467"/>
      <c r="I75" s="792" t="s">
        <v>148</v>
      </c>
    </row>
    <row r="76" spans="1:9" s="106" customFormat="1" ht="20.25" customHeight="1" thickTop="1" thickBot="1" x14ac:dyDescent="0.25">
      <c r="A76" s="626" t="s">
        <v>565</v>
      </c>
      <c r="B76" s="628" t="s">
        <v>149</v>
      </c>
      <c r="C76" s="627" t="s">
        <v>150</v>
      </c>
      <c r="D76" s="589" t="s">
        <v>639</v>
      </c>
      <c r="E76" s="629" t="s">
        <v>151</v>
      </c>
      <c r="F76" s="629" t="s">
        <v>152</v>
      </c>
      <c r="G76" s="629" t="s">
        <v>796</v>
      </c>
      <c r="H76" s="629" t="s">
        <v>797</v>
      </c>
      <c r="I76" s="674" t="s">
        <v>798</v>
      </c>
    </row>
    <row r="77" spans="1:9" s="375" customFormat="1" ht="13.5" thickTop="1" thickBot="1" x14ac:dyDescent="0.25">
      <c r="A77" s="974">
        <v>1</v>
      </c>
      <c r="B77" s="975">
        <v>2</v>
      </c>
      <c r="C77" s="975">
        <v>3</v>
      </c>
      <c r="D77" s="975">
        <v>4</v>
      </c>
      <c r="E77" s="975">
        <v>5</v>
      </c>
      <c r="F77" s="976">
        <v>6</v>
      </c>
      <c r="G77" s="976">
        <v>7</v>
      </c>
      <c r="H77" s="977">
        <v>8</v>
      </c>
      <c r="I77" s="978" t="s">
        <v>689</v>
      </c>
    </row>
    <row r="78" spans="1:9" s="504" customFormat="1" ht="16.5" thickTop="1" thickBot="1" x14ac:dyDescent="0.3">
      <c r="A78" s="986">
        <v>60001100192</v>
      </c>
      <c r="B78" s="809">
        <v>3122</v>
      </c>
      <c r="C78" s="987">
        <v>6121</v>
      </c>
      <c r="D78" s="810">
        <v>10</v>
      </c>
      <c r="E78" s="988" t="s">
        <v>548</v>
      </c>
      <c r="F78" s="736"/>
      <c r="G78" s="989">
        <v>1</v>
      </c>
      <c r="H78" s="736">
        <v>0</v>
      </c>
      <c r="I78" s="990">
        <f>(H78/G78)*100</f>
        <v>0</v>
      </c>
    </row>
    <row r="79" spans="1:9" s="504" customFormat="1" ht="18" customHeight="1" thickTop="1" thickBot="1" x14ac:dyDescent="0.3">
      <c r="A79" s="3127" t="s">
        <v>224</v>
      </c>
      <c r="B79" s="3126"/>
      <c r="C79" s="3126"/>
      <c r="D79" s="3126"/>
      <c r="E79" s="3126"/>
      <c r="F79" s="725">
        <f>F78</f>
        <v>0</v>
      </c>
      <c r="G79" s="725">
        <f>G78</f>
        <v>1</v>
      </c>
      <c r="H79" s="725">
        <f>H78</f>
        <v>0</v>
      </c>
      <c r="I79" s="710">
        <f>(H79/G79)*100</f>
        <v>0</v>
      </c>
    </row>
    <row r="80" spans="1:9" s="504" customFormat="1" ht="13.5" thickTop="1" x14ac:dyDescent="0.2">
      <c r="B80" s="598"/>
      <c r="D80" s="670"/>
      <c r="F80" s="467"/>
      <c r="G80" s="467"/>
      <c r="H80" s="467"/>
      <c r="I80" s="792"/>
    </row>
    <row r="81" spans="1:9" s="504" customFormat="1" x14ac:dyDescent="0.2">
      <c r="B81" s="598"/>
      <c r="D81" s="670"/>
      <c r="F81" s="467"/>
      <c r="G81" s="467"/>
      <c r="H81" s="467"/>
      <c r="I81" s="792"/>
    </row>
    <row r="82" spans="1:9" s="504" customFormat="1" ht="13.5" thickBot="1" x14ac:dyDescent="0.25">
      <c r="A82" s="421" t="s">
        <v>622</v>
      </c>
      <c r="B82" s="598"/>
      <c r="D82" s="670"/>
      <c r="F82" s="467"/>
      <c r="G82" s="467"/>
      <c r="H82" s="467"/>
      <c r="I82" s="792" t="s">
        <v>148</v>
      </c>
    </row>
    <row r="83" spans="1:9" s="106" customFormat="1" ht="20.25" customHeight="1" thickTop="1" thickBot="1" x14ac:dyDescent="0.25">
      <c r="A83" s="626" t="s">
        <v>565</v>
      </c>
      <c r="B83" s="628" t="s">
        <v>149</v>
      </c>
      <c r="C83" s="627" t="s">
        <v>150</v>
      </c>
      <c r="D83" s="589" t="s">
        <v>639</v>
      </c>
      <c r="E83" s="629" t="s">
        <v>151</v>
      </c>
      <c r="F83" s="629" t="s">
        <v>152</v>
      </c>
      <c r="G83" s="629" t="s">
        <v>796</v>
      </c>
      <c r="H83" s="629" t="s">
        <v>797</v>
      </c>
      <c r="I83" s="674" t="s">
        <v>798</v>
      </c>
    </row>
    <row r="84" spans="1:9" s="375" customFormat="1" ht="13.5" thickTop="1" thickBot="1" x14ac:dyDescent="0.25">
      <c r="A84" s="974">
        <v>1</v>
      </c>
      <c r="B84" s="975">
        <v>2</v>
      </c>
      <c r="C84" s="975">
        <v>3</v>
      </c>
      <c r="D84" s="975">
        <v>4</v>
      </c>
      <c r="E84" s="975">
        <v>5</v>
      </c>
      <c r="F84" s="976">
        <v>6</v>
      </c>
      <c r="G84" s="976">
        <v>7</v>
      </c>
      <c r="H84" s="977">
        <v>8</v>
      </c>
      <c r="I84" s="978" t="s">
        <v>689</v>
      </c>
    </row>
    <row r="85" spans="1:9" s="504" customFormat="1" ht="16.5" thickTop="1" thickBot="1" x14ac:dyDescent="0.3">
      <c r="A85" s="986">
        <v>60001100201</v>
      </c>
      <c r="B85" s="809">
        <v>3122</v>
      </c>
      <c r="C85" s="987">
        <v>6121</v>
      </c>
      <c r="D85" s="810">
        <v>870</v>
      </c>
      <c r="E85" s="988" t="s">
        <v>548</v>
      </c>
      <c r="F85" s="736"/>
      <c r="G85" s="989">
        <v>5965</v>
      </c>
      <c r="H85" s="736">
        <v>5895</v>
      </c>
      <c r="I85" s="990">
        <f>(H85/G85)*100</f>
        <v>98.826487845766977</v>
      </c>
    </row>
    <row r="86" spans="1:9" s="504" customFormat="1" ht="18" customHeight="1" thickTop="1" thickBot="1" x14ac:dyDescent="0.3">
      <c r="A86" s="3127" t="s">
        <v>224</v>
      </c>
      <c r="B86" s="3126"/>
      <c r="C86" s="3126"/>
      <c r="D86" s="3126"/>
      <c r="E86" s="3126"/>
      <c r="F86" s="725">
        <f>F85</f>
        <v>0</v>
      </c>
      <c r="G86" s="725">
        <f>G85</f>
        <v>5965</v>
      </c>
      <c r="H86" s="725">
        <f>H85</f>
        <v>5895</v>
      </c>
      <c r="I86" s="710">
        <f>(H86/G86)*100</f>
        <v>98.826487845766977</v>
      </c>
    </row>
    <row r="87" spans="1:9" s="504" customFormat="1" ht="13.5" thickTop="1" x14ac:dyDescent="0.2">
      <c r="B87" s="598"/>
      <c r="D87" s="670"/>
      <c r="F87" s="467"/>
      <c r="G87" s="467"/>
      <c r="H87" s="467"/>
      <c r="I87" s="792"/>
    </row>
    <row r="88" spans="1:9" s="504" customFormat="1" x14ac:dyDescent="0.2">
      <c r="B88" s="598"/>
      <c r="D88" s="670"/>
      <c r="F88" s="467"/>
      <c r="G88" s="467"/>
      <c r="H88" s="467"/>
      <c r="I88" s="792"/>
    </row>
    <row r="89" spans="1:9" s="504" customFormat="1" ht="13.5" thickBot="1" x14ac:dyDescent="0.25">
      <c r="A89" s="421" t="s">
        <v>623</v>
      </c>
      <c r="B89" s="598"/>
      <c r="D89" s="670"/>
      <c r="F89" s="467"/>
      <c r="G89" s="467"/>
      <c r="H89" s="467"/>
      <c r="I89" s="792" t="s">
        <v>148</v>
      </c>
    </row>
    <row r="90" spans="1:9" s="106" customFormat="1" ht="20.25" customHeight="1" thickTop="1" thickBot="1" x14ac:dyDescent="0.25">
      <c r="A90" s="626" t="s">
        <v>565</v>
      </c>
      <c r="B90" s="628" t="s">
        <v>149</v>
      </c>
      <c r="C90" s="627" t="s">
        <v>150</v>
      </c>
      <c r="D90" s="589" t="s">
        <v>639</v>
      </c>
      <c r="E90" s="629" t="s">
        <v>151</v>
      </c>
      <c r="F90" s="629" t="s">
        <v>152</v>
      </c>
      <c r="G90" s="629" t="s">
        <v>796</v>
      </c>
      <c r="H90" s="629" t="s">
        <v>797</v>
      </c>
      <c r="I90" s="674" t="s">
        <v>798</v>
      </c>
    </row>
    <row r="91" spans="1:9" s="375" customFormat="1" ht="13.5" thickTop="1" thickBot="1" x14ac:dyDescent="0.25">
      <c r="A91" s="974">
        <v>1</v>
      </c>
      <c r="B91" s="975">
        <v>2</v>
      </c>
      <c r="C91" s="975">
        <v>3</v>
      </c>
      <c r="D91" s="975">
        <v>4</v>
      </c>
      <c r="E91" s="975">
        <v>5</v>
      </c>
      <c r="F91" s="976">
        <v>6</v>
      </c>
      <c r="G91" s="976">
        <v>7</v>
      </c>
      <c r="H91" s="977">
        <v>8</v>
      </c>
      <c r="I91" s="978" t="s">
        <v>689</v>
      </c>
    </row>
    <row r="92" spans="1:9" s="504" customFormat="1" ht="15.75" thickTop="1" x14ac:dyDescent="0.25">
      <c r="A92" s="800">
        <v>60001100202</v>
      </c>
      <c r="B92" s="659">
        <v>3114</v>
      </c>
      <c r="C92" s="607">
        <v>6121</v>
      </c>
      <c r="D92" s="815">
        <v>870</v>
      </c>
      <c r="E92" s="966" t="s">
        <v>548</v>
      </c>
      <c r="F92" s="803"/>
      <c r="G92" s="984">
        <v>6130</v>
      </c>
      <c r="H92" s="803">
        <v>6086</v>
      </c>
      <c r="I92" s="985">
        <f>(H92/G92)*100</f>
        <v>99.282218597063618</v>
      </c>
    </row>
    <row r="93" spans="1:9" s="504" customFormat="1" ht="15.75" thickBot="1" x14ac:dyDescent="0.3">
      <c r="A93" s="813">
        <v>60001100202</v>
      </c>
      <c r="B93" s="618">
        <v>3114</v>
      </c>
      <c r="C93" s="650">
        <v>6122</v>
      </c>
      <c r="D93" s="806">
        <v>870</v>
      </c>
      <c r="E93" s="981" t="s">
        <v>549</v>
      </c>
      <c r="F93" s="732"/>
      <c r="G93" s="807">
        <v>1720</v>
      </c>
      <c r="H93" s="732">
        <v>1720</v>
      </c>
      <c r="I93" s="816">
        <f>(H93/G93)*100</f>
        <v>100</v>
      </c>
    </row>
    <row r="94" spans="1:9" s="504" customFormat="1" ht="18" customHeight="1" thickTop="1" thickBot="1" x14ac:dyDescent="0.3">
      <c r="A94" s="3127" t="s">
        <v>224</v>
      </c>
      <c r="B94" s="3126"/>
      <c r="C94" s="3126"/>
      <c r="D94" s="3126"/>
      <c r="E94" s="3126"/>
      <c r="F94" s="725">
        <f>F92</f>
        <v>0</v>
      </c>
      <c r="G94" s="725">
        <f>G92+G93</f>
        <v>7850</v>
      </c>
      <c r="H94" s="725">
        <f>H92+H93</f>
        <v>7806</v>
      </c>
      <c r="I94" s="710">
        <f>(H94/G94)*100</f>
        <v>99.439490445859875</v>
      </c>
    </row>
    <row r="95" spans="1:9" s="504" customFormat="1" ht="13.5" thickTop="1" x14ac:dyDescent="0.2">
      <c r="B95" s="598"/>
      <c r="D95" s="670"/>
      <c r="F95" s="467"/>
      <c r="G95" s="467"/>
      <c r="H95" s="467"/>
      <c r="I95" s="792"/>
    </row>
    <row r="96" spans="1:9" s="504" customFormat="1" x14ac:dyDescent="0.2">
      <c r="B96" s="598"/>
      <c r="D96" s="670"/>
      <c r="F96" s="467"/>
      <c r="G96" s="467"/>
      <c r="H96" s="467"/>
      <c r="I96" s="792"/>
    </row>
    <row r="97" spans="1:9" s="504" customFormat="1" ht="13.5" thickBot="1" x14ac:dyDescent="0.25">
      <c r="A97" s="421" t="s">
        <v>624</v>
      </c>
      <c r="B97" s="598"/>
      <c r="D97" s="670"/>
      <c r="F97" s="467"/>
      <c r="G97" s="467"/>
      <c r="H97" s="467"/>
      <c r="I97" s="792" t="s">
        <v>148</v>
      </c>
    </row>
    <row r="98" spans="1:9" s="106" customFormat="1" ht="20.25" customHeight="1" thickTop="1" thickBot="1" x14ac:dyDescent="0.25">
      <c r="A98" s="626" t="s">
        <v>565</v>
      </c>
      <c r="B98" s="628" t="s">
        <v>149</v>
      </c>
      <c r="C98" s="627" t="s">
        <v>150</v>
      </c>
      <c r="D98" s="589" t="s">
        <v>639</v>
      </c>
      <c r="E98" s="629" t="s">
        <v>151</v>
      </c>
      <c r="F98" s="629" t="s">
        <v>152</v>
      </c>
      <c r="G98" s="629" t="s">
        <v>796</v>
      </c>
      <c r="H98" s="629" t="s">
        <v>797</v>
      </c>
      <c r="I98" s="674" t="s">
        <v>798</v>
      </c>
    </row>
    <row r="99" spans="1:9" s="375" customFormat="1" ht="13.5" thickTop="1" thickBot="1" x14ac:dyDescent="0.25">
      <c r="A99" s="974">
        <v>1</v>
      </c>
      <c r="B99" s="975">
        <v>2</v>
      </c>
      <c r="C99" s="975">
        <v>3</v>
      </c>
      <c r="D99" s="975">
        <v>4</v>
      </c>
      <c r="E99" s="975">
        <v>5</v>
      </c>
      <c r="F99" s="976">
        <v>6</v>
      </c>
      <c r="G99" s="976">
        <v>7</v>
      </c>
      <c r="H99" s="977">
        <v>8</v>
      </c>
      <c r="I99" s="978" t="s">
        <v>689</v>
      </c>
    </row>
    <row r="100" spans="1:9" s="504" customFormat="1" ht="16.5" thickTop="1" thickBot="1" x14ac:dyDescent="0.3">
      <c r="A100" s="986">
        <v>60001100204</v>
      </c>
      <c r="B100" s="809">
        <v>3122</v>
      </c>
      <c r="C100" s="987">
        <v>6121</v>
      </c>
      <c r="D100" s="810">
        <v>10</v>
      </c>
      <c r="E100" s="988" t="s">
        <v>548</v>
      </c>
      <c r="F100" s="736"/>
      <c r="G100" s="989">
        <v>597</v>
      </c>
      <c r="H100" s="736">
        <v>597</v>
      </c>
      <c r="I100" s="990">
        <f>(H100/G100)*100</f>
        <v>100</v>
      </c>
    </row>
    <row r="101" spans="1:9" s="504" customFormat="1" ht="18" customHeight="1" thickTop="1" thickBot="1" x14ac:dyDescent="0.3">
      <c r="A101" s="3127" t="s">
        <v>224</v>
      </c>
      <c r="B101" s="3126"/>
      <c r="C101" s="3126"/>
      <c r="D101" s="3126"/>
      <c r="E101" s="3126"/>
      <c r="F101" s="725">
        <f>F100</f>
        <v>0</v>
      </c>
      <c r="G101" s="725">
        <f>G100</f>
        <v>597</v>
      </c>
      <c r="H101" s="725">
        <f>H100</f>
        <v>597</v>
      </c>
      <c r="I101" s="710">
        <f>(H101/G101)*100</f>
        <v>100</v>
      </c>
    </row>
    <row r="102" spans="1:9" s="504" customFormat="1" ht="13.5" thickTop="1" x14ac:dyDescent="0.2">
      <c r="B102" s="598"/>
      <c r="D102" s="670"/>
      <c r="F102" s="467"/>
      <c r="G102" s="467"/>
      <c r="H102" s="467"/>
      <c r="I102" s="792"/>
    </row>
    <row r="103" spans="1:9" s="504" customFormat="1" x14ac:dyDescent="0.2">
      <c r="B103" s="598"/>
      <c r="D103" s="670"/>
      <c r="F103" s="467"/>
      <c r="G103" s="467"/>
      <c r="H103" s="467"/>
      <c r="I103" s="792"/>
    </row>
    <row r="104" spans="1:9" s="504" customFormat="1" ht="13.5" thickBot="1" x14ac:dyDescent="0.25">
      <c r="A104" s="421" t="s">
        <v>625</v>
      </c>
      <c r="B104" s="598"/>
      <c r="D104" s="670"/>
      <c r="F104" s="467"/>
      <c r="G104" s="467"/>
      <c r="H104" s="467"/>
      <c r="I104" s="792" t="s">
        <v>148</v>
      </c>
    </row>
    <row r="105" spans="1:9" s="106" customFormat="1" ht="20.25" customHeight="1" thickTop="1" thickBot="1" x14ac:dyDescent="0.25">
      <c r="A105" s="626" t="s">
        <v>565</v>
      </c>
      <c r="B105" s="628" t="s">
        <v>149</v>
      </c>
      <c r="C105" s="627" t="s">
        <v>150</v>
      </c>
      <c r="D105" s="589" t="s">
        <v>639</v>
      </c>
      <c r="E105" s="629" t="s">
        <v>151</v>
      </c>
      <c r="F105" s="629" t="s">
        <v>152</v>
      </c>
      <c r="G105" s="629" t="s">
        <v>796</v>
      </c>
      <c r="H105" s="629" t="s">
        <v>797</v>
      </c>
      <c r="I105" s="674" t="s">
        <v>798</v>
      </c>
    </row>
    <row r="106" spans="1:9" s="375" customFormat="1" ht="13.5" thickTop="1" thickBot="1" x14ac:dyDescent="0.25">
      <c r="A106" s="974">
        <v>1</v>
      </c>
      <c r="B106" s="975">
        <v>2</v>
      </c>
      <c r="C106" s="975">
        <v>3</v>
      </c>
      <c r="D106" s="975">
        <v>4</v>
      </c>
      <c r="E106" s="975">
        <v>5</v>
      </c>
      <c r="F106" s="976">
        <v>6</v>
      </c>
      <c r="G106" s="976">
        <v>7</v>
      </c>
      <c r="H106" s="977">
        <v>8</v>
      </c>
      <c r="I106" s="978" t="s">
        <v>689</v>
      </c>
    </row>
    <row r="107" spans="1:9" s="504" customFormat="1" ht="16.5" thickTop="1" thickBot="1" x14ac:dyDescent="0.3">
      <c r="A107" s="986">
        <v>60001100210</v>
      </c>
      <c r="B107" s="809">
        <v>3122</v>
      </c>
      <c r="C107" s="987">
        <v>6121</v>
      </c>
      <c r="D107" s="810">
        <v>10</v>
      </c>
      <c r="E107" s="988" t="s">
        <v>548</v>
      </c>
      <c r="F107" s="736"/>
      <c r="G107" s="989">
        <v>400</v>
      </c>
      <c r="H107" s="736">
        <v>0</v>
      </c>
      <c r="I107" s="990">
        <f>(H107/G107)*100</f>
        <v>0</v>
      </c>
    </row>
    <row r="108" spans="1:9" s="504" customFormat="1" ht="18" customHeight="1" thickTop="1" thickBot="1" x14ac:dyDescent="0.3">
      <c r="A108" s="3127" t="s">
        <v>224</v>
      </c>
      <c r="B108" s="3126"/>
      <c r="C108" s="3126"/>
      <c r="D108" s="3126"/>
      <c r="E108" s="3126"/>
      <c r="F108" s="725">
        <f>F107</f>
        <v>0</v>
      </c>
      <c r="G108" s="725">
        <f>G107</f>
        <v>400</v>
      </c>
      <c r="H108" s="725">
        <f>H107</f>
        <v>0</v>
      </c>
      <c r="I108" s="710">
        <f>(H108/G108)*100</f>
        <v>0</v>
      </c>
    </row>
    <row r="109" spans="1:9" s="504" customFormat="1" ht="13.5" thickTop="1" x14ac:dyDescent="0.2">
      <c r="B109" s="598"/>
      <c r="D109" s="670"/>
      <c r="F109" s="467"/>
      <c r="G109" s="467"/>
      <c r="H109" s="467"/>
      <c r="I109" s="792"/>
    </row>
    <row r="110" spans="1:9" s="504" customFormat="1" x14ac:dyDescent="0.2">
      <c r="B110" s="598"/>
      <c r="D110" s="670"/>
      <c r="F110" s="467"/>
      <c r="G110" s="467"/>
      <c r="H110" s="467"/>
      <c r="I110" s="792"/>
    </row>
    <row r="111" spans="1:9" s="504" customFormat="1" ht="13.5" thickBot="1" x14ac:dyDescent="0.25">
      <c r="A111" s="421" t="s">
        <v>101</v>
      </c>
      <c r="B111" s="598"/>
      <c r="D111" s="670"/>
      <c r="F111" s="467"/>
      <c r="G111" s="467"/>
      <c r="H111" s="467"/>
      <c r="I111" s="792" t="s">
        <v>148</v>
      </c>
    </row>
    <row r="112" spans="1:9" s="106" customFormat="1" ht="20.25" customHeight="1" thickTop="1" thickBot="1" x14ac:dyDescent="0.25">
      <c r="A112" s="626" t="s">
        <v>565</v>
      </c>
      <c r="B112" s="628" t="s">
        <v>149</v>
      </c>
      <c r="C112" s="627" t="s">
        <v>150</v>
      </c>
      <c r="D112" s="589" t="s">
        <v>639</v>
      </c>
      <c r="E112" s="629" t="s">
        <v>151</v>
      </c>
      <c r="F112" s="629" t="s">
        <v>152</v>
      </c>
      <c r="G112" s="629" t="s">
        <v>796</v>
      </c>
      <c r="H112" s="629" t="s">
        <v>797</v>
      </c>
      <c r="I112" s="674" t="s">
        <v>798</v>
      </c>
    </row>
    <row r="113" spans="1:13" s="375" customFormat="1" ht="13.5" thickTop="1" thickBot="1" x14ac:dyDescent="0.25">
      <c r="A113" s="974">
        <v>1</v>
      </c>
      <c r="B113" s="975">
        <v>2</v>
      </c>
      <c r="C113" s="975">
        <v>3</v>
      </c>
      <c r="D113" s="975">
        <v>4</v>
      </c>
      <c r="E113" s="975">
        <v>5</v>
      </c>
      <c r="F113" s="976">
        <v>6</v>
      </c>
      <c r="G113" s="976">
        <v>7</v>
      </c>
      <c r="H113" s="977">
        <v>8</v>
      </c>
      <c r="I113" s="978" t="s">
        <v>689</v>
      </c>
    </row>
    <row r="114" spans="1:13" s="504" customFormat="1" ht="16.5" thickTop="1" thickBot="1" x14ac:dyDescent="0.3">
      <c r="A114" s="986">
        <v>60001100211</v>
      </c>
      <c r="B114" s="809">
        <v>4322</v>
      </c>
      <c r="C114" s="987">
        <v>6121</v>
      </c>
      <c r="D114" s="810">
        <v>10</v>
      </c>
      <c r="E114" s="988" t="s">
        <v>548</v>
      </c>
      <c r="F114" s="736"/>
      <c r="G114" s="989">
        <v>150</v>
      </c>
      <c r="H114" s="736">
        <v>115</v>
      </c>
      <c r="I114" s="990">
        <f>(H114/G114)*100</f>
        <v>76.666666666666671</v>
      </c>
    </row>
    <row r="115" spans="1:13" s="504" customFormat="1" ht="18" customHeight="1" thickTop="1" thickBot="1" x14ac:dyDescent="0.3">
      <c r="A115" s="3127" t="s">
        <v>224</v>
      </c>
      <c r="B115" s="3126"/>
      <c r="C115" s="3126"/>
      <c r="D115" s="3126"/>
      <c r="E115" s="3126"/>
      <c r="F115" s="725">
        <f>F114</f>
        <v>0</v>
      </c>
      <c r="G115" s="725">
        <f>G114</f>
        <v>150</v>
      </c>
      <c r="H115" s="725">
        <f>H114</f>
        <v>115</v>
      </c>
      <c r="I115" s="710">
        <f>(H115/G115)*100</f>
        <v>76.666666666666671</v>
      </c>
    </row>
    <row r="116" spans="1:13" s="504" customFormat="1" ht="13.5" thickTop="1" x14ac:dyDescent="0.2">
      <c r="B116" s="598"/>
      <c r="D116" s="670"/>
      <c r="F116" s="467"/>
      <c r="G116" s="467"/>
      <c r="H116" s="467"/>
      <c r="I116" s="792"/>
    </row>
    <row r="117" spans="1:13" s="504" customFormat="1" x14ac:dyDescent="0.2">
      <c r="B117" s="598"/>
      <c r="D117" s="670"/>
      <c r="F117" s="467"/>
      <c r="G117" s="467"/>
      <c r="H117" s="467"/>
      <c r="I117" s="792"/>
    </row>
    <row r="118" spans="1:13" s="504" customFormat="1" ht="13.5" thickBot="1" x14ac:dyDescent="0.25">
      <c r="A118" s="421" t="s">
        <v>102</v>
      </c>
      <c r="B118" s="598"/>
      <c r="D118" s="670"/>
      <c r="F118" s="467"/>
      <c r="G118" s="467"/>
      <c r="H118" s="467"/>
      <c r="I118" s="792" t="s">
        <v>148</v>
      </c>
    </row>
    <row r="119" spans="1:13" s="106" customFormat="1" ht="20.25" customHeight="1" thickTop="1" thickBot="1" x14ac:dyDescent="0.25">
      <c r="A119" s="626" t="s">
        <v>565</v>
      </c>
      <c r="B119" s="628" t="s">
        <v>149</v>
      </c>
      <c r="C119" s="627" t="s">
        <v>150</v>
      </c>
      <c r="D119" s="589" t="s">
        <v>639</v>
      </c>
      <c r="E119" s="629" t="s">
        <v>151</v>
      </c>
      <c r="F119" s="629" t="s">
        <v>152</v>
      </c>
      <c r="G119" s="629" t="s">
        <v>796</v>
      </c>
      <c r="H119" s="629" t="s">
        <v>797</v>
      </c>
      <c r="I119" s="674" t="s">
        <v>798</v>
      </c>
    </row>
    <row r="120" spans="1:13" s="375" customFormat="1" ht="13.5" thickTop="1" thickBot="1" x14ac:dyDescent="0.25">
      <c r="A120" s="974">
        <v>1</v>
      </c>
      <c r="B120" s="975">
        <v>2</v>
      </c>
      <c r="C120" s="975">
        <v>3</v>
      </c>
      <c r="D120" s="975">
        <v>4</v>
      </c>
      <c r="E120" s="975">
        <v>5</v>
      </c>
      <c r="F120" s="976">
        <v>6</v>
      </c>
      <c r="G120" s="976">
        <v>7</v>
      </c>
      <c r="H120" s="977">
        <v>8</v>
      </c>
      <c r="I120" s="978" t="s">
        <v>689</v>
      </c>
    </row>
    <row r="121" spans="1:13" s="504" customFormat="1" ht="16.5" thickTop="1" thickBot="1" x14ac:dyDescent="0.3">
      <c r="A121" s="986">
        <v>60001100212</v>
      </c>
      <c r="B121" s="809">
        <v>3123</v>
      </c>
      <c r="C121" s="987">
        <v>6121</v>
      </c>
      <c r="D121" s="810">
        <v>10</v>
      </c>
      <c r="E121" s="988" t="s">
        <v>548</v>
      </c>
      <c r="F121" s="736"/>
      <c r="G121" s="989">
        <v>400</v>
      </c>
      <c r="H121" s="736">
        <v>397</v>
      </c>
      <c r="I121" s="990">
        <f>(H121/G121)*100</f>
        <v>99.25</v>
      </c>
    </row>
    <row r="122" spans="1:13" s="504" customFormat="1" ht="18" customHeight="1" thickTop="1" thickBot="1" x14ac:dyDescent="0.3">
      <c r="A122" s="3127" t="s">
        <v>224</v>
      </c>
      <c r="B122" s="3126"/>
      <c r="C122" s="3126"/>
      <c r="D122" s="3126"/>
      <c r="E122" s="3126"/>
      <c r="F122" s="725">
        <f>F121</f>
        <v>0</v>
      </c>
      <c r="G122" s="725">
        <f>G121</f>
        <v>400</v>
      </c>
      <c r="H122" s="725">
        <f>H121</f>
        <v>397</v>
      </c>
      <c r="I122" s="710">
        <f>(H122/G122)*100</f>
        <v>99.25</v>
      </c>
      <c r="L122" s="467">
        <f>G14+G21+G29+G33+G41+G48+G56+G63+G72+G79+G86+G94+G101+G108+G115+G122</f>
        <v>156137</v>
      </c>
      <c r="M122" s="467">
        <f>H14+H21+H29+H33+H41+H48+H56+H63+H72+H79+H86+H94+H101+H108+H115+H122</f>
        <v>143098</v>
      </c>
    </row>
    <row r="123" spans="1:13" s="504" customFormat="1" ht="13.5" thickTop="1" x14ac:dyDescent="0.2">
      <c r="B123" s="598"/>
      <c r="D123" s="670"/>
      <c r="F123" s="467"/>
      <c r="G123" s="467"/>
      <c r="H123" s="467"/>
      <c r="I123" s="792"/>
    </row>
    <row r="124" spans="1:13" s="504" customFormat="1" x14ac:dyDescent="0.2">
      <c r="B124" s="598"/>
      <c r="D124" s="670"/>
      <c r="F124" s="467"/>
      <c r="G124" s="467"/>
      <c r="H124" s="467"/>
      <c r="I124" s="792"/>
    </row>
    <row r="125" spans="1:13" s="504" customFormat="1" ht="13.5" thickBot="1" x14ac:dyDescent="0.25">
      <c r="A125" s="421" t="s">
        <v>103</v>
      </c>
      <c r="B125" s="598"/>
      <c r="D125" s="670"/>
      <c r="F125" s="467"/>
      <c r="G125" s="467"/>
      <c r="H125" s="467"/>
      <c r="I125" s="792" t="s">
        <v>148</v>
      </c>
    </row>
    <row r="126" spans="1:13" s="106" customFormat="1" ht="20.25" customHeight="1" thickTop="1" thickBot="1" x14ac:dyDescent="0.25">
      <c r="A126" s="626" t="s">
        <v>565</v>
      </c>
      <c r="B126" s="628" t="s">
        <v>149</v>
      </c>
      <c r="C126" s="627" t="s">
        <v>150</v>
      </c>
      <c r="D126" s="589" t="s">
        <v>639</v>
      </c>
      <c r="E126" s="629" t="s">
        <v>151</v>
      </c>
      <c r="F126" s="629" t="s">
        <v>152</v>
      </c>
      <c r="G126" s="629" t="s">
        <v>796</v>
      </c>
      <c r="H126" s="629" t="s">
        <v>797</v>
      </c>
      <c r="I126" s="674" t="s">
        <v>798</v>
      </c>
    </row>
    <row r="127" spans="1:13" s="375" customFormat="1" ht="13.5" thickTop="1" thickBot="1" x14ac:dyDescent="0.25">
      <c r="A127" s="974">
        <v>1</v>
      </c>
      <c r="B127" s="975">
        <v>2</v>
      </c>
      <c r="C127" s="975">
        <v>3</v>
      </c>
      <c r="D127" s="975">
        <v>4</v>
      </c>
      <c r="E127" s="975">
        <v>5</v>
      </c>
      <c r="F127" s="976">
        <v>6</v>
      </c>
      <c r="G127" s="976">
        <v>7</v>
      </c>
      <c r="H127" s="977">
        <v>8</v>
      </c>
      <c r="I127" s="978" t="s">
        <v>689</v>
      </c>
    </row>
    <row r="128" spans="1:13" s="504" customFormat="1" ht="16.5" thickTop="1" thickBot="1" x14ac:dyDescent="0.3">
      <c r="A128" s="986">
        <v>60001100213</v>
      </c>
      <c r="B128" s="809">
        <v>3122</v>
      </c>
      <c r="C128" s="987">
        <v>6121</v>
      </c>
      <c r="D128" s="810">
        <v>10</v>
      </c>
      <c r="E128" s="988" t="s">
        <v>548</v>
      </c>
      <c r="F128" s="736"/>
      <c r="G128" s="989">
        <v>300</v>
      </c>
      <c r="H128" s="736">
        <v>0</v>
      </c>
      <c r="I128" s="990">
        <f>(H128/G128)*100</f>
        <v>0</v>
      </c>
    </row>
    <row r="129" spans="1:9" s="504" customFormat="1" ht="18" customHeight="1" thickTop="1" thickBot="1" x14ac:dyDescent="0.3">
      <c r="A129" s="3127" t="s">
        <v>224</v>
      </c>
      <c r="B129" s="3126"/>
      <c r="C129" s="3126"/>
      <c r="D129" s="3126"/>
      <c r="E129" s="3126"/>
      <c r="F129" s="725">
        <f>F128</f>
        <v>0</v>
      </c>
      <c r="G129" s="725">
        <f>G128</f>
        <v>300</v>
      </c>
      <c r="H129" s="725">
        <f>H128</f>
        <v>0</v>
      </c>
      <c r="I129" s="710">
        <f>(H129/G129)*100</f>
        <v>0</v>
      </c>
    </row>
    <row r="130" spans="1:9" s="504" customFormat="1" ht="13.5" thickTop="1" x14ac:dyDescent="0.2">
      <c r="B130" s="598"/>
      <c r="D130" s="670"/>
      <c r="F130" s="467"/>
      <c r="G130" s="467"/>
      <c r="H130" s="467"/>
      <c r="I130" s="792"/>
    </row>
    <row r="131" spans="1:9" s="504" customFormat="1" x14ac:dyDescent="0.2">
      <c r="B131" s="598"/>
      <c r="D131" s="670"/>
      <c r="F131" s="467"/>
      <c r="G131" s="467"/>
      <c r="H131" s="467"/>
      <c r="I131" s="792"/>
    </row>
    <row r="132" spans="1:9" s="504" customFormat="1" x14ac:dyDescent="0.2">
      <c r="B132" s="598"/>
      <c r="D132" s="670"/>
      <c r="F132" s="467"/>
      <c r="G132" s="467"/>
      <c r="H132" s="467"/>
      <c r="I132" s="792"/>
    </row>
    <row r="133" spans="1:9" s="504" customFormat="1" x14ac:dyDescent="0.2">
      <c r="B133" s="598"/>
      <c r="D133" s="670"/>
      <c r="F133" s="467"/>
      <c r="G133" s="467"/>
      <c r="H133" s="467"/>
      <c r="I133" s="792"/>
    </row>
    <row r="134" spans="1:9" s="504" customFormat="1" x14ac:dyDescent="0.2">
      <c r="B134" s="598"/>
      <c r="D134" s="670"/>
      <c r="F134" s="467"/>
      <c r="G134" s="467"/>
      <c r="H134" s="467"/>
      <c r="I134" s="792"/>
    </row>
    <row r="135" spans="1:9" s="504" customFormat="1" ht="13.5" thickBot="1" x14ac:dyDescent="0.25">
      <c r="A135" s="421" t="s">
        <v>104</v>
      </c>
      <c r="B135" s="598"/>
      <c r="D135" s="670"/>
      <c r="F135" s="467"/>
      <c r="G135" s="467"/>
      <c r="H135" s="467"/>
      <c r="I135" s="792" t="s">
        <v>148</v>
      </c>
    </row>
    <row r="136" spans="1:9" s="106" customFormat="1" ht="20.25" customHeight="1" thickTop="1" thickBot="1" x14ac:dyDescent="0.25">
      <c r="A136" s="626" t="s">
        <v>565</v>
      </c>
      <c r="B136" s="628" t="s">
        <v>149</v>
      </c>
      <c r="C136" s="627" t="s">
        <v>150</v>
      </c>
      <c r="D136" s="589" t="s">
        <v>639</v>
      </c>
      <c r="E136" s="629" t="s">
        <v>151</v>
      </c>
      <c r="F136" s="629" t="s">
        <v>152</v>
      </c>
      <c r="G136" s="629" t="s">
        <v>796</v>
      </c>
      <c r="H136" s="629" t="s">
        <v>797</v>
      </c>
      <c r="I136" s="674" t="s">
        <v>798</v>
      </c>
    </row>
    <row r="137" spans="1:9" s="375" customFormat="1" ht="13.5" thickTop="1" thickBot="1" x14ac:dyDescent="0.25">
      <c r="A137" s="974">
        <v>1</v>
      </c>
      <c r="B137" s="975">
        <v>2</v>
      </c>
      <c r="C137" s="975">
        <v>3</v>
      </c>
      <c r="D137" s="975">
        <v>4</v>
      </c>
      <c r="E137" s="975">
        <v>5</v>
      </c>
      <c r="F137" s="976">
        <v>6</v>
      </c>
      <c r="G137" s="976">
        <v>7</v>
      </c>
      <c r="H137" s="977">
        <v>8</v>
      </c>
      <c r="I137" s="978" t="s">
        <v>689</v>
      </c>
    </row>
    <row r="138" spans="1:9" s="504" customFormat="1" ht="16.5" thickTop="1" thickBot="1" x14ac:dyDescent="0.3">
      <c r="A138" s="986">
        <v>60001100214</v>
      </c>
      <c r="B138" s="809">
        <v>3114</v>
      </c>
      <c r="C138" s="987">
        <v>6121</v>
      </c>
      <c r="D138" s="810">
        <v>10</v>
      </c>
      <c r="E138" s="988" t="s">
        <v>548</v>
      </c>
      <c r="F138" s="736"/>
      <c r="G138" s="989">
        <v>100</v>
      </c>
      <c r="H138" s="736">
        <v>88</v>
      </c>
      <c r="I138" s="990">
        <f>(H138/G138)*100</f>
        <v>88</v>
      </c>
    </row>
    <row r="139" spans="1:9" s="504" customFormat="1" ht="18" customHeight="1" thickTop="1" thickBot="1" x14ac:dyDescent="0.3">
      <c r="A139" s="3127" t="s">
        <v>224</v>
      </c>
      <c r="B139" s="3126"/>
      <c r="C139" s="3126"/>
      <c r="D139" s="3126"/>
      <c r="E139" s="3126"/>
      <c r="F139" s="725">
        <f>F138</f>
        <v>0</v>
      </c>
      <c r="G139" s="725">
        <f>G138</f>
        <v>100</v>
      </c>
      <c r="H139" s="725">
        <f>H138</f>
        <v>88</v>
      </c>
      <c r="I139" s="710">
        <f>(H139/G139)*100</f>
        <v>88</v>
      </c>
    </row>
    <row r="140" spans="1:9" s="504" customFormat="1" ht="13.5" thickTop="1" x14ac:dyDescent="0.2">
      <c r="B140" s="598"/>
      <c r="D140" s="670"/>
      <c r="F140" s="467"/>
      <c r="G140" s="467"/>
      <c r="H140" s="467"/>
      <c r="I140" s="792"/>
    </row>
    <row r="141" spans="1:9" s="504" customFormat="1" x14ac:dyDescent="0.2">
      <c r="B141" s="598"/>
      <c r="D141" s="670"/>
      <c r="F141" s="467"/>
      <c r="G141" s="467"/>
      <c r="H141" s="467"/>
      <c r="I141" s="792"/>
    </row>
    <row r="142" spans="1:9" s="504" customFormat="1" ht="13.5" thickBot="1" x14ac:dyDescent="0.25">
      <c r="A142" s="421" t="s">
        <v>789</v>
      </c>
      <c r="B142" s="598"/>
      <c r="D142" s="670"/>
      <c r="F142" s="467"/>
      <c r="G142" s="467"/>
      <c r="H142" s="467"/>
      <c r="I142" s="792" t="s">
        <v>148</v>
      </c>
    </row>
    <row r="143" spans="1:9" s="106" customFormat="1" ht="20.25" customHeight="1" thickTop="1" thickBot="1" x14ac:dyDescent="0.25">
      <c r="A143" s="626" t="s">
        <v>565</v>
      </c>
      <c r="B143" s="628" t="s">
        <v>149</v>
      </c>
      <c r="C143" s="627" t="s">
        <v>150</v>
      </c>
      <c r="D143" s="589" t="s">
        <v>639</v>
      </c>
      <c r="E143" s="629" t="s">
        <v>151</v>
      </c>
      <c r="F143" s="629" t="s">
        <v>152</v>
      </c>
      <c r="G143" s="629" t="s">
        <v>796</v>
      </c>
      <c r="H143" s="629" t="s">
        <v>797</v>
      </c>
      <c r="I143" s="674" t="s">
        <v>798</v>
      </c>
    </row>
    <row r="144" spans="1:9" s="375" customFormat="1" ht="13.5" thickTop="1" thickBot="1" x14ac:dyDescent="0.25">
      <c r="A144" s="974">
        <v>1</v>
      </c>
      <c r="B144" s="975">
        <v>2</v>
      </c>
      <c r="C144" s="975">
        <v>3</v>
      </c>
      <c r="D144" s="975">
        <v>4</v>
      </c>
      <c r="E144" s="975">
        <v>5</v>
      </c>
      <c r="F144" s="976">
        <v>6</v>
      </c>
      <c r="G144" s="976">
        <v>7</v>
      </c>
      <c r="H144" s="977">
        <v>8</v>
      </c>
      <c r="I144" s="978" t="s">
        <v>689</v>
      </c>
    </row>
    <row r="145" spans="1:14" s="504" customFormat="1" ht="16.5" thickTop="1" thickBot="1" x14ac:dyDescent="0.3">
      <c r="A145" s="986">
        <v>60001100215</v>
      </c>
      <c r="B145" s="809">
        <v>3122</v>
      </c>
      <c r="C145" s="987">
        <v>6121</v>
      </c>
      <c r="D145" s="810">
        <v>10</v>
      </c>
      <c r="E145" s="988" t="s">
        <v>548</v>
      </c>
      <c r="F145" s="736"/>
      <c r="G145" s="989">
        <v>250</v>
      </c>
      <c r="H145" s="736">
        <v>0</v>
      </c>
      <c r="I145" s="990">
        <f>(H145/G145)*100</f>
        <v>0</v>
      </c>
    </row>
    <row r="146" spans="1:14" s="504" customFormat="1" ht="18" customHeight="1" thickTop="1" thickBot="1" x14ac:dyDescent="0.3">
      <c r="A146" s="3127" t="s">
        <v>224</v>
      </c>
      <c r="B146" s="3126"/>
      <c r="C146" s="3126"/>
      <c r="D146" s="3126"/>
      <c r="E146" s="3126"/>
      <c r="F146" s="725">
        <f>F145</f>
        <v>0</v>
      </c>
      <c r="G146" s="725">
        <f>G145</f>
        <v>250</v>
      </c>
      <c r="H146" s="725">
        <f>H145</f>
        <v>0</v>
      </c>
      <c r="I146" s="710">
        <f>(H146/G146)*100</f>
        <v>0</v>
      </c>
    </row>
    <row r="147" spans="1:14" ht="13.5" thickTop="1" x14ac:dyDescent="0.2">
      <c r="K147" s="755"/>
      <c r="L147" s="755"/>
      <c r="M147" s="755"/>
      <c r="N147" s="421"/>
    </row>
    <row r="148" spans="1:14" x14ac:dyDescent="0.2">
      <c r="K148" s="755"/>
      <c r="L148" s="755"/>
      <c r="M148" s="755"/>
      <c r="N148" s="421"/>
    </row>
    <row r="149" spans="1:14" s="504" customFormat="1" ht="13.5" thickBot="1" x14ac:dyDescent="0.25">
      <c r="A149" s="421" t="s">
        <v>790</v>
      </c>
      <c r="B149" s="598"/>
      <c r="D149" s="670"/>
      <c r="F149" s="467"/>
      <c r="G149" s="467"/>
      <c r="H149" s="467"/>
      <c r="I149" s="792" t="s">
        <v>148</v>
      </c>
    </row>
    <row r="150" spans="1:14" s="106" customFormat="1" ht="20.25" customHeight="1" thickTop="1" thickBot="1" x14ac:dyDescent="0.25">
      <c r="A150" s="626" t="s">
        <v>565</v>
      </c>
      <c r="B150" s="628" t="s">
        <v>149</v>
      </c>
      <c r="C150" s="627" t="s">
        <v>150</v>
      </c>
      <c r="D150" s="589" t="s">
        <v>639</v>
      </c>
      <c r="E150" s="629" t="s">
        <v>151</v>
      </c>
      <c r="F150" s="629" t="s">
        <v>152</v>
      </c>
      <c r="G150" s="629" t="s">
        <v>796</v>
      </c>
      <c r="H150" s="629" t="s">
        <v>797</v>
      </c>
      <c r="I150" s="674" t="s">
        <v>798</v>
      </c>
    </row>
    <row r="151" spans="1:14" s="375" customFormat="1" ht="13.5" thickTop="1" thickBot="1" x14ac:dyDescent="0.25">
      <c r="A151" s="974">
        <v>1</v>
      </c>
      <c r="B151" s="975">
        <v>2</v>
      </c>
      <c r="C151" s="975">
        <v>3</v>
      </c>
      <c r="D151" s="975">
        <v>4</v>
      </c>
      <c r="E151" s="975">
        <v>5</v>
      </c>
      <c r="F151" s="976">
        <v>6</v>
      </c>
      <c r="G151" s="976">
        <v>7</v>
      </c>
      <c r="H151" s="977">
        <v>8</v>
      </c>
      <c r="I151" s="978" t="s">
        <v>689</v>
      </c>
    </row>
    <row r="152" spans="1:14" s="504" customFormat="1" ht="16.5" thickTop="1" thickBot="1" x14ac:dyDescent="0.3">
      <c r="A152" s="986">
        <v>60001100216</v>
      </c>
      <c r="B152" s="809">
        <v>3114</v>
      </c>
      <c r="C152" s="987">
        <v>6121</v>
      </c>
      <c r="D152" s="810">
        <v>10</v>
      </c>
      <c r="E152" s="988" t="s">
        <v>548</v>
      </c>
      <c r="F152" s="736"/>
      <c r="G152" s="989">
        <v>50</v>
      </c>
      <c r="H152" s="736">
        <v>50</v>
      </c>
      <c r="I152" s="990">
        <f>(H152/G152)*100</f>
        <v>100</v>
      </c>
    </row>
    <row r="153" spans="1:14" s="504" customFormat="1" ht="18" customHeight="1" thickTop="1" thickBot="1" x14ac:dyDescent="0.3">
      <c r="A153" s="3127" t="s">
        <v>224</v>
      </c>
      <c r="B153" s="3126"/>
      <c r="C153" s="3126"/>
      <c r="D153" s="3126"/>
      <c r="E153" s="3126"/>
      <c r="F153" s="725">
        <f>F152</f>
        <v>0</v>
      </c>
      <c r="G153" s="725">
        <f>G152</f>
        <v>50</v>
      </c>
      <c r="H153" s="725">
        <f>H152</f>
        <v>50</v>
      </c>
      <c r="I153" s="710">
        <f>(H153/G153)*100</f>
        <v>100</v>
      </c>
    </row>
    <row r="154" spans="1:14" ht="13.5" thickTop="1" x14ac:dyDescent="0.2">
      <c r="K154" s="755"/>
      <c r="L154" s="755"/>
      <c r="M154" s="755"/>
      <c r="N154" s="421"/>
    </row>
    <row r="155" spans="1:14" x14ac:dyDescent="0.2">
      <c r="K155" s="755"/>
      <c r="L155" s="755"/>
      <c r="M155" s="755"/>
      <c r="N155" s="421"/>
    </row>
    <row r="156" spans="1:14" s="504" customFormat="1" ht="13.5" thickBot="1" x14ac:dyDescent="0.25">
      <c r="A156" s="421" t="s">
        <v>791</v>
      </c>
      <c r="B156" s="598"/>
      <c r="D156" s="670"/>
      <c r="F156" s="467"/>
      <c r="G156" s="467"/>
      <c r="H156" s="467"/>
      <c r="I156" s="792" t="s">
        <v>148</v>
      </c>
    </row>
    <row r="157" spans="1:14" s="106" customFormat="1" ht="20.25" customHeight="1" thickTop="1" thickBot="1" x14ac:dyDescent="0.25">
      <c r="A157" s="626" t="s">
        <v>565</v>
      </c>
      <c r="B157" s="628" t="s">
        <v>149</v>
      </c>
      <c r="C157" s="627" t="s">
        <v>150</v>
      </c>
      <c r="D157" s="589" t="s">
        <v>639</v>
      </c>
      <c r="E157" s="629" t="s">
        <v>151</v>
      </c>
      <c r="F157" s="629" t="s">
        <v>152</v>
      </c>
      <c r="G157" s="629" t="s">
        <v>796</v>
      </c>
      <c r="H157" s="629" t="s">
        <v>797</v>
      </c>
      <c r="I157" s="674" t="s">
        <v>798</v>
      </c>
    </row>
    <row r="158" spans="1:14" s="375" customFormat="1" ht="13.5" thickTop="1" thickBot="1" x14ac:dyDescent="0.25">
      <c r="A158" s="974">
        <v>1</v>
      </c>
      <c r="B158" s="975">
        <v>2</v>
      </c>
      <c r="C158" s="975">
        <v>3</v>
      </c>
      <c r="D158" s="975">
        <v>4</v>
      </c>
      <c r="E158" s="975">
        <v>5</v>
      </c>
      <c r="F158" s="976">
        <v>6</v>
      </c>
      <c r="G158" s="976">
        <v>7</v>
      </c>
      <c r="H158" s="977">
        <v>8</v>
      </c>
      <c r="I158" s="978" t="s">
        <v>689</v>
      </c>
    </row>
    <row r="159" spans="1:14" s="375" customFormat="1" ht="16.5" thickTop="1" thickBot="1" x14ac:dyDescent="0.3">
      <c r="A159" s="1029">
        <v>60001100220</v>
      </c>
      <c r="B159" s="1030">
        <v>3121</v>
      </c>
      <c r="C159" s="1031">
        <v>5137</v>
      </c>
      <c r="D159" s="815">
        <v>10</v>
      </c>
      <c r="E159" s="980" t="s">
        <v>142</v>
      </c>
      <c r="F159" s="402"/>
      <c r="G159" s="982">
        <v>180</v>
      </c>
      <c r="H159" s="402">
        <v>180</v>
      </c>
      <c r="I159" s="804">
        <f>(H159/G159)*100</f>
        <v>100</v>
      </c>
    </row>
    <row r="160" spans="1:14" s="504" customFormat="1" ht="18" customHeight="1" thickTop="1" thickBot="1" x14ac:dyDescent="0.3">
      <c r="A160" s="3110" t="s">
        <v>225</v>
      </c>
      <c r="B160" s="3111"/>
      <c r="C160" s="3111"/>
      <c r="D160" s="3111"/>
      <c r="E160" s="3111"/>
      <c r="F160" s="680">
        <v>0</v>
      </c>
      <c r="G160" s="680">
        <f>G159</f>
        <v>180</v>
      </c>
      <c r="H160" s="680">
        <f>H159</f>
        <v>180</v>
      </c>
      <c r="I160" s="681">
        <f>(H160/G160)*100</f>
        <v>100</v>
      </c>
    </row>
    <row r="161" spans="1:14" s="375" customFormat="1" ht="15.75" thickTop="1" x14ac:dyDescent="0.25">
      <c r="A161" s="1032">
        <v>60001100220</v>
      </c>
      <c r="B161" s="1033">
        <v>3121</v>
      </c>
      <c r="C161" s="1034">
        <v>6121</v>
      </c>
      <c r="D161" s="801">
        <v>10</v>
      </c>
      <c r="E161" s="979" t="s">
        <v>548</v>
      </c>
      <c r="F161" s="403"/>
      <c r="G161" s="983">
        <v>4265</v>
      </c>
      <c r="H161" s="403">
        <v>3999</v>
      </c>
      <c r="I161" s="691">
        <f>(H161/G161)*100</f>
        <v>93.763188745603756</v>
      </c>
    </row>
    <row r="162" spans="1:14" s="504" customFormat="1" ht="15.75" thickBot="1" x14ac:dyDescent="0.3">
      <c r="A162" s="805">
        <v>60001100220</v>
      </c>
      <c r="B162" s="738">
        <v>3121</v>
      </c>
      <c r="C162" s="650">
        <v>6122</v>
      </c>
      <c r="D162" s="806">
        <v>10</v>
      </c>
      <c r="E162" s="981" t="s">
        <v>549</v>
      </c>
      <c r="F162" s="732"/>
      <c r="G162" s="807">
        <v>157</v>
      </c>
      <c r="H162" s="732">
        <v>157</v>
      </c>
      <c r="I162" s="814">
        <f>(H162/G162)*100</f>
        <v>100</v>
      </c>
    </row>
    <row r="163" spans="1:14" s="504" customFormat="1" ht="18" customHeight="1" thickTop="1" thickBot="1" x14ac:dyDescent="0.3">
      <c r="A163" s="3127" t="s">
        <v>224</v>
      </c>
      <c r="B163" s="3126"/>
      <c r="C163" s="3126"/>
      <c r="D163" s="3126"/>
      <c r="E163" s="3126"/>
      <c r="F163" s="725">
        <f>F161</f>
        <v>0</v>
      </c>
      <c r="G163" s="725">
        <f>G161+G162</f>
        <v>4422</v>
      </c>
      <c r="H163" s="725">
        <f>H161+H162</f>
        <v>4156</v>
      </c>
      <c r="I163" s="681">
        <f>(H163/G163)*100</f>
        <v>93.984622342831301</v>
      </c>
    </row>
    <row r="164" spans="1:14" ht="13.5" thickTop="1" x14ac:dyDescent="0.2">
      <c r="K164" s="755"/>
      <c r="L164" s="755"/>
      <c r="M164" s="755"/>
      <c r="N164" s="421"/>
    </row>
    <row r="165" spans="1:14" x14ac:dyDescent="0.2">
      <c r="K165" s="755"/>
      <c r="L165" s="755"/>
      <c r="M165" s="755"/>
      <c r="N165" s="421"/>
    </row>
    <row r="166" spans="1:14" s="504" customFormat="1" ht="13.5" thickBot="1" x14ac:dyDescent="0.25">
      <c r="A166" s="421" t="s">
        <v>214</v>
      </c>
      <c r="B166" s="598"/>
      <c r="D166" s="670"/>
      <c r="F166" s="467"/>
      <c r="G166" s="467"/>
      <c r="H166" s="467"/>
      <c r="I166" s="792" t="s">
        <v>148</v>
      </c>
    </row>
    <row r="167" spans="1:14" s="106" customFormat="1" ht="20.25" customHeight="1" thickTop="1" thickBot="1" x14ac:dyDescent="0.25">
      <c r="A167" s="626" t="s">
        <v>565</v>
      </c>
      <c r="B167" s="628" t="s">
        <v>149</v>
      </c>
      <c r="C167" s="627" t="s">
        <v>150</v>
      </c>
      <c r="D167" s="589" t="s">
        <v>639</v>
      </c>
      <c r="E167" s="629" t="s">
        <v>151</v>
      </c>
      <c r="F167" s="629" t="s">
        <v>152</v>
      </c>
      <c r="G167" s="629" t="s">
        <v>796</v>
      </c>
      <c r="H167" s="629" t="s">
        <v>797</v>
      </c>
      <c r="I167" s="674" t="s">
        <v>798</v>
      </c>
    </row>
    <row r="168" spans="1:14" s="375" customFormat="1" ht="13.5" thickTop="1" thickBot="1" x14ac:dyDescent="0.25">
      <c r="A168" s="974">
        <v>1</v>
      </c>
      <c r="B168" s="975">
        <v>2</v>
      </c>
      <c r="C168" s="975">
        <v>3</v>
      </c>
      <c r="D168" s="975">
        <v>4</v>
      </c>
      <c r="E168" s="975">
        <v>5</v>
      </c>
      <c r="F168" s="976">
        <v>6</v>
      </c>
      <c r="G168" s="976">
        <v>7</v>
      </c>
      <c r="H168" s="977">
        <v>8</v>
      </c>
      <c r="I168" s="978" t="s">
        <v>689</v>
      </c>
    </row>
    <row r="169" spans="1:14" s="504" customFormat="1" ht="16.5" thickTop="1" thickBot="1" x14ac:dyDescent="0.3">
      <c r="A169" s="986">
        <v>60001100221</v>
      </c>
      <c r="B169" s="809">
        <v>3122</v>
      </c>
      <c r="C169" s="987">
        <v>6121</v>
      </c>
      <c r="D169" s="810">
        <v>10</v>
      </c>
      <c r="E169" s="988" t="s">
        <v>548</v>
      </c>
      <c r="F169" s="736"/>
      <c r="G169" s="989">
        <v>812</v>
      </c>
      <c r="H169" s="736">
        <v>521</v>
      </c>
      <c r="I169" s="990">
        <f>(H169/G169)*100</f>
        <v>64.162561576354676</v>
      </c>
    </row>
    <row r="170" spans="1:14" s="504" customFormat="1" ht="18" customHeight="1" thickTop="1" thickBot="1" x14ac:dyDescent="0.3">
      <c r="A170" s="3127" t="s">
        <v>224</v>
      </c>
      <c r="B170" s="3126"/>
      <c r="C170" s="3126"/>
      <c r="D170" s="3126"/>
      <c r="E170" s="3126"/>
      <c r="F170" s="725">
        <f>F169</f>
        <v>0</v>
      </c>
      <c r="G170" s="725">
        <f>G169</f>
        <v>812</v>
      </c>
      <c r="H170" s="725">
        <f>H169</f>
        <v>521</v>
      </c>
      <c r="I170" s="710">
        <f>(H170/G170)*100</f>
        <v>64.162561576354676</v>
      </c>
    </row>
    <row r="171" spans="1:14" ht="13.5" thickTop="1" x14ac:dyDescent="0.2">
      <c r="K171" s="755"/>
      <c r="L171" s="755"/>
      <c r="M171" s="755"/>
      <c r="N171" s="421"/>
    </row>
    <row r="172" spans="1:14" x14ac:dyDescent="0.2">
      <c r="K172" s="755"/>
      <c r="L172" s="755"/>
      <c r="M172" s="755"/>
      <c r="N172" s="421"/>
    </row>
    <row r="173" spans="1:14" s="504" customFormat="1" ht="13.5" thickBot="1" x14ac:dyDescent="0.25">
      <c r="A173" s="421" t="s">
        <v>962</v>
      </c>
      <c r="B173" s="598"/>
      <c r="D173" s="670"/>
      <c r="F173" s="467"/>
      <c r="G173" s="467"/>
      <c r="H173" s="467"/>
      <c r="I173" s="792" t="s">
        <v>148</v>
      </c>
    </row>
    <row r="174" spans="1:14" s="106" customFormat="1" ht="20.25" customHeight="1" thickTop="1" thickBot="1" x14ac:dyDescent="0.25">
      <c r="A174" s="626" t="s">
        <v>565</v>
      </c>
      <c r="B174" s="628" t="s">
        <v>149</v>
      </c>
      <c r="C174" s="627" t="s">
        <v>150</v>
      </c>
      <c r="D174" s="589" t="s">
        <v>639</v>
      </c>
      <c r="E174" s="629" t="s">
        <v>151</v>
      </c>
      <c r="F174" s="629" t="s">
        <v>152</v>
      </c>
      <c r="G174" s="629" t="s">
        <v>796</v>
      </c>
      <c r="H174" s="629" t="s">
        <v>797</v>
      </c>
      <c r="I174" s="674" t="s">
        <v>798</v>
      </c>
    </row>
    <row r="175" spans="1:14" s="375" customFormat="1" ht="13.5" thickTop="1" thickBot="1" x14ac:dyDescent="0.25">
      <c r="A175" s="974">
        <v>1</v>
      </c>
      <c r="B175" s="975">
        <v>2</v>
      </c>
      <c r="C175" s="975">
        <v>3</v>
      </c>
      <c r="D175" s="975">
        <v>4</v>
      </c>
      <c r="E175" s="975">
        <v>5</v>
      </c>
      <c r="F175" s="976">
        <v>6</v>
      </c>
      <c r="G175" s="976">
        <v>7</v>
      </c>
      <c r="H175" s="977">
        <v>8</v>
      </c>
      <c r="I175" s="978" t="s">
        <v>689</v>
      </c>
    </row>
    <row r="176" spans="1:14" s="504" customFormat="1" ht="16.5" thickTop="1" thickBot="1" x14ac:dyDescent="0.3">
      <c r="A176" s="986">
        <v>60001100222</v>
      </c>
      <c r="B176" s="809">
        <v>3231</v>
      </c>
      <c r="C176" s="987">
        <v>6121</v>
      </c>
      <c r="D176" s="810">
        <v>10</v>
      </c>
      <c r="E176" s="988" t="s">
        <v>548</v>
      </c>
      <c r="F176" s="736"/>
      <c r="G176" s="989">
        <v>577</v>
      </c>
      <c r="H176" s="736">
        <v>576</v>
      </c>
      <c r="I176" s="990">
        <f>(H176/G176)*100</f>
        <v>99.826689774696703</v>
      </c>
    </row>
    <row r="177" spans="1:14" s="504" customFormat="1" ht="18" customHeight="1" thickTop="1" thickBot="1" x14ac:dyDescent="0.3">
      <c r="A177" s="3127" t="s">
        <v>224</v>
      </c>
      <c r="B177" s="3126"/>
      <c r="C177" s="3126"/>
      <c r="D177" s="3126"/>
      <c r="E177" s="3126"/>
      <c r="F177" s="725">
        <f>F176</f>
        <v>0</v>
      </c>
      <c r="G177" s="725">
        <f>G176</f>
        <v>577</v>
      </c>
      <c r="H177" s="725">
        <f>H176</f>
        <v>576</v>
      </c>
      <c r="I177" s="710">
        <f>(H177/G177)*100</f>
        <v>99.826689774696703</v>
      </c>
    </row>
    <row r="178" spans="1:14" ht="13.5" thickTop="1" x14ac:dyDescent="0.2">
      <c r="K178" s="755"/>
      <c r="L178" s="755"/>
      <c r="M178" s="755"/>
      <c r="N178" s="421"/>
    </row>
    <row r="179" spans="1:14" x14ac:dyDescent="0.2">
      <c r="K179" s="755"/>
      <c r="L179" s="755"/>
      <c r="M179" s="755"/>
      <c r="N179" s="421"/>
    </row>
    <row r="180" spans="1:14" s="504" customFormat="1" ht="13.5" thickBot="1" x14ac:dyDescent="0.25">
      <c r="A180" s="421" t="s">
        <v>108</v>
      </c>
      <c r="B180" s="598"/>
      <c r="D180" s="670"/>
      <c r="F180" s="467"/>
      <c r="G180" s="467"/>
      <c r="H180" s="467"/>
      <c r="I180" s="792" t="s">
        <v>148</v>
      </c>
    </row>
    <row r="181" spans="1:14" s="106" customFormat="1" ht="20.25" customHeight="1" thickTop="1" thickBot="1" x14ac:dyDescent="0.25">
      <c r="A181" s="626" t="s">
        <v>565</v>
      </c>
      <c r="B181" s="628" t="s">
        <v>149</v>
      </c>
      <c r="C181" s="627" t="s">
        <v>150</v>
      </c>
      <c r="D181" s="589" t="s">
        <v>639</v>
      </c>
      <c r="E181" s="629" t="s">
        <v>151</v>
      </c>
      <c r="F181" s="629" t="s">
        <v>152</v>
      </c>
      <c r="G181" s="629" t="s">
        <v>796</v>
      </c>
      <c r="H181" s="629" t="s">
        <v>797</v>
      </c>
      <c r="I181" s="674" t="s">
        <v>798</v>
      </c>
    </row>
    <row r="182" spans="1:14" s="375" customFormat="1" ht="13.5" thickTop="1" thickBot="1" x14ac:dyDescent="0.25">
      <c r="A182" s="974">
        <v>1</v>
      </c>
      <c r="B182" s="975">
        <v>2</v>
      </c>
      <c r="C182" s="975">
        <v>3</v>
      </c>
      <c r="D182" s="975">
        <v>4</v>
      </c>
      <c r="E182" s="975">
        <v>5</v>
      </c>
      <c r="F182" s="976">
        <v>6</v>
      </c>
      <c r="G182" s="976">
        <v>7</v>
      </c>
      <c r="H182" s="977">
        <v>8</v>
      </c>
      <c r="I182" s="978" t="s">
        <v>689</v>
      </c>
    </row>
    <row r="183" spans="1:14" s="504" customFormat="1" ht="16.5" thickTop="1" thickBot="1" x14ac:dyDescent="0.3">
      <c r="A183" s="986">
        <v>6000110023</v>
      </c>
      <c r="B183" s="809">
        <v>3421</v>
      </c>
      <c r="C183" s="987">
        <v>6121</v>
      </c>
      <c r="D183" s="810">
        <v>10</v>
      </c>
      <c r="E183" s="988" t="s">
        <v>548</v>
      </c>
      <c r="F183" s="736"/>
      <c r="G183" s="989">
        <v>1173</v>
      </c>
      <c r="H183" s="736">
        <v>50</v>
      </c>
      <c r="I183" s="990">
        <f>(H183/G183)*100</f>
        <v>4.2625745950554137</v>
      </c>
    </row>
    <row r="184" spans="1:14" s="504" customFormat="1" ht="18" customHeight="1" thickTop="1" thickBot="1" x14ac:dyDescent="0.3">
      <c r="A184" s="3127" t="s">
        <v>224</v>
      </c>
      <c r="B184" s="3126"/>
      <c r="C184" s="3126"/>
      <c r="D184" s="3126"/>
      <c r="E184" s="3126"/>
      <c r="F184" s="725">
        <f>F183</f>
        <v>0</v>
      </c>
      <c r="G184" s="725">
        <f>G183</f>
        <v>1173</v>
      </c>
      <c r="H184" s="725">
        <f>H183</f>
        <v>50</v>
      </c>
      <c r="I184" s="710">
        <f>(H184/G184)*100</f>
        <v>4.2625745950554137</v>
      </c>
    </row>
    <row r="185" spans="1:14" ht="13.5" thickTop="1" x14ac:dyDescent="0.2">
      <c r="K185" s="755"/>
      <c r="L185" s="755"/>
      <c r="M185" s="755"/>
      <c r="N185" s="421"/>
    </row>
    <row r="186" spans="1:14" x14ac:dyDescent="0.2">
      <c r="K186" s="755"/>
      <c r="L186" s="755"/>
      <c r="M186" s="755"/>
      <c r="N186" s="421"/>
    </row>
    <row r="187" spans="1:14" s="504" customFormat="1" ht="13.5" thickBot="1" x14ac:dyDescent="0.25">
      <c r="A187" s="421" t="s">
        <v>109</v>
      </c>
      <c r="B187" s="598"/>
      <c r="D187" s="670"/>
      <c r="F187" s="467"/>
      <c r="G187" s="467"/>
      <c r="H187" s="467"/>
      <c r="I187" s="792" t="s">
        <v>148</v>
      </c>
    </row>
    <row r="188" spans="1:14" s="106" customFormat="1" ht="20.25" customHeight="1" thickTop="1" thickBot="1" x14ac:dyDescent="0.25">
      <c r="A188" s="626" t="s">
        <v>565</v>
      </c>
      <c r="B188" s="628" t="s">
        <v>149</v>
      </c>
      <c r="C188" s="627" t="s">
        <v>150</v>
      </c>
      <c r="D188" s="589" t="s">
        <v>639</v>
      </c>
      <c r="E188" s="629" t="s">
        <v>151</v>
      </c>
      <c r="F188" s="629" t="s">
        <v>152</v>
      </c>
      <c r="G188" s="629" t="s">
        <v>796</v>
      </c>
      <c r="H188" s="629" t="s">
        <v>797</v>
      </c>
      <c r="I188" s="674" t="s">
        <v>798</v>
      </c>
    </row>
    <row r="189" spans="1:14" s="375" customFormat="1" ht="13.5" thickTop="1" thickBot="1" x14ac:dyDescent="0.25">
      <c r="A189" s="974">
        <v>1</v>
      </c>
      <c r="B189" s="975">
        <v>2</v>
      </c>
      <c r="C189" s="975">
        <v>3</v>
      </c>
      <c r="D189" s="975">
        <v>4</v>
      </c>
      <c r="E189" s="975">
        <v>5</v>
      </c>
      <c r="F189" s="976">
        <v>6</v>
      </c>
      <c r="G189" s="976">
        <v>7</v>
      </c>
      <c r="H189" s="977">
        <v>8</v>
      </c>
      <c r="I189" s="978" t="s">
        <v>689</v>
      </c>
    </row>
    <row r="190" spans="1:14" s="504" customFormat="1" ht="16.5" thickTop="1" thickBot="1" x14ac:dyDescent="0.3">
      <c r="A190" s="986">
        <v>60001100224</v>
      </c>
      <c r="B190" s="809">
        <v>3122</v>
      </c>
      <c r="C190" s="987">
        <v>6121</v>
      </c>
      <c r="D190" s="810">
        <v>10</v>
      </c>
      <c r="E190" s="988" t="s">
        <v>548</v>
      </c>
      <c r="F190" s="736"/>
      <c r="G190" s="989">
        <v>720</v>
      </c>
      <c r="H190" s="736">
        <v>720</v>
      </c>
      <c r="I190" s="990">
        <f>(H190/G190)*100</f>
        <v>100</v>
      </c>
    </row>
    <row r="191" spans="1:14" s="504" customFormat="1" ht="18" customHeight="1" thickTop="1" thickBot="1" x14ac:dyDescent="0.3">
      <c r="A191" s="3127" t="s">
        <v>224</v>
      </c>
      <c r="B191" s="3126"/>
      <c r="C191" s="3126"/>
      <c r="D191" s="3126"/>
      <c r="E191" s="3126"/>
      <c r="F191" s="725">
        <f>F190</f>
        <v>0</v>
      </c>
      <c r="G191" s="725">
        <f>G190</f>
        <v>720</v>
      </c>
      <c r="H191" s="725">
        <f>H190</f>
        <v>720</v>
      </c>
      <c r="I191" s="710">
        <f>(H191/G191)*100</f>
        <v>100</v>
      </c>
    </row>
    <row r="192" spans="1:14" ht="13.5" thickTop="1" x14ac:dyDescent="0.2">
      <c r="K192" s="755"/>
      <c r="L192" s="755"/>
      <c r="M192" s="755"/>
      <c r="N192" s="421"/>
    </row>
    <row r="193" spans="1:14" x14ac:dyDescent="0.2">
      <c r="K193" s="755"/>
      <c r="L193" s="755"/>
      <c r="M193" s="755"/>
      <c r="N193" s="421"/>
    </row>
    <row r="194" spans="1:14" s="504" customFormat="1" ht="13.5" thickBot="1" x14ac:dyDescent="0.25">
      <c r="A194" s="421" t="s">
        <v>110</v>
      </c>
      <c r="B194" s="598"/>
      <c r="D194" s="670"/>
      <c r="F194" s="467"/>
      <c r="G194" s="467"/>
      <c r="H194" s="467"/>
      <c r="I194" s="792" t="s">
        <v>148</v>
      </c>
    </row>
    <row r="195" spans="1:14" s="106" customFormat="1" ht="20.25" customHeight="1" thickTop="1" thickBot="1" x14ac:dyDescent="0.25">
      <c r="A195" s="626" t="s">
        <v>565</v>
      </c>
      <c r="B195" s="628" t="s">
        <v>149</v>
      </c>
      <c r="C195" s="627" t="s">
        <v>150</v>
      </c>
      <c r="D195" s="589" t="s">
        <v>639</v>
      </c>
      <c r="E195" s="629" t="s">
        <v>151</v>
      </c>
      <c r="F195" s="629" t="s">
        <v>152</v>
      </c>
      <c r="G195" s="629" t="s">
        <v>796</v>
      </c>
      <c r="H195" s="629" t="s">
        <v>797</v>
      </c>
      <c r="I195" s="674" t="s">
        <v>798</v>
      </c>
    </row>
    <row r="196" spans="1:14" s="375" customFormat="1" ht="13.5" thickTop="1" thickBot="1" x14ac:dyDescent="0.25">
      <c r="A196" s="974">
        <v>1</v>
      </c>
      <c r="B196" s="975">
        <v>2</v>
      </c>
      <c r="C196" s="975">
        <v>3</v>
      </c>
      <c r="D196" s="975">
        <v>4</v>
      </c>
      <c r="E196" s="975">
        <v>5</v>
      </c>
      <c r="F196" s="976">
        <v>6</v>
      </c>
      <c r="G196" s="976">
        <v>7</v>
      </c>
      <c r="H196" s="977">
        <v>8</v>
      </c>
      <c r="I196" s="978" t="s">
        <v>689</v>
      </c>
    </row>
    <row r="197" spans="1:14" s="504" customFormat="1" ht="16.5" thickTop="1" thickBot="1" x14ac:dyDescent="0.3">
      <c r="A197" s="986">
        <v>60001100225</v>
      </c>
      <c r="B197" s="809">
        <v>3114</v>
      </c>
      <c r="C197" s="987">
        <v>6121</v>
      </c>
      <c r="D197" s="810">
        <v>10</v>
      </c>
      <c r="E197" s="988" t="s">
        <v>548</v>
      </c>
      <c r="F197" s="736"/>
      <c r="G197" s="989">
        <v>1839</v>
      </c>
      <c r="H197" s="736">
        <v>1818</v>
      </c>
      <c r="I197" s="990">
        <f>(H197/G197)*100</f>
        <v>98.858075040783035</v>
      </c>
    </row>
    <row r="198" spans="1:14" s="504" customFormat="1" ht="18" customHeight="1" thickTop="1" thickBot="1" x14ac:dyDescent="0.3">
      <c r="A198" s="3127" t="s">
        <v>224</v>
      </c>
      <c r="B198" s="3126"/>
      <c r="C198" s="3126"/>
      <c r="D198" s="3126"/>
      <c r="E198" s="3126"/>
      <c r="F198" s="725">
        <f>F197</f>
        <v>0</v>
      </c>
      <c r="G198" s="725">
        <f>G197</f>
        <v>1839</v>
      </c>
      <c r="H198" s="725">
        <f>H197</f>
        <v>1818</v>
      </c>
      <c r="I198" s="710">
        <f>(H198/G198)*100</f>
        <v>98.858075040783035</v>
      </c>
    </row>
    <row r="199" spans="1:14" ht="13.5" thickTop="1" x14ac:dyDescent="0.2">
      <c r="K199" s="755"/>
      <c r="L199" s="755"/>
      <c r="M199" s="755"/>
      <c r="N199" s="421"/>
    </row>
    <row r="200" spans="1:14" x14ac:dyDescent="0.2">
      <c r="K200" s="755"/>
      <c r="L200" s="755"/>
      <c r="M200" s="755"/>
      <c r="N200" s="421"/>
    </row>
    <row r="201" spans="1:14" s="504" customFormat="1" ht="13.5" thickBot="1" x14ac:dyDescent="0.25">
      <c r="A201" s="421" t="s">
        <v>952</v>
      </c>
      <c r="B201" s="598"/>
      <c r="D201" s="670"/>
      <c r="F201" s="467"/>
      <c r="G201" s="467"/>
      <c r="H201" s="467"/>
      <c r="I201" s="792" t="s">
        <v>148</v>
      </c>
    </row>
    <row r="202" spans="1:14" s="106" customFormat="1" ht="20.25" customHeight="1" thickTop="1" thickBot="1" x14ac:dyDescent="0.25">
      <c r="A202" s="626" t="s">
        <v>565</v>
      </c>
      <c r="B202" s="628" t="s">
        <v>149</v>
      </c>
      <c r="C202" s="627" t="s">
        <v>150</v>
      </c>
      <c r="D202" s="589" t="s">
        <v>639</v>
      </c>
      <c r="E202" s="629" t="s">
        <v>151</v>
      </c>
      <c r="F202" s="629" t="s">
        <v>152</v>
      </c>
      <c r="G202" s="629" t="s">
        <v>796</v>
      </c>
      <c r="H202" s="629" t="s">
        <v>797</v>
      </c>
      <c r="I202" s="674" t="s">
        <v>798</v>
      </c>
    </row>
    <row r="203" spans="1:14" s="375" customFormat="1" ht="13.5" thickTop="1" thickBot="1" x14ac:dyDescent="0.25">
      <c r="A203" s="974">
        <v>1</v>
      </c>
      <c r="B203" s="975">
        <v>2</v>
      </c>
      <c r="C203" s="975">
        <v>3</v>
      </c>
      <c r="D203" s="975">
        <v>4</v>
      </c>
      <c r="E203" s="975">
        <v>5</v>
      </c>
      <c r="F203" s="976">
        <v>6</v>
      </c>
      <c r="G203" s="976">
        <v>7</v>
      </c>
      <c r="H203" s="977">
        <v>8</v>
      </c>
      <c r="I203" s="978" t="s">
        <v>689</v>
      </c>
    </row>
    <row r="204" spans="1:14" s="504" customFormat="1" ht="16.5" thickTop="1" thickBot="1" x14ac:dyDescent="0.3">
      <c r="A204" s="986">
        <v>60001100226</v>
      </c>
      <c r="B204" s="809">
        <v>3123</v>
      </c>
      <c r="C204" s="987">
        <v>6121</v>
      </c>
      <c r="D204" s="810">
        <v>870</v>
      </c>
      <c r="E204" s="988" t="s">
        <v>548</v>
      </c>
      <c r="F204" s="736"/>
      <c r="G204" s="989">
        <v>2851</v>
      </c>
      <c r="H204" s="736">
        <v>2778</v>
      </c>
      <c r="I204" s="990">
        <f>(H204/G204)*100</f>
        <v>97.439494914065236</v>
      </c>
    </row>
    <row r="205" spans="1:14" s="504" customFormat="1" ht="18" customHeight="1" thickTop="1" thickBot="1" x14ac:dyDescent="0.3">
      <c r="A205" s="3127" t="s">
        <v>224</v>
      </c>
      <c r="B205" s="3126"/>
      <c r="C205" s="3126"/>
      <c r="D205" s="3126"/>
      <c r="E205" s="3126"/>
      <c r="F205" s="725">
        <f>F204</f>
        <v>0</v>
      </c>
      <c r="G205" s="725">
        <f>G204</f>
        <v>2851</v>
      </c>
      <c r="H205" s="725">
        <f>H204</f>
        <v>2778</v>
      </c>
      <c r="I205" s="710">
        <f>(H205/G205)*100</f>
        <v>97.439494914065236</v>
      </c>
    </row>
    <row r="206" spans="1:14" ht="13.5" thickTop="1" x14ac:dyDescent="0.2">
      <c r="K206" s="755"/>
      <c r="L206" s="755"/>
      <c r="M206" s="755"/>
      <c r="N206" s="421"/>
    </row>
    <row r="207" spans="1:14" x14ac:dyDescent="0.2">
      <c r="K207" s="755"/>
      <c r="L207" s="755"/>
      <c r="M207" s="755"/>
      <c r="N207" s="421"/>
    </row>
    <row r="208" spans="1:14" s="504" customFormat="1" ht="13.5" thickBot="1" x14ac:dyDescent="0.25">
      <c r="A208" s="421" t="s">
        <v>953</v>
      </c>
      <c r="B208" s="598"/>
      <c r="D208" s="670"/>
      <c r="F208" s="467"/>
      <c r="G208" s="467"/>
      <c r="H208" s="467"/>
      <c r="I208" s="792" t="s">
        <v>148</v>
      </c>
    </row>
    <row r="209" spans="1:14" s="106" customFormat="1" ht="20.25" customHeight="1" thickTop="1" thickBot="1" x14ac:dyDescent="0.25">
      <c r="A209" s="626" t="s">
        <v>565</v>
      </c>
      <c r="B209" s="628" t="s">
        <v>149</v>
      </c>
      <c r="C209" s="627" t="s">
        <v>150</v>
      </c>
      <c r="D209" s="589" t="s">
        <v>639</v>
      </c>
      <c r="E209" s="629" t="s">
        <v>151</v>
      </c>
      <c r="F209" s="629" t="s">
        <v>152</v>
      </c>
      <c r="G209" s="629" t="s">
        <v>796</v>
      </c>
      <c r="H209" s="629" t="s">
        <v>797</v>
      </c>
      <c r="I209" s="674" t="s">
        <v>798</v>
      </c>
    </row>
    <row r="210" spans="1:14" s="375" customFormat="1" ht="13.5" thickTop="1" thickBot="1" x14ac:dyDescent="0.25">
      <c r="A210" s="974">
        <v>1</v>
      </c>
      <c r="B210" s="975">
        <v>2</v>
      </c>
      <c r="C210" s="975">
        <v>3</v>
      </c>
      <c r="D210" s="975">
        <v>4</v>
      </c>
      <c r="E210" s="975">
        <v>5</v>
      </c>
      <c r="F210" s="976">
        <v>6</v>
      </c>
      <c r="G210" s="976">
        <v>7</v>
      </c>
      <c r="H210" s="977">
        <v>8</v>
      </c>
      <c r="I210" s="978" t="s">
        <v>689</v>
      </c>
    </row>
    <row r="211" spans="1:14" s="504" customFormat="1" ht="16.5" thickTop="1" thickBot="1" x14ac:dyDescent="0.3">
      <c r="A211" s="986">
        <v>60001100227</v>
      </c>
      <c r="B211" s="809">
        <v>3122</v>
      </c>
      <c r="C211" s="987">
        <v>6121</v>
      </c>
      <c r="D211" s="810">
        <v>10</v>
      </c>
      <c r="E211" s="988" t="s">
        <v>548</v>
      </c>
      <c r="F211" s="736"/>
      <c r="G211" s="989">
        <v>3370</v>
      </c>
      <c r="H211" s="736">
        <v>3370</v>
      </c>
      <c r="I211" s="990">
        <f>(H211/G211)*100</f>
        <v>100</v>
      </c>
    </row>
    <row r="212" spans="1:14" s="504" customFormat="1" ht="18" customHeight="1" thickTop="1" thickBot="1" x14ac:dyDescent="0.3">
      <c r="A212" s="3127" t="s">
        <v>224</v>
      </c>
      <c r="B212" s="3126"/>
      <c r="C212" s="3126"/>
      <c r="D212" s="3126"/>
      <c r="E212" s="3126"/>
      <c r="F212" s="725">
        <f>F211</f>
        <v>0</v>
      </c>
      <c r="G212" s="725">
        <f>G211</f>
        <v>3370</v>
      </c>
      <c r="H212" s="725">
        <f>H211</f>
        <v>3370</v>
      </c>
      <c r="I212" s="710">
        <f>(H212/G212)*100</f>
        <v>100</v>
      </c>
    </row>
    <row r="213" spans="1:14" ht="13.5" thickTop="1" x14ac:dyDescent="0.2">
      <c r="K213" s="755"/>
      <c r="L213" s="755"/>
      <c r="M213" s="755"/>
      <c r="N213" s="421"/>
    </row>
    <row r="214" spans="1:14" x14ac:dyDescent="0.2">
      <c r="K214" s="755"/>
      <c r="L214" s="755"/>
      <c r="M214" s="755"/>
      <c r="N214" s="421"/>
    </row>
    <row r="215" spans="1:14" s="504" customFormat="1" ht="13.5" thickBot="1" x14ac:dyDescent="0.25">
      <c r="A215" s="421" t="s">
        <v>954</v>
      </c>
      <c r="B215" s="598"/>
      <c r="D215" s="670"/>
      <c r="F215" s="467"/>
      <c r="G215" s="467"/>
      <c r="H215" s="467"/>
      <c r="I215" s="792" t="s">
        <v>148</v>
      </c>
    </row>
    <row r="216" spans="1:14" s="106" customFormat="1" ht="20.25" customHeight="1" thickTop="1" thickBot="1" x14ac:dyDescent="0.25">
      <c r="A216" s="626" t="s">
        <v>565</v>
      </c>
      <c r="B216" s="628" t="s">
        <v>149</v>
      </c>
      <c r="C216" s="627" t="s">
        <v>150</v>
      </c>
      <c r="D216" s="589" t="s">
        <v>639</v>
      </c>
      <c r="E216" s="629" t="s">
        <v>151</v>
      </c>
      <c r="F216" s="629" t="s">
        <v>152</v>
      </c>
      <c r="G216" s="629" t="s">
        <v>796</v>
      </c>
      <c r="H216" s="629" t="s">
        <v>797</v>
      </c>
      <c r="I216" s="674" t="s">
        <v>798</v>
      </c>
    </row>
    <row r="217" spans="1:14" s="375" customFormat="1" ht="13.5" thickTop="1" thickBot="1" x14ac:dyDescent="0.25">
      <c r="A217" s="974">
        <v>1</v>
      </c>
      <c r="B217" s="975">
        <v>2</v>
      </c>
      <c r="C217" s="975">
        <v>3</v>
      </c>
      <c r="D217" s="975">
        <v>4</v>
      </c>
      <c r="E217" s="975">
        <v>5</v>
      </c>
      <c r="F217" s="976">
        <v>6</v>
      </c>
      <c r="G217" s="976">
        <v>7</v>
      </c>
      <c r="H217" s="977">
        <v>8</v>
      </c>
      <c r="I217" s="978" t="s">
        <v>689</v>
      </c>
    </row>
    <row r="218" spans="1:14" s="504" customFormat="1" ht="16.5" thickTop="1" thickBot="1" x14ac:dyDescent="0.3">
      <c r="A218" s="986">
        <v>60001100228</v>
      </c>
      <c r="B218" s="809">
        <v>3122</v>
      </c>
      <c r="C218" s="987">
        <v>6121</v>
      </c>
      <c r="D218" s="810">
        <v>10</v>
      </c>
      <c r="E218" s="988" t="s">
        <v>548</v>
      </c>
      <c r="F218" s="736"/>
      <c r="G218" s="989">
        <v>1762</v>
      </c>
      <c r="H218" s="736">
        <v>1752</v>
      </c>
      <c r="I218" s="990">
        <f>(H218/G218)*100</f>
        <v>99.432463110102148</v>
      </c>
    </row>
    <row r="219" spans="1:14" s="504" customFormat="1" ht="18" customHeight="1" thickTop="1" thickBot="1" x14ac:dyDescent="0.3">
      <c r="A219" s="3127" t="s">
        <v>224</v>
      </c>
      <c r="B219" s="3126"/>
      <c r="C219" s="3126"/>
      <c r="D219" s="3126"/>
      <c r="E219" s="3126"/>
      <c r="F219" s="725">
        <f>F218</f>
        <v>0</v>
      </c>
      <c r="G219" s="725">
        <f>G218</f>
        <v>1762</v>
      </c>
      <c r="H219" s="725">
        <f>H218</f>
        <v>1752</v>
      </c>
      <c r="I219" s="710">
        <f>(H219/G219)*100</f>
        <v>99.432463110102148</v>
      </c>
    </row>
    <row r="220" spans="1:14" ht="13.5" thickTop="1" x14ac:dyDescent="0.2">
      <c r="K220" s="755"/>
      <c r="L220" s="755"/>
      <c r="M220" s="755"/>
      <c r="N220" s="421"/>
    </row>
    <row r="221" spans="1:14" x14ac:dyDescent="0.2">
      <c r="K221" s="755"/>
      <c r="L221" s="755"/>
      <c r="M221" s="755"/>
      <c r="N221" s="421"/>
    </row>
    <row r="222" spans="1:14" s="504" customFormat="1" ht="13.5" thickBot="1" x14ac:dyDescent="0.25">
      <c r="A222" s="421" t="s">
        <v>955</v>
      </c>
      <c r="B222" s="598"/>
      <c r="D222" s="670"/>
      <c r="F222" s="467"/>
      <c r="G222" s="467"/>
      <c r="H222" s="467"/>
      <c r="I222" s="792" t="s">
        <v>148</v>
      </c>
    </row>
    <row r="223" spans="1:14" s="106" customFormat="1" ht="20.25" customHeight="1" thickTop="1" thickBot="1" x14ac:dyDescent="0.25">
      <c r="A223" s="626" t="s">
        <v>565</v>
      </c>
      <c r="B223" s="628" t="s">
        <v>149</v>
      </c>
      <c r="C223" s="627" t="s">
        <v>150</v>
      </c>
      <c r="D223" s="589" t="s">
        <v>639</v>
      </c>
      <c r="E223" s="629" t="s">
        <v>151</v>
      </c>
      <c r="F223" s="629" t="s">
        <v>152</v>
      </c>
      <c r="G223" s="629" t="s">
        <v>796</v>
      </c>
      <c r="H223" s="629" t="s">
        <v>797</v>
      </c>
      <c r="I223" s="674" t="s">
        <v>798</v>
      </c>
    </row>
    <row r="224" spans="1:14" s="375" customFormat="1" thickTop="1" x14ac:dyDescent="0.2">
      <c r="A224" s="974">
        <v>1</v>
      </c>
      <c r="B224" s="975">
        <v>2</v>
      </c>
      <c r="C224" s="975">
        <v>3</v>
      </c>
      <c r="D224" s="975">
        <v>4</v>
      </c>
      <c r="E224" s="975">
        <v>5</v>
      </c>
      <c r="F224" s="976">
        <v>6</v>
      </c>
      <c r="G224" s="976">
        <v>7</v>
      </c>
      <c r="H224" s="977">
        <v>8</v>
      </c>
      <c r="I224" s="978" t="s">
        <v>689</v>
      </c>
    </row>
    <row r="225" spans="1:14" s="375" customFormat="1" ht="15" x14ac:dyDescent="0.25">
      <c r="A225" s="1032">
        <v>60001100229</v>
      </c>
      <c r="B225" s="1033">
        <v>3122</v>
      </c>
      <c r="C225" s="1033">
        <v>5137</v>
      </c>
      <c r="D225" s="996">
        <v>870</v>
      </c>
      <c r="E225" s="995" t="s">
        <v>142</v>
      </c>
      <c r="F225" s="994"/>
      <c r="G225" s="994">
        <v>1609</v>
      </c>
      <c r="H225" s="994">
        <v>1596</v>
      </c>
      <c r="I225" s="691">
        <f t="shared" ref="I225:I230" si="1">(H225/G225)*100</f>
        <v>99.192044748290868</v>
      </c>
    </row>
    <row r="226" spans="1:14" s="375" customFormat="1" ht="15.75" thickBot="1" x14ac:dyDescent="0.3">
      <c r="A226" s="1035">
        <v>60001100229</v>
      </c>
      <c r="B226" s="1036">
        <v>3122</v>
      </c>
      <c r="C226" s="1037">
        <v>5172</v>
      </c>
      <c r="D226" s="806">
        <v>870</v>
      </c>
      <c r="E226" s="991" t="s">
        <v>812</v>
      </c>
      <c r="F226" s="992"/>
      <c r="G226" s="993">
        <v>97</v>
      </c>
      <c r="H226" s="992">
        <v>96</v>
      </c>
      <c r="I226" s="814">
        <f t="shared" si="1"/>
        <v>98.969072164948457</v>
      </c>
    </row>
    <row r="227" spans="1:14" s="504" customFormat="1" ht="18" customHeight="1" thickTop="1" thickBot="1" x14ac:dyDescent="0.3">
      <c r="A227" s="3110" t="s">
        <v>225</v>
      </c>
      <c r="B227" s="3111"/>
      <c r="C227" s="3111"/>
      <c r="D227" s="3111"/>
      <c r="E227" s="3111"/>
      <c r="F227" s="680">
        <v>0</v>
      </c>
      <c r="G227" s="680">
        <f>G225+G226</f>
        <v>1706</v>
      </c>
      <c r="H227" s="680">
        <f>H225+H226</f>
        <v>1692</v>
      </c>
      <c r="I227" s="681">
        <f t="shared" si="1"/>
        <v>99.179366940211025</v>
      </c>
    </row>
    <row r="228" spans="1:14" s="375" customFormat="1" ht="15.75" thickTop="1" x14ac:dyDescent="0.25">
      <c r="A228" s="1032">
        <v>60001100229</v>
      </c>
      <c r="B228" s="1033">
        <v>3122</v>
      </c>
      <c r="C228" s="1034">
        <v>6121</v>
      </c>
      <c r="D228" s="801">
        <v>870</v>
      </c>
      <c r="E228" s="979" t="s">
        <v>548</v>
      </c>
      <c r="F228" s="403"/>
      <c r="G228" s="983">
        <v>14622</v>
      </c>
      <c r="H228" s="403">
        <v>13497</v>
      </c>
      <c r="I228" s="691">
        <f t="shared" si="1"/>
        <v>92.306114074681986</v>
      </c>
    </row>
    <row r="229" spans="1:14" s="504" customFormat="1" ht="15.75" thickBot="1" x14ac:dyDescent="0.3">
      <c r="A229" s="805">
        <v>60001100229</v>
      </c>
      <c r="B229" s="738">
        <v>3122</v>
      </c>
      <c r="C229" s="650">
        <v>6122</v>
      </c>
      <c r="D229" s="806">
        <v>870</v>
      </c>
      <c r="E229" s="981" t="s">
        <v>549</v>
      </c>
      <c r="F229" s="732"/>
      <c r="G229" s="807">
        <v>7572</v>
      </c>
      <c r="H229" s="732">
        <v>7572</v>
      </c>
      <c r="I229" s="814">
        <f t="shared" si="1"/>
        <v>100</v>
      </c>
    </row>
    <row r="230" spans="1:14" s="504" customFormat="1" ht="18" customHeight="1" thickTop="1" thickBot="1" x14ac:dyDescent="0.3">
      <c r="A230" s="3127" t="s">
        <v>224</v>
      </c>
      <c r="B230" s="3126"/>
      <c r="C230" s="3126"/>
      <c r="D230" s="3126"/>
      <c r="E230" s="3126"/>
      <c r="F230" s="725">
        <f>F228</f>
        <v>0</v>
      </c>
      <c r="G230" s="725">
        <f>G228+G229</f>
        <v>22194</v>
      </c>
      <c r="H230" s="725">
        <f>H228+H229</f>
        <v>21069</v>
      </c>
      <c r="I230" s="681">
        <f t="shared" si="1"/>
        <v>94.931062449310616</v>
      </c>
    </row>
    <row r="231" spans="1:14" ht="13.5" thickTop="1" x14ac:dyDescent="0.2">
      <c r="K231" s="755"/>
      <c r="L231" s="755"/>
      <c r="M231" s="755"/>
      <c r="N231" s="421"/>
    </row>
    <row r="232" spans="1:14" x14ac:dyDescent="0.2">
      <c r="K232" s="755"/>
      <c r="L232" s="755"/>
      <c r="M232" s="755"/>
      <c r="N232" s="421"/>
    </row>
    <row r="233" spans="1:14" s="504" customFormat="1" ht="13.5" thickBot="1" x14ac:dyDescent="0.25">
      <c r="A233" s="421" t="s">
        <v>28</v>
      </c>
      <c r="B233" s="598"/>
      <c r="D233" s="670"/>
      <c r="F233" s="467"/>
      <c r="G233" s="467"/>
      <c r="H233" s="467"/>
      <c r="I233" s="792" t="s">
        <v>148</v>
      </c>
    </row>
    <row r="234" spans="1:14" s="106" customFormat="1" ht="20.25" customHeight="1" thickTop="1" thickBot="1" x14ac:dyDescent="0.25">
      <c r="A234" s="626" t="s">
        <v>565</v>
      </c>
      <c r="B234" s="628" t="s">
        <v>149</v>
      </c>
      <c r="C234" s="627" t="s">
        <v>150</v>
      </c>
      <c r="D234" s="589" t="s">
        <v>639</v>
      </c>
      <c r="E234" s="629" t="s">
        <v>151</v>
      </c>
      <c r="F234" s="629" t="s">
        <v>152</v>
      </c>
      <c r="G234" s="629" t="s">
        <v>796</v>
      </c>
      <c r="H234" s="629" t="s">
        <v>797</v>
      </c>
      <c r="I234" s="674" t="s">
        <v>798</v>
      </c>
    </row>
    <row r="235" spans="1:14" s="375" customFormat="1" ht="13.5" thickTop="1" thickBot="1" x14ac:dyDescent="0.25">
      <c r="A235" s="974">
        <v>1</v>
      </c>
      <c r="B235" s="975">
        <v>2</v>
      </c>
      <c r="C235" s="975">
        <v>3</v>
      </c>
      <c r="D235" s="975">
        <v>4</v>
      </c>
      <c r="E235" s="526">
        <v>5</v>
      </c>
      <c r="F235" s="976">
        <v>6</v>
      </c>
      <c r="G235" s="976">
        <v>7</v>
      </c>
      <c r="H235" s="977">
        <v>8</v>
      </c>
      <c r="I235" s="978" t="s">
        <v>689</v>
      </c>
    </row>
    <row r="236" spans="1:14" s="504" customFormat="1" ht="16.5" thickTop="1" thickBot="1" x14ac:dyDescent="0.3">
      <c r="A236" s="986">
        <v>60001100230</v>
      </c>
      <c r="B236" s="809">
        <v>3122</v>
      </c>
      <c r="C236" s="987">
        <v>6122</v>
      </c>
      <c r="D236" s="810">
        <v>10</v>
      </c>
      <c r="E236" s="981" t="s">
        <v>549</v>
      </c>
      <c r="F236" s="736"/>
      <c r="G236" s="989">
        <v>99</v>
      </c>
      <c r="H236" s="736">
        <v>99</v>
      </c>
      <c r="I236" s="990">
        <f>(H236/G236)*100</f>
        <v>100</v>
      </c>
    </row>
    <row r="237" spans="1:14" s="504" customFormat="1" ht="18" customHeight="1" thickTop="1" thickBot="1" x14ac:dyDescent="0.3">
      <c r="A237" s="3127" t="s">
        <v>224</v>
      </c>
      <c r="B237" s="3126"/>
      <c r="C237" s="3126"/>
      <c r="D237" s="3126"/>
      <c r="E237" s="3126"/>
      <c r="F237" s="725">
        <f>F236</f>
        <v>0</v>
      </c>
      <c r="G237" s="725">
        <f>G236</f>
        <v>99</v>
      </c>
      <c r="H237" s="725">
        <f>H236</f>
        <v>99</v>
      </c>
      <c r="I237" s="710">
        <f>(H237/G237)*100</f>
        <v>100</v>
      </c>
    </row>
    <row r="238" spans="1:14" ht="13.5" thickTop="1" x14ac:dyDescent="0.2">
      <c r="K238" s="755"/>
      <c r="L238" s="755"/>
      <c r="M238" s="755"/>
      <c r="N238" s="421"/>
    </row>
    <row r="239" spans="1:14" x14ac:dyDescent="0.2">
      <c r="K239" s="755"/>
      <c r="L239" s="755"/>
      <c r="M239" s="755"/>
      <c r="N239" s="421"/>
    </row>
    <row r="240" spans="1:14" s="504" customFormat="1" ht="13.5" thickBot="1" x14ac:dyDescent="0.25">
      <c r="A240" s="421" t="s">
        <v>29</v>
      </c>
      <c r="B240" s="598"/>
      <c r="D240" s="670"/>
      <c r="F240" s="467"/>
      <c r="G240" s="467"/>
      <c r="H240" s="467"/>
      <c r="I240" s="792" t="s">
        <v>148</v>
      </c>
    </row>
    <row r="241" spans="1:14" s="106" customFormat="1" ht="20.25" customHeight="1" thickTop="1" thickBot="1" x14ac:dyDescent="0.25">
      <c r="A241" s="626" t="s">
        <v>565</v>
      </c>
      <c r="B241" s="628" t="s">
        <v>149</v>
      </c>
      <c r="C241" s="627" t="s">
        <v>150</v>
      </c>
      <c r="D241" s="589" t="s">
        <v>639</v>
      </c>
      <c r="E241" s="629" t="s">
        <v>151</v>
      </c>
      <c r="F241" s="629" t="s">
        <v>152</v>
      </c>
      <c r="G241" s="629" t="s">
        <v>796</v>
      </c>
      <c r="H241" s="629" t="s">
        <v>797</v>
      </c>
      <c r="I241" s="674" t="s">
        <v>798</v>
      </c>
    </row>
    <row r="242" spans="1:14" s="375" customFormat="1" ht="13.5" thickTop="1" thickBot="1" x14ac:dyDescent="0.25">
      <c r="A242" s="974">
        <v>1</v>
      </c>
      <c r="B242" s="975">
        <v>2</v>
      </c>
      <c r="C242" s="975">
        <v>3</v>
      </c>
      <c r="D242" s="975">
        <v>4</v>
      </c>
      <c r="E242" s="526">
        <v>5</v>
      </c>
      <c r="F242" s="976">
        <v>6</v>
      </c>
      <c r="G242" s="976">
        <v>7</v>
      </c>
      <c r="H242" s="977">
        <v>8</v>
      </c>
      <c r="I242" s="978" t="s">
        <v>689</v>
      </c>
    </row>
    <row r="243" spans="1:14" s="504" customFormat="1" ht="16.5" thickTop="1" thickBot="1" x14ac:dyDescent="0.3">
      <c r="A243" s="986">
        <v>60001100231</v>
      </c>
      <c r="B243" s="809">
        <v>3122</v>
      </c>
      <c r="C243" s="987">
        <v>5171</v>
      </c>
      <c r="D243" s="810">
        <v>10</v>
      </c>
      <c r="E243" s="981" t="s">
        <v>811</v>
      </c>
      <c r="F243" s="736"/>
      <c r="G243" s="989">
        <v>1963</v>
      </c>
      <c r="H243" s="736">
        <v>1961</v>
      </c>
      <c r="I243" s="990">
        <f>(H243/G243)*100</f>
        <v>99.898115129903204</v>
      </c>
    </row>
    <row r="244" spans="1:14" s="504" customFormat="1" ht="18" customHeight="1" thickTop="1" thickBot="1" x14ac:dyDescent="0.3">
      <c r="A244" s="3110" t="s">
        <v>225</v>
      </c>
      <c r="B244" s="3111"/>
      <c r="C244" s="3111"/>
      <c r="D244" s="3111"/>
      <c r="E244" s="3111"/>
      <c r="F244" s="725">
        <f>F243</f>
        <v>0</v>
      </c>
      <c r="G244" s="725">
        <f>G243</f>
        <v>1963</v>
      </c>
      <c r="H244" s="725">
        <f>H243</f>
        <v>1961</v>
      </c>
      <c r="I244" s="710">
        <f>(H244/G244)*100</f>
        <v>99.898115129903204</v>
      </c>
    </row>
    <row r="245" spans="1:14" ht="13.5" thickTop="1" x14ac:dyDescent="0.2">
      <c r="K245" s="755"/>
      <c r="L245" s="755"/>
      <c r="M245" s="755"/>
      <c r="N245" s="421"/>
    </row>
    <row r="246" spans="1:14" x14ac:dyDescent="0.2">
      <c r="K246" s="755"/>
      <c r="L246" s="755"/>
      <c r="M246" s="755"/>
      <c r="N246" s="421"/>
    </row>
    <row r="247" spans="1:14" s="504" customFormat="1" ht="13.5" thickBot="1" x14ac:dyDescent="0.25">
      <c r="A247" s="421" t="s">
        <v>28</v>
      </c>
      <c r="B247" s="598"/>
      <c r="D247" s="670"/>
      <c r="F247" s="467"/>
      <c r="G247" s="467"/>
      <c r="H247" s="467"/>
      <c r="I247" s="792" t="s">
        <v>148</v>
      </c>
    </row>
    <row r="248" spans="1:14" s="106" customFormat="1" ht="20.25" customHeight="1" thickTop="1" thickBot="1" x14ac:dyDescent="0.25">
      <c r="A248" s="626" t="s">
        <v>565</v>
      </c>
      <c r="B248" s="628" t="s">
        <v>149</v>
      </c>
      <c r="C248" s="627" t="s">
        <v>150</v>
      </c>
      <c r="D248" s="589" t="s">
        <v>639</v>
      </c>
      <c r="E248" s="629" t="s">
        <v>151</v>
      </c>
      <c r="F248" s="629" t="s">
        <v>152</v>
      </c>
      <c r="G248" s="629" t="s">
        <v>796</v>
      </c>
      <c r="H248" s="629" t="s">
        <v>797</v>
      </c>
      <c r="I248" s="674" t="s">
        <v>798</v>
      </c>
    </row>
    <row r="249" spans="1:14" s="375" customFormat="1" ht="13.5" thickTop="1" thickBot="1" x14ac:dyDescent="0.25">
      <c r="A249" s="974">
        <v>1</v>
      </c>
      <c r="B249" s="975">
        <v>2</v>
      </c>
      <c r="C249" s="975">
        <v>3</v>
      </c>
      <c r="D249" s="975">
        <v>4</v>
      </c>
      <c r="E249" s="526">
        <v>5</v>
      </c>
      <c r="F249" s="976">
        <v>6</v>
      </c>
      <c r="G249" s="976">
        <v>7</v>
      </c>
      <c r="H249" s="977">
        <v>8</v>
      </c>
      <c r="I249" s="978" t="s">
        <v>689</v>
      </c>
    </row>
    <row r="250" spans="1:14" s="504" customFormat="1" ht="16.5" thickTop="1" thickBot="1" x14ac:dyDescent="0.3">
      <c r="A250" s="986">
        <v>60001100232</v>
      </c>
      <c r="B250" s="809">
        <v>3114</v>
      </c>
      <c r="C250" s="987">
        <v>6121</v>
      </c>
      <c r="D250" s="810">
        <v>870</v>
      </c>
      <c r="E250" s="988" t="s">
        <v>548</v>
      </c>
      <c r="F250" s="736"/>
      <c r="G250" s="989">
        <v>2000</v>
      </c>
      <c r="H250" s="736">
        <v>47</v>
      </c>
      <c r="I250" s="990">
        <f>(H250/G250)*100</f>
        <v>2.35</v>
      </c>
    </row>
    <row r="251" spans="1:14" s="504" customFormat="1" ht="18" customHeight="1" thickTop="1" thickBot="1" x14ac:dyDescent="0.3">
      <c r="A251" s="3127" t="s">
        <v>224</v>
      </c>
      <c r="B251" s="3126"/>
      <c r="C251" s="3126"/>
      <c r="D251" s="3126"/>
      <c r="E251" s="3126"/>
      <c r="F251" s="725">
        <f>F250</f>
        <v>0</v>
      </c>
      <c r="G251" s="725">
        <f>G250</f>
        <v>2000</v>
      </c>
      <c r="H251" s="725">
        <f>H250</f>
        <v>47</v>
      </c>
      <c r="I251" s="710">
        <f>(H251/G251)*100</f>
        <v>2.35</v>
      </c>
    </row>
    <row r="252" spans="1:14" ht="13.5" thickTop="1" x14ac:dyDescent="0.2">
      <c r="K252" s="755"/>
      <c r="L252" s="755"/>
      <c r="M252" s="755"/>
      <c r="N252" s="421"/>
    </row>
    <row r="253" spans="1:14" x14ac:dyDescent="0.2">
      <c r="K253" s="755"/>
      <c r="L253" s="755"/>
      <c r="M253" s="755"/>
      <c r="N253" s="421"/>
    </row>
    <row r="254" spans="1:14" s="504" customFormat="1" ht="13.5" thickBot="1" x14ac:dyDescent="0.25">
      <c r="A254" s="421" t="s">
        <v>30</v>
      </c>
      <c r="B254" s="598"/>
      <c r="D254" s="670"/>
      <c r="F254" s="467"/>
      <c r="G254" s="467"/>
      <c r="H254" s="467"/>
      <c r="I254" s="792" t="s">
        <v>148</v>
      </c>
    </row>
    <row r="255" spans="1:14" s="106" customFormat="1" ht="20.25" customHeight="1" thickTop="1" thickBot="1" x14ac:dyDescent="0.25">
      <c r="A255" s="626" t="s">
        <v>565</v>
      </c>
      <c r="B255" s="628" t="s">
        <v>149</v>
      </c>
      <c r="C255" s="627" t="s">
        <v>150</v>
      </c>
      <c r="D255" s="589" t="s">
        <v>639</v>
      </c>
      <c r="E255" s="629" t="s">
        <v>151</v>
      </c>
      <c r="F255" s="629" t="s">
        <v>152</v>
      </c>
      <c r="G255" s="629" t="s">
        <v>796</v>
      </c>
      <c r="H255" s="629" t="s">
        <v>797</v>
      </c>
      <c r="I255" s="674" t="s">
        <v>798</v>
      </c>
    </row>
    <row r="256" spans="1:14" s="375" customFormat="1" ht="13.5" thickTop="1" thickBot="1" x14ac:dyDescent="0.25">
      <c r="A256" s="525">
        <v>1</v>
      </c>
      <c r="B256" s="526">
        <v>2</v>
      </c>
      <c r="C256" s="526">
        <v>3</v>
      </c>
      <c r="D256" s="526">
        <v>4</v>
      </c>
      <c r="E256" s="526">
        <v>5</v>
      </c>
      <c r="F256" s="512">
        <v>6</v>
      </c>
      <c r="G256" s="512">
        <v>7</v>
      </c>
      <c r="H256" s="513">
        <v>8</v>
      </c>
      <c r="I256" s="591" t="s">
        <v>689</v>
      </c>
    </row>
    <row r="257" spans="1:14" s="375" customFormat="1" ht="16.5" thickTop="1" thickBot="1" x14ac:dyDescent="0.3">
      <c r="A257" s="1032">
        <v>60001100233</v>
      </c>
      <c r="B257" s="1033">
        <v>3114</v>
      </c>
      <c r="C257" s="1033">
        <v>5137</v>
      </c>
      <c r="D257" s="996">
        <v>10</v>
      </c>
      <c r="E257" s="995" t="s">
        <v>142</v>
      </c>
      <c r="F257" s="994"/>
      <c r="G257" s="994">
        <v>1040</v>
      </c>
      <c r="H257" s="994">
        <v>1039</v>
      </c>
      <c r="I257" s="691">
        <f>(H257/G257)*100</f>
        <v>99.90384615384616</v>
      </c>
    </row>
    <row r="258" spans="1:14" s="504" customFormat="1" ht="18" customHeight="1" thickTop="1" thickBot="1" x14ac:dyDescent="0.3">
      <c r="A258" s="3110" t="s">
        <v>225</v>
      </c>
      <c r="B258" s="3111"/>
      <c r="C258" s="3111"/>
      <c r="D258" s="3111"/>
      <c r="E258" s="3111"/>
      <c r="F258" s="680">
        <v>0</v>
      </c>
      <c r="G258" s="680">
        <f>G257</f>
        <v>1040</v>
      </c>
      <c r="H258" s="680">
        <f>H257</f>
        <v>1039</v>
      </c>
      <c r="I258" s="681">
        <f>(H258/G258)*100</f>
        <v>99.90384615384616</v>
      </c>
    </row>
    <row r="259" spans="1:14" s="375" customFormat="1" ht="15.75" thickTop="1" x14ac:dyDescent="0.25">
      <c r="A259" s="1032">
        <v>60001100233</v>
      </c>
      <c r="B259" s="1033">
        <v>3114</v>
      </c>
      <c r="C259" s="1034">
        <v>6121</v>
      </c>
      <c r="D259" s="801">
        <v>10</v>
      </c>
      <c r="E259" s="979" t="s">
        <v>548</v>
      </c>
      <c r="F259" s="403"/>
      <c r="G259" s="983">
        <v>3073</v>
      </c>
      <c r="H259" s="403">
        <v>3051</v>
      </c>
      <c r="I259" s="691">
        <f>(H259/G259)*100</f>
        <v>99.284087211194276</v>
      </c>
    </row>
    <row r="260" spans="1:14" s="504" customFormat="1" ht="15.75" thickBot="1" x14ac:dyDescent="0.3">
      <c r="A260" s="805">
        <v>60001100233</v>
      </c>
      <c r="B260" s="738">
        <v>3114</v>
      </c>
      <c r="C260" s="650">
        <v>6122</v>
      </c>
      <c r="D260" s="806">
        <v>10</v>
      </c>
      <c r="E260" s="981" t="s">
        <v>549</v>
      </c>
      <c r="F260" s="732"/>
      <c r="G260" s="807">
        <v>1913</v>
      </c>
      <c r="H260" s="732">
        <v>1910</v>
      </c>
      <c r="I260" s="814">
        <f>(H260/G260)*100</f>
        <v>99.843178254051224</v>
      </c>
    </row>
    <row r="261" spans="1:14" s="504" customFormat="1" ht="18" customHeight="1" thickTop="1" thickBot="1" x14ac:dyDescent="0.3">
      <c r="A261" s="3127" t="s">
        <v>224</v>
      </c>
      <c r="B261" s="3126"/>
      <c r="C261" s="3126"/>
      <c r="D261" s="3126"/>
      <c r="E261" s="3126"/>
      <c r="F261" s="725">
        <f>F259</f>
        <v>0</v>
      </c>
      <c r="G261" s="725">
        <f>G259+G260</f>
        <v>4986</v>
      </c>
      <c r="H261" s="725">
        <f>H259+H260</f>
        <v>4961</v>
      </c>
      <c r="I261" s="681">
        <f>(H261/G261)*100</f>
        <v>99.49859606899318</v>
      </c>
      <c r="L261" s="467">
        <f>G129+G139+G146+G153+G160+G163+G170+G177+G184+G191+G198+G205+G212+G219+G227+G230+G237+G244+G251+G258+G261</f>
        <v>52394</v>
      </c>
      <c r="M261" s="467">
        <f>H129+H139+H146+H153+H160+H163+H170+H177+H184+H191+H198+H205+H212+H219+H227+H230+H237+H244+H251+H258+H261</f>
        <v>46927</v>
      </c>
    </row>
    <row r="262" spans="1:14" ht="13.5" thickTop="1" x14ac:dyDescent="0.2">
      <c r="K262" s="755"/>
      <c r="L262" s="755"/>
      <c r="M262" s="755"/>
      <c r="N262" s="421"/>
    </row>
    <row r="263" spans="1:14" x14ac:dyDescent="0.2">
      <c r="K263" s="755"/>
      <c r="L263" s="755"/>
      <c r="M263" s="755"/>
      <c r="N263" s="421"/>
    </row>
    <row r="264" spans="1:14" x14ac:dyDescent="0.2">
      <c r="K264" s="755"/>
      <c r="L264" s="755"/>
      <c r="M264" s="755"/>
      <c r="N264" s="421"/>
    </row>
    <row r="265" spans="1:14" x14ac:dyDescent="0.2">
      <c r="K265" s="755"/>
      <c r="L265" s="755"/>
      <c r="M265" s="755"/>
      <c r="N265" s="421"/>
    </row>
    <row r="266" spans="1:14" x14ac:dyDescent="0.2">
      <c r="K266" s="755"/>
      <c r="L266" s="755"/>
      <c r="M266" s="755"/>
      <c r="N266" s="421"/>
    </row>
    <row r="267" spans="1:14" x14ac:dyDescent="0.2">
      <c r="K267" s="755"/>
      <c r="L267" s="755"/>
      <c r="M267" s="755"/>
      <c r="N267" s="421"/>
    </row>
    <row r="268" spans="1:14" s="504" customFormat="1" ht="13.5" thickBot="1" x14ac:dyDescent="0.25">
      <c r="A268" s="421" t="s">
        <v>31</v>
      </c>
      <c r="B268" s="598"/>
      <c r="D268" s="670"/>
      <c r="F268" s="467"/>
      <c r="G268" s="467"/>
      <c r="H268" s="467"/>
      <c r="I268" s="792" t="s">
        <v>148</v>
      </c>
    </row>
    <row r="269" spans="1:14" s="106" customFormat="1" ht="20.25" customHeight="1" thickTop="1" thickBot="1" x14ac:dyDescent="0.25">
      <c r="A269" s="626" t="s">
        <v>565</v>
      </c>
      <c r="B269" s="628" t="s">
        <v>149</v>
      </c>
      <c r="C269" s="627" t="s">
        <v>150</v>
      </c>
      <c r="D269" s="589" t="s">
        <v>639</v>
      </c>
      <c r="E269" s="629" t="s">
        <v>151</v>
      </c>
      <c r="F269" s="629" t="s">
        <v>152</v>
      </c>
      <c r="G269" s="629" t="s">
        <v>796</v>
      </c>
      <c r="H269" s="629" t="s">
        <v>797</v>
      </c>
      <c r="I269" s="674" t="s">
        <v>798</v>
      </c>
    </row>
    <row r="270" spans="1:14" s="375" customFormat="1" ht="13.5" thickTop="1" thickBot="1" x14ac:dyDescent="0.25">
      <c r="A270" s="974">
        <v>1</v>
      </c>
      <c r="B270" s="975">
        <v>2</v>
      </c>
      <c r="C270" s="975">
        <v>3</v>
      </c>
      <c r="D270" s="975">
        <v>4</v>
      </c>
      <c r="E270" s="526">
        <v>5</v>
      </c>
      <c r="F270" s="976">
        <v>6</v>
      </c>
      <c r="G270" s="976">
        <v>7</v>
      </c>
      <c r="H270" s="977">
        <v>8</v>
      </c>
      <c r="I270" s="978" t="s">
        <v>689</v>
      </c>
    </row>
    <row r="271" spans="1:14" s="504" customFormat="1" ht="16.5" thickTop="1" thickBot="1" x14ac:dyDescent="0.3">
      <c r="A271" s="986">
        <v>60001100234</v>
      </c>
      <c r="B271" s="809">
        <v>3114</v>
      </c>
      <c r="C271" s="987">
        <v>5171</v>
      </c>
      <c r="D271" s="810">
        <v>10</v>
      </c>
      <c r="E271" s="981" t="s">
        <v>811</v>
      </c>
      <c r="F271" s="736"/>
      <c r="G271" s="989">
        <v>1345</v>
      </c>
      <c r="H271" s="736">
        <v>1343</v>
      </c>
      <c r="I271" s="990">
        <f>(H271/G271)*100</f>
        <v>99.851301115241625</v>
      </c>
    </row>
    <row r="272" spans="1:14" s="504" customFormat="1" ht="18" customHeight="1" thickTop="1" thickBot="1" x14ac:dyDescent="0.3">
      <c r="A272" s="3110" t="s">
        <v>225</v>
      </c>
      <c r="B272" s="3111"/>
      <c r="C272" s="3111"/>
      <c r="D272" s="3111"/>
      <c r="E272" s="3111"/>
      <c r="F272" s="725">
        <f>F271</f>
        <v>0</v>
      </c>
      <c r="G272" s="725">
        <f>G271</f>
        <v>1345</v>
      </c>
      <c r="H272" s="725">
        <f>H271</f>
        <v>1343</v>
      </c>
      <c r="I272" s="710">
        <f>(H272/G272)*100</f>
        <v>99.851301115241625</v>
      </c>
    </row>
    <row r="273" spans="1:14" ht="13.5" thickTop="1" x14ac:dyDescent="0.2">
      <c r="K273" s="755"/>
      <c r="L273" s="755"/>
      <c r="M273" s="755"/>
      <c r="N273" s="421"/>
    </row>
    <row r="274" spans="1:14" x14ac:dyDescent="0.2">
      <c r="K274" s="755"/>
      <c r="L274" s="755"/>
      <c r="M274" s="755"/>
      <c r="N274" s="421"/>
    </row>
    <row r="275" spans="1:14" s="504" customFormat="1" ht="13.5" thickBot="1" x14ac:dyDescent="0.25">
      <c r="A275" s="421" t="s">
        <v>399</v>
      </c>
      <c r="B275" s="598"/>
      <c r="D275" s="670"/>
      <c r="F275" s="467"/>
      <c r="G275" s="467"/>
      <c r="H275" s="467"/>
      <c r="I275" s="792" t="s">
        <v>148</v>
      </c>
    </row>
    <row r="276" spans="1:14" s="106" customFormat="1" ht="20.25" customHeight="1" thickTop="1" thickBot="1" x14ac:dyDescent="0.25">
      <c r="A276" s="626" t="s">
        <v>565</v>
      </c>
      <c r="B276" s="628" t="s">
        <v>149</v>
      </c>
      <c r="C276" s="627" t="s">
        <v>150</v>
      </c>
      <c r="D276" s="589" t="s">
        <v>639</v>
      </c>
      <c r="E276" s="629" t="s">
        <v>151</v>
      </c>
      <c r="F276" s="629" t="s">
        <v>152</v>
      </c>
      <c r="G276" s="629" t="s">
        <v>796</v>
      </c>
      <c r="H276" s="629" t="s">
        <v>797</v>
      </c>
      <c r="I276" s="674" t="s">
        <v>798</v>
      </c>
    </row>
    <row r="277" spans="1:14" s="375" customFormat="1" ht="13.5" thickTop="1" thickBot="1" x14ac:dyDescent="0.25">
      <c r="A277" s="974">
        <v>1</v>
      </c>
      <c r="B277" s="975">
        <v>2</v>
      </c>
      <c r="C277" s="975">
        <v>3</v>
      </c>
      <c r="D277" s="975">
        <v>4</v>
      </c>
      <c r="E277" s="526">
        <v>5</v>
      </c>
      <c r="F277" s="976">
        <v>6</v>
      </c>
      <c r="G277" s="976">
        <v>7</v>
      </c>
      <c r="H277" s="977">
        <v>8</v>
      </c>
      <c r="I277" s="978" t="s">
        <v>689</v>
      </c>
    </row>
    <row r="278" spans="1:14" s="504" customFormat="1" ht="16.5" thickTop="1" thickBot="1" x14ac:dyDescent="0.3">
      <c r="A278" s="986">
        <v>60001100235</v>
      </c>
      <c r="B278" s="809">
        <v>3122</v>
      </c>
      <c r="C278" s="987">
        <v>5171</v>
      </c>
      <c r="D278" s="810">
        <v>10</v>
      </c>
      <c r="E278" s="981" t="s">
        <v>811</v>
      </c>
      <c r="F278" s="736"/>
      <c r="G278" s="989">
        <v>4928</v>
      </c>
      <c r="H278" s="736">
        <v>4928</v>
      </c>
      <c r="I278" s="990">
        <f>(H278/G278)*100</f>
        <v>100</v>
      </c>
    </row>
    <row r="279" spans="1:14" s="504" customFormat="1" ht="18" customHeight="1" thickTop="1" thickBot="1" x14ac:dyDescent="0.3">
      <c r="A279" s="3110" t="s">
        <v>225</v>
      </c>
      <c r="B279" s="3111"/>
      <c r="C279" s="3111"/>
      <c r="D279" s="3111"/>
      <c r="E279" s="3111"/>
      <c r="F279" s="725">
        <f>F278</f>
        <v>0</v>
      </c>
      <c r="G279" s="725">
        <f>G278</f>
        <v>4928</v>
      </c>
      <c r="H279" s="725">
        <f>H278</f>
        <v>4928</v>
      </c>
      <c r="I279" s="710">
        <f>(H279/G279)*100</f>
        <v>100</v>
      </c>
    </row>
    <row r="280" spans="1:14" ht="13.5" thickTop="1" x14ac:dyDescent="0.2">
      <c r="K280" s="755"/>
      <c r="L280" s="755"/>
      <c r="M280" s="755"/>
      <c r="N280" s="421"/>
    </row>
    <row r="281" spans="1:14" x14ac:dyDescent="0.2">
      <c r="K281" s="755"/>
      <c r="L281" s="755"/>
      <c r="M281" s="755"/>
      <c r="N281" s="421"/>
    </row>
    <row r="282" spans="1:14" s="504" customFormat="1" ht="13.5" thickBot="1" x14ac:dyDescent="0.25">
      <c r="A282" s="421" t="s">
        <v>739</v>
      </c>
      <c r="B282" s="598"/>
      <c r="D282" s="670"/>
      <c r="F282" s="467"/>
      <c r="G282" s="467"/>
      <c r="H282" s="467"/>
      <c r="I282" s="792" t="s">
        <v>148</v>
      </c>
    </row>
    <row r="283" spans="1:14" s="106" customFormat="1" ht="20.25" customHeight="1" thickTop="1" thickBot="1" x14ac:dyDescent="0.25">
      <c r="A283" s="626" t="s">
        <v>565</v>
      </c>
      <c r="B283" s="628" t="s">
        <v>149</v>
      </c>
      <c r="C283" s="627" t="s">
        <v>150</v>
      </c>
      <c r="D283" s="589" t="s">
        <v>639</v>
      </c>
      <c r="E283" s="629" t="s">
        <v>151</v>
      </c>
      <c r="F283" s="629" t="s">
        <v>152</v>
      </c>
      <c r="G283" s="629" t="s">
        <v>796</v>
      </c>
      <c r="H283" s="629" t="s">
        <v>797</v>
      </c>
      <c r="I283" s="674" t="s">
        <v>798</v>
      </c>
    </row>
    <row r="284" spans="1:14" s="375" customFormat="1" ht="13.5" thickTop="1" thickBot="1" x14ac:dyDescent="0.25">
      <c r="A284" s="974">
        <v>1</v>
      </c>
      <c r="B284" s="975">
        <v>2</v>
      </c>
      <c r="C284" s="975">
        <v>3</v>
      </c>
      <c r="D284" s="975">
        <v>4</v>
      </c>
      <c r="E284" s="526">
        <v>5</v>
      </c>
      <c r="F284" s="976">
        <v>6</v>
      </c>
      <c r="G284" s="976">
        <v>7</v>
      </c>
      <c r="H284" s="977">
        <v>8</v>
      </c>
      <c r="I284" s="978" t="s">
        <v>689</v>
      </c>
    </row>
    <row r="285" spans="1:14" s="504" customFormat="1" ht="16.5" thickTop="1" thickBot="1" x14ac:dyDescent="0.3">
      <c r="A285" s="986">
        <v>60001100236</v>
      </c>
      <c r="B285" s="809">
        <v>3114</v>
      </c>
      <c r="C285" s="987">
        <v>5171</v>
      </c>
      <c r="D285" s="810">
        <v>10</v>
      </c>
      <c r="E285" s="981" t="s">
        <v>811</v>
      </c>
      <c r="F285" s="736"/>
      <c r="G285" s="989">
        <v>792</v>
      </c>
      <c r="H285" s="736">
        <v>619</v>
      </c>
      <c r="I285" s="990">
        <f>(H285/G285)*100</f>
        <v>78.156565656565661</v>
      </c>
    </row>
    <row r="286" spans="1:14" s="504" customFormat="1" ht="18" customHeight="1" thickTop="1" thickBot="1" x14ac:dyDescent="0.3">
      <c r="A286" s="3110" t="s">
        <v>225</v>
      </c>
      <c r="B286" s="3111"/>
      <c r="C286" s="3111"/>
      <c r="D286" s="3111"/>
      <c r="E286" s="3111"/>
      <c r="F286" s="725">
        <f>F285</f>
        <v>0</v>
      </c>
      <c r="G286" s="725">
        <f>G285</f>
        <v>792</v>
      </c>
      <c r="H286" s="725">
        <f>H285</f>
        <v>619</v>
      </c>
      <c r="I286" s="710">
        <f>(H286/G286)*100</f>
        <v>78.156565656565661</v>
      </c>
    </row>
    <row r="287" spans="1:14" ht="13.5" thickTop="1" x14ac:dyDescent="0.2">
      <c r="K287" s="755"/>
      <c r="L287" s="755"/>
      <c r="M287" s="755"/>
      <c r="N287" s="421"/>
    </row>
    <row r="288" spans="1:14" x14ac:dyDescent="0.2">
      <c r="K288" s="755"/>
      <c r="L288" s="755"/>
      <c r="M288" s="755"/>
      <c r="N288" s="421"/>
    </row>
    <row r="289" spans="1:14" x14ac:dyDescent="0.2">
      <c r="K289" s="755"/>
      <c r="L289" s="755"/>
      <c r="M289" s="755"/>
      <c r="N289" s="421"/>
    </row>
    <row r="290" spans="1:14" ht="13.5" thickBot="1" x14ac:dyDescent="0.25">
      <c r="A290" s="1038" t="s">
        <v>740</v>
      </c>
      <c r="B290" s="1039"/>
      <c r="C290" s="1039"/>
      <c r="D290" s="1039"/>
      <c r="E290" s="1039"/>
      <c r="F290" s="1039"/>
      <c r="G290" s="1039"/>
      <c r="H290" s="1039"/>
      <c r="I290" s="797" t="s">
        <v>148</v>
      </c>
    </row>
    <row r="291" spans="1:14" s="106" customFormat="1" ht="20.25" customHeight="1" thickTop="1" thickBot="1" x14ac:dyDescent="0.25">
      <c r="A291" s="626" t="s">
        <v>565</v>
      </c>
      <c r="B291" s="628" t="s">
        <v>149</v>
      </c>
      <c r="C291" s="627" t="s">
        <v>150</v>
      </c>
      <c r="D291" s="589" t="s">
        <v>639</v>
      </c>
      <c r="E291" s="629" t="s">
        <v>151</v>
      </c>
      <c r="F291" s="629" t="s">
        <v>152</v>
      </c>
      <c r="G291" s="629" t="s">
        <v>796</v>
      </c>
      <c r="H291" s="629" t="s">
        <v>797</v>
      </c>
      <c r="I291" s="674" t="s">
        <v>798</v>
      </c>
    </row>
    <row r="292" spans="1:14" s="375" customFormat="1" ht="13.5" thickTop="1" thickBot="1" x14ac:dyDescent="0.25">
      <c r="A292" s="974">
        <v>1</v>
      </c>
      <c r="B292" s="975">
        <v>2</v>
      </c>
      <c r="C292" s="975">
        <v>3</v>
      </c>
      <c r="D292" s="975">
        <v>4</v>
      </c>
      <c r="E292" s="526">
        <v>5</v>
      </c>
      <c r="F292" s="976">
        <v>6</v>
      </c>
      <c r="G292" s="976">
        <v>7</v>
      </c>
      <c r="H292" s="977">
        <v>8</v>
      </c>
      <c r="I292" s="978" t="s">
        <v>689</v>
      </c>
    </row>
    <row r="293" spans="1:14" s="504" customFormat="1" ht="16.5" thickTop="1" thickBot="1" x14ac:dyDescent="0.3">
      <c r="A293" s="986">
        <v>60001100237</v>
      </c>
      <c r="B293" s="809">
        <v>3122</v>
      </c>
      <c r="C293" s="987">
        <v>6121</v>
      </c>
      <c r="D293" s="810">
        <v>10</v>
      </c>
      <c r="E293" s="988" t="s">
        <v>548</v>
      </c>
      <c r="F293" s="736"/>
      <c r="G293" s="989">
        <v>1201</v>
      </c>
      <c r="H293" s="736">
        <v>1200</v>
      </c>
      <c r="I293" s="990">
        <f>(H293/G293)*100</f>
        <v>99.916736053288929</v>
      </c>
    </row>
    <row r="294" spans="1:14" s="504" customFormat="1" ht="18" customHeight="1" thickTop="1" thickBot="1" x14ac:dyDescent="0.3">
      <c r="A294" s="3127" t="s">
        <v>224</v>
      </c>
      <c r="B294" s="3126"/>
      <c r="C294" s="3126"/>
      <c r="D294" s="3126"/>
      <c r="E294" s="3126"/>
      <c r="F294" s="725">
        <f>F293</f>
        <v>0</v>
      </c>
      <c r="G294" s="725">
        <f>G293</f>
        <v>1201</v>
      </c>
      <c r="H294" s="725">
        <f>H293</f>
        <v>1200</v>
      </c>
      <c r="I294" s="710">
        <f>(H294/G294)*100</f>
        <v>99.916736053288929</v>
      </c>
    </row>
    <row r="295" spans="1:14" ht="13.5" thickTop="1" x14ac:dyDescent="0.2">
      <c r="K295" s="755"/>
      <c r="L295" s="755"/>
      <c r="M295" s="755"/>
      <c r="N295" s="421"/>
    </row>
    <row r="296" spans="1:14" x14ac:dyDescent="0.2">
      <c r="K296" s="755"/>
      <c r="L296" s="755"/>
      <c r="M296" s="755"/>
      <c r="N296" s="421"/>
    </row>
    <row r="297" spans="1:14" s="504" customFormat="1" ht="13.5" thickBot="1" x14ac:dyDescent="0.25">
      <c r="A297" s="421" t="s">
        <v>741</v>
      </c>
      <c r="B297" s="598"/>
      <c r="D297" s="670"/>
      <c r="F297" s="467"/>
      <c r="G297" s="467"/>
      <c r="H297" s="467"/>
      <c r="I297" s="792" t="s">
        <v>148</v>
      </c>
    </row>
    <row r="298" spans="1:14" s="106" customFormat="1" ht="20.25" customHeight="1" thickTop="1" thickBot="1" x14ac:dyDescent="0.25">
      <c r="A298" s="626" t="s">
        <v>565</v>
      </c>
      <c r="B298" s="628" t="s">
        <v>149</v>
      </c>
      <c r="C298" s="627" t="s">
        <v>150</v>
      </c>
      <c r="D298" s="589" t="s">
        <v>639</v>
      </c>
      <c r="E298" s="629" t="s">
        <v>151</v>
      </c>
      <c r="F298" s="629" t="s">
        <v>152</v>
      </c>
      <c r="G298" s="629" t="s">
        <v>796</v>
      </c>
      <c r="H298" s="629" t="s">
        <v>797</v>
      </c>
      <c r="I298" s="674" t="s">
        <v>798</v>
      </c>
    </row>
    <row r="299" spans="1:14" s="375" customFormat="1" ht="13.5" thickTop="1" thickBot="1" x14ac:dyDescent="0.25">
      <c r="A299" s="974">
        <v>1</v>
      </c>
      <c r="B299" s="975">
        <v>2</v>
      </c>
      <c r="C299" s="975">
        <v>3</v>
      </c>
      <c r="D299" s="975">
        <v>4</v>
      </c>
      <c r="E299" s="526">
        <v>5</v>
      </c>
      <c r="F299" s="976">
        <v>6</v>
      </c>
      <c r="G299" s="976">
        <v>7</v>
      </c>
      <c r="H299" s="977">
        <v>8</v>
      </c>
      <c r="I299" s="978" t="s">
        <v>689</v>
      </c>
    </row>
    <row r="300" spans="1:14" s="504" customFormat="1" ht="16.5" thickTop="1" thickBot="1" x14ac:dyDescent="0.3">
      <c r="A300" s="986">
        <v>60001100238</v>
      </c>
      <c r="B300" s="809">
        <v>3122</v>
      </c>
      <c r="C300" s="987">
        <v>5171</v>
      </c>
      <c r="D300" s="810">
        <v>10</v>
      </c>
      <c r="E300" s="981" t="s">
        <v>811</v>
      </c>
      <c r="F300" s="736"/>
      <c r="G300" s="989">
        <v>665</v>
      </c>
      <c r="H300" s="736">
        <v>665</v>
      </c>
      <c r="I300" s="990">
        <f>(H300/G300)*100</f>
        <v>100</v>
      </c>
    </row>
    <row r="301" spans="1:14" s="504" customFormat="1" ht="18" customHeight="1" thickTop="1" thickBot="1" x14ac:dyDescent="0.3">
      <c r="A301" s="3110" t="s">
        <v>225</v>
      </c>
      <c r="B301" s="3111"/>
      <c r="C301" s="3111"/>
      <c r="D301" s="3111"/>
      <c r="E301" s="3111"/>
      <c r="F301" s="725">
        <f>F300</f>
        <v>0</v>
      </c>
      <c r="G301" s="725">
        <f>G300</f>
        <v>665</v>
      </c>
      <c r="H301" s="725">
        <f>H300</f>
        <v>665</v>
      </c>
      <c r="I301" s="710">
        <f>(H301/G301)*100</f>
        <v>100</v>
      </c>
    </row>
    <row r="302" spans="1:14" ht="13.5" thickTop="1" x14ac:dyDescent="0.2">
      <c r="K302" s="755"/>
      <c r="L302" s="755"/>
      <c r="M302" s="755"/>
      <c r="N302" s="421"/>
    </row>
    <row r="303" spans="1:14" x14ac:dyDescent="0.2">
      <c r="K303" s="755"/>
      <c r="L303" s="755"/>
      <c r="M303" s="755"/>
      <c r="N303" s="421"/>
    </row>
    <row r="304" spans="1:14" s="504" customFormat="1" ht="13.5" thickBot="1" x14ac:dyDescent="0.25">
      <c r="A304" s="421" t="s">
        <v>742</v>
      </c>
      <c r="B304" s="598"/>
      <c r="D304" s="670"/>
      <c r="F304" s="467"/>
      <c r="G304" s="467"/>
      <c r="H304" s="467"/>
      <c r="I304" s="792" t="s">
        <v>148</v>
      </c>
    </row>
    <row r="305" spans="1:14" s="106" customFormat="1" ht="20.25" customHeight="1" thickTop="1" thickBot="1" x14ac:dyDescent="0.25">
      <c r="A305" s="626" t="s">
        <v>565</v>
      </c>
      <c r="B305" s="628" t="s">
        <v>149</v>
      </c>
      <c r="C305" s="627" t="s">
        <v>150</v>
      </c>
      <c r="D305" s="589" t="s">
        <v>639</v>
      </c>
      <c r="E305" s="629" t="s">
        <v>151</v>
      </c>
      <c r="F305" s="629" t="s">
        <v>152</v>
      </c>
      <c r="G305" s="629" t="s">
        <v>796</v>
      </c>
      <c r="H305" s="629" t="s">
        <v>797</v>
      </c>
      <c r="I305" s="674" t="s">
        <v>798</v>
      </c>
    </row>
    <row r="306" spans="1:14" s="375" customFormat="1" ht="13.5" thickTop="1" thickBot="1" x14ac:dyDescent="0.25">
      <c r="A306" s="974">
        <v>1</v>
      </c>
      <c r="B306" s="975">
        <v>2</v>
      </c>
      <c r="C306" s="975">
        <v>3</v>
      </c>
      <c r="D306" s="975">
        <v>4</v>
      </c>
      <c r="E306" s="526">
        <v>5</v>
      </c>
      <c r="F306" s="976">
        <v>6</v>
      </c>
      <c r="G306" s="976">
        <v>7</v>
      </c>
      <c r="H306" s="977">
        <v>8</v>
      </c>
      <c r="I306" s="978" t="s">
        <v>689</v>
      </c>
    </row>
    <row r="307" spans="1:14" s="504" customFormat="1" ht="16.5" thickTop="1" thickBot="1" x14ac:dyDescent="0.3">
      <c r="A307" s="986">
        <v>60001100239</v>
      </c>
      <c r="B307" s="809">
        <v>3122</v>
      </c>
      <c r="C307" s="987">
        <v>5171</v>
      </c>
      <c r="D307" s="810">
        <v>10</v>
      </c>
      <c r="E307" s="981" t="s">
        <v>811</v>
      </c>
      <c r="F307" s="736"/>
      <c r="G307" s="989">
        <v>590</v>
      </c>
      <c r="H307" s="736">
        <v>590</v>
      </c>
      <c r="I307" s="990">
        <f>(H307/G307)*100</f>
        <v>100</v>
      </c>
    </row>
    <row r="308" spans="1:14" s="504" customFormat="1" ht="18" customHeight="1" thickTop="1" thickBot="1" x14ac:dyDescent="0.3">
      <c r="A308" s="3110" t="s">
        <v>225</v>
      </c>
      <c r="B308" s="3111"/>
      <c r="C308" s="3111"/>
      <c r="D308" s="3111"/>
      <c r="E308" s="3111"/>
      <c r="F308" s="725">
        <f>F307</f>
        <v>0</v>
      </c>
      <c r="G308" s="725">
        <f>G307</f>
        <v>590</v>
      </c>
      <c r="H308" s="725">
        <f>H307</f>
        <v>590</v>
      </c>
      <c r="I308" s="710">
        <f>(H308/G308)*100</f>
        <v>100</v>
      </c>
    </row>
    <row r="309" spans="1:14" ht="13.5" thickTop="1" x14ac:dyDescent="0.2">
      <c r="K309" s="755"/>
      <c r="L309" s="755"/>
      <c r="M309" s="755"/>
      <c r="N309" s="421"/>
    </row>
    <row r="310" spans="1:14" x14ac:dyDescent="0.2">
      <c r="K310" s="755"/>
      <c r="L310" s="755"/>
      <c r="M310" s="755"/>
      <c r="N310" s="421"/>
    </row>
    <row r="311" spans="1:14" s="504" customFormat="1" ht="13.5" thickBot="1" x14ac:dyDescent="0.25">
      <c r="A311" s="421" t="s">
        <v>69</v>
      </c>
      <c r="B311" s="598"/>
      <c r="D311" s="670"/>
      <c r="F311" s="467"/>
      <c r="G311" s="467"/>
      <c r="H311" s="467"/>
      <c r="I311" s="792" t="s">
        <v>148</v>
      </c>
    </row>
    <row r="312" spans="1:14" s="106" customFormat="1" ht="20.25" customHeight="1" thickTop="1" thickBot="1" x14ac:dyDescent="0.25">
      <c r="A312" s="626" t="s">
        <v>565</v>
      </c>
      <c r="B312" s="628" t="s">
        <v>149</v>
      </c>
      <c r="C312" s="627" t="s">
        <v>150</v>
      </c>
      <c r="D312" s="589" t="s">
        <v>639</v>
      </c>
      <c r="E312" s="629" t="s">
        <v>151</v>
      </c>
      <c r="F312" s="629" t="s">
        <v>152</v>
      </c>
      <c r="G312" s="629" t="s">
        <v>796</v>
      </c>
      <c r="H312" s="629" t="s">
        <v>797</v>
      </c>
      <c r="I312" s="674" t="s">
        <v>798</v>
      </c>
    </row>
    <row r="313" spans="1:14" s="375" customFormat="1" ht="13.5" thickTop="1" thickBot="1" x14ac:dyDescent="0.25">
      <c r="A313" s="974">
        <v>1</v>
      </c>
      <c r="B313" s="975">
        <v>2</v>
      </c>
      <c r="C313" s="975">
        <v>3</v>
      </c>
      <c r="D313" s="975">
        <v>4</v>
      </c>
      <c r="E313" s="526">
        <v>5</v>
      </c>
      <c r="F313" s="976">
        <v>6</v>
      </c>
      <c r="G313" s="976">
        <v>7</v>
      </c>
      <c r="H313" s="977">
        <v>8</v>
      </c>
      <c r="I313" s="978" t="s">
        <v>689</v>
      </c>
    </row>
    <row r="314" spans="1:14" s="504" customFormat="1" ht="16.5" thickTop="1" thickBot="1" x14ac:dyDescent="0.3">
      <c r="A314" s="986">
        <v>60001100240</v>
      </c>
      <c r="B314" s="809">
        <v>3122</v>
      </c>
      <c r="C314" s="987">
        <v>5171</v>
      </c>
      <c r="D314" s="810">
        <v>10</v>
      </c>
      <c r="E314" s="981" t="s">
        <v>811</v>
      </c>
      <c r="F314" s="736"/>
      <c r="G314" s="989">
        <v>1252</v>
      </c>
      <c r="H314" s="736">
        <v>1252</v>
      </c>
      <c r="I314" s="990">
        <f>(H314/G314)*100</f>
        <v>100</v>
      </c>
    </row>
    <row r="315" spans="1:14" s="504" customFormat="1" ht="18" customHeight="1" thickTop="1" thickBot="1" x14ac:dyDescent="0.3">
      <c r="A315" s="3110" t="s">
        <v>225</v>
      </c>
      <c r="B315" s="3111"/>
      <c r="C315" s="3111"/>
      <c r="D315" s="3111"/>
      <c r="E315" s="3111"/>
      <c r="F315" s="725">
        <f>F314</f>
        <v>0</v>
      </c>
      <c r="G315" s="725">
        <f>G314</f>
        <v>1252</v>
      </c>
      <c r="H315" s="725">
        <f>H314</f>
        <v>1252</v>
      </c>
      <c r="I315" s="710">
        <f>(H315/G315)*100</f>
        <v>100</v>
      </c>
    </row>
    <row r="316" spans="1:14" ht="13.5" thickTop="1" x14ac:dyDescent="0.2">
      <c r="K316" s="755"/>
      <c r="L316" s="755"/>
      <c r="M316" s="755"/>
      <c r="N316" s="421"/>
    </row>
    <row r="317" spans="1:14" x14ac:dyDescent="0.2">
      <c r="K317" s="755"/>
      <c r="L317" s="755"/>
      <c r="M317" s="755"/>
      <c r="N317" s="421"/>
    </row>
    <row r="318" spans="1:14" s="504" customFormat="1" ht="13.5" thickBot="1" x14ac:dyDescent="0.25">
      <c r="A318" s="421" t="s">
        <v>70</v>
      </c>
      <c r="B318" s="598"/>
      <c r="D318" s="670"/>
      <c r="F318" s="467"/>
      <c r="G318" s="467"/>
      <c r="H318" s="467"/>
      <c r="I318" s="792" t="s">
        <v>148</v>
      </c>
    </row>
    <row r="319" spans="1:14" s="106" customFormat="1" ht="20.25" customHeight="1" thickTop="1" thickBot="1" x14ac:dyDescent="0.25">
      <c r="A319" s="626" t="s">
        <v>565</v>
      </c>
      <c r="B319" s="628" t="s">
        <v>149</v>
      </c>
      <c r="C319" s="627" t="s">
        <v>150</v>
      </c>
      <c r="D319" s="589" t="s">
        <v>639</v>
      </c>
      <c r="E319" s="629" t="s">
        <v>151</v>
      </c>
      <c r="F319" s="629" t="s">
        <v>152</v>
      </c>
      <c r="G319" s="629" t="s">
        <v>796</v>
      </c>
      <c r="H319" s="629" t="s">
        <v>797</v>
      </c>
      <c r="I319" s="674" t="s">
        <v>798</v>
      </c>
    </row>
    <row r="320" spans="1:14" s="375" customFormat="1" ht="13.5" thickTop="1" thickBot="1" x14ac:dyDescent="0.25">
      <c r="A320" s="974">
        <v>1</v>
      </c>
      <c r="B320" s="975">
        <v>2</v>
      </c>
      <c r="C320" s="975">
        <v>3</v>
      </c>
      <c r="D320" s="975">
        <v>4</v>
      </c>
      <c r="E320" s="526">
        <v>5</v>
      </c>
      <c r="F320" s="976">
        <v>6</v>
      </c>
      <c r="G320" s="976">
        <v>7</v>
      </c>
      <c r="H320" s="977">
        <v>8</v>
      </c>
      <c r="I320" s="978" t="s">
        <v>689</v>
      </c>
    </row>
    <row r="321" spans="1:14" s="504" customFormat="1" ht="16.5" thickTop="1" thickBot="1" x14ac:dyDescent="0.3">
      <c r="A321" s="986">
        <v>60001100241</v>
      </c>
      <c r="B321" s="809">
        <v>3122</v>
      </c>
      <c r="C321" s="987">
        <v>5171</v>
      </c>
      <c r="D321" s="810">
        <v>10</v>
      </c>
      <c r="E321" s="981" t="s">
        <v>811</v>
      </c>
      <c r="F321" s="736"/>
      <c r="G321" s="989">
        <v>654</v>
      </c>
      <c r="H321" s="736">
        <v>654</v>
      </c>
      <c r="I321" s="990">
        <f>(H321/G321)*100</f>
        <v>100</v>
      </c>
    </row>
    <row r="322" spans="1:14" s="504" customFormat="1" ht="18" customHeight="1" thickTop="1" thickBot="1" x14ac:dyDescent="0.3">
      <c r="A322" s="3110" t="s">
        <v>225</v>
      </c>
      <c r="B322" s="3111"/>
      <c r="C322" s="3111"/>
      <c r="D322" s="3111"/>
      <c r="E322" s="3111"/>
      <c r="F322" s="725">
        <f>F321</f>
        <v>0</v>
      </c>
      <c r="G322" s="725">
        <f>G321</f>
        <v>654</v>
      </c>
      <c r="H322" s="725">
        <f>H321</f>
        <v>654</v>
      </c>
      <c r="I322" s="710">
        <f>(H322/G322)*100</f>
        <v>100</v>
      </c>
    </row>
    <row r="323" spans="1:14" ht="13.5" thickTop="1" x14ac:dyDescent="0.2">
      <c r="K323" s="755"/>
      <c r="L323" s="755"/>
      <c r="M323" s="755"/>
      <c r="N323" s="421"/>
    </row>
    <row r="324" spans="1:14" x14ac:dyDescent="0.2">
      <c r="K324" s="755"/>
      <c r="L324" s="755"/>
      <c r="M324" s="755"/>
      <c r="N324" s="421"/>
    </row>
    <row r="325" spans="1:14" s="504" customFormat="1" ht="13.5" thickBot="1" x14ac:dyDescent="0.25">
      <c r="A325" s="421" t="s">
        <v>71</v>
      </c>
      <c r="B325" s="598"/>
      <c r="D325" s="670"/>
      <c r="F325" s="467"/>
      <c r="G325" s="467"/>
      <c r="H325" s="467"/>
      <c r="I325" s="792" t="s">
        <v>148</v>
      </c>
    </row>
    <row r="326" spans="1:14" s="106" customFormat="1" ht="20.25" customHeight="1" thickTop="1" thickBot="1" x14ac:dyDescent="0.25">
      <c r="A326" s="626" t="s">
        <v>565</v>
      </c>
      <c r="B326" s="628" t="s">
        <v>149</v>
      </c>
      <c r="C326" s="627" t="s">
        <v>150</v>
      </c>
      <c r="D326" s="589" t="s">
        <v>639</v>
      </c>
      <c r="E326" s="629" t="s">
        <v>151</v>
      </c>
      <c r="F326" s="629" t="s">
        <v>152</v>
      </c>
      <c r="G326" s="629" t="s">
        <v>796</v>
      </c>
      <c r="H326" s="629" t="s">
        <v>797</v>
      </c>
      <c r="I326" s="674" t="s">
        <v>798</v>
      </c>
    </row>
    <row r="327" spans="1:14" s="375" customFormat="1" ht="13.5" thickTop="1" thickBot="1" x14ac:dyDescent="0.25">
      <c r="A327" s="974">
        <v>1</v>
      </c>
      <c r="B327" s="975">
        <v>2</v>
      </c>
      <c r="C327" s="975">
        <v>3</v>
      </c>
      <c r="D327" s="975">
        <v>4</v>
      </c>
      <c r="E327" s="526">
        <v>5</v>
      </c>
      <c r="F327" s="976">
        <v>6</v>
      </c>
      <c r="G327" s="976">
        <v>7</v>
      </c>
      <c r="H327" s="977">
        <v>8</v>
      </c>
      <c r="I327" s="978" t="s">
        <v>689</v>
      </c>
    </row>
    <row r="328" spans="1:14" s="504" customFormat="1" ht="16.5" thickTop="1" thickBot="1" x14ac:dyDescent="0.3">
      <c r="A328" s="986">
        <v>60001100242</v>
      </c>
      <c r="B328" s="809">
        <v>3122</v>
      </c>
      <c r="C328" s="987">
        <v>5171</v>
      </c>
      <c r="D328" s="810">
        <v>10</v>
      </c>
      <c r="E328" s="981" t="s">
        <v>811</v>
      </c>
      <c r="F328" s="736"/>
      <c r="G328" s="989">
        <v>1309</v>
      </c>
      <c r="H328" s="736">
        <v>1308</v>
      </c>
      <c r="I328" s="990">
        <f>(H328/G328)*100</f>
        <v>99.923605805958744</v>
      </c>
    </row>
    <row r="329" spans="1:14" s="504" customFormat="1" ht="18" customHeight="1" thickTop="1" thickBot="1" x14ac:dyDescent="0.3">
      <c r="A329" s="3110" t="s">
        <v>225</v>
      </c>
      <c r="B329" s="3111"/>
      <c r="C329" s="3111"/>
      <c r="D329" s="3111"/>
      <c r="E329" s="3111"/>
      <c r="F329" s="725">
        <f>F328</f>
        <v>0</v>
      </c>
      <c r="G329" s="725">
        <f>G328</f>
        <v>1309</v>
      </c>
      <c r="H329" s="725">
        <f>H328</f>
        <v>1308</v>
      </c>
      <c r="I329" s="710">
        <f>(H329/G329)*100</f>
        <v>99.923605805958744</v>
      </c>
    </row>
    <row r="330" spans="1:14" ht="13.5" thickTop="1" x14ac:dyDescent="0.2">
      <c r="K330" s="755"/>
      <c r="L330" s="755"/>
      <c r="M330" s="755"/>
      <c r="N330" s="421"/>
    </row>
    <row r="331" spans="1:14" x14ac:dyDescent="0.2">
      <c r="K331" s="755"/>
      <c r="L331" s="755"/>
      <c r="M331" s="755"/>
      <c r="N331" s="421"/>
    </row>
    <row r="332" spans="1:14" x14ac:dyDescent="0.2">
      <c r="K332" s="755"/>
      <c r="L332" s="755"/>
      <c r="M332" s="755"/>
      <c r="N332" s="421"/>
    </row>
    <row r="333" spans="1:14" x14ac:dyDescent="0.2">
      <c r="K333" s="755"/>
      <c r="L333" s="755"/>
      <c r="M333" s="755"/>
      <c r="N333" s="421"/>
    </row>
    <row r="334" spans="1:14" x14ac:dyDescent="0.2">
      <c r="K334" s="755"/>
      <c r="L334" s="755"/>
      <c r="M334" s="755"/>
      <c r="N334" s="421"/>
    </row>
    <row r="335" spans="1:14" s="504" customFormat="1" ht="13.5" thickBot="1" x14ac:dyDescent="0.25">
      <c r="A335" s="421" t="s">
        <v>950</v>
      </c>
      <c r="B335" s="598"/>
      <c r="D335" s="670"/>
      <c r="F335" s="467"/>
      <c r="G335" s="467"/>
      <c r="H335" s="467"/>
      <c r="I335" s="792" t="s">
        <v>148</v>
      </c>
    </row>
    <row r="336" spans="1:14" s="106" customFormat="1" ht="20.25" customHeight="1" thickTop="1" thickBot="1" x14ac:dyDescent="0.25">
      <c r="A336" s="626" t="s">
        <v>565</v>
      </c>
      <c r="B336" s="628" t="s">
        <v>149</v>
      </c>
      <c r="C336" s="627" t="s">
        <v>150</v>
      </c>
      <c r="D336" s="589" t="s">
        <v>639</v>
      </c>
      <c r="E336" s="629" t="s">
        <v>151</v>
      </c>
      <c r="F336" s="629" t="s">
        <v>152</v>
      </c>
      <c r="G336" s="629" t="s">
        <v>796</v>
      </c>
      <c r="H336" s="629" t="s">
        <v>797</v>
      </c>
      <c r="I336" s="674" t="s">
        <v>798</v>
      </c>
    </row>
    <row r="337" spans="1:14" s="375" customFormat="1" ht="13.5" thickTop="1" thickBot="1" x14ac:dyDescent="0.25">
      <c r="A337" s="974">
        <v>1</v>
      </c>
      <c r="B337" s="975">
        <v>2</v>
      </c>
      <c r="C337" s="975">
        <v>3</v>
      </c>
      <c r="D337" s="975">
        <v>4</v>
      </c>
      <c r="E337" s="526">
        <v>5</v>
      </c>
      <c r="F337" s="976">
        <v>6</v>
      </c>
      <c r="G337" s="976">
        <v>7</v>
      </c>
      <c r="H337" s="977">
        <v>8</v>
      </c>
      <c r="I337" s="978" t="s">
        <v>689</v>
      </c>
    </row>
    <row r="338" spans="1:14" s="504" customFormat="1" ht="16.5" thickTop="1" thickBot="1" x14ac:dyDescent="0.3">
      <c r="A338" s="986">
        <v>60001100243</v>
      </c>
      <c r="B338" s="809">
        <v>3121</v>
      </c>
      <c r="C338" s="987">
        <v>5171</v>
      </c>
      <c r="D338" s="810">
        <v>10</v>
      </c>
      <c r="E338" s="981" t="s">
        <v>811</v>
      </c>
      <c r="F338" s="736"/>
      <c r="G338" s="989">
        <v>93</v>
      </c>
      <c r="H338" s="736">
        <v>92</v>
      </c>
      <c r="I338" s="990">
        <f>(H338/G338)*100</f>
        <v>98.924731182795696</v>
      </c>
    </row>
    <row r="339" spans="1:14" s="504" customFormat="1" ht="18" customHeight="1" thickTop="1" thickBot="1" x14ac:dyDescent="0.3">
      <c r="A339" s="3110" t="s">
        <v>225</v>
      </c>
      <c r="B339" s="3111"/>
      <c r="C339" s="3111"/>
      <c r="D339" s="3111"/>
      <c r="E339" s="3111"/>
      <c r="F339" s="725">
        <f>F338</f>
        <v>0</v>
      </c>
      <c r="G339" s="725">
        <f>G338</f>
        <v>93</v>
      </c>
      <c r="H339" s="725">
        <f>H338</f>
        <v>92</v>
      </c>
      <c r="I339" s="710">
        <f>(H339/G339)*100</f>
        <v>98.924731182795696</v>
      </c>
    </row>
    <row r="340" spans="1:14" ht="13.5" thickTop="1" x14ac:dyDescent="0.2">
      <c r="K340" s="755"/>
      <c r="L340" s="755"/>
      <c r="M340" s="755"/>
      <c r="N340" s="421"/>
    </row>
    <row r="341" spans="1:14" x14ac:dyDescent="0.2">
      <c r="K341" s="755"/>
      <c r="L341" s="755"/>
      <c r="M341" s="755"/>
      <c r="N341" s="421"/>
    </row>
    <row r="342" spans="1:14" s="504" customFormat="1" ht="13.5" thickBot="1" x14ac:dyDescent="0.25">
      <c r="A342" s="421" t="s">
        <v>951</v>
      </c>
      <c r="B342" s="598"/>
      <c r="D342" s="670"/>
      <c r="F342" s="467"/>
      <c r="G342" s="467"/>
      <c r="H342" s="467"/>
      <c r="I342" s="792" t="s">
        <v>148</v>
      </c>
    </row>
    <row r="343" spans="1:14" s="106" customFormat="1" ht="20.25" customHeight="1" thickTop="1" thickBot="1" x14ac:dyDescent="0.25">
      <c r="A343" s="626" t="s">
        <v>565</v>
      </c>
      <c r="B343" s="628" t="s">
        <v>149</v>
      </c>
      <c r="C343" s="627" t="s">
        <v>150</v>
      </c>
      <c r="D343" s="589" t="s">
        <v>639</v>
      </c>
      <c r="E343" s="629" t="s">
        <v>151</v>
      </c>
      <c r="F343" s="629" t="s">
        <v>152</v>
      </c>
      <c r="G343" s="629" t="s">
        <v>796</v>
      </c>
      <c r="H343" s="629" t="s">
        <v>797</v>
      </c>
      <c r="I343" s="674" t="s">
        <v>798</v>
      </c>
    </row>
    <row r="344" spans="1:14" s="375" customFormat="1" ht="13.5" thickTop="1" thickBot="1" x14ac:dyDescent="0.25">
      <c r="A344" s="974">
        <v>1</v>
      </c>
      <c r="B344" s="975">
        <v>2</v>
      </c>
      <c r="C344" s="975">
        <v>3</v>
      </c>
      <c r="D344" s="975">
        <v>4</v>
      </c>
      <c r="E344" s="526">
        <v>5</v>
      </c>
      <c r="F344" s="976">
        <v>6</v>
      </c>
      <c r="G344" s="976">
        <v>7</v>
      </c>
      <c r="H344" s="977">
        <v>8</v>
      </c>
      <c r="I344" s="978" t="s">
        <v>689</v>
      </c>
    </row>
    <row r="345" spans="1:14" s="504" customFormat="1" ht="16.5" thickTop="1" thickBot="1" x14ac:dyDescent="0.3">
      <c r="A345" s="986">
        <v>60001100244</v>
      </c>
      <c r="B345" s="809">
        <v>3114</v>
      </c>
      <c r="C345" s="987">
        <v>5171</v>
      </c>
      <c r="D345" s="810">
        <v>10</v>
      </c>
      <c r="E345" s="981" t="s">
        <v>811</v>
      </c>
      <c r="F345" s="736"/>
      <c r="G345" s="989">
        <v>120</v>
      </c>
      <c r="H345" s="736">
        <v>107</v>
      </c>
      <c r="I345" s="990">
        <f>(H345/G345)*100</f>
        <v>89.166666666666671</v>
      </c>
    </row>
    <row r="346" spans="1:14" s="504" customFormat="1" ht="18" customHeight="1" thickTop="1" thickBot="1" x14ac:dyDescent="0.3">
      <c r="A346" s="3110" t="s">
        <v>225</v>
      </c>
      <c r="B346" s="3111"/>
      <c r="C346" s="3111"/>
      <c r="D346" s="3111"/>
      <c r="E346" s="3111"/>
      <c r="F346" s="725">
        <f>F345</f>
        <v>0</v>
      </c>
      <c r="G346" s="725">
        <f>G345</f>
        <v>120</v>
      </c>
      <c r="H346" s="725">
        <f>H345</f>
        <v>107</v>
      </c>
      <c r="I346" s="710">
        <f>(H346/G346)*100</f>
        <v>89.166666666666671</v>
      </c>
    </row>
    <row r="347" spans="1:14" ht="13.5" thickTop="1" x14ac:dyDescent="0.2">
      <c r="K347" s="755"/>
      <c r="L347" s="755"/>
      <c r="M347" s="755"/>
      <c r="N347" s="421"/>
    </row>
    <row r="348" spans="1:14" x14ac:dyDescent="0.2">
      <c r="K348" s="755"/>
      <c r="L348" s="755"/>
      <c r="M348" s="755"/>
      <c r="N348" s="421"/>
    </row>
    <row r="349" spans="1:14" x14ac:dyDescent="0.2">
      <c r="A349" s="3175" t="s">
        <v>419</v>
      </c>
      <c r="B349" s="3176"/>
      <c r="C349" s="3176"/>
      <c r="D349" s="3176"/>
      <c r="E349" s="3176"/>
      <c r="F349" s="3176"/>
      <c r="G349" s="3176"/>
      <c r="H349" s="3176"/>
      <c r="I349" s="792"/>
      <c r="J349" s="504"/>
      <c r="K349" s="755"/>
      <c r="L349" s="755"/>
      <c r="M349" s="755"/>
      <c r="N349" s="421"/>
    </row>
    <row r="350" spans="1:14" s="504" customFormat="1" ht="13.5" thickBot="1" x14ac:dyDescent="0.25">
      <c r="A350" s="3177"/>
      <c r="B350" s="3177"/>
      <c r="C350" s="3177"/>
      <c r="D350" s="3177"/>
      <c r="E350" s="3177"/>
      <c r="F350" s="3177"/>
      <c r="G350" s="3177"/>
      <c r="H350" s="3177"/>
      <c r="I350" s="792" t="s">
        <v>148</v>
      </c>
    </row>
    <row r="351" spans="1:14" s="106" customFormat="1" ht="20.25" customHeight="1" thickTop="1" thickBot="1" x14ac:dyDescent="0.25">
      <c r="A351" s="626" t="s">
        <v>565</v>
      </c>
      <c r="B351" s="628" t="s">
        <v>149</v>
      </c>
      <c r="C351" s="627" t="s">
        <v>150</v>
      </c>
      <c r="D351" s="589" t="s">
        <v>639</v>
      </c>
      <c r="E351" s="629" t="s">
        <v>151</v>
      </c>
      <c r="F351" s="629" t="s">
        <v>152</v>
      </c>
      <c r="G351" s="629" t="s">
        <v>796</v>
      </c>
      <c r="H351" s="629" t="s">
        <v>797</v>
      </c>
      <c r="I351" s="674" t="s">
        <v>798</v>
      </c>
    </row>
    <row r="352" spans="1:14" s="375" customFormat="1" ht="13.5" thickTop="1" thickBot="1" x14ac:dyDescent="0.25">
      <c r="A352" s="974">
        <v>1</v>
      </c>
      <c r="B352" s="975">
        <v>2</v>
      </c>
      <c r="C352" s="975">
        <v>3</v>
      </c>
      <c r="D352" s="975">
        <v>4</v>
      </c>
      <c r="E352" s="526">
        <v>5</v>
      </c>
      <c r="F352" s="976">
        <v>6</v>
      </c>
      <c r="G352" s="976">
        <v>7</v>
      </c>
      <c r="H352" s="977">
        <v>8</v>
      </c>
      <c r="I352" s="978" t="s">
        <v>689</v>
      </c>
    </row>
    <row r="353" spans="1:14" s="504" customFormat="1" ht="16.5" thickTop="1" thickBot="1" x14ac:dyDescent="0.3">
      <c r="A353" s="986">
        <v>60001100245</v>
      </c>
      <c r="B353" s="809">
        <v>3122</v>
      </c>
      <c r="C353" s="987">
        <v>5171</v>
      </c>
      <c r="D353" s="810">
        <v>10</v>
      </c>
      <c r="E353" s="981" t="s">
        <v>811</v>
      </c>
      <c r="F353" s="736"/>
      <c r="G353" s="989">
        <v>247</v>
      </c>
      <c r="H353" s="736">
        <v>246</v>
      </c>
      <c r="I353" s="990">
        <f>(H353/G353)*100</f>
        <v>99.595141700404852</v>
      </c>
    </row>
    <row r="354" spans="1:14" s="504" customFormat="1" ht="18" customHeight="1" thickTop="1" thickBot="1" x14ac:dyDescent="0.3">
      <c r="A354" s="3110" t="s">
        <v>225</v>
      </c>
      <c r="B354" s="3111"/>
      <c r="C354" s="3111"/>
      <c r="D354" s="3111"/>
      <c r="E354" s="3111"/>
      <c r="F354" s="725">
        <f>F353</f>
        <v>0</v>
      </c>
      <c r="G354" s="725">
        <f>G353</f>
        <v>247</v>
      </c>
      <c r="H354" s="725">
        <f>H353</f>
        <v>246</v>
      </c>
      <c r="I354" s="710">
        <f>(H354/G354)*100</f>
        <v>99.595141700404852</v>
      </c>
    </row>
    <row r="355" spans="1:14" ht="13.5" thickTop="1" x14ac:dyDescent="0.2">
      <c r="K355" s="755"/>
      <c r="L355" s="755"/>
      <c r="M355" s="755"/>
      <c r="N355" s="421"/>
    </row>
    <row r="356" spans="1:14" x14ac:dyDescent="0.2">
      <c r="K356" s="755"/>
      <c r="L356" s="755"/>
      <c r="M356" s="755"/>
      <c r="N356" s="421"/>
    </row>
    <row r="357" spans="1:14" s="504" customFormat="1" ht="13.5" thickBot="1" x14ac:dyDescent="0.25">
      <c r="A357" s="421" t="s">
        <v>420</v>
      </c>
      <c r="B357" s="598"/>
      <c r="D357" s="670"/>
      <c r="F357" s="467"/>
      <c r="G357" s="467"/>
      <c r="H357" s="467"/>
      <c r="I357" s="792" t="s">
        <v>148</v>
      </c>
    </row>
    <row r="358" spans="1:14" s="106" customFormat="1" ht="20.25" customHeight="1" thickTop="1" thickBot="1" x14ac:dyDescent="0.25">
      <c r="A358" s="626" t="s">
        <v>565</v>
      </c>
      <c r="B358" s="628" t="s">
        <v>149</v>
      </c>
      <c r="C358" s="627" t="s">
        <v>150</v>
      </c>
      <c r="D358" s="589" t="s">
        <v>639</v>
      </c>
      <c r="E358" s="629" t="s">
        <v>151</v>
      </c>
      <c r="F358" s="629" t="s">
        <v>152</v>
      </c>
      <c r="G358" s="629" t="s">
        <v>796</v>
      </c>
      <c r="H358" s="629" t="s">
        <v>797</v>
      </c>
      <c r="I358" s="674" t="s">
        <v>798</v>
      </c>
    </row>
    <row r="359" spans="1:14" s="375" customFormat="1" ht="13.5" thickTop="1" thickBot="1" x14ac:dyDescent="0.25">
      <c r="A359" s="974">
        <v>1</v>
      </c>
      <c r="B359" s="975">
        <v>2</v>
      </c>
      <c r="C359" s="975">
        <v>3</v>
      </c>
      <c r="D359" s="975">
        <v>4</v>
      </c>
      <c r="E359" s="526">
        <v>5</v>
      </c>
      <c r="F359" s="976">
        <v>6</v>
      </c>
      <c r="G359" s="976">
        <v>7</v>
      </c>
      <c r="H359" s="977">
        <v>8</v>
      </c>
      <c r="I359" s="978" t="s">
        <v>689</v>
      </c>
    </row>
    <row r="360" spans="1:14" s="504" customFormat="1" ht="16.5" thickTop="1" thickBot="1" x14ac:dyDescent="0.3">
      <c r="A360" s="986">
        <v>60001100246</v>
      </c>
      <c r="B360" s="809">
        <v>3122</v>
      </c>
      <c r="C360" s="987">
        <v>5171</v>
      </c>
      <c r="D360" s="810">
        <v>10</v>
      </c>
      <c r="E360" s="981" t="s">
        <v>811</v>
      </c>
      <c r="F360" s="736"/>
      <c r="G360" s="989">
        <v>1484</v>
      </c>
      <c r="H360" s="736">
        <v>1476</v>
      </c>
      <c r="I360" s="990">
        <f>(H360/G360)*100</f>
        <v>99.460916442048514</v>
      </c>
    </row>
    <row r="361" spans="1:14" s="504" customFormat="1" ht="18" customHeight="1" thickTop="1" thickBot="1" x14ac:dyDescent="0.3">
      <c r="A361" s="3110" t="s">
        <v>225</v>
      </c>
      <c r="B361" s="3111"/>
      <c r="C361" s="3111"/>
      <c r="D361" s="3111"/>
      <c r="E361" s="3111"/>
      <c r="F361" s="725">
        <f>F360</f>
        <v>0</v>
      </c>
      <c r="G361" s="725">
        <f>G360</f>
        <v>1484</v>
      </c>
      <c r="H361" s="725">
        <f>H360</f>
        <v>1476</v>
      </c>
      <c r="I361" s="710">
        <f>(H361/G361)*100</f>
        <v>99.460916442048514</v>
      </c>
    </row>
    <row r="362" spans="1:14" ht="13.5" thickTop="1" x14ac:dyDescent="0.2">
      <c r="K362" s="755"/>
      <c r="L362" s="755"/>
      <c r="M362" s="755"/>
      <c r="N362" s="421"/>
    </row>
    <row r="363" spans="1:14" x14ac:dyDescent="0.2">
      <c r="K363" s="755"/>
      <c r="L363" s="755"/>
      <c r="M363" s="755"/>
      <c r="N363" s="421"/>
    </row>
    <row r="364" spans="1:14" s="504" customFormat="1" ht="13.5" thickBot="1" x14ac:dyDescent="0.25">
      <c r="A364" s="421" t="s">
        <v>413</v>
      </c>
      <c r="B364" s="598"/>
      <c r="D364" s="670"/>
      <c r="F364" s="467"/>
      <c r="G364" s="467"/>
      <c r="H364" s="467"/>
      <c r="I364" s="792" t="s">
        <v>148</v>
      </c>
    </row>
    <row r="365" spans="1:14" s="106" customFormat="1" ht="20.25" customHeight="1" thickTop="1" thickBot="1" x14ac:dyDescent="0.25">
      <c r="A365" s="626" t="s">
        <v>565</v>
      </c>
      <c r="B365" s="628" t="s">
        <v>149</v>
      </c>
      <c r="C365" s="627" t="s">
        <v>150</v>
      </c>
      <c r="D365" s="589" t="s">
        <v>639</v>
      </c>
      <c r="E365" s="629" t="s">
        <v>151</v>
      </c>
      <c r="F365" s="629" t="s">
        <v>152</v>
      </c>
      <c r="G365" s="629" t="s">
        <v>796</v>
      </c>
      <c r="H365" s="629" t="s">
        <v>797</v>
      </c>
      <c r="I365" s="674" t="s">
        <v>798</v>
      </c>
    </row>
    <row r="366" spans="1:14" s="375" customFormat="1" ht="13.5" thickTop="1" thickBot="1" x14ac:dyDescent="0.25">
      <c r="A366" s="525">
        <v>1</v>
      </c>
      <c r="B366" s="526">
        <v>2</v>
      </c>
      <c r="C366" s="526">
        <v>3</v>
      </c>
      <c r="D366" s="526">
        <v>4</v>
      </c>
      <c r="E366" s="526">
        <v>5</v>
      </c>
      <c r="F366" s="512">
        <v>6</v>
      </c>
      <c r="G366" s="512">
        <v>7</v>
      </c>
      <c r="H366" s="513">
        <v>8</v>
      </c>
      <c r="I366" s="591" t="s">
        <v>689</v>
      </c>
    </row>
    <row r="367" spans="1:14" s="375" customFormat="1" ht="15.75" thickTop="1" x14ac:dyDescent="0.25">
      <c r="A367" s="1032">
        <v>60001100247</v>
      </c>
      <c r="B367" s="1033">
        <v>3121</v>
      </c>
      <c r="C367" s="1033">
        <v>5169</v>
      </c>
      <c r="D367" s="996">
        <v>10</v>
      </c>
      <c r="E367" s="995" t="s">
        <v>769</v>
      </c>
      <c r="F367" s="994"/>
      <c r="G367" s="994">
        <v>18</v>
      </c>
      <c r="H367" s="994">
        <v>0</v>
      </c>
      <c r="I367" s="691">
        <f>(H367/G367)*100</f>
        <v>0</v>
      </c>
    </row>
    <row r="368" spans="1:14" s="375" customFormat="1" ht="15.75" thickBot="1" x14ac:dyDescent="0.3">
      <c r="A368" s="1035">
        <v>60001100247</v>
      </c>
      <c r="B368" s="1036">
        <v>3121</v>
      </c>
      <c r="C368" s="1037">
        <v>5171</v>
      </c>
      <c r="D368" s="806">
        <v>10</v>
      </c>
      <c r="E368" s="991" t="s">
        <v>811</v>
      </c>
      <c r="F368" s="992"/>
      <c r="G368" s="993">
        <v>1299</v>
      </c>
      <c r="H368" s="992">
        <v>926</v>
      </c>
      <c r="I368" s="814">
        <f>(H368/G368)*100</f>
        <v>71.28560431100847</v>
      </c>
    </row>
    <row r="369" spans="1:14" s="504" customFormat="1" ht="18" customHeight="1" thickTop="1" thickBot="1" x14ac:dyDescent="0.3">
      <c r="A369" s="3110" t="s">
        <v>225</v>
      </c>
      <c r="B369" s="3111"/>
      <c r="C369" s="3111"/>
      <c r="D369" s="3111"/>
      <c r="E369" s="3111"/>
      <c r="F369" s="680">
        <v>0</v>
      </c>
      <c r="G369" s="680">
        <f>G367+G368</f>
        <v>1317</v>
      </c>
      <c r="H369" s="680">
        <f>H367+H368</f>
        <v>926</v>
      </c>
      <c r="I369" s="681">
        <f>(H369/G369)*100</f>
        <v>70.311313591495832</v>
      </c>
    </row>
    <row r="370" spans="1:14" s="375" customFormat="1" ht="16.5" thickTop="1" thickBot="1" x14ac:dyDescent="0.3">
      <c r="A370" s="1040">
        <v>60001100247</v>
      </c>
      <c r="B370" s="1041">
        <v>3121</v>
      </c>
      <c r="C370" s="1042">
        <v>6121</v>
      </c>
      <c r="D370" s="810">
        <v>10</v>
      </c>
      <c r="E370" s="997" t="s">
        <v>548</v>
      </c>
      <c r="F370" s="998"/>
      <c r="G370" s="999">
        <v>328</v>
      </c>
      <c r="H370" s="998">
        <v>328</v>
      </c>
      <c r="I370" s="691">
        <f>(H370/G370)*100</f>
        <v>100</v>
      </c>
    </row>
    <row r="371" spans="1:14" s="504" customFormat="1" ht="18" customHeight="1" thickTop="1" thickBot="1" x14ac:dyDescent="0.3">
      <c r="A371" s="3127" t="s">
        <v>224</v>
      </c>
      <c r="B371" s="3126"/>
      <c r="C371" s="3126"/>
      <c r="D371" s="3126"/>
      <c r="E371" s="3126"/>
      <c r="F371" s="725">
        <f>F370</f>
        <v>0</v>
      </c>
      <c r="G371" s="725">
        <f>G370</f>
        <v>328</v>
      </c>
      <c r="H371" s="725">
        <f>H370</f>
        <v>328</v>
      </c>
      <c r="I371" s="681">
        <f>(H371/G371)*100</f>
        <v>100</v>
      </c>
    </row>
    <row r="372" spans="1:14" ht="13.5" thickTop="1" x14ac:dyDescent="0.2">
      <c r="K372" s="755"/>
      <c r="L372" s="755"/>
      <c r="M372" s="755"/>
      <c r="N372" s="421"/>
    </row>
    <row r="373" spans="1:14" x14ac:dyDescent="0.2">
      <c r="K373" s="755"/>
      <c r="L373" s="755"/>
      <c r="M373" s="755"/>
      <c r="N373" s="421"/>
    </row>
    <row r="374" spans="1:14" s="504" customFormat="1" ht="13.5" thickBot="1" x14ac:dyDescent="0.25">
      <c r="A374" s="421" t="s">
        <v>414</v>
      </c>
      <c r="B374" s="598"/>
      <c r="D374" s="670"/>
      <c r="F374" s="467"/>
      <c r="G374" s="467"/>
      <c r="H374" s="467"/>
      <c r="I374" s="792" t="s">
        <v>148</v>
      </c>
    </row>
    <row r="375" spans="1:14" s="106" customFormat="1" ht="20.25" customHeight="1" thickTop="1" thickBot="1" x14ac:dyDescent="0.25">
      <c r="A375" s="626" t="s">
        <v>565</v>
      </c>
      <c r="B375" s="628" t="s">
        <v>149</v>
      </c>
      <c r="C375" s="627" t="s">
        <v>150</v>
      </c>
      <c r="D375" s="589" t="s">
        <v>639</v>
      </c>
      <c r="E375" s="629" t="s">
        <v>151</v>
      </c>
      <c r="F375" s="629" t="s">
        <v>152</v>
      </c>
      <c r="G375" s="629" t="s">
        <v>796</v>
      </c>
      <c r="H375" s="629" t="s">
        <v>797</v>
      </c>
      <c r="I375" s="674" t="s">
        <v>798</v>
      </c>
    </row>
    <row r="376" spans="1:14" s="375" customFormat="1" ht="13.5" thickTop="1" thickBot="1" x14ac:dyDescent="0.25">
      <c r="A376" s="974">
        <v>1</v>
      </c>
      <c r="B376" s="975">
        <v>2</v>
      </c>
      <c r="C376" s="975">
        <v>3</v>
      </c>
      <c r="D376" s="975">
        <v>4</v>
      </c>
      <c r="E376" s="975">
        <v>5</v>
      </c>
      <c r="F376" s="976">
        <v>6</v>
      </c>
      <c r="G376" s="976">
        <v>7</v>
      </c>
      <c r="H376" s="977">
        <v>8</v>
      </c>
      <c r="I376" s="978" t="s">
        <v>689</v>
      </c>
    </row>
    <row r="377" spans="1:14" s="504" customFormat="1" ht="15.75" thickTop="1" x14ac:dyDescent="0.25">
      <c r="A377" s="802">
        <v>60001100248</v>
      </c>
      <c r="B377" s="717">
        <v>3122</v>
      </c>
      <c r="C377" s="717">
        <v>5169</v>
      </c>
      <c r="D377" s="1002">
        <v>10</v>
      </c>
      <c r="E377" s="1001" t="s">
        <v>769</v>
      </c>
      <c r="F377" s="1000"/>
      <c r="G377" s="1000">
        <v>8</v>
      </c>
      <c r="H377" s="1000">
        <v>7</v>
      </c>
      <c r="I377" s="985">
        <f>(H377/G377)*100</f>
        <v>87.5</v>
      </c>
    </row>
    <row r="378" spans="1:14" s="504" customFormat="1" ht="15.75" thickBot="1" x14ac:dyDescent="0.3">
      <c r="A378" s="813">
        <v>60001100248</v>
      </c>
      <c r="B378" s="618">
        <v>3122</v>
      </c>
      <c r="C378" s="650">
        <v>5171</v>
      </c>
      <c r="D378" s="806">
        <v>10</v>
      </c>
      <c r="E378" s="981" t="s">
        <v>811</v>
      </c>
      <c r="F378" s="732"/>
      <c r="G378" s="807">
        <v>1192</v>
      </c>
      <c r="H378" s="732">
        <v>1189</v>
      </c>
      <c r="I378" s="816">
        <f>(H378/G378)*100</f>
        <v>99.74832214765101</v>
      </c>
    </row>
    <row r="379" spans="1:14" s="504" customFormat="1" ht="18" customHeight="1" thickTop="1" thickBot="1" x14ac:dyDescent="0.3">
      <c r="A379" s="3110" t="s">
        <v>225</v>
      </c>
      <c r="B379" s="3111"/>
      <c r="C379" s="3111"/>
      <c r="D379" s="3111"/>
      <c r="E379" s="3111"/>
      <c r="F379" s="725">
        <f>F377</f>
        <v>0</v>
      </c>
      <c r="G379" s="725">
        <f>G377+G378</f>
        <v>1200</v>
      </c>
      <c r="H379" s="725">
        <f>H377+H378</f>
        <v>1196</v>
      </c>
      <c r="I379" s="710">
        <f>(H379/G379)*100</f>
        <v>99.666666666666671</v>
      </c>
    </row>
    <row r="380" spans="1:14" ht="13.5" thickTop="1" x14ac:dyDescent="0.2">
      <c r="K380" s="755"/>
      <c r="L380" s="755"/>
      <c r="M380" s="755"/>
      <c r="N380" s="421"/>
    </row>
    <row r="381" spans="1:14" x14ac:dyDescent="0.2">
      <c r="K381" s="755"/>
      <c r="L381" s="755"/>
      <c r="M381" s="755"/>
      <c r="N381" s="421"/>
    </row>
    <row r="382" spans="1:14" s="504" customFormat="1" ht="13.5" thickBot="1" x14ac:dyDescent="0.25">
      <c r="A382" s="421" t="s">
        <v>415</v>
      </c>
      <c r="B382" s="598"/>
      <c r="D382" s="670"/>
      <c r="F382" s="467"/>
      <c r="G382" s="467"/>
      <c r="H382" s="467"/>
      <c r="I382" s="792" t="s">
        <v>148</v>
      </c>
    </row>
    <row r="383" spans="1:14" s="106" customFormat="1" ht="20.25" customHeight="1" thickTop="1" thickBot="1" x14ac:dyDescent="0.25">
      <c r="A383" s="626" t="s">
        <v>565</v>
      </c>
      <c r="B383" s="628" t="s">
        <v>149</v>
      </c>
      <c r="C383" s="627" t="s">
        <v>150</v>
      </c>
      <c r="D383" s="589" t="s">
        <v>639</v>
      </c>
      <c r="E383" s="629" t="s">
        <v>151</v>
      </c>
      <c r="F383" s="629" t="s">
        <v>152</v>
      </c>
      <c r="G383" s="629" t="s">
        <v>796</v>
      </c>
      <c r="H383" s="629" t="s">
        <v>797</v>
      </c>
      <c r="I383" s="674" t="s">
        <v>798</v>
      </c>
    </row>
    <row r="384" spans="1:14" s="375" customFormat="1" ht="13.5" thickTop="1" thickBot="1" x14ac:dyDescent="0.25">
      <c r="A384" s="974">
        <v>1</v>
      </c>
      <c r="B384" s="975">
        <v>2</v>
      </c>
      <c r="C384" s="975">
        <v>3</v>
      </c>
      <c r="D384" s="975">
        <v>4</v>
      </c>
      <c r="E384" s="975">
        <v>5</v>
      </c>
      <c r="F384" s="976">
        <v>6</v>
      </c>
      <c r="G384" s="976">
        <v>7</v>
      </c>
      <c r="H384" s="977">
        <v>8</v>
      </c>
      <c r="I384" s="978" t="s">
        <v>689</v>
      </c>
    </row>
    <row r="385" spans="1:14" s="504" customFormat="1" ht="15.75" thickTop="1" x14ac:dyDescent="0.25">
      <c r="A385" s="802">
        <v>60001100319</v>
      </c>
      <c r="B385" s="717">
        <v>3121</v>
      </c>
      <c r="C385" s="717">
        <v>6121</v>
      </c>
      <c r="D385" s="1002">
        <v>10</v>
      </c>
      <c r="E385" s="1001" t="s">
        <v>548</v>
      </c>
      <c r="F385" s="1000"/>
      <c r="G385" s="1000">
        <v>112</v>
      </c>
      <c r="H385" s="1000">
        <v>98</v>
      </c>
      <c r="I385" s="985">
        <f>(H385/G385)*100</f>
        <v>87.5</v>
      </c>
    </row>
    <row r="386" spans="1:14" s="504" customFormat="1" ht="15.75" thickBot="1" x14ac:dyDescent="0.3">
      <c r="A386" s="813">
        <v>60001100319</v>
      </c>
      <c r="B386" s="618">
        <v>3121</v>
      </c>
      <c r="C386" s="650">
        <v>6121</v>
      </c>
      <c r="D386" s="806">
        <v>98858</v>
      </c>
      <c r="E386" s="981" t="s">
        <v>548</v>
      </c>
      <c r="F386" s="732"/>
      <c r="G386" s="807">
        <v>1000</v>
      </c>
      <c r="H386" s="732">
        <v>1000</v>
      </c>
      <c r="I386" s="816">
        <f>(H386/G386)*100</f>
        <v>100</v>
      </c>
    </row>
    <row r="387" spans="1:14" s="504" customFormat="1" ht="18" customHeight="1" thickTop="1" thickBot="1" x14ac:dyDescent="0.3">
      <c r="A387" s="3127" t="s">
        <v>224</v>
      </c>
      <c r="B387" s="3126"/>
      <c r="C387" s="3126"/>
      <c r="D387" s="3126"/>
      <c r="E387" s="3126"/>
      <c r="F387" s="725">
        <f>F385</f>
        <v>0</v>
      </c>
      <c r="G387" s="725">
        <f>G385+G386</f>
        <v>1112</v>
      </c>
      <c r="H387" s="725">
        <f>H385+H386</f>
        <v>1098</v>
      </c>
      <c r="I387" s="710">
        <f>(H387/G387)*100</f>
        <v>98.741007194244602</v>
      </c>
    </row>
    <row r="388" spans="1:14" ht="13.5" thickTop="1" x14ac:dyDescent="0.2">
      <c r="K388" s="755"/>
      <c r="L388" s="755"/>
      <c r="M388" s="755"/>
      <c r="N388" s="421"/>
    </row>
    <row r="389" spans="1:14" x14ac:dyDescent="0.2">
      <c r="K389" s="755"/>
      <c r="L389" s="755"/>
      <c r="M389" s="755"/>
      <c r="N389" s="421"/>
    </row>
    <row r="390" spans="1:14" s="504" customFormat="1" ht="13.5" thickBot="1" x14ac:dyDescent="0.25">
      <c r="A390" s="421" t="s">
        <v>416</v>
      </c>
      <c r="B390" s="598"/>
      <c r="D390" s="670"/>
      <c r="F390" s="467"/>
      <c r="G390" s="467"/>
      <c r="H390" s="467"/>
      <c r="I390" s="792" t="s">
        <v>148</v>
      </c>
    </row>
    <row r="391" spans="1:14" s="106" customFormat="1" ht="20.25" customHeight="1" thickTop="1" thickBot="1" x14ac:dyDescent="0.25">
      <c r="A391" s="626" t="s">
        <v>565</v>
      </c>
      <c r="B391" s="628" t="s">
        <v>149</v>
      </c>
      <c r="C391" s="627" t="s">
        <v>150</v>
      </c>
      <c r="D391" s="589" t="s">
        <v>639</v>
      </c>
      <c r="E391" s="629" t="s">
        <v>151</v>
      </c>
      <c r="F391" s="629" t="s">
        <v>152</v>
      </c>
      <c r="G391" s="629" t="s">
        <v>796</v>
      </c>
      <c r="H391" s="629" t="s">
        <v>797</v>
      </c>
      <c r="I391" s="674" t="s">
        <v>798</v>
      </c>
    </row>
    <row r="392" spans="1:14" s="375" customFormat="1" ht="13.5" thickTop="1" thickBot="1" x14ac:dyDescent="0.25">
      <c r="A392" s="974">
        <v>1</v>
      </c>
      <c r="B392" s="975">
        <v>2</v>
      </c>
      <c r="C392" s="975">
        <v>3</v>
      </c>
      <c r="D392" s="975">
        <v>4</v>
      </c>
      <c r="E392" s="526">
        <v>5</v>
      </c>
      <c r="F392" s="976">
        <v>6</v>
      </c>
      <c r="G392" s="976">
        <v>7</v>
      </c>
      <c r="H392" s="977">
        <v>8</v>
      </c>
      <c r="I392" s="978" t="s">
        <v>689</v>
      </c>
    </row>
    <row r="393" spans="1:14" s="504" customFormat="1" ht="16.5" thickTop="1" thickBot="1" x14ac:dyDescent="0.3">
      <c r="A393" s="986">
        <v>60001100323</v>
      </c>
      <c r="B393" s="809">
        <v>3123</v>
      </c>
      <c r="C393" s="987">
        <v>5171</v>
      </c>
      <c r="D393" s="810">
        <v>10</v>
      </c>
      <c r="E393" s="981" t="s">
        <v>811</v>
      </c>
      <c r="F393" s="736"/>
      <c r="G393" s="989">
        <v>1922</v>
      </c>
      <c r="H393" s="736">
        <v>1822</v>
      </c>
      <c r="I393" s="990">
        <f>(H393/G393)*100</f>
        <v>94.797086368366294</v>
      </c>
    </row>
    <row r="394" spans="1:14" s="504" customFormat="1" ht="18" customHeight="1" thickTop="1" thickBot="1" x14ac:dyDescent="0.3">
      <c r="A394" s="3110" t="s">
        <v>225</v>
      </c>
      <c r="B394" s="3111"/>
      <c r="C394" s="3111"/>
      <c r="D394" s="3111"/>
      <c r="E394" s="3111"/>
      <c r="F394" s="725">
        <f>F393</f>
        <v>0</v>
      </c>
      <c r="G394" s="725">
        <f>G393</f>
        <v>1922</v>
      </c>
      <c r="H394" s="725">
        <f>H393</f>
        <v>1822</v>
      </c>
      <c r="I394" s="710">
        <f>(H394/G394)*100</f>
        <v>94.797086368366294</v>
      </c>
    </row>
    <row r="395" spans="1:14" ht="13.5" thickTop="1" x14ac:dyDescent="0.2">
      <c r="K395" s="755"/>
      <c r="L395" s="755"/>
      <c r="M395" s="755"/>
      <c r="N395" s="421"/>
    </row>
    <row r="396" spans="1:14" x14ac:dyDescent="0.2">
      <c r="K396" s="755"/>
      <c r="L396" s="755"/>
      <c r="M396" s="755"/>
      <c r="N396" s="421"/>
    </row>
    <row r="397" spans="1:14" x14ac:dyDescent="0.2">
      <c r="K397" s="755"/>
      <c r="L397" s="755"/>
      <c r="M397" s="755"/>
      <c r="N397" s="421"/>
    </row>
    <row r="398" spans="1:14" x14ac:dyDescent="0.2">
      <c r="K398" s="755"/>
      <c r="L398" s="755"/>
      <c r="M398" s="755"/>
      <c r="N398" s="421"/>
    </row>
    <row r="399" spans="1:14" x14ac:dyDescent="0.2">
      <c r="K399" s="755"/>
      <c r="L399" s="755"/>
      <c r="M399" s="755"/>
      <c r="N399" s="421"/>
    </row>
    <row r="400" spans="1:14" x14ac:dyDescent="0.2">
      <c r="K400" s="755"/>
      <c r="L400" s="755"/>
      <c r="M400" s="755"/>
      <c r="N400" s="421"/>
    </row>
    <row r="401" spans="1:14" x14ac:dyDescent="0.2">
      <c r="K401" s="755"/>
      <c r="L401" s="755"/>
      <c r="M401" s="755"/>
      <c r="N401" s="421"/>
    </row>
    <row r="402" spans="1:14" s="504" customFormat="1" ht="13.5" thickBot="1" x14ac:dyDescent="0.25">
      <c r="A402" s="421" t="s">
        <v>425</v>
      </c>
      <c r="B402" s="598"/>
      <c r="D402" s="670"/>
      <c r="F402" s="467"/>
      <c r="G402" s="467"/>
      <c r="H402" s="467"/>
      <c r="I402" s="792" t="s">
        <v>148</v>
      </c>
    </row>
    <row r="403" spans="1:14" s="106" customFormat="1" ht="20.25" customHeight="1" thickTop="1" thickBot="1" x14ac:dyDescent="0.25">
      <c r="A403" s="626" t="s">
        <v>565</v>
      </c>
      <c r="B403" s="628" t="s">
        <v>149</v>
      </c>
      <c r="C403" s="627" t="s">
        <v>150</v>
      </c>
      <c r="D403" s="589" t="s">
        <v>639</v>
      </c>
      <c r="E403" s="629" t="s">
        <v>151</v>
      </c>
      <c r="F403" s="629" t="s">
        <v>152</v>
      </c>
      <c r="G403" s="629" t="s">
        <v>796</v>
      </c>
      <c r="H403" s="629" t="s">
        <v>797</v>
      </c>
      <c r="I403" s="674" t="s">
        <v>798</v>
      </c>
    </row>
    <row r="404" spans="1:14" s="375" customFormat="1" ht="13.5" thickTop="1" thickBot="1" x14ac:dyDescent="0.25">
      <c r="A404" s="974">
        <v>1</v>
      </c>
      <c r="B404" s="975">
        <v>2</v>
      </c>
      <c r="C404" s="975">
        <v>3</v>
      </c>
      <c r="D404" s="975">
        <v>4</v>
      </c>
      <c r="E404" s="526">
        <v>5</v>
      </c>
      <c r="F404" s="976">
        <v>6</v>
      </c>
      <c r="G404" s="976">
        <v>7</v>
      </c>
      <c r="H404" s="977">
        <v>8</v>
      </c>
      <c r="I404" s="978" t="s">
        <v>689</v>
      </c>
    </row>
    <row r="405" spans="1:14" s="504" customFormat="1" ht="16.5" thickTop="1" thickBot="1" x14ac:dyDescent="0.3">
      <c r="A405" s="986">
        <v>60001100334</v>
      </c>
      <c r="B405" s="809">
        <v>3142</v>
      </c>
      <c r="C405" s="987">
        <v>6121</v>
      </c>
      <c r="D405" s="810">
        <v>10</v>
      </c>
      <c r="E405" s="981" t="s">
        <v>548</v>
      </c>
      <c r="F405" s="736"/>
      <c r="G405" s="989">
        <v>566</v>
      </c>
      <c r="H405" s="736">
        <v>565</v>
      </c>
      <c r="I405" s="990">
        <f>(H405/G405)*100</f>
        <v>99.823321554770317</v>
      </c>
    </row>
    <row r="406" spans="1:14" s="504" customFormat="1" ht="18" customHeight="1" thickTop="1" thickBot="1" x14ac:dyDescent="0.3">
      <c r="A406" s="3127" t="s">
        <v>224</v>
      </c>
      <c r="B406" s="3126"/>
      <c r="C406" s="3126"/>
      <c r="D406" s="3126"/>
      <c r="E406" s="3126"/>
      <c r="F406" s="725">
        <f>F405</f>
        <v>0</v>
      </c>
      <c r="G406" s="725">
        <f>G405</f>
        <v>566</v>
      </c>
      <c r="H406" s="725">
        <f>H405</f>
        <v>565</v>
      </c>
      <c r="I406" s="710">
        <f>(H406/G406)*100</f>
        <v>99.823321554770317</v>
      </c>
    </row>
    <row r="407" spans="1:14" ht="13.5" thickTop="1" x14ac:dyDescent="0.2">
      <c r="K407" s="755"/>
      <c r="L407" s="755"/>
      <c r="M407" s="755"/>
      <c r="N407" s="421"/>
    </row>
    <row r="408" spans="1:14" x14ac:dyDescent="0.2">
      <c r="K408" s="755"/>
      <c r="L408" s="755"/>
      <c r="M408" s="755"/>
      <c r="N408" s="421"/>
    </row>
    <row r="409" spans="1:14" s="504" customFormat="1" ht="13.5" thickBot="1" x14ac:dyDescent="0.25">
      <c r="A409" s="421" t="s">
        <v>426</v>
      </c>
      <c r="B409" s="598"/>
      <c r="D409" s="670"/>
      <c r="F409" s="467"/>
      <c r="G409" s="467"/>
      <c r="H409" s="467"/>
      <c r="I409" s="792" t="s">
        <v>148</v>
      </c>
    </row>
    <row r="410" spans="1:14" s="106" customFormat="1" ht="20.25" customHeight="1" thickTop="1" thickBot="1" x14ac:dyDescent="0.25">
      <c r="A410" s="626" t="s">
        <v>565</v>
      </c>
      <c r="B410" s="628" t="s">
        <v>149</v>
      </c>
      <c r="C410" s="627" t="s">
        <v>150</v>
      </c>
      <c r="D410" s="589" t="s">
        <v>639</v>
      </c>
      <c r="E410" s="629" t="s">
        <v>151</v>
      </c>
      <c r="F410" s="629" t="s">
        <v>152</v>
      </c>
      <c r="G410" s="629" t="s">
        <v>796</v>
      </c>
      <c r="H410" s="629" t="s">
        <v>797</v>
      </c>
      <c r="I410" s="674" t="s">
        <v>798</v>
      </c>
    </row>
    <row r="411" spans="1:14" s="375" customFormat="1" ht="13.5" thickTop="1" thickBot="1" x14ac:dyDescent="0.25">
      <c r="A411" s="974">
        <v>1</v>
      </c>
      <c r="B411" s="975">
        <v>2</v>
      </c>
      <c r="C411" s="975">
        <v>3</v>
      </c>
      <c r="D411" s="975">
        <v>4</v>
      </c>
      <c r="E411" s="526">
        <v>5</v>
      </c>
      <c r="F411" s="976">
        <v>6</v>
      </c>
      <c r="G411" s="976">
        <v>7</v>
      </c>
      <c r="H411" s="977">
        <v>8</v>
      </c>
      <c r="I411" s="978" t="s">
        <v>689</v>
      </c>
    </row>
    <row r="412" spans="1:14" s="504" customFormat="1" ht="16.5" thickTop="1" thickBot="1" x14ac:dyDescent="0.3">
      <c r="A412" s="986">
        <v>60001100335</v>
      </c>
      <c r="B412" s="809">
        <v>3114</v>
      </c>
      <c r="C412" s="987">
        <v>5171</v>
      </c>
      <c r="D412" s="810">
        <v>10</v>
      </c>
      <c r="E412" s="981" t="s">
        <v>811</v>
      </c>
      <c r="F412" s="736"/>
      <c r="G412" s="989">
        <v>196</v>
      </c>
      <c r="H412" s="736">
        <v>196</v>
      </c>
      <c r="I412" s="990">
        <f>(H412/G412)*100</f>
        <v>100</v>
      </c>
      <c r="L412" s="467">
        <f>G272+G279+G286+G294+G301+G308+G315+G322+G329+G339+G346+G354+G361+G369+G371+G379+G387+G394+G406+G413</f>
        <v>21321</v>
      </c>
      <c r="M412" s="467">
        <f>H272+H279+H286+H294+H301+H308+H315+H322+H329+H339+H346+H354+H361+H369+H371+H379+H387+H394+H406+H413</f>
        <v>20611</v>
      </c>
    </row>
    <row r="413" spans="1:14" s="504" customFormat="1" ht="18" customHeight="1" thickTop="1" thickBot="1" x14ac:dyDescent="0.3">
      <c r="A413" s="3110" t="s">
        <v>225</v>
      </c>
      <c r="B413" s="3111"/>
      <c r="C413" s="3111"/>
      <c r="D413" s="3111"/>
      <c r="E413" s="3111"/>
      <c r="F413" s="725">
        <f>F412</f>
        <v>0</v>
      </c>
      <c r="G413" s="725">
        <f>G412</f>
        <v>196</v>
      </c>
      <c r="H413" s="725">
        <f>H412</f>
        <v>196</v>
      </c>
      <c r="I413" s="710">
        <f>(H413/G413)*100</f>
        <v>100</v>
      </c>
      <c r="K413" s="467">
        <f>F14+F21+F29+F33+F41+F48+F56+F63+F72+F79+F86+F94+F101+F108+F115+F122+F129+F139+F146+F153+F160+F163+F170+F177+F184+F191+F198+F205+F212+F219+F227+F230+F237+F244+F251+F258+F261+F272+F279+F286+F294+F301+F308+F315+F322+F329+F339+F346+F354+F361+F369+F371+F379+F387+F394+F406+F413</f>
        <v>62847</v>
      </c>
      <c r="L413" s="467">
        <f>L122+L261+L412</f>
        <v>229852</v>
      </c>
      <c r="M413" s="467">
        <f>M122+M261+M412</f>
        <v>210636</v>
      </c>
      <c r="N413" s="504" t="s">
        <v>990</v>
      </c>
    </row>
    <row r="414" spans="1:14" ht="13.5" thickTop="1" x14ac:dyDescent="0.2">
      <c r="K414" s="755"/>
      <c r="L414" s="755"/>
      <c r="M414" s="755"/>
      <c r="N414" s="421"/>
    </row>
    <row r="415" spans="1:14" x14ac:dyDescent="0.2">
      <c r="K415" s="755"/>
      <c r="L415" s="755"/>
      <c r="M415" s="755"/>
      <c r="N415" s="421"/>
    </row>
    <row r="416" spans="1:14" s="504" customFormat="1" ht="13.5" thickBot="1" x14ac:dyDescent="0.25">
      <c r="A416" s="421" t="s">
        <v>956</v>
      </c>
      <c r="B416" s="598"/>
      <c r="D416" s="670"/>
      <c r="F416" s="467"/>
      <c r="G416" s="467"/>
      <c r="H416" s="467"/>
      <c r="I416" s="792" t="s">
        <v>148</v>
      </c>
    </row>
    <row r="417" spans="1:14" s="106" customFormat="1" ht="20.25" customHeight="1" thickTop="1" thickBot="1" x14ac:dyDescent="0.25">
      <c r="A417" s="626" t="s">
        <v>565</v>
      </c>
      <c r="B417" s="628" t="s">
        <v>149</v>
      </c>
      <c r="C417" s="627" t="s">
        <v>150</v>
      </c>
      <c r="D417" s="589" t="s">
        <v>639</v>
      </c>
      <c r="E417" s="629" t="s">
        <v>151</v>
      </c>
      <c r="F417" s="629" t="s">
        <v>152</v>
      </c>
      <c r="G417" s="629" t="s">
        <v>796</v>
      </c>
      <c r="H417" s="629" t="s">
        <v>797</v>
      </c>
      <c r="I417" s="674" t="s">
        <v>798</v>
      </c>
    </row>
    <row r="418" spans="1:14" s="375" customFormat="1" ht="13.5" thickTop="1" thickBot="1" x14ac:dyDescent="0.25">
      <c r="A418" s="974">
        <v>1</v>
      </c>
      <c r="B418" s="975">
        <v>2</v>
      </c>
      <c r="C418" s="975">
        <v>3</v>
      </c>
      <c r="D418" s="975">
        <v>4</v>
      </c>
      <c r="E418" s="526">
        <v>5</v>
      </c>
      <c r="F418" s="976">
        <v>6</v>
      </c>
      <c r="G418" s="976">
        <v>7</v>
      </c>
      <c r="H418" s="977">
        <v>8</v>
      </c>
      <c r="I418" s="978" t="s">
        <v>689</v>
      </c>
    </row>
    <row r="419" spans="1:14" s="504" customFormat="1" ht="16.5" thickTop="1" thickBot="1" x14ac:dyDescent="0.3">
      <c r="A419" s="986">
        <v>60002100051</v>
      </c>
      <c r="B419" s="809">
        <v>4351</v>
      </c>
      <c r="C419" s="987">
        <v>5171</v>
      </c>
      <c r="D419" s="810">
        <v>11</v>
      </c>
      <c r="E419" s="981" t="s">
        <v>811</v>
      </c>
      <c r="F419" s="736"/>
      <c r="G419" s="989">
        <v>337</v>
      </c>
      <c r="H419" s="736">
        <v>336</v>
      </c>
      <c r="I419" s="990">
        <f>(H419/G419)*100</f>
        <v>99.703264094955486</v>
      </c>
    </row>
    <row r="420" spans="1:14" s="504" customFormat="1" ht="18" customHeight="1" thickTop="1" thickBot="1" x14ac:dyDescent="0.3">
      <c r="A420" s="3110" t="s">
        <v>225</v>
      </c>
      <c r="B420" s="3111"/>
      <c r="C420" s="3111"/>
      <c r="D420" s="3111"/>
      <c r="E420" s="3111"/>
      <c r="F420" s="725">
        <f>F419</f>
        <v>0</v>
      </c>
      <c r="G420" s="725">
        <f>G419</f>
        <v>337</v>
      </c>
      <c r="H420" s="725">
        <f>H419</f>
        <v>336</v>
      </c>
      <c r="I420" s="710">
        <f>(H420/G420)*100</f>
        <v>99.703264094955486</v>
      </c>
    </row>
    <row r="421" spans="1:14" ht="13.5" thickTop="1" x14ac:dyDescent="0.2">
      <c r="K421" s="755"/>
      <c r="L421" s="755"/>
      <c r="M421" s="755"/>
      <c r="N421" s="421"/>
    </row>
    <row r="422" spans="1:14" x14ac:dyDescent="0.2">
      <c r="K422" s="755"/>
      <c r="L422" s="755"/>
      <c r="M422" s="755"/>
      <c r="N422" s="421"/>
    </row>
    <row r="423" spans="1:14" s="504" customFormat="1" ht="13.5" thickBot="1" x14ac:dyDescent="0.25">
      <c r="A423" s="421" t="s">
        <v>957</v>
      </c>
      <c r="B423" s="598"/>
      <c r="D423" s="670"/>
      <c r="F423" s="467"/>
      <c r="G423" s="467"/>
      <c r="H423" s="467"/>
      <c r="I423" s="792" t="s">
        <v>148</v>
      </c>
    </row>
    <row r="424" spans="1:14" s="106" customFormat="1" ht="20.25" customHeight="1" thickTop="1" thickBot="1" x14ac:dyDescent="0.25">
      <c r="A424" s="626" t="s">
        <v>565</v>
      </c>
      <c r="B424" s="628" t="s">
        <v>149</v>
      </c>
      <c r="C424" s="627" t="s">
        <v>150</v>
      </c>
      <c r="D424" s="589" t="s">
        <v>639</v>
      </c>
      <c r="E424" s="629" t="s">
        <v>151</v>
      </c>
      <c r="F424" s="629" t="s">
        <v>152</v>
      </c>
      <c r="G424" s="629" t="s">
        <v>796</v>
      </c>
      <c r="H424" s="629" t="s">
        <v>797</v>
      </c>
      <c r="I424" s="674" t="s">
        <v>798</v>
      </c>
    </row>
    <row r="425" spans="1:14" s="375" customFormat="1" ht="13.5" thickTop="1" thickBot="1" x14ac:dyDescent="0.25">
      <c r="A425" s="974">
        <v>1</v>
      </c>
      <c r="B425" s="975">
        <v>2</v>
      </c>
      <c r="C425" s="975">
        <v>3</v>
      </c>
      <c r="D425" s="975">
        <v>4</v>
      </c>
      <c r="E425" s="526">
        <v>5</v>
      </c>
      <c r="F425" s="976">
        <v>6</v>
      </c>
      <c r="G425" s="976">
        <v>7</v>
      </c>
      <c r="H425" s="977">
        <v>8</v>
      </c>
      <c r="I425" s="978" t="s">
        <v>689</v>
      </c>
    </row>
    <row r="426" spans="1:14" s="504" customFormat="1" ht="16.5" thickTop="1" thickBot="1" x14ac:dyDescent="0.3">
      <c r="A426" s="986">
        <v>60002100054</v>
      </c>
      <c r="B426" s="809">
        <v>4354</v>
      </c>
      <c r="C426" s="987">
        <v>6121</v>
      </c>
      <c r="D426" s="810">
        <v>11</v>
      </c>
      <c r="E426" s="981" t="s">
        <v>548</v>
      </c>
      <c r="F426" s="736">
        <v>4500</v>
      </c>
      <c r="G426" s="989">
        <v>4094</v>
      </c>
      <c r="H426" s="736">
        <v>3626</v>
      </c>
      <c r="I426" s="990">
        <f>(H426/G426)*100</f>
        <v>88.568637029799703</v>
      </c>
    </row>
    <row r="427" spans="1:14" s="504" customFormat="1" ht="18" customHeight="1" thickTop="1" thickBot="1" x14ac:dyDescent="0.3">
      <c r="A427" s="3127" t="s">
        <v>224</v>
      </c>
      <c r="B427" s="3126"/>
      <c r="C427" s="3126"/>
      <c r="D427" s="3126"/>
      <c r="E427" s="3126"/>
      <c r="F427" s="725">
        <f>F426</f>
        <v>4500</v>
      </c>
      <c r="G427" s="725">
        <f>G426</f>
        <v>4094</v>
      </c>
      <c r="H427" s="725">
        <f>H426</f>
        <v>3626</v>
      </c>
      <c r="I427" s="710">
        <f>(H427/G427)*100</f>
        <v>88.568637029799703</v>
      </c>
    </row>
    <row r="428" spans="1:14" ht="13.5" thickTop="1" x14ac:dyDescent="0.2">
      <c r="K428" s="755"/>
      <c r="L428" s="755"/>
      <c r="M428" s="755"/>
      <c r="N428" s="421"/>
    </row>
    <row r="429" spans="1:14" x14ac:dyDescent="0.2">
      <c r="K429" s="755"/>
      <c r="L429" s="755"/>
      <c r="M429" s="755"/>
      <c r="N429" s="421"/>
    </row>
    <row r="430" spans="1:14" s="504" customFormat="1" ht="13.5" thickBot="1" x14ac:dyDescent="0.25">
      <c r="A430" s="421" t="s">
        <v>958</v>
      </c>
      <c r="B430" s="598"/>
      <c r="D430" s="670"/>
      <c r="F430" s="467"/>
      <c r="G430" s="467"/>
      <c r="H430" s="467"/>
      <c r="I430" s="792" t="s">
        <v>148</v>
      </c>
    </row>
    <row r="431" spans="1:14" s="106" customFormat="1" ht="20.25" customHeight="1" thickTop="1" thickBot="1" x14ac:dyDescent="0.25">
      <c r="A431" s="626" t="s">
        <v>565</v>
      </c>
      <c r="B431" s="628" t="s">
        <v>149</v>
      </c>
      <c r="C431" s="627" t="s">
        <v>150</v>
      </c>
      <c r="D431" s="589" t="s">
        <v>639</v>
      </c>
      <c r="E431" s="629" t="s">
        <v>151</v>
      </c>
      <c r="F431" s="629" t="s">
        <v>152</v>
      </c>
      <c r="G431" s="629" t="s">
        <v>796</v>
      </c>
      <c r="H431" s="629" t="s">
        <v>797</v>
      </c>
      <c r="I431" s="674" t="s">
        <v>798</v>
      </c>
    </row>
    <row r="432" spans="1:14" s="375" customFormat="1" ht="13.5" thickTop="1" thickBot="1" x14ac:dyDescent="0.25">
      <c r="A432" s="974">
        <v>1</v>
      </c>
      <c r="B432" s="975">
        <v>2</v>
      </c>
      <c r="C432" s="975">
        <v>3</v>
      </c>
      <c r="D432" s="975">
        <v>4</v>
      </c>
      <c r="E432" s="526">
        <v>5</v>
      </c>
      <c r="F432" s="976">
        <v>6</v>
      </c>
      <c r="G432" s="976">
        <v>7</v>
      </c>
      <c r="H432" s="977">
        <v>8</v>
      </c>
      <c r="I432" s="978" t="s">
        <v>689</v>
      </c>
    </row>
    <row r="433" spans="1:14" s="504" customFormat="1" ht="16.5" thickTop="1" thickBot="1" x14ac:dyDescent="0.3">
      <c r="A433" s="986">
        <v>60002100056</v>
      </c>
      <c r="B433" s="809">
        <v>4357</v>
      </c>
      <c r="C433" s="987">
        <v>5171</v>
      </c>
      <c r="D433" s="810">
        <v>11</v>
      </c>
      <c r="E433" s="981" t="s">
        <v>811</v>
      </c>
      <c r="F433" s="736">
        <v>1050</v>
      </c>
      <c r="G433" s="989">
        <v>1009</v>
      </c>
      <c r="H433" s="736">
        <v>1008</v>
      </c>
      <c r="I433" s="990">
        <f>(H433/G433)*100</f>
        <v>99.900891972249752</v>
      </c>
    </row>
    <row r="434" spans="1:14" s="504" customFormat="1" ht="18" customHeight="1" thickTop="1" thickBot="1" x14ac:dyDescent="0.3">
      <c r="A434" s="3110" t="s">
        <v>225</v>
      </c>
      <c r="B434" s="3111"/>
      <c r="C434" s="3111"/>
      <c r="D434" s="3111"/>
      <c r="E434" s="3111"/>
      <c r="F434" s="725">
        <f>F433</f>
        <v>1050</v>
      </c>
      <c r="G434" s="725">
        <f>G433</f>
        <v>1009</v>
      </c>
      <c r="H434" s="725">
        <f>H433</f>
        <v>1008</v>
      </c>
      <c r="I434" s="710">
        <f>(H434/G434)*100</f>
        <v>99.900891972249752</v>
      </c>
    </row>
    <row r="435" spans="1:14" ht="13.5" thickTop="1" x14ac:dyDescent="0.2">
      <c r="K435" s="755"/>
      <c r="L435" s="755"/>
      <c r="M435" s="755"/>
      <c r="N435" s="421"/>
    </row>
    <row r="436" spans="1:14" x14ac:dyDescent="0.2">
      <c r="K436" s="755"/>
      <c r="L436" s="755"/>
      <c r="M436" s="755"/>
      <c r="N436" s="421"/>
    </row>
    <row r="437" spans="1:14" s="504" customFormat="1" ht="13.5" thickBot="1" x14ac:dyDescent="0.25">
      <c r="A437" s="421" t="s">
        <v>959</v>
      </c>
      <c r="B437" s="598"/>
      <c r="D437" s="670"/>
      <c r="F437" s="467"/>
      <c r="G437" s="467"/>
      <c r="H437" s="467"/>
      <c r="I437" s="792" t="s">
        <v>148</v>
      </c>
    </row>
    <row r="438" spans="1:14" s="106" customFormat="1" ht="20.25" customHeight="1" thickTop="1" thickBot="1" x14ac:dyDescent="0.25">
      <c r="A438" s="626" t="s">
        <v>565</v>
      </c>
      <c r="B438" s="628" t="s">
        <v>149</v>
      </c>
      <c r="C438" s="627" t="s">
        <v>150</v>
      </c>
      <c r="D438" s="589" t="s">
        <v>639</v>
      </c>
      <c r="E438" s="629" t="s">
        <v>151</v>
      </c>
      <c r="F438" s="629" t="s">
        <v>152</v>
      </c>
      <c r="G438" s="629" t="s">
        <v>796</v>
      </c>
      <c r="H438" s="629" t="s">
        <v>797</v>
      </c>
      <c r="I438" s="674" t="s">
        <v>798</v>
      </c>
    </row>
    <row r="439" spans="1:14" s="375" customFormat="1" ht="13.5" thickTop="1" thickBot="1" x14ac:dyDescent="0.25">
      <c r="A439" s="974">
        <v>1</v>
      </c>
      <c r="B439" s="975">
        <v>2</v>
      </c>
      <c r="C439" s="975">
        <v>3</v>
      </c>
      <c r="D439" s="975">
        <v>4</v>
      </c>
      <c r="E439" s="526">
        <v>5</v>
      </c>
      <c r="F439" s="976">
        <v>6</v>
      </c>
      <c r="G439" s="976">
        <v>7</v>
      </c>
      <c r="H439" s="977">
        <v>8</v>
      </c>
      <c r="I439" s="978" t="s">
        <v>689</v>
      </c>
    </row>
    <row r="440" spans="1:14" s="504" customFormat="1" ht="16.5" thickTop="1" thickBot="1" x14ac:dyDescent="0.3">
      <c r="A440" s="986">
        <v>60002100062</v>
      </c>
      <c r="B440" s="809">
        <v>4357</v>
      </c>
      <c r="C440" s="987">
        <v>5171</v>
      </c>
      <c r="D440" s="810">
        <v>11</v>
      </c>
      <c r="E440" s="981" t="s">
        <v>811</v>
      </c>
      <c r="F440" s="736">
        <v>2200</v>
      </c>
      <c r="G440" s="989">
        <v>1524</v>
      </c>
      <c r="H440" s="736">
        <v>1519</v>
      </c>
      <c r="I440" s="990">
        <f>(H440/G440)*100</f>
        <v>99.671916010498691</v>
      </c>
    </row>
    <row r="441" spans="1:14" s="504" customFormat="1" ht="18" customHeight="1" thickTop="1" thickBot="1" x14ac:dyDescent="0.3">
      <c r="A441" s="3110" t="s">
        <v>225</v>
      </c>
      <c r="B441" s="3111"/>
      <c r="C441" s="3111"/>
      <c r="D441" s="3111"/>
      <c r="E441" s="3111"/>
      <c r="F441" s="725">
        <f>F440</f>
        <v>2200</v>
      </c>
      <c r="G441" s="725">
        <f>G440</f>
        <v>1524</v>
      </c>
      <c r="H441" s="725">
        <f>H440</f>
        <v>1519</v>
      </c>
      <c r="I441" s="710">
        <f>(H441/G441)*100</f>
        <v>99.671916010498691</v>
      </c>
    </row>
    <row r="442" spans="1:14" ht="13.5" thickTop="1" x14ac:dyDescent="0.2">
      <c r="K442" s="755"/>
      <c r="L442" s="755"/>
      <c r="M442" s="755"/>
      <c r="N442" s="421"/>
    </row>
    <row r="443" spans="1:14" x14ac:dyDescent="0.2">
      <c r="K443" s="755"/>
      <c r="L443" s="755"/>
      <c r="M443" s="755"/>
      <c r="N443" s="421"/>
    </row>
    <row r="444" spans="1:14" s="504" customFormat="1" ht="13.5" thickBot="1" x14ac:dyDescent="0.25">
      <c r="A444" s="421" t="s">
        <v>960</v>
      </c>
      <c r="B444" s="598"/>
      <c r="D444" s="670"/>
      <c r="F444" s="467"/>
      <c r="G444" s="467"/>
      <c r="H444" s="467"/>
      <c r="I444" s="792" t="s">
        <v>148</v>
      </c>
    </row>
    <row r="445" spans="1:14" s="106" customFormat="1" ht="20.25" customHeight="1" thickTop="1" thickBot="1" x14ac:dyDescent="0.25">
      <c r="A445" s="626" t="s">
        <v>565</v>
      </c>
      <c r="B445" s="628" t="s">
        <v>149</v>
      </c>
      <c r="C445" s="627" t="s">
        <v>150</v>
      </c>
      <c r="D445" s="589" t="s">
        <v>639</v>
      </c>
      <c r="E445" s="629" t="s">
        <v>151</v>
      </c>
      <c r="F445" s="629" t="s">
        <v>152</v>
      </c>
      <c r="G445" s="629" t="s">
        <v>796</v>
      </c>
      <c r="H445" s="629" t="s">
        <v>797</v>
      </c>
      <c r="I445" s="674" t="s">
        <v>798</v>
      </c>
    </row>
    <row r="446" spans="1:14" s="375" customFormat="1" ht="13.5" thickTop="1" thickBot="1" x14ac:dyDescent="0.25">
      <c r="A446" s="974">
        <v>1</v>
      </c>
      <c r="B446" s="975">
        <v>2</v>
      </c>
      <c r="C446" s="975">
        <v>3</v>
      </c>
      <c r="D446" s="975">
        <v>4</v>
      </c>
      <c r="E446" s="526">
        <v>5</v>
      </c>
      <c r="F446" s="976">
        <v>6</v>
      </c>
      <c r="G446" s="976">
        <v>7</v>
      </c>
      <c r="H446" s="977">
        <v>8</v>
      </c>
      <c r="I446" s="978" t="s">
        <v>689</v>
      </c>
    </row>
    <row r="447" spans="1:14" s="504" customFormat="1" ht="16.5" thickTop="1" thickBot="1" x14ac:dyDescent="0.3">
      <c r="A447" s="986">
        <v>60002100077</v>
      </c>
      <c r="B447" s="809">
        <v>4357</v>
      </c>
      <c r="C447" s="987">
        <v>5171</v>
      </c>
      <c r="D447" s="810">
        <v>11</v>
      </c>
      <c r="E447" s="981" t="s">
        <v>811</v>
      </c>
      <c r="F447" s="736">
        <v>1900</v>
      </c>
      <c r="G447" s="989">
        <v>1821</v>
      </c>
      <c r="H447" s="736">
        <v>1820</v>
      </c>
      <c r="I447" s="990">
        <f>(H447/G447)*100</f>
        <v>99.945085118066999</v>
      </c>
    </row>
    <row r="448" spans="1:14" s="504" customFormat="1" ht="18" customHeight="1" thickTop="1" thickBot="1" x14ac:dyDescent="0.3">
      <c r="A448" s="3110" t="s">
        <v>225</v>
      </c>
      <c r="B448" s="3111"/>
      <c r="C448" s="3111"/>
      <c r="D448" s="3111"/>
      <c r="E448" s="3111"/>
      <c r="F448" s="725">
        <f>F447</f>
        <v>1900</v>
      </c>
      <c r="G448" s="725">
        <f>G447</f>
        <v>1821</v>
      </c>
      <c r="H448" s="725">
        <f>H447</f>
        <v>1820</v>
      </c>
      <c r="I448" s="710">
        <f>(H448/G448)*100</f>
        <v>99.945085118066999</v>
      </c>
    </row>
    <row r="449" spans="1:14" ht="13.5" thickTop="1" x14ac:dyDescent="0.2">
      <c r="K449" s="755"/>
      <c r="L449" s="755"/>
      <c r="M449" s="755"/>
      <c r="N449" s="421"/>
    </row>
    <row r="450" spans="1:14" x14ac:dyDescent="0.2">
      <c r="K450" s="755"/>
      <c r="L450" s="755"/>
      <c r="M450" s="755"/>
      <c r="N450" s="421"/>
    </row>
    <row r="451" spans="1:14" s="504" customFormat="1" ht="13.5" thickBot="1" x14ac:dyDescent="0.25">
      <c r="A451" s="421" t="s">
        <v>961</v>
      </c>
      <c r="B451" s="598"/>
      <c r="D451" s="670"/>
      <c r="F451" s="467"/>
      <c r="G451" s="467"/>
      <c r="H451" s="467"/>
      <c r="I451" s="792" t="s">
        <v>148</v>
      </c>
    </row>
    <row r="452" spans="1:14" s="106" customFormat="1" ht="20.25" customHeight="1" thickTop="1" thickBot="1" x14ac:dyDescent="0.25">
      <c r="A452" s="626" t="s">
        <v>565</v>
      </c>
      <c r="B452" s="628" t="s">
        <v>149</v>
      </c>
      <c r="C452" s="627" t="s">
        <v>150</v>
      </c>
      <c r="D452" s="589" t="s">
        <v>639</v>
      </c>
      <c r="E452" s="629" t="s">
        <v>151</v>
      </c>
      <c r="F452" s="629" t="s">
        <v>152</v>
      </c>
      <c r="G452" s="629" t="s">
        <v>796</v>
      </c>
      <c r="H452" s="629" t="s">
        <v>797</v>
      </c>
      <c r="I452" s="674" t="s">
        <v>798</v>
      </c>
    </row>
    <row r="453" spans="1:14" s="375" customFormat="1" ht="13.5" thickTop="1" thickBot="1" x14ac:dyDescent="0.25">
      <c r="A453" s="974">
        <v>1</v>
      </c>
      <c r="B453" s="975">
        <v>2</v>
      </c>
      <c r="C453" s="975">
        <v>3</v>
      </c>
      <c r="D453" s="975">
        <v>4</v>
      </c>
      <c r="E453" s="526">
        <v>5</v>
      </c>
      <c r="F453" s="976">
        <v>6</v>
      </c>
      <c r="G453" s="976">
        <v>7</v>
      </c>
      <c r="H453" s="977">
        <v>8</v>
      </c>
      <c r="I453" s="978" t="s">
        <v>689</v>
      </c>
    </row>
    <row r="454" spans="1:14" s="504" customFormat="1" ht="16.5" thickTop="1" thickBot="1" x14ac:dyDescent="0.3">
      <c r="A454" s="986">
        <v>60002100183</v>
      </c>
      <c r="B454" s="809">
        <v>4357</v>
      </c>
      <c r="C454" s="987">
        <v>6121</v>
      </c>
      <c r="D454" s="810">
        <v>11</v>
      </c>
      <c r="E454" s="981" t="s">
        <v>548</v>
      </c>
      <c r="F454" s="736"/>
      <c r="G454" s="989">
        <v>512</v>
      </c>
      <c r="H454" s="736">
        <v>511</v>
      </c>
      <c r="I454" s="990">
        <f>(H454/G454)*100</f>
        <v>99.8046875</v>
      </c>
    </row>
    <row r="455" spans="1:14" s="504" customFormat="1" ht="18" customHeight="1" thickTop="1" thickBot="1" x14ac:dyDescent="0.3">
      <c r="A455" s="3127" t="s">
        <v>224</v>
      </c>
      <c r="B455" s="3126"/>
      <c r="C455" s="3126"/>
      <c r="D455" s="3126"/>
      <c r="E455" s="3126"/>
      <c r="F455" s="725">
        <f>F454</f>
        <v>0</v>
      </c>
      <c r="G455" s="725">
        <f>G454</f>
        <v>512</v>
      </c>
      <c r="H455" s="725">
        <f>H454</f>
        <v>511</v>
      </c>
      <c r="I455" s="710">
        <f>(H455/G455)*100</f>
        <v>99.8046875</v>
      </c>
    </row>
    <row r="456" spans="1:14" ht="13.5" thickTop="1" x14ac:dyDescent="0.2">
      <c r="K456" s="755"/>
      <c r="L456" s="755"/>
      <c r="M456" s="755"/>
      <c r="N456" s="421"/>
    </row>
    <row r="457" spans="1:14" x14ac:dyDescent="0.2">
      <c r="K457" s="755"/>
      <c r="L457" s="755"/>
      <c r="M457" s="755"/>
      <c r="N457" s="421"/>
    </row>
    <row r="458" spans="1:14" s="504" customFormat="1" ht="13.5" thickBot="1" x14ac:dyDescent="0.25">
      <c r="A458" s="421" t="s">
        <v>392</v>
      </c>
      <c r="B458" s="598"/>
      <c r="D458" s="670"/>
      <c r="F458" s="467"/>
      <c r="G458" s="467"/>
      <c r="H458" s="467"/>
      <c r="I458" s="792" t="s">
        <v>148</v>
      </c>
    </row>
    <row r="459" spans="1:14" s="106" customFormat="1" ht="20.25" customHeight="1" thickTop="1" thickBot="1" x14ac:dyDescent="0.25">
      <c r="A459" s="626" t="s">
        <v>565</v>
      </c>
      <c r="B459" s="628" t="s">
        <v>149</v>
      </c>
      <c r="C459" s="627" t="s">
        <v>150</v>
      </c>
      <c r="D459" s="589" t="s">
        <v>639</v>
      </c>
      <c r="E459" s="629" t="s">
        <v>151</v>
      </c>
      <c r="F459" s="629" t="s">
        <v>152</v>
      </c>
      <c r="G459" s="629" t="s">
        <v>796</v>
      </c>
      <c r="H459" s="629" t="s">
        <v>797</v>
      </c>
      <c r="I459" s="674" t="s">
        <v>798</v>
      </c>
    </row>
    <row r="460" spans="1:14" s="375" customFormat="1" ht="13.5" thickTop="1" thickBot="1" x14ac:dyDescent="0.25">
      <c r="A460" s="974">
        <v>1</v>
      </c>
      <c r="B460" s="975">
        <v>2</v>
      </c>
      <c r="C460" s="975">
        <v>3</v>
      </c>
      <c r="D460" s="975">
        <v>4</v>
      </c>
      <c r="E460" s="526">
        <v>5</v>
      </c>
      <c r="F460" s="976">
        <v>6</v>
      </c>
      <c r="G460" s="976">
        <v>7</v>
      </c>
      <c r="H460" s="977">
        <v>8</v>
      </c>
      <c r="I460" s="978" t="s">
        <v>689</v>
      </c>
    </row>
    <row r="461" spans="1:14" s="504" customFormat="1" ht="16.5" thickTop="1" thickBot="1" x14ac:dyDescent="0.3">
      <c r="A461" s="986">
        <v>60002100209</v>
      </c>
      <c r="B461" s="809">
        <v>4357</v>
      </c>
      <c r="C461" s="987">
        <v>5171</v>
      </c>
      <c r="D461" s="810">
        <v>11</v>
      </c>
      <c r="E461" s="981" t="s">
        <v>811</v>
      </c>
      <c r="F461" s="736"/>
      <c r="G461" s="989">
        <v>1414</v>
      </c>
      <c r="H461" s="736">
        <v>1414</v>
      </c>
      <c r="I461" s="990">
        <f>(H461/G461)*100</f>
        <v>100</v>
      </c>
    </row>
    <row r="462" spans="1:14" s="504" customFormat="1" ht="18" customHeight="1" thickTop="1" thickBot="1" x14ac:dyDescent="0.3">
      <c r="A462" s="3110" t="s">
        <v>225</v>
      </c>
      <c r="B462" s="3111"/>
      <c r="C462" s="3111"/>
      <c r="D462" s="3111"/>
      <c r="E462" s="3111"/>
      <c r="F462" s="725">
        <f>F461</f>
        <v>0</v>
      </c>
      <c r="G462" s="725">
        <f>G461</f>
        <v>1414</v>
      </c>
      <c r="H462" s="725">
        <f>H461</f>
        <v>1414</v>
      </c>
      <c r="I462" s="710">
        <f>(H462/G462)*100</f>
        <v>100</v>
      </c>
    </row>
    <row r="463" spans="1:14" ht="13.5" thickTop="1" x14ac:dyDescent="0.2">
      <c r="K463" s="755"/>
      <c r="L463" s="755"/>
      <c r="M463" s="755"/>
      <c r="N463" s="421"/>
    </row>
    <row r="464" spans="1:14" x14ac:dyDescent="0.2">
      <c r="K464" s="755"/>
      <c r="L464" s="755"/>
      <c r="M464" s="755"/>
      <c r="N464" s="421"/>
    </row>
    <row r="465" spans="1:14" x14ac:dyDescent="0.2">
      <c r="K465" s="755"/>
      <c r="L465" s="755"/>
      <c r="M465" s="755"/>
      <c r="N465" s="421"/>
    </row>
    <row r="466" spans="1:14" x14ac:dyDescent="0.2">
      <c r="K466" s="755"/>
      <c r="L466" s="755"/>
      <c r="M466" s="755"/>
      <c r="N466" s="421"/>
    </row>
    <row r="467" spans="1:14" x14ac:dyDescent="0.2">
      <c r="K467" s="755"/>
      <c r="L467" s="755"/>
      <c r="M467" s="755"/>
      <c r="N467" s="421"/>
    </row>
    <row r="468" spans="1:14" x14ac:dyDescent="0.2">
      <c r="K468" s="755"/>
      <c r="L468" s="755"/>
      <c r="M468" s="755"/>
      <c r="N468" s="421"/>
    </row>
    <row r="469" spans="1:14" s="504" customFormat="1" ht="13.5" thickBot="1" x14ac:dyDescent="0.25">
      <c r="A469" s="421" t="s">
        <v>393</v>
      </c>
      <c r="B469" s="598"/>
      <c r="D469" s="670"/>
      <c r="F469" s="467"/>
      <c r="G469" s="467"/>
      <c r="H469" s="467"/>
      <c r="I469" s="792" t="s">
        <v>148</v>
      </c>
    </row>
    <row r="470" spans="1:14" s="106" customFormat="1" ht="20.25" customHeight="1" thickTop="1" thickBot="1" x14ac:dyDescent="0.25">
      <c r="A470" s="626" t="s">
        <v>565</v>
      </c>
      <c r="B470" s="628" t="s">
        <v>149</v>
      </c>
      <c r="C470" s="627" t="s">
        <v>150</v>
      </c>
      <c r="D470" s="589" t="s">
        <v>639</v>
      </c>
      <c r="E470" s="629" t="s">
        <v>151</v>
      </c>
      <c r="F470" s="629" t="s">
        <v>152</v>
      </c>
      <c r="G470" s="629" t="s">
        <v>796</v>
      </c>
      <c r="H470" s="629" t="s">
        <v>797</v>
      </c>
      <c r="I470" s="674" t="s">
        <v>798</v>
      </c>
    </row>
    <row r="471" spans="1:14" s="375" customFormat="1" ht="13.5" thickTop="1" thickBot="1" x14ac:dyDescent="0.25">
      <c r="A471" s="974">
        <v>1</v>
      </c>
      <c r="B471" s="975">
        <v>2</v>
      </c>
      <c r="C471" s="975">
        <v>3</v>
      </c>
      <c r="D471" s="975">
        <v>4</v>
      </c>
      <c r="E471" s="526">
        <v>5</v>
      </c>
      <c r="F471" s="976">
        <v>6</v>
      </c>
      <c r="G471" s="976">
        <v>7</v>
      </c>
      <c r="H471" s="977">
        <v>8</v>
      </c>
      <c r="I471" s="978" t="s">
        <v>689</v>
      </c>
    </row>
    <row r="472" spans="1:14" s="504" customFormat="1" ht="16.5" thickTop="1" thickBot="1" x14ac:dyDescent="0.3">
      <c r="A472" s="986">
        <v>60002100249</v>
      </c>
      <c r="B472" s="809">
        <v>4357</v>
      </c>
      <c r="C472" s="987">
        <v>5137</v>
      </c>
      <c r="D472" s="810">
        <v>11</v>
      </c>
      <c r="E472" s="981" t="s">
        <v>142</v>
      </c>
      <c r="F472" s="736"/>
      <c r="G472" s="989">
        <v>379</v>
      </c>
      <c r="H472" s="736">
        <v>379</v>
      </c>
      <c r="I472" s="990">
        <f>(H472/G472)*100</f>
        <v>100</v>
      </c>
    </row>
    <row r="473" spans="1:14" s="504" customFormat="1" ht="18" customHeight="1" thickTop="1" thickBot="1" x14ac:dyDescent="0.3">
      <c r="A473" s="3110" t="s">
        <v>225</v>
      </c>
      <c r="B473" s="3111"/>
      <c r="C473" s="3111"/>
      <c r="D473" s="3111"/>
      <c r="E473" s="3111"/>
      <c r="F473" s="725">
        <f>F472</f>
        <v>0</v>
      </c>
      <c r="G473" s="725">
        <f>G472</f>
        <v>379</v>
      </c>
      <c r="H473" s="725">
        <f>H472</f>
        <v>379</v>
      </c>
      <c r="I473" s="710">
        <f>(H473/G473)*100</f>
        <v>100</v>
      </c>
    </row>
    <row r="474" spans="1:14" s="504" customFormat="1" ht="15.75" thickTop="1" x14ac:dyDescent="0.25">
      <c r="A474" s="800">
        <v>60002100249</v>
      </c>
      <c r="B474" s="659">
        <v>4357</v>
      </c>
      <c r="C474" s="607">
        <v>6121</v>
      </c>
      <c r="D474" s="815">
        <v>11</v>
      </c>
      <c r="E474" s="305" t="s">
        <v>548</v>
      </c>
      <c r="F474" s="803"/>
      <c r="G474" s="984">
        <v>3411</v>
      </c>
      <c r="H474" s="803">
        <v>3331</v>
      </c>
      <c r="I474" s="985">
        <f>(H474/G474)*100</f>
        <v>97.654646731163879</v>
      </c>
    </row>
    <row r="475" spans="1:14" s="504" customFormat="1" ht="15.75" thickBot="1" x14ac:dyDescent="0.3">
      <c r="A475" s="805">
        <v>60002100249</v>
      </c>
      <c r="B475" s="738">
        <v>4357</v>
      </c>
      <c r="C475" s="738">
        <v>6122</v>
      </c>
      <c r="D475" s="1005">
        <v>11</v>
      </c>
      <c r="E475" s="1004" t="s">
        <v>549</v>
      </c>
      <c r="F475" s="1003"/>
      <c r="G475" s="1003">
        <v>772</v>
      </c>
      <c r="H475" s="1003">
        <v>772</v>
      </c>
      <c r="I475" s="816">
        <f>(H475/G475)*100</f>
        <v>100</v>
      </c>
    </row>
    <row r="476" spans="1:14" s="504" customFormat="1" ht="18" customHeight="1" thickTop="1" thickBot="1" x14ac:dyDescent="0.3">
      <c r="A476" s="3127" t="s">
        <v>224</v>
      </c>
      <c r="B476" s="3126"/>
      <c r="C476" s="3126"/>
      <c r="D476" s="3126"/>
      <c r="E476" s="3126"/>
      <c r="F476" s="725">
        <f>F474</f>
        <v>0</v>
      </c>
      <c r="G476" s="725">
        <f>G474+G475</f>
        <v>4183</v>
      </c>
      <c r="H476" s="725">
        <f>H474+H475</f>
        <v>4103</v>
      </c>
      <c r="I476" s="710">
        <f>(H476/G476)*100</f>
        <v>98.087497011714078</v>
      </c>
    </row>
    <row r="477" spans="1:14" s="504" customFormat="1" ht="18" customHeight="1" thickTop="1" x14ac:dyDescent="0.25">
      <c r="A477" s="361"/>
      <c r="B477" s="361"/>
      <c r="C477" s="361"/>
      <c r="D477" s="361"/>
      <c r="E477" s="361"/>
      <c r="F477" s="178"/>
      <c r="G477" s="178"/>
      <c r="H477" s="178"/>
      <c r="I477" s="207"/>
    </row>
    <row r="478" spans="1:14" s="504" customFormat="1" ht="18" customHeight="1" x14ac:dyDescent="0.25">
      <c r="A478" s="361"/>
      <c r="B478" s="361"/>
      <c r="C478" s="361"/>
      <c r="D478" s="361"/>
      <c r="E478" s="361"/>
      <c r="F478" s="178"/>
      <c r="G478" s="178"/>
      <c r="H478" s="178"/>
      <c r="I478" s="207"/>
    </row>
    <row r="479" spans="1:14" s="504" customFormat="1" ht="13.5" thickBot="1" x14ac:dyDescent="0.25">
      <c r="A479" s="421" t="s">
        <v>394</v>
      </c>
      <c r="B479" s="598"/>
      <c r="D479" s="670"/>
      <c r="F479" s="467"/>
      <c r="G479" s="467"/>
      <c r="H479" s="467"/>
      <c r="I479" s="792" t="s">
        <v>148</v>
      </c>
    </row>
    <row r="480" spans="1:14" s="106" customFormat="1" ht="20.25" customHeight="1" thickTop="1" thickBot="1" x14ac:dyDescent="0.25">
      <c r="A480" s="626" t="s">
        <v>565</v>
      </c>
      <c r="B480" s="628" t="s">
        <v>149</v>
      </c>
      <c r="C480" s="627" t="s">
        <v>150</v>
      </c>
      <c r="D480" s="589" t="s">
        <v>639</v>
      </c>
      <c r="E480" s="629" t="s">
        <v>151</v>
      </c>
      <c r="F480" s="629" t="s">
        <v>152</v>
      </c>
      <c r="G480" s="629" t="s">
        <v>796</v>
      </c>
      <c r="H480" s="629" t="s">
        <v>797</v>
      </c>
      <c r="I480" s="674" t="s">
        <v>798</v>
      </c>
    </row>
    <row r="481" spans="1:14" s="375" customFormat="1" ht="13.5" thickTop="1" thickBot="1" x14ac:dyDescent="0.25">
      <c r="A481" s="974">
        <v>1</v>
      </c>
      <c r="B481" s="975">
        <v>2</v>
      </c>
      <c r="C481" s="975">
        <v>3</v>
      </c>
      <c r="D481" s="975">
        <v>4</v>
      </c>
      <c r="E481" s="526">
        <v>5</v>
      </c>
      <c r="F481" s="976">
        <v>6</v>
      </c>
      <c r="G481" s="976">
        <v>7</v>
      </c>
      <c r="H481" s="977">
        <v>8</v>
      </c>
      <c r="I481" s="978" t="s">
        <v>689</v>
      </c>
    </row>
    <row r="482" spans="1:14" s="504" customFormat="1" ht="16.5" thickTop="1" thickBot="1" x14ac:dyDescent="0.3">
      <c r="A482" s="986">
        <v>60002100250</v>
      </c>
      <c r="B482" s="809">
        <v>4357</v>
      </c>
      <c r="C482" s="987">
        <v>6121</v>
      </c>
      <c r="D482" s="810">
        <v>11</v>
      </c>
      <c r="E482" s="811" t="s">
        <v>548</v>
      </c>
      <c r="F482" s="736"/>
      <c r="G482" s="989">
        <v>1200</v>
      </c>
      <c r="H482" s="736">
        <v>78</v>
      </c>
      <c r="I482" s="990">
        <f>(H482/G482)*100</f>
        <v>6.5</v>
      </c>
    </row>
    <row r="483" spans="1:14" s="504" customFormat="1" ht="18" customHeight="1" thickTop="1" thickBot="1" x14ac:dyDescent="0.3">
      <c r="A483" s="3127" t="s">
        <v>224</v>
      </c>
      <c r="B483" s="3126"/>
      <c r="C483" s="3126"/>
      <c r="D483" s="3126"/>
      <c r="E483" s="3126"/>
      <c r="F483" s="725">
        <f>F482</f>
        <v>0</v>
      </c>
      <c r="G483" s="725">
        <f>G482</f>
        <v>1200</v>
      </c>
      <c r="H483" s="725">
        <f>H482</f>
        <v>78</v>
      </c>
      <c r="I483" s="710">
        <f>(H483/G483)*100</f>
        <v>6.5</v>
      </c>
    </row>
    <row r="484" spans="1:14" ht="13.5" thickTop="1" x14ac:dyDescent="0.2">
      <c r="K484" s="755"/>
      <c r="L484" s="755"/>
      <c r="M484" s="755"/>
      <c r="N484" s="421"/>
    </row>
    <row r="485" spans="1:14" x14ac:dyDescent="0.2">
      <c r="K485" s="755"/>
      <c r="L485" s="755"/>
      <c r="M485" s="755"/>
      <c r="N485" s="421"/>
    </row>
    <row r="486" spans="1:14" s="504" customFormat="1" ht="13.5" thickBot="1" x14ac:dyDescent="0.25">
      <c r="A486" s="421" t="s">
        <v>395</v>
      </c>
      <c r="B486" s="598"/>
      <c r="D486" s="670"/>
      <c r="F486" s="467"/>
      <c r="G486" s="467"/>
      <c r="H486" s="467"/>
      <c r="I486" s="792" t="s">
        <v>148</v>
      </c>
    </row>
    <row r="487" spans="1:14" s="106" customFormat="1" ht="20.25" customHeight="1" thickTop="1" thickBot="1" x14ac:dyDescent="0.25">
      <c r="A487" s="626" t="s">
        <v>565</v>
      </c>
      <c r="B487" s="628" t="s">
        <v>149</v>
      </c>
      <c r="C487" s="627" t="s">
        <v>150</v>
      </c>
      <c r="D487" s="589" t="s">
        <v>639</v>
      </c>
      <c r="E487" s="629" t="s">
        <v>151</v>
      </c>
      <c r="F487" s="629" t="s">
        <v>152</v>
      </c>
      <c r="G487" s="629" t="s">
        <v>796</v>
      </c>
      <c r="H487" s="629" t="s">
        <v>797</v>
      </c>
      <c r="I487" s="674" t="s">
        <v>798</v>
      </c>
    </row>
    <row r="488" spans="1:14" s="375" customFormat="1" ht="13.5" thickTop="1" thickBot="1" x14ac:dyDescent="0.25">
      <c r="A488" s="974">
        <v>1</v>
      </c>
      <c r="B488" s="975">
        <v>2</v>
      </c>
      <c r="C488" s="975">
        <v>3</v>
      </c>
      <c r="D488" s="975">
        <v>4</v>
      </c>
      <c r="E488" s="526">
        <v>5</v>
      </c>
      <c r="F488" s="976">
        <v>6</v>
      </c>
      <c r="G488" s="976">
        <v>7</v>
      </c>
      <c r="H488" s="977">
        <v>8</v>
      </c>
      <c r="I488" s="978" t="s">
        <v>689</v>
      </c>
    </row>
    <row r="489" spans="1:14" s="504" customFormat="1" ht="16.5" thickTop="1" thickBot="1" x14ac:dyDescent="0.3">
      <c r="A489" s="986">
        <v>60002100251</v>
      </c>
      <c r="B489" s="809">
        <v>4322</v>
      </c>
      <c r="C489" s="987">
        <v>6121</v>
      </c>
      <c r="D489" s="810">
        <v>870</v>
      </c>
      <c r="E489" s="811" t="s">
        <v>548</v>
      </c>
      <c r="F489" s="736"/>
      <c r="G489" s="989">
        <v>5730</v>
      </c>
      <c r="H489" s="736">
        <v>5241</v>
      </c>
      <c r="I489" s="990">
        <f>(H489/G489)*100</f>
        <v>91.465968586387433</v>
      </c>
    </row>
    <row r="490" spans="1:14" s="504" customFormat="1" ht="18" customHeight="1" thickTop="1" thickBot="1" x14ac:dyDescent="0.3">
      <c r="A490" s="3127" t="s">
        <v>224</v>
      </c>
      <c r="B490" s="3126"/>
      <c r="C490" s="3126"/>
      <c r="D490" s="3126"/>
      <c r="E490" s="3126"/>
      <c r="F490" s="725">
        <f>F489</f>
        <v>0</v>
      </c>
      <c r="G490" s="725">
        <f>G489</f>
        <v>5730</v>
      </c>
      <c r="H490" s="725">
        <f>H489</f>
        <v>5241</v>
      </c>
      <c r="I490" s="710">
        <f>(H490/G490)*100</f>
        <v>91.465968586387433</v>
      </c>
    </row>
    <row r="491" spans="1:14" ht="13.5" thickTop="1" x14ac:dyDescent="0.2">
      <c r="K491" s="755"/>
      <c r="L491" s="755"/>
      <c r="M491" s="755"/>
      <c r="N491" s="421"/>
    </row>
    <row r="492" spans="1:14" x14ac:dyDescent="0.2">
      <c r="K492" s="755"/>
      <c r="L492" s="755"/>
      <c r="M492" s="755"/>
      <c r="N492" s="421"/>
    </row>
    <row r="493" spans="1:14" s="504" customFormat="1" ht="13.5" thickBot="1" x14ac:dyDescent="0.25">
      <c r="A493" s="421" t="s">
        <v>396</v>
      </c>
      <c r="B493" s="598"/>
      <c r="D493" s="670"/>
      <c r="F493" s="467"/>
      <c r="G493" s="467"/>
      <c r="H493" s="467"/>
      <c r="I493" s="792" t="s">
        <v>148</v>
      </c>
    </row>
    <row r="494" spans="1:14" s="106" customFormat="1" ht="20.25" customHeight="1" thickTop="1" thickBot="1" x14ac:dyDescent="0.25">
      <c r="A494" s="626" t="s">
        <v>565</v>
      </c>
      <c r="B494" s="628" t="s">
        <v>149</v>
      </c>
      <c r="C494" s="627" t="s">
        <v>150</v>
      </c>
      <c r="D494" s="589" t="s">
        <v>639</v>
      </c>
      <c r="E494" s="629" t="s">
        <v>151</v>
      </c>
      <c r="F494" s="629" t="s">
        <v>152</v>
      </c>
      <c r="G494" s="629" t="s">
        <v>796</v>
      </c>
      <c r="H494" s="629" t="s">
        <v>797</v>
      </c>
      <c r="I494" s="674" t="s">
        <v>798</v>
      </c>
    </row>
    <row r="495" spans="1:14" s="375" customFormat="1" ht="13.5" thickTop="1" thickBot="1" x14ac:dyDescent="0.25">
      <c r="A495" s="974">
        <v>1</v>
      </c>
      <c r="B495" s="975">
        <v>2</v>
      </c>
      <c r="C495" s="975">
        <v>3</v>
      </c>
      <c r="D495" s="975">
        <v>4</v>
      </c>
      <c r="E495" s="526">
        <v>5</v>
      </c>
      <c r="F495" s="976">
        <v>6</v>
      </c>
      <c r="G495" s="976">
        <v>7</v>
      </c>
      <c r="H495" s="977">
        <v>8</v>
      </c>
      <c r="I495" s="978" t="s">
        <v>689</v>
      </c>
    </row>
    <row r="496" spans="1:14" s="504" customFormat="1" ht="16.5" thickTop="1" thickBot="1" x14ac:dyDescent="0.3">
      <c r="A496" s="986">
        <v>60002100252</v>
      </c>
      <c r="B496" s="809">
        <v>4322</v>
      </c>
      <c r="C496" s="987">
        <v>6121</v>
      </c>
      <c r="D496" s="810">
        <v>11</v>
      </c>
      <c r="E496" s="811" t="s">
        <v>548</v>
      </c>
      <c r="F496" s="736"/>
      <c r="G496" s="989">
        <v>527</v>
      </c>
      <c r="H496" s="736">
        <v>459</v>
      </c>
      <c r="I496" s="990">
        <f>(H496/G496)*100</f>
        <v>87.096774193548384</v>
      </c>
    </row>
    <row r="497" spans="1:14" s="504" customFormat="1" ht="18" customHeight="1" thickTop="1" thickBot="1" x14ac:dyDescent="0.3">
      <c r="A497" s="3127" t="s">
        <v>224</v>
      </c>
      <c r="B497" s="3126"/>
      <c r="C497" s="3126"/>
      <c r="D497" s="3126"/>
      <c r="E497" s="3126"/>
      <c r="F497" s="725">
        <f>F496</f>
        <v>0</v>
      </c>
      <c r="G497" s="725">
        <f>G496</f>
        <v>527</v>
      </c>
      <c r="H497" s="725">
        <f>H496</f>
        <v>459</v>
      </c>
      <c r="I497" s="710">
        <f>(H497/G497)*100</f>
        <v>87.096774193548384</v>
      </c>
    </row>
    <row r="498" spans="1:14" ht="13.5" thickTop="1" x14ac:dyDescent="0.2">
      <c r="K498" s="755"/>
      <c r="L498" s="755"/>
      <c r="M498" s="755"/>
      <c r="N498" s="421"/>
    </row>
    <row r="499" spans="1:14" x14ac:dyDescent="0.2">
      <c r="K499" s="755"/>
      <c r="L499" s="755"/>
      <c r="M499" s="755"/>
      <c r="N499" s="421"/>
    </row>
    <row r="500" spans="1:14" s="504" customFormat="1" ht="13.5" thickBot="1" x14ac:dyDescent="0.25">
      <c r="A500" s="421" t="s">
        <v>397</v>
      </c>
      <c r="B500" s="598"/>
      <c r="D500" s="670"/>
      <c r="F500" s="467"/>
      <c r="G500" s="467"/>
      <c r="H500" s="467"/>
      <c r="I500" s="792" t="s">
        <v>148</v>
      </c>
    </row>
    <row r="501" spans="1:14" s="106" customFormat="1" ht="20.25" customHeight="1" thickTop="1" thickBot="1" x14ac:dyDescent="0.25">
      <c r="A501" s="626" t="s">
        <v>565</v>
      </c>
      <c r="B501" s="628" t="s">
        <v>149</v>
      </c>
      <c r="C501" s="627" t="s">
        <v>150</v>
      </c>
      <c r="D501" s="589" t="s">
        <v>639</v>
      </c>
      <c r="E501" s="629" t="s">
        <v>151</v>
      </c>
      <c r="F501" s="629" t="s">
        <v>152</v>
      </c>
      <c r="G501" s="629" t="s">
        <v>796</v>
      </c>
      <c r="H501" s="629" t="s">
        <v>797</v>
      </c>
      <c r="I501" s="674" t="s">
        <v>798</v>
      </c>
    </row>
    <row r="502" spans="1:14" s="375" customFormat="1" ht="13.5" thickTop="1" thickBot="1" x14ac:dyDescent="0.25">
      <c r="A502" s="974">
        <v>1</v>
      </c>
      <c r="B502" s="975">
        <v>2</v>
      </c>
      <c r="C502" s="975">
        <v>3</v>
      </c>
      <c r="D502" s="975">
        <v>4</v>
      </c>
      <c r="E502" s="526">
        <v>5</v>
      </c>
      <c r="F502" s="976">
        <v>6</v>
      </c>
      <c r="G502" s="976">
        <v>7</v>
      </c>
      <c r="H502" s="977">
        <v>8</v>
      </c>
      <c r="I502" s="978" t="s">
        <v>689</v>
      </c>
    </row>
    <row r="503" spans="1:14" s="504" customFormat="1" ht="16.5" thickTop="1" thickBot="1" x14ac:dyDescent="0.3">
      <c r="A503" s="986">
        <v>60002100253</v>
      </c>
      <c r="B503" s="809">
        <v>4322</v>
      </c>
      <c r="C503" s="987">
        <v>5171</v>
      </c>
      <c r="D503" s="810">
        <v>11</v>
      </c>
      <c r="E503" s="811" t="s">
        <v>811</v>
      </c>
      <c r="F503" s="736"/>
      <c r="G503" s="989">
        <v>1560</v>
      </c>
      <c r="H503" s="736">
        <v>1198</v>
      </c>
      <c r="I503" s="990">
        <f>(H503/G503)*100</f>
        <v>76.794871794871796</v>
      </c>
    </row>
    <row r="504" spans="1:14" s="504" customFormat="1" ht="18" customHeight="1" thickTop="1" thickBot="1" x14ac:dyDescent="0.3">
      <c r="A504" s="3110" t="s">
        <v>225</v>
      </c>
      <c r="B504" s="3111"/>
      <c r="C504" s="3111"/>
      <c r="D504" s="3111"/>
      <c r="E504" s="3111"/>
      <c r="F504" s="725">
        <f>F503</f>
        <v>0</v>
      </c>
      <c r="G504" s="725">
        <f>G503</f>
        <v>1560</v>
      </c>
      <c r="H504" s="725">
        <f>H503</f>
        <v>1198</v>
      </c>
      <c r="I504" s="710">
        <f>(H504/G504)*100</f>
        <v>76.794871794871796</v>
      </c>
    </row>
    <row r="505" spans="1:14" ht="13.5" thickTop="1" x14ac:dyDescent="0.2">
      <c r="K505" s="755"/>
      <c r="L505" s="755"/>
      <c r="M505" s="755"/>
      <c r="N505" s="421"/>
    </row>
    <row r="506" spans="1:14" x14ac:dyDescent="0.2">
      <c r="K506" s="755"/>
      <c r="L506" s="755"/>
      <c r="M506" s="755"/>
      <c r="N506" s="421"/>
    </row>
    <row r="507" spans="1:14" s="504" customFormat="1" ht="13.5" thickBot="1" x14ac:dyDescent="0.25">
      <c r="A507" s="421" t="s">
        <v>398</v>
      </c>
      <c r="B507" s="598"/>
      <c r="D507" s="670"/>
      <c r="F507" s="467"/>
      <c r="G507" s="467"/>
      <c r="H507" s="467"/>
      <c r="I507" s="792" t="s">
        <v>148</v>
      </c>
    </row>
    <row r="508" spans="1:14" s="106" customFormat="1" ht="20.25" customHeight="1" thickTop="1" thickBot="1" x14ac:dyDescent="0.25">
      <c r="A508" s="626" t="s">
        <v>565</v>
      </c>
      <c r="B508" s="628" t="s">
        <v>149</v>
      </c>
      <c r="C508" s="627" t="s">
        <v>150</v>
      </c>
      <c r="D508" s="589" t="s">
        <v>639</v>
      </c>
      <c r="E508" s="629" t="s">
        <v>151</v>
      </c>
      <c r="F508" s="629" t="s">
        <v>152</v>
      </c>
      <c r="G508" s="629" t="s">
        <v>796</v>
      </c>
      <c r="H508" s="629" t="s">
        <v>797</v>
      </c>
      <c r="I508" s="674" t="s">
        <v>798</v>
      </c>
    </row>
    <row r="509" spans="1:14" s="375" customFormat="1" ht="13.5" thickTop="1" thickBot="1" x14ac:dyDescent="0.25">
      <c r="A509" s="974">
        <v>1</v>
      </c>
      <c r="B509" s="975">
        <v>2</v>
      </c>
      <c r="C509" s="975">
        <v>3</v>
      </c>
      <c r="D509" s="975">
        <v>4</v>
      </c>
      <c r="E509" s="526">
        <v>5</v>
      </c>
      <c r="F509" s="976">
        <v>6</v>
      </c>
      <c r="G509" s="976">
        <v>7</v>
      </c>
      <c r="H509" s="977">
        <v>8</v>
      </c>
      <c r="I509" s="978" t="s">
        <v>689</v>
      </c>
    </row>
    <row r="510" spans="1:14" s="504" customFormat="1" ht="16.5" thickTop="1" thickBot="1" x14ac:dyDescent="0.3">
      <c r="A510" s="986">
        <v>60002100255</v>
      </c>
      <c r="B510" s="809">
        <v>4357</v>
      </c>
      <c r="C510" s="987">
        <v>6121</v>
      </c>
      <c r="D510" s="810">
        <v>11</v>
      </c>
      <c r="E510" s="811" t="s">
        <v>548</v>
      </c>
      <c r="F510" s="736"/>
      <c r="G510" s="989">
        <v>1314</v>
      </c>
      <c r="H510" s="736">
        <v>115</v>
      </c>
      <c r="I510" s="990">
        <f>(H510/G510)*100</f>
        <v>8.7519025875190248</v>
      </c>
    </row>
    <row r="511" spans="1:14" s="504" customFormat="1" ht="18" customHeight="1" thickTop="1" thickBot="1" x14ac:dyDescent="0.3">
      <c r="A511" s="3127" t="s">
        <v>224</v>
      </c>
      <c r="B511" s="3126"/>
      <c r="C511" s="3126"/>
      <c r="D511" s="3126"/>
      <c r="E511" s="3126"/>
      <c r="F511" s="725">
        <f>F510</f>
        <v>0</v>
      </c>
      <c r="G511" s="725">
        <f>G510</f>
        <v>1314</v>
      </c>
      <c r="H511" s="725">
        <f>H510</f>
        <v>115</v>
      </c>
      <c r="I511" s="710">
        <f>(H511/G511)*100</f>
        <v>8.7519025875190248</v>
      </c>
    </row>
    <row r="512" spans="1:14" ht="13.5" thickTop="1" x14ac:dyDescent="0.2">
      <c r="K512" s="755"/>
      <c r="L512" s="755"/>
      <c r="M512" s="755"/>
      <c r="N512" s="421"/>
    </row>
    <row r="513" spans="1:14" x14ac:dyDescent="0.2">
      <c r="K513" s="755"/>
      <c r="L513" s="755"/>
      <c r="M513" s="755"/>
      <c r="N513" s="421"/>
    </row>
    <row r="514" spans="1:14" s="504" customFormat="1" ht="13.5" thickBot="1" x14ac:dyDescent="0.25">
      <c r="A514" s="421" t="s">
        <v>731</v>
      </c>
      <c r="B514" s="598"/>
      <c r="D514" s="670"/>
      <c r="F514" s="467"/>
      <c r="G514" s="467"/>
      <c r="H514" s="467"/>
      <c r="I514" s="792" t="s">
        <v>148</v>
      </c>
    </row>
    <row r="515" spans="1:14" s="106" customFormat="1" ht="20.25" customHeight="1" thickTop="1" thickBot="1" x14ac:dyDescent="0.25">
      <c r="A515" s="626" t="s">
        <v>565</v>
      </c>
      <c r="B515" s="628" t="s">
        <v>149</v>
      </c>
      <c r="C515" s="627" t="s">
        <v>150</v>
      </c>
      <c r="D515" s="589" t="s">
        <v>639</v>
      </c>
      <c r="E515" s="629" t="s">
        <v>151</v>
      </c>
      <c r="F515" s="629" t="s">
        <v>152</v>
      </c>
      <c r="G515" s="629" t="s">
        <v>796</v>
      </c>
      <c r="H515" s="629" t="s">
        <v>797</v>
      </c>
      <c r="I515" s="674" t="s">
        <v>798</v>
      </c>
    </row>
    <row r="516" spans="1:14" s="375" customFormat="1" ht="13.5" thickTop="1" thickBot="1" x14ac:dyDescent="0.25">
      <c r="A516" s="974">
        <v>1</v>
      </c>
      <c r="B516" s="975">
        <v>2</v>
      </c>
      <c r="C516" s="975">
        <v>3</v>
      </c>
      <c r="D516" s="975">
        <v>4</v>
      </c>
      <c r="E516" s="526">
        <v>5</v>
      </c>
      <c r="F516" s="976">
        <v>6</v>
      </c>
      <c r="G516" s="976">
        <v>7</v>
      </c>
      <c r="H516" s="977">
        <v>8</v>
      </c>
      <c r="I516" s="978" t="s">
        <v>689</v>
      </c>
    </row>
    <row r="517" spans="1:14" s="504" customFormat="1" ht="16.5" thickTop="1" thickBot="1" x14ac:dyDescent="0.3">
      <c r="A517" s="986">
        <v>60002100256</v>
      </c>
      <c r="B517" s="809">
        <v>4357</v>
      </c>
      <c r="C517" s="987">
        <v>6121</v>
      </c>
      <c r="D517" s="810">
        <v>11</v>
      </c>
      <c r="E517" s="811" t="s">
        <v>548</v>
      </c>
      <c r="F517" s="736"/>
      <c r="G517" s="989">
        <v>759</v>
      </c>
      <c r="H517" s="736">
        <v>759</v>
      </c>
      <c r="I517" s="990">
        <f>(H517/G517)*100</f>
        <v>100</v>
      </c>
    </row>
    <row r="518" spans="1:14" s="504" customFormat="1" ht="18" customHeight="1" thickTop="1" thickBot="1" x14ac:dyDescent="0.3">
      <c r="A518" s="3127" t="s">
        <v>224</v>
      </c>
      <c r="B518" s="3126"/>
      <c r="C518" s="3126"/>
      <c r="D518" s="3126"/>
      <c r="E518" s="3126"/>
      <c r="F518" s="725">
        <f>F517</f>
        <v>0</v>
      </c>
      <c r="G518" s="725">
        <f>G517</f>
        <v>759</v>
      </c>
      <c r="H518" s="725">
        <f>H517</f>
        <v>759</v>
      </c>
      <c r="I518" s="710">
        <f>(H518/G518)*100</f>
        <v>100</v>
      </c>
    </row>
    <row r="519" spans="1:14" ht="13.5" thickTop="1" x14ac:dyDescent="0.2">
      <c r="K519" s="755"/>
      <c r="L519" s="755"/>
      <c r="M519" s="755"/>
      <c r="N519" s="421"/>
    </row>
    <row r="520" spans="1:14" x14ac:dyDescent="0.2">
      <c r="K520" s="755"/>
      <c r="L520" s="755"/>
      <c r="M520" s="755"/>
      <c r="N520" s="421"/>
    </row>
    <row r="521" spans="1:14" s="504" customFormat="1" ht="13.5" thickBot="1" x14ac:dyDescent="0.25">
      <c r="A521" s="421" t="s">
        <v>732</v>
      </c>
      <c r="B521" s="598"/>
      <c r="D521" s="670"/>
      <c r="F521" s="467"/>
      <c r="G521" s="467"/>
      <c r="H521" s="467"/>
      <c r="I521" s="792" t="s">
        <v>148</v>
      </c>
    </row>
    <row r="522" spans="1:14" s="106" customFormat="1" ht="20.25" customHeight="1" thickTop="1" thickBot="1" x14ac:dyDescent="0.25">
      <c r="A522" s="626" t="s">
        <v>565</v>
      </c>
      <c r="B522" s="628" t="s">
        <v>149</v>
      </c>
      <c r="C522" s="627" t="s">
        <v>150</v>
      </c>
      <c r="D522" s="589" t="s">
        <v>639</v>
      </c>
      <c r="E522" s="629" t="s">
        <v>151</v>
      </c>
      <c r="F522" s="629" t="s">
        <v>152</v>
      </c>
      <c r="G522" s="629" t="s">
        <v>796</v>
      </c>
      <c r="H522" s="629" t="s">
        <v>797</v>
      </c>
      <c r="I522" s="674" t="s">
        <v>798</v>
      </c>
    </row>
    <row r="523" spans="1:14" s="375" customFormat="1" ht="13.5" thickTop="1" thickBot="1" x14ac:dyDescent="0.25">
      <c r="A523" s="974">
        <v>1</v>
      </c>
      <c r="B523" s="975">
        <v>2</v>
      </c>
      <c r="C523" s="975">
        <v>3</v>
      </c>
      <c r="D523" s="975">
        <v>4</v>
      </c>
      <c r="E523" s="526">
        <v>5</v>
      </c>
      <c r="F523" s="976">
        <v>6</v>
      </c>
      <c r="G523" s="976">
        <v>7</v>
      </c>
      <c r="H523" s="977">
        <v>8</v>
      </c>
      <c r="I523" s="978" t="s">
        <v>689</v>
      </c>
    </row>
    <row r="524" spans="1:14" s="504" customFormat="1" ht="16.5" thickTop="1" thickBot="1" x14ac:dyDescent="0.3">
      <c r="A524" s="986">
        <v>60002100258</v>
      </c>
      <c r="B524" s="809">
        <v>4357</v>
      </c>
      <c r="C524" s="987">
        <v>6121</v>
      </c>
      <c r="D524" s="810">
        <v>870</v>
      </c>
      <c r="E524" s="811" t="s">
        <v>548</v>
      </c>
      <c r="F524" s="736"/>
      <c r="G524" s="989">
        <v>545</v>
      </c>
      <c r="H524" s="736">
        <v>0</v>
      </c>
      <c r="I524" s="990">
        <f>(H524/G524)*100</f>
        <v>0</v>
      </c>
    </row>
    <row r="525" spans="1:14" s="504" customFormat="1" ht="18" customHeight="1" thickTop="1" thickBot="1" x14ac:dyDescent="0.3">
      <c r="A525" s="3127" t="s">
        <v>224</v>
      </c>
      <c r="B525" s="3126"/>
      <c r="C525" s="3126"/>
      <c r="D525" s="3126"/>
      <c r="E525" s="3126"/>
      <c r="F525" s="725">
        <f>F524</f>
        <v>0</v>
      </c>
      <c r="G525" s="725">
        <f>G524</f>
        <v>545</v>
      </c>
      <c r="H525" s="725">
        <f>H524</f>
        <v>0</v>
      </c>
      <c r="I525" s="710">
        <f>(H525/G525)*100</f>
        <v>0</v>
      </c>
    </row>
    <row r="526" spans="1:14" ht="13.5" thickTop="1" x14ac:dyDescent="0.2">
      <c r="K526" s="755"/>
      <c r="L526" s="755"/>
      <c r="M526" s="755"/>
      <c r="N526" s="421"/>
    </row>
    <row r="527" spans="1:14" x14ac:dyDescent="0.2">
      <c r="K527" s="755"/>
      <c r="L527" s="755"/>
      <c r="M527" s="755"/>
      <c r="N527" s="421"/>
    </row>
    <row r="528" spans="1:14" s="504" customFormat="1" ht="13.5" thickBot="1" x14ac:dyDescent="0.25">
      <c r="A528" s="421" t="s">
        <v>285</v>
      </c>
      <c r="B528" s="598"/>
      <c r="D528" s="670"/>
      <c r="F528" s="467"/>
      <c r="G528" s="467"/>
      <c r="H528" s="467"/>
      <c r="I528" s="792" t="s">
        <v>148</v>
      </c>
    </row>
    <row r="529" spans="1:14" s="106" customFormat="1" ht="20.25" customHeight="1" thickTop="1" thickBot="1" x14ac:dyDescent="0.25">
      <c r="A529" s="626" t="s">
        <v>565</v>
      </c>
      <c r="B529" s="628" t="s">
        <v>149</v>
      </c>
      <c r="C529" s="627" t="s">
        <v>150</v>
      </c>
      <c r="D529" s="589" t="s">
        <v>639</v>
      </c>
      <c r="E529" s="629" t="s">
        <v>151</v>
      </c>
      <c r="F529" s="629" t="s">
        <v>152</v>
      </c>
      <c r="G529" s="629" t="s">
        <v>796</v>
      </c>
      <c r="H529" s="629" t="s">
        <v>797</v>
      </c>
      <c r="I529" s="674" t="s">
        <v>798</v>
      </c>
    </row>
    <row r="530" spans="1:14" s="375" customFormat="1" ht="13.5" thickTop="1" thickBot="1" x14ac:dyDescent="0.25">
      <c r="A530" s="974">
        <v>1</v>
      </c>
      <c r="B530" s="975">
        <v>2</v>
      </c>
      <c r="C530" s="975">
        <v>3</v>
      </c>
      <c r="D530" s="975">
        <v>4</v>
      </c>
      <c r="E530" s="526">
        <v>5</v>
      </c>
      <c r="F530" s="976">
        <v>6</v>
      </c>
      <c r="G530" s="976">
        <v>7</v>
      </c>
      <c r="H530" s="977">
        <v>8</v>
      </c>
      <c r="I530" s="978" t="s">
        <v>689</v>
      </c>
    </row>
    <row r="531" spans="1:14" s="504" customFormat="1" ht="16.5" thickTop="1" thickBot="1" x14ac:dyDescent="0.3">
      <c r="A531" s="986">
        <v>60002100259</v>
      </c>
      <c r="B531" s="809">
        <v>4357</v>
      </c>
      <c r="C531" s="987">
        <v>6121</v>
      </c>
      <c r="D531" s="810">
        <v>870</v>
      </c>
      <c r="E531" s="811" t="s">
        <v>548</v>
      </c>
      <c r="F531" s="736"/>
      <c r="G531" s="989">
        <v>1305</v>
      </c>
      <c r="H531" s="736">
        <v>103</v>
      </c>
      <c r="I531" s="990">
        <f>(H531/G531)*100</f>
        <v>7.8927203065134091</v>
      </c>
    </row>
    <row r="532" spans="1:14" s="504" customFormat="1" ht="18" customHeight="1" thickTop="1" thickBot="1" x14ac:dyDescent="0.3">
      <c r="A532" s="3127" t="s">
        <v>224</v>
      </c>
      <c r="B532" s="3126"/>
      <c r="C532" s="3126"/>
      <c r="D532" s="3126"/>
      <c r="E532" s="3126"/>
      <c r="F532" s="725">
        <f>F531</f>
        <v>0</v>
      </c>
      <c r="G532" s="725">
        <f>G531</f>
        <v>1305</v>
      </c>
      <c r="H532" s="725">
        <f>H531</f>
        <v>103</v>
      </c>
      <c r="I532" s="710">
        <f>(H532/G532)*100</f>
        <v>7.8927203065134091</v>
      </c>
    </row>
    <row r="533" spans="1:14" ht="13.5" thickTop="1" x14ac:dyDescent="0.2">
      <c r="K533" s="755"/>
      <c r="L533" s="755"/>
      <c r="M533" s="755"/>
      <c r="N533" s="421"/>
    </row>
    <row r="534" spans="1:14" x14ac:dyDescent="0.2">
      <c r="K534" s="755"/>
      <c r="L534" s="755"/>
      <c r="M534" s="755"/>
      <c r="N534" s="421"/>
    </row>
    <row r="535" spans="1:14" s="504" customFormat="1" ht="13.5" thickBot="1" x14ac:dyDescent="0.25">
      <c r="A535" s="421" t="s">
        <v>286</v>
      </c>
      <c r="B535" s="598"/>
      <c r="D535" s="670"/>
      <c r="F535" s="467"/>
      <c r="G535" s="467"/>
      <c r="H535" s="467"/>
      <c r="I535" s="792" t="s">
        <v>148</v>
      </c>
    </row>
    <row r="536" spans="1:14" s="106" customFormat="1" ht="20.25" customHeight="1" thickTop="1" thickBot="1" x14ac:dyDescent="0.25">
      <c r="A536" s="626" t="s">
        <v>565</v>
      </c>
      <c r="B536" s="628" t="s">
        <v>149</v>
      </c>
      <c r="C536" s="627" t="s">
        <v>150</v>
      </c>
      <c r="D536" s="589" t="s">
        <v>639</v>
      </c>
      <c r="E536" s="629" t="s">
        <v>151</v>
      </c>
      <c r="F536" s="629" t="s">
        <v>152</v>
      </c>
      <c r="G536" s="629" t="s">
        <v>796</v>
      </c>
      <c r="H536" s="629" t="s">
        <v>797</v>
      </c>
      <c r="I536" s="674" t="s">
        <v>798</v>
      </c>
    </row>
    <row r="537" spans="1:14" s="375" customFormat="1" ht="13.5" thickTop="1" thickBot="1" x14ac:dyDescent="0.25">
      <c r="A537" s="974">
        <v>1</v>
      </c>
      <c r="B537" s="975">
        <v>2</v>
      </c>
      <c r="C537" s="975">
        <v>3</v>
      </c>
      <c r="D537" s="975">
        <v>4</v>
      </c>
      <c r="E537" s="526">
        <v>5</v>
      </c>
      <c r="F537" s="976">
        <v>6</v>
      </c>
      <c r="G537" s="976">
        <v>7</v>
      </c>
      <c r="H537" s="977">
        <v>8</v>
      </c>
      <c r="I537" s="978" t="s">
        <v>689</v>
      </c>
    </row>
    <row r="538" spans="1:14" s="504" customFormat="1" ht="16.5" thickTop="1" thickBot="1" x14ac:dyDescent="0.3">
      <c r="A538" s="986">
        <v>60002100260</v>
      </c>
      <c r="B538" s="809">
        <v>4351</v>
      </c>
      <c r="C538" s="987">
        <v>6121</v>
      </c>
      <c r="D538" s="810">
        <v>870</v>
      </c>
      <c r="E538" s="811" t="s">
        <v>548</v>
      </c>
      <c r="F538" s="736"/>
      <c r="G538" s="989">
        <v>105</v>
      </c>
      <c r="H538" s="736">
        <v>104</v>
      </c>
      <c r="I538" s="990">
        <f>(H538/G538)*100</f>
        <v>99.047619047619051</v>
      </c>
    </row>
    <row r="539" spans="1:14" s="504" customFormat="1" ht="18" customHeight="1" thickTop="1" thickBot="1" x14ac:dyDescent="0.3">
      <c r="A539" s="3127" t="s">
        <v>224</v>
      </c>
      <c r="B539" s="3126"/>
      <c r="C539" s="3126"/>
      <c r="D539" s="3126"/>
      <c r="E539" s="3126"/>
      <c r="F539" s="725">
        <f>F538</f>
        <v>0</v>
      </c>
      <c r="G539" s="725">
        <f>G538</f>
        <v>105</v>
      </c>
      <c r="H539" s="725">
        <f>H538</f>
        <v>104</v>
      </c>
      <c r="I539" s="710">
        <f>(H539/G539)*100</f>
        <v>99.047619047619051</v>
      </c>
    </row>
    <row r="540" spans="1:14" ht="13.5" thickTop="1" x14ac:dyDescent="0.2">
      <c r="K540" s="755"/>
      <c r="L540" s="755"/>
      <c r="M540" s="755"/>
      <c r="N540" s="421"/>
    </row>
    <row r="541" spans="1:14" x14ac:dyDescent="0.2">
      <c r="K541" s="755"/>
      <c r="L541" s="755"/>
      <c r="M541" s="755"/>
      <c r="N541" s="421"/>
    </row>
    <row r="542" spans="1:14" s="504" customFormat="1" ht="13.5" thickBot="1" x14ac:dyDescent="0.25">
      <c r="A542" s="421" t="s">
        <v>589</v>
      </c>
      <c r="B542" s="598"/>
      <c r="D542" s="670"/>
      <c r="F542" s="467"/>
      <c r="G542" s="467"/>
      <c r="H542" s="467"/>
      <c r="I542" s="792" t="s">
        <v>148</v>
      </c>
    </row>
    <row r="543" spans="1:14" s="106" customFormat="1" ht="20.25" customHeight="1" thickTop="1" thickBot="1" x14ac:dyDescent="0.25">
      <c r="A543" s="626" t="s">
        <v>565</v>
      </c>
      <c r="B543" s="628" t="s">
        <v>149</v>
      </c>
      <c r="C543" s="627" t="s">
        <v>150</v>
      </c>
      <c r="D543" s="589" t="s">
        <v>639</v>
      </c>
      <c r="E543" s="629" t="s">
        <v>151</v>
      </c>
      <c r="F543" s="629" t="s">
        <v>152</v>
      </c>
      <c r="G543" s="629" t="s">
        <v>796</v>
      </c>
      <c r="H543" s="629" t="s">
        <v>797</v>
      </c>
      <c r="I543" s="674" t="s">
        <v>798</v>
      </c>
    </row>
    <row r="544" spans="1:14" s="375" customFormat="1" ht="13.5" thickTop="1" thickBot="1" x14ac:dyDescent="0.25">
      <c r="A544" s="974">
        <v>1</v>
      </c>
      <c r="B544" s="975">
        <v>2</v>
      </c>
      <c r="C544" s="975">
        <v>3</v>
      </c>
      <c r="D544" s="975">
        <v>4</v>
      </c>
      <c r="E544" s="526">
        <v>5</v>
      </c>
      <c r="F544" s="976">
        <v>6</v>
      </c>
      <c r="G544" s="976">
        <v>7</v>
      </c>
      <c r="H544" s="977">
        <v>8</v>
      </c>
      <c r="I544" s="978" t="s">
        <v>689</v>
      </c>
    </row>
    <row r="545" spans="1:14" s="504" customFormat="1" ht="16.5" thickTop="1" thickBot="1" x14ac:dyDescent="0.3">
      <c r="A545" s="986">
        <v>60002100262</v>
      </c>
      <c r="B545" s="809">
        <v>4357</v>
      </c>
      <c r="C545" s="987">
        <v>6121</v>
      </c>
      <c r="D545" s="810">
        <v>11</v>
      </c>
      <c r="E545" s="811" t="s">
        <v>548</v>
      </c>
      <c r="F545" s="736"/>
      <c r="G545" s="989">
        <v>550</v>
      </c>
      <c r="H545" s="736">
        <v>99</v>
      </c>
      <c r="I545" s="990">
        <f>(H545/G545)*100</f>
        <v>18</v>
      </c>
    </row>
    <row r="546" spans="1:14" s="504" customFormat="1" ht="18" customHeight="1" thickTop="1" thickBot="1" x14ac:dyDescent="0.3">
      <c r="A546" s="3127" t="s">
        <v>224</v>
      </c>
      <c r="B546" s="3126"/>
      <c r="C546" s="3126"/>
      <c r="D546" s="3126"/>
      <c r="E546" s="3126"/>
      <c r="F546" s="725">
        <f>F545</f>
        <v>0</v>
      </c>
      <c r="G546" s="725">
        <f>G545</f>
        <v>550</v>
      </c>
      <c r="H546" s="725">
        <f>H545</f>
        <v>99</v>
      </c>
      <c r="I546" s="710">
        <f>(H546/G546)*100</f>
        <v>18</v>
      </c>
    </row>
    <row r="547" spans="1:14" ht="13.5" thickTop="1" x14ac:dyDescent="0.2">
      <c r="K547" s="755"/>
      <c r="L547" s="755"/>
      <c r="M547" s="755"/>
      <c r="N547" s="421"/>
    </row>
    <row r="548" spans="1:14" x14ac:dyDescent="0.2">
      <c r="K548" s="755"/>
      <c r="L548" s="755"/>
      <c r="M548" s="755"/>
      <c r="N548" s="421"/>
    </row>
    <row r="549" spans="1:14" s="504" customFormat="1" ht="13.5" thickBot="1" x14ac:dyDescent="0.25">
      <c r="A549" s="421" t="s">
        <v>590</v>
      </c>
      <c r="B549" s="598"/>
      <c r="D549" s="670"/>
      <c r="F549" s="467"/>
      <c r="G549" s="467"/>
      <c r="H549" s="467"/>
      <c r="I549" s="792" t="s">
        <v>148</v>
      </c>
    </row>
    <row r="550" spans="1:14" s="106" customFormat="1" ht="20.25" customHeight="1" thickTop="1" thickBot="1" x14ac:dyDescent="0.25">
      <c r="A550" s="626" t="s">
        <v>565</v>
      </c>
      <c r="B550" s="628" t="s">
        <v>149</v>
      </c>
      <c r="C550" s="627" t="s">
        <v>150</v>
      </c>
      <c r="D550" s="589" t="s">
        <v>639</v>
      </c>
      <c r="E550" s="629" t="s">
        <v>151</v>
      </c>
      <c r="F550" s="629" t="s">
        <v>152</v>
      </c>
      <c r="G550" s="629" t="s">
        <v>796</v>
      </c>
      <c r="H550" s="629" t="s">
        <v>797</v>
      </c>
      <c r="I550" s="674" t="s">
        <v>798</v>
      </c>
    </row>
    <row r="551" spans="1:14" s="375" customFormat="1" ht="13.5" thickTop="1" thickBot="1" x14ac:dyDescent="0.25">
      <c r="A551" s="974">
        <v>1</v>
      </c>
      <c r="B551" s="975">
        <v>2</v>
      </c>
      <c r="C551" s="975">
        <v>3</v>
      </c>
      <c r="D551" s="975">
        <v>4</v>
      </c>
      <c r="E551" s="526">
        <v>5</v>
      </c>
      <c r="F551" s="976">
        <v>6</v>
      </c>
      <c r="G551" s="976">
        <v>7</v>
      </c>
      <c r="H551" s="977">
        <v>8</v>
      </c>
      <c r="I551" s="978" t="s">
        <v>689</v>
      </c>
    </row>
    <row r="552" spans="1:14" s="504" customFormat="1" ht="16.5" thickTop="1" thickBot="1" x14ac:dyDescent="0.3">
      <c r="A552" s="986">
        <v>60002100263</v>
      </c>
      <c r="B552" s="809">
        <v>4357</v>
      </c>
      <c r="C552" s="987">
        <v>6121</v>
      </c>
      <c r="D552" s="810">
        <v>11</v>
      </c>
      <c r="E552" s="811" t="s">
        <v>548</v>
      </c>
      <c r="F552" s="736"/>
      <c r="G552" s="989">
        <v>150</v>
      </c>
      <c r="H552" s="736">
        <v>109</v>
      </c>
      <c r="I552" s="990">
        <f>(H552/G552)*100</f>
        <v>72.666666666666671</v>
      </c>
    </row>
    <row r="553" spans="1:14" s="504" customFormat="1" ht="18" customHeight="1" thickTop="1" thickBot="1" x14ac:dyDescent="0.3">
      <c r="A553" s="3127" t="s">
        <v>224</v>
      </c>
      <c r="B553" s="3126"/>
      <c r="C553" s="3126"/>
      <c r="D553" s="3126"/>
      <c r="E553" s="3126"/>
      <c r="F553" s="725">
        <f>F552</f>
        <v>0</v>
      </c>
      <c r="G553" s="725">
        <f>G552</f>
        <v>150</v>
      </c>
      <c r="H553" s="725">
        <f>H552</f>
        <v>109</v>
      </c>
      <c r="I553" s="710">
        <f>(H553/G553)*100</f>
        <v>72.666666666666671</v>
      </c>
    </row>
    <row r="554" spans="1:14" ht="13.5" thickTop="1" x14ac:dyDescent="0.2">
      <c r="K554" s="755"/>
      <c r="L554" s="755"/>
      <c r="M554" s="755"/>
      <c r="N554" s="421"/>
    </row>
    <row r="555" spans="1:14" x14ac:dyDescent="0.2">
      <c r="K555" s="755"/>
      <c r="L555" s="755"/>
      <c r="M555" s="755"/>
      <c r="N555" s="421"/>
    </row>
    <row r="556" spans="1:14" s="504" customFormat="1" ht="13.5" thickBot="1" x14ac:dyDescent="0.25">
      <c r="A556" s="421" t="s">
        <v>592</v>
      </c>
      <c r="B556" s="598"/>
      <c r="D556" s="670"/>
      <c r="F556" s="467"/>
      <c r="G556" s="467"/>
      <c r="H556" s="467"/>
      <c r="I556" s="792" t="s">
        <v>148</v>
      </c>
    </row>
    <row r="557" spans="1:14" s="106" customFormat="1" ht="20.25" customHeight="1" thickTop="1" thickBot="1" x14ac:dyDescent="0.25">
      <c r="A557" s="626" t="s">
        <v>565</v>
      </c>
      <c r="B557" s="628" t="s">
        <v>149</v>
      </c>
      <c r="C557" s="627" t="s">
        <v>150</v>
      </c>
      <c r="D557" s="589" t="s">
        <v>639</v>
      </c>
      <c r="E557" s="629" t="s">
        <v>151</v>
      </c>
      <c r="F557" s="629" t="s">
        <v>152</v>
      </c>
      <c r="G557" s="629" t="s">
        <v>796</v>
      </c>
      <c r="H557" s="629" t="s">
        <v>797</v>
      </c>
      <c r="I557" s="674" t="s">
        <v>798</v>
      </c>
    </row>
    <row r="558" spans="1:14" s="375" customFormat="1" ht="13.5" thickTop="1" thickBot="1" x14ac:dyDescent="0.25">
      <c r="A558" s="974">
        <v>1</v>
      </c>
      <c r="B558" s="975">
        <v>2</v>
      </c>
      <c r="C558" s="975">
        <v>3</v>
      </c>
      <c r="D558" s="975">
        <v>4</v>
      </c>
      <c r="E558" s="526">
        <v>5</v>
      </c>
      <c r="F558" s="976">
        <v>6</v>
      </c>
      <c r="G558" s="976">
        <v>7</v>
      </c>
      <c r="H558" s="977">
        <v>8</v>
      </c>
      <c r="I558" s="978" t="s">
        <v>689</v>
      </c>
    </row>
    <row r="559" spans="1:14" s="504" customFormat="1" ht="16.5" thickTop="1" thickBot="1" x14ac:dyDescent="0.3">
      <c r="A559" s="986">
        <v>60002100264</v>
      </c>
      <c r="B559" s="809">
        <v>4357</v>
      </c>
      <c r="C559" s="987">
        <v>5169</v>
      </c>
      <c r="D559" s="810">
        <v>870</v>
      </c>
      <c r="E559" s="811" t="s">
        <v>591</v>
      </c>
      <c r="F559" s="736"/>
      <c r="G559" s="989">
        <v>300</v>
      </c>
      <c r="H559" s="736">
        <v>0</v>
      </c>
      <c r="I559" s="990">
        <f>(H559/G559)*100</f>
        <v>0</v>
      </c>
    </row>
    <row r="560" spans="1:14" s="504" customFormat="1" ht="18" customHeight="1" thickTop="1" thickBot="1" x14ac:dyDescent="0.3">
      <c r="A560" s="3110" t="s">
        <v>225</v>
      </c>
      <c r="B560" s="3111"/>
      <c r="C560" s="3111"/>
      <c r="D560" s="3111"/>
      <c r="E560" s="3111"/>
      <c r="F560" s="725">
        <f>F559</f>
        <v>0</v>
      </c>
      <c r="G560" s="725">
        <f>G559</f>
        <v>300</v>
      </c>
      <c r="H560" s="725">
        <f>H559</f>
        <v>0</v>
      </c>
      <c r="I560" s="710">
        <f>(H560/G560)*100</f>
        <v>0</v>
      </c>
    </row>
    <row r="561" spans="1:14" ht="13.5" thickTop="1" x14ac:dyDescent="0.2">
      <c r="K561" s="755"/>
      <c r="L561" s="755"/>
      <c r="M561" s="755"/>
      <c r="N561" s="421"/>
    </row>
    <row r="562" spans="1:14" x14ac:dyDescent="0.2">
      <c r="K562" s="755"/>
      <c r="L562" s="755"/>
      <c r="M562" s="755"/>
      <c r="N562" s="421"/>
    </row>
    <row r="563" spans="1:14" s="504" customFormat="1" ht="13.5" thickBot="1" x14ac:dyDescent="0.25">
      <c r="A563" s="421" t="s">
        <v>593</v>
      </c>
      <c r="B563" s="598"/>
      <c r="D563" s="670"/>
      <c r="F563" s="467"/>
      <c r="G563" s="467"/>
      <c r="H563" s="467"/>
      <c r="I563" s="792" t="s">
        <v>148</v>
      </c>
    </row>
    <row r="564" spans="1:14" s="106" customFormat="1" ht="20.25" customHeight="1" thickTop="1" thickBot="1" x14ac:dyDescent="0.25">
      <c r="A564" s="626" t="s">
        <v>565</v>
      </c>
      <c r="B564" s="628" t="s">
        <v>149</v>
      </c>
      <c r="C564" s="627" t="s">
        <v>150</v>
      </c>
      <c r="D564" s="589" t="s">
        <v>639</v>
      </c>
      <c r="E564" s="629" t="s">
        <v>151</v>
      </c>
      <c r="F564" s="629" t="s">
        <v>152</v>
      </c>
      <c r="G564" s="629" t="s">
        <v>796</v>
      </c>
      <c r="H564" s="629" t="s">
        <v>797</v>
      </c>
      <c r="I564" s="674" t="s">
        <v>798</v>
      </c>
    </row>
    <row r="565" spans="1:14" s="375" customFormat="1" ht="13.5" thickTop="1" thickBot="1" x14ac:dyDescent="0.25">
      <c r="A565" s="974">
        <v>1</v>
      </c>
      <c r="B565" s="975">
        <v>2</v>
      </c>
      <c r="C565" s="975">
        <v>3</v>
      </c>
      <c r="D565" s="975">
        <v>4</v>
      </c>
      <c r="E565" s="526">
        <v>5</v>
      </c>
      <c r="F565" s="976">
        <v>6</v>
      </c>
      <c r="G565" s="976">
        <v>7</v>
      </c>
      <c r="H565" s="977">
        <v>8</v>
      </c>
      <c r="I565" s="978" t="s">
        <v>689</v>
      </c>
    </row>
    <row r="566" spans="1:14" s="504" customFormat="1" ht="16.5" thickTop="1" thickBot="1" x14ac:dyDescent="0.3">
      <c r="A566" s="986">
        <v>60002100267</v>
      </c>
      <c r="B566" s="809">
        <v>4357</v>
      </c>
      <c r="C566" s="1016">
        <v>6121</v>
      </c>
      <c r="D566" s="810">
        <v>11</v>
      </c>
      <c r="E566" s="811" t="s">
        <v>548</v>
      </c>
      <c r="F566" s="736"/>
      <c r="G566" s="989">
        <v>200</v>
      </c>
      <c r="H566" s="736">
        <v>191</v>
      </c>
      <c r="I566" s="990">
        <f>(H566/G566)*100</f>
        <v>95.5</v>
      </c>
    </row>
    <row r="567" spans="1:14" s="504" customFormat="1" ht="18" customHeight="1" thickTop="1" thickBot="1" x14ac:dyDescent="0.3">
      <c r="A567" s="3127" t="s">
        <v>224</v>
      </c>
      <c r="B567" s="3126"/>
      <c r="C567" s="3126"/>
      <c r="D567" s="3126"/>
      <c r="E567" s="3126"/>
      <c r="F567" s="725">
        <f>F566</f>
        <v>0</v>
      </c>
      <c r="G567" s="725">
        <f>G566</f>
        <v>200</v>
      </c>
      <c r="H567" s="725">
        <f>H566</f>
        <v>191</v>
      </c>
      <c r="I567" s="710">
        <f>(H567/G567)*100</f>
        <v>95.5</v>
      </c>
    </row>
    <row r="568" spans="1:14" ht="13.5" thickTop="1" x14ac:dyDescent="0.2">
      <c r="K568" s="755"/>
      <c r="L568" s="755"/>
      <c r="M568" s="755"/>
      <c r="N568" s="421"/>
    </row>
    <row r="569" spans="1:14" x14ac:dyDescent="0.2">
      <c r="K569" s="755"/>
      <c r="L569" s="755"/>
      <c r="M569" s="755"/>
      <c r="N569" s="421"/>
    </row>
    <row r="570" spans="1:14" s="504" customFormat="1" ht="13.5" thickBot="1" x14ac:dyDescent="0.25">
      <c r="A570" s="421" t="s">
        <v>594</v>
      </c>
      <c r="B570" s="598"/>
      <c r="D570" s="670"/>
      <c r="F570" s="467"/>
      <c r="G570" s="467"/>
      <c r="H570" s="467"/>
      <c r="I570" s="792" t="s">
        <v>148</v>
      </c>
    </row>
    <row r="571" spans="1:14" s="106" customFormat="1" ht="20.25" customHeight="1" thickTop="1" thickBot="1" x14ac:dyDescent="0.25">
      <c r="A571" s="626" t="s">
        <v>565</v>
      </c>
      <c r="B571" s="628" t="s">
        <v>149</v>
      </c>
      <c r="C571" s="627" t="s">
        <v>150</v>
      </c>
      <c r="D571" s="589" t="s">
        <v>639</v>
      </c>
      <c r="E571" s="629" t="s">
        <v>151</v>
      </c>
      <c r="F571" s="629" t="s">
        <v>152</v>
      </c>
      <c r="G571" s="629" t="s">
        <v>796</v>
      </c>
      <c r="H571" s="629" t="s">
        <v>797</v>
      </c>
      <c r="I571" s="674" t="s">
        <v>798</v>
      </c>
    </row>
    <row r="572" spans="1:14" s="375" customFormat="1" ht="13.5" thickTop="1" thickBot="1" x14ac:dyDescent="0.25">
      <c r="A572" s="974">
        <v>1</v>
      </c>
      <c r="B572" s="975">
        <v>2</v>
      </c>
      <c r="C572" s="975">
        <v>3</v>
      </c>
      <c r="D572" s="975">
        <v>4</v>
      </c>
      <c r="E572" s="526">
        <v>5</v>
      </c>
      <c r="F572" s="976">
        <v>6</v>
      </c>
      <c r="G572" s="976">
        <v>7</v>
      </c>
      <c r="H572" s="977">
        <v>8</v>
      </c>
      <c r="I572" s="978" t="s">
        <v>689</v>
      </c>
    </row>
    <row r="573" spans="1:14" s="504" customFormat="1" ht="16.5" thickTop="1" thickBot="1" x14ac:dyDescent="0.3">
      <c r="A573" s="986">
        <v>60002100268</v>
      </c>
      <c r="B573" s="809">
        <v>4357</v>
      </c>
      <c r="C573" s="987">
        <v>6121</v>
      </c>
      <c r="D573" s="810">
        <v>11</v>
      </c>
      <c r="E573" s="811" t="s">
        <v>548</v>
      </c>
      <c r="F573" s="736"/>
      <c r="G573" s="989">
        <v>2218</v>
      </c>
      <c r="H573" s="736">
        <v>876</v>
      </c>
      <c r="I573" s="990">
        <f>(H573/G573)*100</f>
        <v>39.495040577096482</v>
      </c>
    </row>
    <row r="574" spans="1:14" s="504" customFormat="1" ht="18" customHeight="1" thickTop="1" thickBot="1" x14ac:dyDescent="0.3">
      <c r="A574" s="3127" t="s">
        <v>224</v>
      </c>
      <c r="B574" s="3126"/>
      <c r="C574" s="3126"/>
      <c r="D574" s="3126"/>
      <c r="E574" s="3126"/>
      <c r="F574" s="725">
        <f>F573</f>
        <v>0</v>
      </c>
      <c r="G574" s="725">
        <f>G573</f>
        <v>2218</v>
      </c>
      <c r="H574" s="725">
        <f>H573</f>
        <v>876</v>
      </c>
      <c r="I574" s="710">
        <f>(H574/G574)*100</f>
        <v>39.495040577096482</v>
      </c>
    </row>
    <row r="575" spans="1:14" ht="13.5" thickTop="1" x14ac:dyDescent="0.2">
      <c r="K575" s="755"/>
      <c r="L575" s="755"/>
      <c r="M575" s="755"/>
      <c r="N575" s="421"/>
    </row>
    <row r="576" spans="1:14" x14ac:dyDescent="0.2">
      <c r="K576" s="755"/>
      <c r="L576" s="755"/>
      <c r="M576" s="755"/>
      <c r="N576" s="421"/>
    </row>
    <row r="577" spans="1:14" s="504" customFormat="1" ht="13.5" thickBot="1" x14ac:dyDescent="0.25">
      <c r="A577" s="421" t="s">
        <v>949</v>
      </c>
      <c r="B577" s="598"/>
      <c r="D577" s="670"/>
      <c r="F577" s="467"/>
      <c r="G577" s="467"/>
      <c r="H577" s="467"/>
      <c r="I577" s="792" t="s">
        <v>148</v>
      </c>
    </row>
    <row r="578" spans="1:14" s="106" customFormat="1" ht="20.25" customHeight="1" thickTop="1" thickBot="1" x14ac:dyDescent="0.25">
      <c r="A578" s="626" t="s">
        <v>565</v>
      </c>
      <c r="B578" s="628" t="s">
        <v>149</v>
      </c>
      <c r="C578" s="627" t="s">
        <v>150</v>
      </c>
      <c r="D578" s="589" t="s">
        <v>639</v>
      </c>
      <c r="E578" s="629" t="s">
        <v>151</v>
      </c>
      <c r="F578" s="629" t="s">
        <v>152</v>
      </c>
      <c r="G578" s="629" t="s">
        <v>796</v>
      </c>
      <c r="H578" s="629" t="s">
        <v>797</v>
      </c>
      <c r="I578" s="674" t="s">
        <v>798</v>
      </c>
    </row>
    <row r="579" spans="1:14" s="375" customFormat="1" ht="13.5" thickTop="1" thickBot="1" x14ac:dyDescent="0.25">
      <c r="A579" s="974">
        <v>1</v>
      </c>
      <c r="B579" s="975">
        <v>2</v>
      </c>
      <c r="C579" s="975">
        <v>3</v>
      </c>
      <c r="D579" s="975">
        <v>4</v>
      </c>
      <c r="E579" s="526">
        <v>5</v>
      </c>
      <c r="F579" s="976">
        <v>6</v>
      </c>
      <c r="G579" s="976">
        <v>7</v>
      </c>
      <c r="H579" s="977">
        <v>8</v>
      </c>
      <c r="I579" s="978" t="s">
        <v>689</v>
      </c>
    </row>
    <row r="580" spans="1:14" s="504" customFormat="1" ht="16.5" thickTop="1" thickBot="1" x14ac:dyDescent="0.3">
      <c r="A580" s="986">
        <v>60002100269</v>
      </c>
      <c r="B580" s="809">
        <v>4322</v>
      </c>
      <c r="C580" s="987">
        <v>5171</v>
      </c>
      <c r="D580" s="810">
        <v>11</v>
      </c>
      <c r="E580" s="811" t="s">
        <v>811</v>
      </c>
      <c r="F580" s="736"/>
      <c r="G580" s="989">
        <v>1235</v>
      </c>
      <c r="H580" s="736">
        <v>1203</v>
      </c>
      <c r="I580" s="990">
        <f>(H580/G580)*100</f>
        <v>97.408906882591097</v>
      </c>
    </row>
    <row r="581" spans="1:14" s="504" customFormat="1" ht="18" customHeight="1" thickTop="1" thickBot="1" x14ac:dyDescent="0.3">
      <c r="A581" s="3110" t="s">
        <v>225</v>
      </c>
      <c r="B581" s="3111"/>
      <c r="C581" s="3111"/>
      <c r="D581" s="3111"/>
      <c r="E581" s="3111"/>
      <c r="F581" s="725">
        <f>F580</f>
        <v>0</v>
      </c>
      <c r="G581" s="725">
        <f>G580</f>
        <v>1235</v>
      </c>
      <c r="H581" s="725">
        <f>H580</f>
        <v>1203</v>
      </c>
      <c r="I581" s="710">
        <f>(H581/G581)*100</f>
        <v>97.408906882591097</v>
      </c>
    </row>
    <row r="582" spans="1:14" ht="13.5" thickTop="1" x14ac:dyDescent="0.2">
      <c r="K582" s="755"/>
      <c r="L582" s="755"/>
      <c r="M582" s="755"/>
      <c r="N582" s="421"/>
    </row>
    <row r="583" spans="1:14" x14ac:dyDescent="0.2">
      <c r="K583" s="755"/>
      <c r="L583" s="755"/>
      <c r="M583" s="755"/>
      <c r="N583" s="421"/>
    </row>
    <row r="584" spans="1:14" s="504" customFormat="1" ht="13.5" thickBot="1" x14ac:dyDescent="0.25">
      <c r="A584" s="421" t="s">
        <v>762</v>
      </c>
      <c r="B584" s="598"/>
      <c r="D584" s="670"/>
      <c r="F584" s="467"/>
      <c r="G584" s="467"/>
      <c r="H584" s="467"/>
      <c r="I584" s="792" t="s">
        <v>148</v>
      </c>
    </row>
    <row r="585" spans="1:14" s="106" customFormat="1" ht="20.25" customHeight="1" thickTop="1" thickBot="1" x14ac:dyDescent="0.25">
      <c r="A585" s="626" t="s">
        <v>565</v>
      </c>
      <c r="B585" s="628" t="s">
        <v>149</v>
      </c>
      <c r="C585" s="627" t="s">
        <v>150</v>
      </c>
      <c r="D585" s="589" t="s">
        <v>639</v>
      </c>
      <c r="E585" s="629" t="s">
        <v>151</v>
      </c>
      <c r="F585" s="629" t="s">
        <v>152</v>
      </c>
      <c r="G585" s="629" t="s">
        <v>796</v>
      </c>
      <c r="H585" s="629" t="s">
        <v>797</v>
      </c>
      <c r="I585" s="674" t="s">
        <v>798</v>
      </c>
    </row>
    <row r="586" spans="1:14" s="375" customFormat="1" ht="13.5" thickTop="1" thickBot="1" x14ac:dyDescent="0.25">
      <c r="A586" s="974">
        <v>1</v>
      </c>
      <c r="B586" s="975">
        <v>2</v>
      </c>
      <c r="C586" s="975">
        <v>3</v>
      </c>
      <c r="D586" s="975">
        <v>4</v>
      </c>
      <c r="E586" s="526">
        <v>5</v>
      </c>
      <c r="F586" s="976">
        <v>6</v>
      </c>
      <c r="G586" s="976">
        <v>7</v>
      </c>
      <c r="H586" s="977">
        <v>8</v>
      </c>
      <c r="I586" s="978" t="s">
        <v>689</v>
      </c>
    </row>
    <row r="587" spans="1:14" s="504" customFormat="1" ht="15.75" thickTop="1" x14ac:dyDescent="0.25">
      <c r="A587" s="800">
        <v>60002100270</v>
      </c>
      <c r="B587" s="659">
        <v>4322</v>
      </c>
      <c r="C587" s="607">
        <v>6121</v>
      </c>
      <c r="D587" s="815">
        <v>11</v>
      </c>
      <c r="E587" s="662" t="s">
        <v>548</v>
      </c>
      <c r="F587" s="803"/>
      <c r="G587" s="984">
        <v>176</v>
      </c>
      <c r="H587" s="803">
        <v>176</v>
      </c>
      <c r="I587" s="985">
        <f>(H587/G587)*100</f>
        <v>100</v>
      </c>
    </row>
    <row r="588" spans="1:14" s="504" customFormat="1" ht="15.75" thickBot="1" x14ac:dyDescent="0.3">
      <c r="A588" s="805">
        <v>60002100270</v>
      </c>
      <c r="B588" s="738">
        <v>4322</v>
      </c>
      <c r="C588" s="738">
        <v>6122</v>
      </c>
      <c r="D588" s="1005">
        <v>11</v>
      </c>
      <c r="E588" s="1004" t="s">
        <v>549</v>
      </c>
      <c r="F588" s="1003"/>
      <c r="G588" s="1003">
        <v>339</v>
      </c>
      <c r="H588" s="1003">
        <v>339</v>
      </c>
      <c r="I588" s="816">
        <f>(H588/G588)*100</f>
        <v>100</v>
      </c>
    </row>
    <row r="589" spans="1:14" s="504" customFormat="1" ht="18" customHeight="1" thickTop="1" thickBot="1" x14ac:dyDescent="0.3">
      <c r="A589" s="3127" t="s">
        <v>224</v>
      </c>
      <c r="B589" s="3126"/>
      <c r="C589" s="3126"/>
      <c r="D589" s="3126"/>
      <c r="E589" s="3126"/>
      <c r="F589" s="725">
        <f>F587</f>
        <v>0</v>
      </c>
      <c r="G589" s="725">
        <f>G587+G588</f>
        <v>515</v>
      </c>
      <c r="H589" s="725">
        <f>H587+H588</f>
        <v>515</v>
      </c>
      <c r="I589" s="710">
        <f>(H589/G589)*100</f>
        <v>100</v>
      </c>
    </row>
    <row r="590" spans="1:14" ht="13.5" thickTop="1" x14ac:dyDescent="0.2">
      <c r="K590" s="755"/>
      <c r="L590" s="755"/>
      <c r="M590" s="755"/>
      <c r="N590" s="421"/>
    </row>
    <row r="591" spans="1:14" x14ac:dyDescent="0.2">
      <c r="K591" s="755"/>
      <c r="L591" s="755"/>
      <c r="M591" s="755"/>
      <c r="N591" s="421"/>
    </row>
    <row r="592" spans="1:14" s="504" customFormat="1" ht="13.5" thickBot="1" x14ac:dyDescent="0.25">
      <c r="A592" s="421" t="s">
        <v>763</v>
      </c>
      <c r="B592" s="598"/>
      <c r="D592" s="670"/>
      <c r="F592" s="467"/>
      <c r="G592" s="467"/>
      <c r="H592" s="467"/>
      <c r="I592" s="792" t="s">
        <v>148</v>
      </c>
    </row>
    <row r="593" spans="1:14" s="106" customFormat="1" ht="20.25" customHeight="1" thickTop="1" thickBot="1" x14ac:dyDescent="0.25">
      <c r="A593" s="626" t="s">
        <v>565</v>
      </c>
      <c r="B593" s="628" t="s">
        <v>149</v>
      </c>
      <c r="C593" s="627" t="s">
        <v>150</v>
      </c>
      <c r="D593" s="589" t="s">
        <v>639</v>
      </c>
      <c r="E593" s="629" t="s">
        <v>151</v>
      </c>
      <c r="F593" s="629" t="s">
        <v>152</v>
      </c>
      <c r="G593" s="629" t="s">
        <v>796</v>
      </c>
      <c r="H593" s="629" t="s">
        <v>797</v>
      </c>
      <c r="I593" s="674" t="s">
        <v>798</v>
      </c>
    </row>
    <row r="594" spans="1:14" s="375" customFormat="1" ht="13.5" thickTop="1" thickBot="1" x14ac:dyDescent="0.25">
      <c r="A594" s="974">
        <v>1</v>
      </c>
      <c r="B594" s="975">
        <v>2</v>
      </c>
      <c r="C594" s="975">
        <v>3</v>
      </c>
      <c r="D594" s="975">
        <v>4</v>
      </c>
      <c r="E594" s="526">
        <v>5</v>
      </c>
      <c r="F594" s="976">
        <v>6</v>
      </c>
      <c r="G594" s="976">
        <v>7</v>
      </c>
      <c r="H594" s="977">
        <v>8</v>
      </c>
      <c r="I594" s="978" t="s">
        <v>689</v>
      </c>
    </row>
    <row r="595" spans="1:14" s="504" customFormat="1" ht="16.5" thickTop="1" thickBot="1" x14ac:dyDescent="0.3">
      <c r="A595" s="986">
        <v>60002100271</v>
      </c>
      <c r="B595" s="809">
        <v>4357</v>
      </c>
      <c r="C595" s="987">
        <v>6121</v>
      </c>
      <c r="D595" s="810">
        <v>11</v>
      </c>
      <c r="E595" s="811" t="s">
        <v>548</v>
      </c>
      <c r="F595" s="736"/>
      <c r="G595" s="989">
        <v>1626</v>
      </c>
      <c r="H595" s="736">
        <v>1622</v>
      </c>
      <c r="I595" s="990">
        <f>(H595/G595)*100</f>
        <v>99.753997539975401</v>
      </c>
    </row>
    <row r="596" spans="1:14" s="504" customFormat="1" ht="18" customHeight="1" thickTop="1" thickBot="1" x14ac:dyDescent="0.3">
      <c r="A596" s="3127" t="s">
        <v>224</v>
      </c>
      <c r="B596" s="3126"/>
      <c r="C596" s="3126"/>
      <c r="D596" s="3126"/>
      <c r="E596" s="3126"/>
      <c r="F596" s="725">
        <f>F595</f>
        <v>0</v>
      </c>
      <c r="G596" s="725">
        <f>G595</f>
        <v>1626</v>
      </c>
      <c r="H596" s="725">
        <f>H595</f>
        <v>1622</v>
      </c>
      <c r="I596" s="710">
        <f>(H596/G596)*100</f>
        <v>99.753997539975401</v>
      </c>
    </row>
    <row r="597" spans="1:14" ht="13.5" thickTop="1" x14ac:dyDescent="0.2">
      <c r="K597" s="755"/>
      <c r="L597" s="755"/>
      <c r="M597" s="755"/>
      <c r="N597" s="421"/>
    </row>
    <row r="598" spans="1:14" x14ac:dyDescent="0.2">
      <c r="K598" s="755"/>
      <c r="L598" s="755"/>
      <c r="M598" s="755"/>
      <c r="N598" s="421"/>
    </row>
    <row r="599" spans="1:14" x14ac:dyDescent="0.2">
      <c r="K599" s="755"/>
      <c r="L599" s="755"/>
      <c r="M599" s="755"/>
      <c r="N599" s="421"/>
    </row>
    <row r="600" spans="1:14" x14ac:dyDescent="0.2">
      <c r="K600" s="755"/>
      <c r="L600" s="755"/>
      <c r="M600" s="755"/>
      <c r="N600" s="421"/>
    </row>
    <row r="601" spans="1:14" x14ac:dyDescent="0.2">
      <c r="K601" s="755"/>
      <c r="L601" s="755"/>
      <c r="M601" s="755"/>
      <c r="N601" s="421"/>
    </row>
    <row r="602" spans="1:14" s="504" customFormat="1" ht="13.5" thickBot="1" x14ac:dyDescent="0.25">
      <c r="A602" s="421" t="s">
        <v>764</v>
      </c>
      <c r="B602" s="598"/>
      <c r="D602" s="670"/>
      <c r="F602" s="467"/>
      <c r="G602" s="467"/>
      <c r="H602" s="467"/>
      <c r="I602" s="792" t="s">
        <v>148</v>
      </c>
    </row>
    <row r="603" spans="1:14" s="106" customFormat="1" ht="20.25" customHeight="1" thickTop="1" thickBot="1" x14ac:dyDescent="0.25">
      <c r="A603" s="626" t="s">
        <v>565</v>
      </c>
      <c r="B603" s="628" t="s">
        <v>149</v>
      </c>
      <c r="C603" s="627" t="s">
        <v>150</v>
      </c>
      <c r="D603" s="589" t="s">
        <v>639</v>
      </c>
      <c r="E603" s="629" t="s">
        <v>151</v>
      </c>
      <c r="F603" s="629" t="s">
        <v>152</v>
      </c>
      <c r="G603" s="629" t="s">
        <v>796</v>
      </c>
      <c r="H603" s="629" t="s">
        <v>797</v>
      </c>
      <c r="I603" s="674" t="s">
        <v>798</v>
      </c>
    </row>
    <row r="604" spans="1:14" s="375" customFormat="1" ht="13.5" thickTop="1" thickBot="1" x14ac:dyDescent="0.25">
      <c r="A604" s="974">
        <v>1</v>
      </c>
      <c r="B604" s="975">
        <v>2</v>
      </c>
      <c r="C604" s="975">
        <v>3</v>
      </c>
      <c r="D604" s="975">
        <v>4</v>
      </c>
      <c r="E604" s="526">
        <v>5</v>
      </c>
      <c r="F604" s="976">
        <v>6</v>
      </c>
      <c r="G604" s="976">
        <v>7</v>
      </c>
      <c r="H604" s="977">
        <v>8</v>
      </c>
      <c r="I604" s="978" t="s">
        <v>689</v>
      </c>
    </row>
    <row r="605" spans="1:14" s="504" customFormat="1" ht="16.5" thickTop="1" thickBot="1" x14ac:dyDescent="0.3">
      <c r="A605" s="986">
        <v>60002100273</v>
      </c>
      <c r="B605" s="809">
        <v>4357</v>
      </c>
      <c r="C605" s="987">
        <v>6121</v>
      </c>
      <c r="D605" s="810">
        <v>11</v>
      </c>
      <c r="E605" s="811" t="s">
        <v>548</v>
      </c>
      <c r="F605" s="736"/>
      <c r="G605" s="989">
        <v>921</v>
      </c>
      <c r="H605" s="736">
        <v>917</v>
      </c>
      <c r="I605" s="990">
        <f>(H605/G605)*100</f>
        <v>99.565689467969605</v>
      </c>
    </row>
    <row r="606" spans="1:14" s="504" customFormat="1" ht="18" customHeight="1" thickTop="1" thickBot="1" x14ac:dyDescent="0.3">
      <c r="A606" s="3127" t="s">
        <v>224</v>
      </c>
      <c r="B606" s="3126"/>
      <c r="C606" s="3126"/>
      <c r="D606" s="3126"/>
      <c r="E606" s="3126"/>
      <c r="F606" s="725">
        <f>F605</f>
        <v>0</v>
      </c>
      <c r="G606" s="725">
        <f>G605</f>
        <v>921</v>
      </c>
      <c r="H606" s="725">
        <f>H605</f>
        <v>917</v>
      </c>
      <c r="I606" s="710">
        <f>(H606/G606)*100</f>
        <v>99.565689467969605</v>
      </c>
    </row>
    <row r="607" spans="1:14" ht="13.5" thickTop="1" x14ac:dyDescent="0.2">
      <c r="K607" s="755"/>
      <c r="L607" s="755"/>
      <c r="M607" s="755"/>
      <c r="N607" s="421"/>
    </row>
    <row r="608" spans="1:14" x14ac:dyDescent="0.2">
      <c r="K608" s="755"/>
      <c r="L608" s="755"/>
      <c r="M608" s="755"/>
      <c r="N608" s="421"/>
    </row>
    <row r="609" spans="1:14" s="504" customFormat="1" ht="13.5" thickBot="1" x14ac:dyDescent="0.25">
      <c r="A609" s="421" t="s">
        <v>765</v>
      </c>
      <c r="B609" s="598"/>
      <c r="D609" s="670"/>
      <c r="F609" s="467"/>
      <c r="G609" s="467"/>
      <c r="H609" s="467"/>
      <c r="I609" s="792" t="s">
        <v>148</v>
      </c>
    </row>
    <row r="610" spans="1:14" s="106" customFormat="1" ht="20.25" customHeight="1" thickTop="1" thickBot="1" x14ac:dyDescent="0.25">
      <c r="A610" s="626" t="s">
        <v>565</v>
      </c>
      <c r="B610" s="628" t="s">
        <v>149</v>
      </c>
      <c r="C610" s="627" t="s">
        <v>150</v>
      </c>
      <c r="D610" s="589" t="s">
        <v>639</v>
      </c>
      <c r="E610" s="629" t="s">
        <v>151</v>
      </c>
      <c r="F610" s="629" t="s">
        <v>152</v>
      </c>
      <c r="G610" s="629" t="s">
        <v>796</v>
      </c>
      <c r="H610" s="629" t="s">
        <v>797</v>
      </c>
      <c r="I610" s="674" t="s">
        <v>798</v>
      </c>
    </row>
    <row r="611" spans="1:14" s="375" customFormat="1" ht="13.5" thickTop="1" thickBot="1" x14ac:dyDescent="0.25">
      <c r="A611" s="974">
        <v>1</v>
      </c>
      <c r="B611" s="975">
        <v>2</v>
      </c>
      <c r="C611" s="975">
        <v>3</v>
      </c>
      <c r="D611" s="975">
        <v>4</v>
      </c>
      <c r="E611" s="526">
        <v>5</v>
      </c>
      <c r="F611" s="976">
        <v>6</v>
      </c>
      <c r="G611" s="976">
        <v>7</v>
      </c>
      <c r="H611" s="977">
        <v>8</v>
      </c>
      <c r="I611" s="978" t="s">
        <v>689</v>
      </c>
    </row>
    <row r="612" spans="1:14" s="504" customFormat="1" ht="16.5" thickTop="1" thickBot="1" x14ac:dyDescent="0.3">
      <c r="A612" s="986">
        <v>60002100274</v>
      </c>
      <c r="B612" s="809">
        <v>4357</v>
      </c>
      <c r="C612" s="987">
        <v>6122</v>
      </c>
      <c r="D612" s="810">
        <v>11</v>
      </c>
      <c r="E612" s="811" t="s">
        <v>549</v>
      </c>
      <c r="F612" s="736"/>
      <c r="G612" s="989">
        <v>2975</v>
      </c>
      <c r="H612" s="736">
        <v>0</v>
      </c>
      <c r="I612" s="990">
        <f>(H612/G612)*100</f>
        <v>0</v>
      </c>
    </row>
    <row r="613" spans="1:14" s="504" customFormat="1" ht="18" customHeight="1" thickTop="1" thickBot="1" x14ac:dyDescent="0.3">
      <c r="A613" s="3127" t="s">
        <v>224</v>
      </c>
      <c r="B613" s="3126"/>
      <c r="C613" s="3126"/>
      <c r="D613" s="3126"/>
      <c r="E613" s="3126"/>
      <c r="F613" s="725">
        <f>F612</f>
        <v>0</v>
      </c>
      <c r="G613" s="725">
        <f>G612</f>
        <v>2975</v>
      </c>
      <c r="H613" s="725">
        <f>H612</f>
        <v>0</v>
      </c>
      <c r="I613" s="710">
        <f>(H613/G613)*100</f>
        <v>0</v>
      </c>
    </row>
    <row r="614" spans="1:14" ht="13.5" thickTop="1" x14ac:dyDescent="0.2">
      <c r="K614" s="755"/>
      <c r="L614" s="755"/>
      <c r="M614" s="755"/>
      <c r="N614" s="421"/>
    </row>
    <row r="615" spans="1:14" x14ac:dyDescent="0.2">
      <c r="K615" s="755"/>
      <c r="L615" s="755"/>
      <c r="M615" s="755"/>
      <c r="N615" s="421"/>
    </row>
    <row r="616" spans="1:14" s="504" customFormat="1" ht="13.5" thickBot="1" x14ac:dyDescent="0.25">
      <c r="A616" s="421" t="s">
        <v>766</v>
      </c>
      <c r="B616" s="598"/>
      <c r="D616" s="670"/>
      <c r="F616" s="467"/>
      <c r="G616" s="467"/>
      <c r="H616" s="467"/>
      <c r="I616" s="792" t="s">
        <v>148</v>
      </c>
    </row>
    <row r="617" spans="1:14" s="106" customFormat="1" ht="20.25" customHeight="1" thickTop="1" thickBot="1" x14ac:dyDescent="0.25">
      <c r="A617" s="626" t="s">
        <v>565</v>
      </c>
      <c r="B617" s="628" t="s">
        <v>149</v>
      </c>
      <c r="C617" s="627" t="s">
        <v>150</v>
      </c>
      <c r="D617" s="589" t="s">
        <v>639</v>
      </c>
      <c r="E617" s="629" t="s">
        <v>151</v>
      </c>
      <c r="F617" s="629" t="s">
        <v>152</v>
      </c>
      <c r="G617" s="629" t="s">
        <v>796</v>
      </c>
      <c r="H617" s="629" t="s">
        <v>797</v>
      </c>
      <c r="I617" s="674" t="s">
        <v>798</v>
      </c>
    </row>
    <row r="618" spans="1:14" s="375" customFormat="1" ht="13.5" thickTop="1" thickBot="1" x14ac:dyDescent="0.25">
      <c r="A618" s="974">
        <v>1</v>
      </c>
      <c r="B618" s="975">
        <v>2</v>
      </c>
      <c r="C618" s="975">
        <v>3</v>
      </c>
      <c r="D618" s="975">
        <v>4</v>
      </c>
      <c r="E618" s="526">
        <v>5</v>
      </c>
      <c r="F618" s="976">
        <v>6</v>
      </c>
      <c r="G618" s="976">
        <v>7</v>
      </c>
      <c r="H618" s="977">
        <v>8</v>
      </c>
      <c r="I618" s="978" t="s">
        <v>689</v>
      </c>
    </row>
    <row r="619" spans="1:14" s="504" customFormat="1" ht="16.5" thickTop="1" thickBot="1" x14ac:dyDescent="0.3">
      <c r="A619" s="986">
        <v>60002100279</v>
      </c>
      <c r="B619" s="809">
        <v>4357</v>
      </c>
      <c r="C619" s="987">
        <v>6121</v>
      </c>
      <c r="D619" s="810">
        <v>11</v>
      </c>
      <c r="E619" s="811" t="s">
        <v>548</v>
      </c>
      <c r="F619" s="736"/>
      <c r="G619" s="989">
        <v>1462</v>
      </c>
      <c r="H619" s="736">
        <v>908</v>
      </c>
      <c r="I619" s="990">
        <f>(H619/G619)*100</f>
        <v>62.106703146374834</v>
      </c>
    </row>
    <row r="620" spans="1:14" s="504" customFormat="1" ht="18" customHeight="1" thickTop="1" thickBot="1" x14ac:dyDescent="0.3">
      <c r="A620" s="3127" t="s">
        <v>224</v>
      </c>
      <c r="B620" s="3126"/>
      <c r="C620" s="3126"/>
      <c r="D620" s="3126"/>
      <c r="E620" s="3126"/>
      <c r="F620" s="725">
        <f>F619</f>
        <v>0</v>
      </c>
      <c r="G620" s="725">
        <f>G619</f>
        <v>1462</v>
      </c>
      <c r="H620" s="725">
        <f>H619</f>
        <v>908</v>
      </c>
      <c r="I620" s="710">
        <f>(H620/G620)*100</f>
        <v>62.106703146374834</v>
      </c>
    </row>
    <row r="621" spans="1:14" ht="13.5" thickTop="1" x14ac:dyDescent="0.2">
      <c r="K621" s="755"/>
      <c r="L621" s="755"/>
      <c r="M621" s="755"/>
      <c r="N621" s="421"/>
    </row>
    <row r="622" spans="1:14" x14ac:dyDescent="0.2">
      <c r="K622" s="755"/>
      <c r="L622" s="755"/>
      <c r="M622" s="755"/>
      <c r="N622" s="421"/>
    </row>
    <row r="623" spans="1:14" s="504" customFormat="1" ht="13.5" thickBot="1" x14ac:dyDescent="0.25">
      <c r="A623" s="421" t="s">
        <v>99</v>
      </c>
      <c r="B623" s="598"/>
      <c r="D623" s="670"/>
      <c r="F623" s="467"/>
      <c r="G623" s="467"/>
      <c r="H623" s="467"/>
      <c r="I623" s="792" t="s">
        <v>148</v>
      </c>
    </row>
    <row r="624" spans="1:14" s="106" customFormat="1" ht="20.25" customHeight="1" thickTop="1" thickBot="1" x14ac:dyDescent="0.25">
      <c r="A624" s="626" t="s">
        <v>565</v>
      </c>
      <c r="B624" s="628" t="s">
        <v>149</v>
      </c>
      <c r="C624" s="627" t="s">
        <v>150</v>
      </c>
      <c r="D624" s="589" t="s">
        <v>639</v>
      </c>
      <c r="E624" s="629" t="s">
        <v>151</v>
      </c>
      <c r="F624" s="629" t="s">
        <v>152</v>
      </c>
      <c r="G624" s="629" t="s">
        <v>796</v>
      </c>
      <c r="H624" s="629" t="s">
        <v>797</v>
      </c>
      <c r="I624" s="674" t="s">
        <v>798</v>
      </c>
    </row>
    <row r="625" spans="1:14" s="375" customFormat="1" ht="13.5" thickTop="1" thickBot="1" x14ac:dyDescent="0.25">
      <c r="A625" s="974">
        <v>1</v>
      </c>
      <c r="B625" s="975">
        <v>2</v>
      </c>
      <c r="C625" s="975">
        <v>3</v>
      </c>
      <c r="D625" s="975">
        <v>4</v>
      </c>
      <c r="E625" s="526">
        <v>5</v>
      </c>
      <c r="F625" s="976">
        <v>6</v>
      </c>
      <c r="G625" s="976">
        <v>7</v>
      </c>
      <c r="H625" s="977">
        <v>8</v>
      </c>
      <c r="I625" s="978" t="s">
        <v>689</v>
      </c>
    </row>
    <row r="626" spans="1:14" s="504" customFormat="1" ht="16.5" thickTop="1" thickBot="1" x14ac:dyDescent="0.3">
      <c r="A626" s="986">
        <v>60002100314</v>
      </c>
      <c r="B626" s="809">
        <v>4357</v>
      </c>
      <c r="C626" s="987">
        <v>6121</v>
      </c>
      <c r="D626" s="810">
        <v>11</v>
      </c>
      <c r="E626" s="811" t="s">
        <v>548</v>
      </c>
      <c r="F626" s="736"/>
      <c r="G626" s="989">
        <v>646</v>
      </c>
      <c r="H626" s="736">
        <v>72</v>
      </c>
      <c r="I626" s="990">
        <f>(H626/G626)*100</f>
        <v>11.145510835913312</v>
      </c>
    </row>
    <row r="627" spans="1:14" s="504" customFormat="1" ht="18" customHeight="1" thickTop="1" thickBot="1" x14ac:dyDescent="0.3">
      <c r="A627" s="3127" t="s">
        <v>224</v>
      </c>
      <c r="B627" s="3126"/>
      <c r="C627" s="3126"/>
      <c r="D627" s="3126"/>
      <c r="E627" s="3126"/>
      <c r="F627" s="725">
        <f>F626</f>
        <v>0</v>
      </c>
      <c r="G627" s="725">
        <f>G626</f>
        <v>646</v>
      </c>
      <c r="H627" s="725">
        <f>H626</f>
        <v>72</v>
      </c>
      <c r="I627" s="710">
        <f>(H627/G627)*100</f>
        <v>11.145510835913312</v>
      </c>
    </row>
    <row r="628" spans="1:14" ht="13.5" thickTop="1" x14ac:dyDescent="0.2">
      <c r="K628" s="755"/>
      <c r="L628" s="755"/>
      <c r="M628" s="755"/>
      <c r="N628" s="421"/>
    </row>
    <row r="629" spans="1:14" x14ac:dyDescent="0.2">
      <c r="K629" s="755"/>
      <c r="L629" s="755"/>
      <c r="M629" s="755"/>
      <c r="N629" s="421"/>
    </row>
    <row r="630" spans="1:14" s="504" customFormat="1" ht="13.5" thickBot="1" x14ac:dyDescent="0.25">
      <c r="A630" s="421" t="s">
        <v>481</v>
      </c>
      <c r="B630" s="598"/>
      <c r="D630" s="670"/>
      <c r="F630" s="467"/>
      <c r="G630" s="467"/>
      <c r="H630" s="467"/>
      <c r="I630" s="792" t="s">
        <v>148</v>
      </c>
    </row>
    <row r="631" spans="1:14" s="106" customFormat="1" ht="20.25" customHeight="1" thickTop="1" thickBot="1" x14ac:dyDescent="0.25">
      <c r="A631" s="626" t="s">
        <v>565</v>
      </c>
      <c r="B631" s="628" t="s">
        <v>149</v>
      </c>
      <c r="C631" s="627" t="s">
        <v>150</v>
      </c>
      <c r="D631" s="589" t="s">
        <v>639</v>
      </c>
      <c r="E631" s="629" t="s">
        <v>151</v>
      </c>
      <c r="F631" s="629" t="s">
        <v>152</v>
      </c>
      <c r="G631" s="629" t="s">
        <v>796</v>
      </c>
      <c r="H631" s="629" t="s">
        <v>797</v>
      </c>
      <c r="I631" s="674" t="s">
        <v>798</v>
      </c>
    </row>
    <row r="632" spans="1:14" s="375" customFormat="1" ht="13.5" thickTop="1" thickBot="1" x14ac:dyDescent="0.25">
      <c r="A632" s="974">
        <v>1</v>
      </c>
      <c r="B632" s="975">
        <v>2</v>
      </c>
      <c r="C632" s="975">
        <v>3</v>
      </c>
      <c r="D632" s="975">
        <v>4</v>
      </c>
      <c r="E632" s="526">
        <v>5</v>
      </c>
      <c r="F632" s="976">
        <v>6</v>
      </c>
      <c r="G632" s="976">
        <v>7</v>
      </c>
      <c r="H632" s="977">
        <v>8</v>
      </c>
      <c r="I632" s="978" t="s">
        <v>689</v>
      </c>
    </row>
    <row r="633" spans="1:14" s="504" customFormat="1" ht="16.5" thickTop="1" thickBot="1" x14ac:dyDescent="0.3">
      <c r="A633" s="986">
        <v>60002100318</v>
      </c>
      <c r="B633" s="809">
        <v>4357</v>
      </c>
      <c r="C633" s="987">
        <v>6121</v>
      </c>
      <c r="D633" s="810">
        <v>11</v>
      </c>
      <c r="E633" s="811" t="s">
        <v>548</v>
      </c>
      <c r="F633" s="736"/>
      <c r="G633" s="989">
        <v>670</v>
      </c>
      <c r="H633" s="736">
        <v>68</v>
      </c>
      <c r="I633" s="990">
        <f>(H633/G633)*100</f>
        <v>10.149253731343283</v>
      </c>
    </row>
    <row r="634" spans="1:14" s="504" customFormat="1" ht="18" customHeight="1" thickTop="1" thickBot="1" x14ac:dyDescent="0.3">
      <c r="A634" s="3127" t="s">
        <v>224</v>
      </c>
      <c r="B634" s="3126"/>
      <c r="C634" s="3126"/>
      <c r="D634" s="3126"/>
      <c r="E634" s="3126"/>
      <c r="F634" s="725">
        <f>F633</f>
        <v>0</v>
      </c>
      <c r="G634" s="725">
        <f>G633</f>
        <v>670</v>
      </c>
      <c r="H634" s="725">
        <f>H633</f>
        <v>68</v>
      </c>
      <c r="I634" s="710">
        <f>(H634/G634)*100</f>
        <v>10.149253731343283</v>
      </c>
    </row>
    <row r="635" spans="1:14" ht="13.5" thickTop="1" x14ac:dyDescent="0.2">
      <c r="K635" s="755"/>
      <c r="L635" s="755"/>
      <c r="M635" s="755"/>
      <c r="N635" s="421"/>
    </row>
    <row r="636" spans="1:14" x14ac:dyDescent="0.2">
      <c r="K636" s="755"/>
      <c r="L636" s="755"/>
      <c r="M636" s="755"/>
      <c r="N636" s="421"/>
    </row>
    <row r="637" spans="1:14" s="504" customFormat="1" ht="13.5" thickBot="1" x14ac:dyDescent="0.25">
      <c r="A637" s="421" t="s">
        <v>482</v>
      </c>
      <c r="B637" s="598"/>
      <c r="D637" s="670"/>
      <c r="F637" s="467"/>
      <c r="G637" s="467"/>
      <c r="H637" s="467"/>
      <c r="I637" s="792" t="s">
        <v>148</v>
      </c>
    </row>
    <row r="638" spans="1:14" s="106" customFormat="1" ht="20.25" customHeight="1" thickTop="1" thickBot="1" x14ac:dyDescent="0.25">
      <c r="A638" s="626" t="s">
        <v>565</v>
      </c>
      <c r="B638" s="628" t="s">
        <v>149</v>
      </c>
      <c r="C638" s="627" t="s">
        <v>150</v>
      </c>
      <c r="D638" s="589" t="s">
        <v>639</v>
      </c>
      <c r="E638" s="629" t="s">
        <v>151</v>
      </c>
      <c r="F638" s="629" t="s">
        <v>152</v>
      </c>
      <c r="G638" s="629" t="s">
        <v>796</v>
      </c>
      <c r="H638" s="629" t="s">
        <v>797</v>
      </c>
      <c r="I638" s="674" t="s">
        <v>798</v>
      </c>
    </row>
    <row r="639" spans="1:14" s="375" customFormat="1" ht="13.5" thickTop="1" thickBot="1" x14ac:dyDescent="0.25">
      <c r="A639" s="974">
        <v>1</v>
      </c>
      <c r="B639" s="975">
        <v>2</v>
      </c>
      <c r="C639" s="975">
        <v>3</v>
      </c>
      <c r="D639" s="975">
        <v>4</v>
      </c>
      <c r="E639" s="526">
        <v>5</v>
      </c>
      <c r="F639" s="976">
        <v>6</v>
      </c>
      <c r="G639" s="976">
        <v>7</v>
      </c>
      <c r="H639" s="977">
        <v>8</v>
      </c>
      <c r="I639" s="978" t="s">
        <v>689</v>
      </c>
    </row>
    <row r="640" spans="1:14" s="504" customFormat="1" ht="16.5" thickTop="1" thickBot="1" x14ac:dyDescent="0.3">
      <c r="A640" s="986">
        <v>60002100328</v>
      </c>
      <c r="B640" s="809">
        <v>4357</v>
      </c>
      <c r="C640" s="987">
        <v>6121</v>
      </c>
      <c r="D640" s="810">
        <v>11</v>
      </c>
      <c r="E640" s="811" t="s">
        <v>548</v>
      </c>
      <c r="F640" s="736"/>
      <c r="G640" s="989">
        <v>800</v>
      </c>
      <c r="H640" s="736">
        <v>0</v>
      </c>
      <c r="I640" s="990">
        <f>(H640/G640)*100</f>
        <v>0</v>
      </c>
      <c r="K640" s="467">
        <f>F420+F427+F434+F441+F448+F455+F462+F473+F476+F483+F490+F497+F504+F511+F518+F525+F532+F539+F546+F553+F560+F567+F574+F581+F589+F596+F606+F613+F620+F627+F634+F641</f>
        <v>9650</v>
      </c>
      <c r="L640" s="467">
        <f>G420+G427+G434+G441+G448+G455+G462+G473+G476+G483+G490+G497+G504+G511+G518+G525+G532+G539+G546+G553+G560+G567+G574+G581+G589+G596+G606+G613+G620+G627+G634+G641</f>
        <v>42586</v>
      </c>
      <c r="M640" s="467">
        <f>H420+H427+H434+H441+H448+H455+H462+H473+H476+H483+H490+H497+H504+H511+H518+H525+H532+H539+H546+H553+H560+H567+H574+H581+H589+H596+H606+H613+H620+H627+H634+H641</f>
        <v>29353</v>
      </c>
      <c r="N640" s="504" t="s">
        <v>991</v>
      </c>
    </row>
    <row r="641" spans="1:14" s="504" customFormat="1" ht="18" customHeight="1" thickTop="1" thickBot="1" x14ac:dyDescent="0.3">
      <c r="A641" s="3127" t="s">
        <v>224</v>
      </c>
      <c r="B641" s="3126"/>
      <c r="C641" s="3126"/>
      <c r="D641" s="3126"/>
      <c r="E641" s="3126"/>
      <c r="F641" s="725">
        <f>F640</f>
        <v>0</v>
      </c>
      <c r="G641" s="725">
        <f>G640</f>
        <v>800</v>
      </c>
      <c r="H641" s="725">
        <f>H640</f>
        <v>0</v>
      </c>
      <c r="I641" s="710">
        <f>(H641/G641)*100</f>
        <v>0</v>
      </c>
    </row>
    <row r="642" spans="1:14" ht="13.5" thickTop="1" x14ac:dyDescent="0.2">
      <c r="K642" s="755"/>
      <c r="L642" s="755"/>
      <c r="M642" s="755"/>
      <c r="N642" s="421"/>
    </row>
    <row r="643" spans="1:14" x14ac:dyDescent="0.2">
      <c r="K643" s="755"/>
      <c r="L643" s="755"/>
      <c r="M643" s="755"/>
      <c r="N643" s="421"/>
    </row>
    <row r="644" spans="1:14" s="504" customFormat="1" ht="13.5" thickBot="1" x14ac:dyDescent="0.25">
      <c r="A644" s="421" t="s">
        <v>483</v>
      </c>
      <c r="B644" s="598"/>
      <c r="D644" s="670"/>
      <c r="F644" s="467"/>
      <c r="G644" s="467"/>
      <c r="H644" s="467"/>
      <c r="I644" s="792" t="s">
        <v>148</v>
      </c>
    </row>
    <row r="645" spans="1:14" s="106" customFormat="1" ht="20.25" customHeight="1" thickTop="1" thickBot="1" x14ac:dyDescent="0.25">
      <c r="A645" s="626" t="s">
        <v>565</v>
      </c>
      <c r="B645" s="628" t="s">
        <v>149</v>
      </c>
      <c r="C645" s="627" t="s">
        <v>150</v>
      </c>
      <c r="D645" s="589" t="s">
        <v>639</v>
      </c>
      <c r="E645" s="629" t="s">
        <v>151</v>
      </c>
      <c r="F645" s="629" t="s">
        <v>152</v>
      </c>
      <c r="G645" s="629" t="s">
        <v>796</v>
      </c>
      <c r="H645" s="629" t="s">
        <v>797</v>
      </c>
      <c r="I645" s="674" t="s">
        <v>798</v>
      </c>
    </row>
    <row r="646" spans="1:14" s="375" customFormat="1" ht="13.5" thickTop="1" thickBot="1" x14ac:dyDescent="0.25">
      <c r="A646" s="974">
        <v>1</v>
      </c>
      <c r="B646" s="975">
        <v>2</v>
      </c>
      <c r="C646" s="975">
        <v>3</v>
      </c>
      <c r="D646" s="975">
        <v>4</v>
      </c>
      <c r="E646" s="526">
        <v>5</v>
      </c>
      <c r="F646" s="976">
        <v>6</v>
      </c>
      <c r="G646" s="976">
        <v>7</v>
      </c>
      <c r="H646" s="977">
        <v>8</v>
      </c>
      <c r="I646" s="978" t="s">
        <v>689</v>
      </c>
    </row>
    <row r="647" spans="1:14" s="504" customFormat="1" ht="16.5" thickTop="1" thickBot="1" x14ac:dyDescent="0.3">
      <c r="A647" s="986">
        <v>60003100066</v>
      </c>
      <c r="B647" s="809">
        <v>3315</v>
      </c>
      <c r="C647" s="987">
        <v>6121</v>
      </c>
      <c r="D647" s="810">
        <v>13</v>
      </c>
      <c r="E647" s="811" t="s">
        <v>548</v>
      </c>
      <c r="F647" s="736"/>
      <c r="G647" s="989">
        <v>357</v>
      </c>
      <c r="H647" s="736">
        <v>325</v>
      </c>
      <c r="I647" s="990">
        <f>(H647/G647)*100</f>
        <v>91.036414565826334</v>
      </c>
    </row>
    <row r="648" spans="1:14" s="504" customFormat="1" ht="18" customHeight="1" thickTop="1" thickBot="1" x14ac:dyDescent="0.3">
      <c r="A648" s="3127" t="s">
        <v>224</v>
      </c>
      <c r="B648" s="3126"/>
      <c r="C648" s="3126"/>
      <c r="D648" s="3126"/>
      <c r="E648" s="3126"/>
      <c r="F648" s="725">
        <f>F647</f>
        <v>0</v>
      </c>
      <c r="G648" s="725">
        <f>G647</f>
        <v>357</v>
      </c>
      <c r="H648" s="725">
        <f>H647</f>
        <v>325</v>
      </c>
      <c r="I648" s="710">
        <f>(H648/G648)*100</f>
        <v>91.036414565826334</v>
      </c>
    </row>
    <row r="649" spans="1:14" ht="13.5" thickTop="1" x14ac:dyDescent="0.2">
      <c r="K649" s="755"/>
      <c r="L649" s="755"/>
      <c r="M649" s="755"/>
      <c r="N649" s="421"/>
    </row>
    <row r="650" spans="1:14" x14ac:dyDescent="0.2">
      <c r="K650" s="755"/>
      <c r="L650" s="755"/>
      <c r="M650" s="755"/>
      <c r="N650" s="421"/>
    </row>
    <row r="651" spans="1:14" s="504" customFormat="1" ht="13.5" thickBot="1" x14ac:dyDescent="0.25">
      <c r="A651" s="421" t="s">
        <v>706</v>
      </c>
      <c r="B651" s="598"/>
      <c r="D651" s="670"/>
      <c r="F651" s="467"/>
      <c r="G651" s="467"/>
      <c r="H651" s="467"/>
      <c r="I651" s="792" t="s">
        <v>148</v>
      </c>
    </row>
    <row r="652" spans="1:14" s="106" customFormat="1" ht="20.25" customHeight="1" thickTop="1" thickBot="1" x14ac:dyDescent="0.25">
      <c r="A652" s="626" t="s">
        <v>565</v>
      </c>
      <c r="B652" s="628" t="s">
        <v>149</v>
      </c>
      <c r="C652" s="627" t="s">
        <v>150</v>
      </c>
      <c r="D652" s="589" t="s">
        <v>639</v>
      </c>
      <c r="E652" s="629" t="s">
        <v>151</v>
      </c>
      <c r="F652" s="629" t="s">
        <v>152</v>
      </c>
      <c r="G652" s="629" t="s">
        <v>796</v>
      </c>
      <c r="H652" s="629" t="s">
        <v>797</v>
      </c>
      <c r="I652" s="674" t="s">
        <v>798</v>
      </c>
    </row>
    <row r="653" spans="1:14" s="375" customFormat="1" ht="13.5" thickTop="1" thickBot="1" x14ac:dyDescent="0.25">
      <c r="A653" s="974">
        <v>1</v>
      </c>
      <c r="B653" s="975">
        <v>2</v>
      </c>
      <c r="C653" s="975">
        <v>3</v>
      </c>
      <c r="D653" s="975">
        <v>4</v>
      </c>
      <c r="E653" s="526">
        <v>5</v>
      </c>
      <c r="F653" s="976">
        <v>6</v>
      </c>
      <c r="G653" s="976">
        <v>7</v>
      </c>
      <c r="H653" s="977">
        <v>8</v>
      </c>
      <c r="I653" s="978" t="s">
        <v>689</v>
      </c>
    </row>
    <row r="654" spans="1:14" s="504" customFormat="1" ht="16.5" thickTop="1" thickBot="1" x14ac:dyDescent="0.3">
      <c r="A654" s="986">
        <v>60003100067</v>
      </c>
      <c r="B654" s="809">
        <v>3315</v>
      </c>
      <c r="C654" s="987">
        <v>6121</v>
      </c>
      <c r="D654" s="810">
        <v>13</v>
      </c>
      <c r="E654" s="811" t="s">
        <v>548</v>
      </c>
      <c r="F654" s="736">
        <v>2900</v>
      </c>
      <c r="G654" s="989">
        <v>1</v>
      </c>
      <c r="H654" s="736">
        <v>0</v>
      </c>
      <c r="I654" s="990">
        <f>(H654/G654)*100</f>
        <v>0</v>
      </c>
    </row>
    <row r="655" spans="1:14" s="504" customFormat="1" ht="18" customHeight="1" thickTop="1" thickBot="1" x14ac:dyDescent="0.3">
      <c r="A655" s="3127" t="s">
        <v>224</v>
      </c>
      <c r="B655" s="3126"/>
      <c r="C655" s="3126"/>
      <c r="D655" s="3126"/>
      <c r="E655" s="3126"/>
      <c r="F655" s="725">
        <f>F654</f>
        <v>2900</v>
      </c>
      <c r="G655" s="725">
        <f>G654</f>
        <v>1</v>
      </c>
      <c r="H655" s="725">
        <f>H654</f>
        <v>0</v>
      </c>
      <c r="I655" s="710">
        <f>(H655/G655)*100</f>
        <v>0</v>
      </c>
    </row>
    <row r="656" spans="1:14" ht="13.5" thickTop="1" x14ac:dyDescent="0.2">
      <c r="K656" s="755"/>
      <c r="L656" s="755"/>
      <c r="M656" s="755"/>
      <c r="N656" s="421"/>
    </row>
    <row r="657" spans="1:14" x14ac:dyDescent="0.2">
      <c r="K657" s="755"/>
      <c r="L657" s="755"/>
      <c r="M657" s="755"/>
      <c r="N657" s="421"/>
    </row>
    <row r="658" spans="1:14" s="504" customFormat="1" ht="13.5" thickBot="1" x14ac:dyDescent="0.25">
      <c r="A658" s="421" t="s">
        <v>707</v>
      </c>
      <c r="B658" s="598"/>
      <c r="D658" s="670"/>
      <c r="F658" s="467"/>
      <c r="G658" s="467"/>
      <c r="H658" s="467"/>
      <c r="I658" s="792" t="s">
        <v>148</v>
      </c>
    </row>
    <row r="659" spans="1:14" s="106" customFormat="1" ht="20.25" customHeight="1" thickTop="1" thickBot="1" x14ac:dyDescent="0.25">
      <c r="A659" s="626" t="s">
        <v>565</v>
      </c>
      <c r="B659" s="628" t="s">
        <v>149</v>
      </c>
      <c r="C659" s="627" t="s">
        <v>150</v>
      </c>
      <c r="D659" s="589" t="s">
        <v>639</v>
      </c>
      <c r="E659" s="629" t="s">
        <v>151</v>
      </c>
      <c r="F659" s="629" t="s">
        <v>152</v>
      </c>
      <c r="G659" s="629" t="s">
        <v>796</v>
      </c>
      <c r="H659" s="629" t="s">
        <v>797</v>
      </c>
      <c r="I659" s="674" t="s">
        <v>798</v>
      </c>
    </row>
    <row r="660" spans="1:14" s="375" customFormat="1" ht="13.5" thickTop="1" thickBot="1" x14ac:dyDescent="0.25">
      <c r="A660" s="974">
        <v>1</v>
      </c>
      <c r="B660" s="975">
        <v>2</v>
      </c>
      <c r="C660" s="975">
        <v>3</v>
      </c>
      <c r="D660" s="975">
        <v>4</v>
      </c>
      <c r="E660" s="526">
        <v>5</v>
      </c>
      <c r="F660" s="976">
        <v>6</v>
      </c>
      <c r="G660" s="976">
        <v>7</v>
      </c>
      <c r="H660" s="977">
        <v>8</v>
      </c>
      <c r="I660" s="978" t="s">
        <v>689</v>
      </c>
    </row>
    <row r="661" spans="1:14" s="375" customFormat="1" ht="16.5" thickTop="1" thickBot="1" x14ac:dyDescent="0.3">
      <c r="A661" s="986">
        <v>60003100069</v>
      </c>
      <c r="B661" s="809">
        <v>3315</v>
      </c>
      <c r="C661" s="987">
        <v>5171</v>
      </c>
      <c r="D661" s="810">
        <v>13</v>
      </c>
      <c r="E661" s="811" t="s">
        <v>811</v>
      </c>
      <c r="F661" s="736">
        <v>8652</v>
      </c>
      <c r="G661" s="989">
        <v>0</v>
      </c>
      <c r="H661" s="736">
        <v>0</v>
      </c>
      <c r="I661" s="990">
        <v>0</v>
      </c>
    </row>
    <row r="662" spans="1:14" s="375" customFormat="1" ht="16.5" thickTop="1" thickBot="1" x14ac:dyDescent="0.3">
      <c r="A662" s="3127" t="s">
        <v>225</v>
      </c>
      <c r="B662" s="3126"/>
      <c r="C662" s="3126"/>
      <c r="D662" s="3126"/>
      <c r="E662" s="3126"/>
      <c r="F662" s="736">
        <f>F661</f>
        <v>8652</v>
      </c>
      <c r="G662" s="736">
        <f>G661</f>
        <v>0</v>
      </c>
      <c r="H662" s="736">
        <f>H661</f>
        <v>0</v>
      </c>
      <c r="I662" s="990">
        <v>0</v>
      </c>
    </row>
    <row r="663" spans="1:14" s="504" customFormat="1" ht="16.5" thickTop="1" thickBot="1" x14ac:dyDescent="0.3">
      <c r="A663" s="986">
        <v>60003100069</v>
      </c>
      <c r="B663" s="809">
        <v>3315</v>
      </c>
      <c r="C663" s="987">
        <v>6121</v>
      </c>
      <c r="D663" s="810">
        <v>870</v>
      </c>
      <c r="E663" s="811" t="s">
        <v>548</v>
      </c>
      <c r="F663" s="736"/>
      <c r="G663" s="989">
        <v>9974</v>
      </c>
      <c r="H663" s="736">
        <v>9950</v>
      </c>
      <c r="I663" s="990">
        <f>(H663/G663)*100</f>
        <v>99.759374373370775</v>
      </c>
    </row>
    <row r="664" spans="1:14" s="504" customFormat="1" ht="18" customHeight="1" thickTop="1" thickBot="1" x14ac:dyDescent="0.3">
      <c r="A664" s="3127" t="s">
        <v>224</v>
      </c>
      <c r="B664" s="3126"/>
      <c r="C664" s="3126"/>
      <c r="D664" s="3126"/>
      <c r="E664" s="3126"/>
      <c r="F664" s="725">
        <f>F663</f>
        <v>0</v>
      </c>
      <c r="G664" s="725">
        <f>G663</f>
        <v>9974</v>
      </c>
      <c r="H664" s="725">
        <f>H663</f>
        <v>9950</v>
      </c>
      <c r="I664" s="710">
        <f>(H664/G664)*100</f>
        <v>99.759374373370775</v>
      </c>
    </row>
    <row r="665" spans="1:14" ht="13.5" thickTop="1" x14ac:dyDescent="0.2">
      <c r="K665" s="755"/>
      <c r="L665" s="755"/>
      <c r="M665" s="755"/>
      <c r="N665" s="421"/>
    </row>
    <row r="666" spans="1:14" x14ac:dyDescent="0.2">
      <c r="K666" s="755"/>
      <c r="L666" s="755"/>
      <c r="M666" s="755"/>
      <c r="N666" s="421"/>
    </row>
    <row r="667" spans="1:14" x14ac:dyDescent="0.2">
      <c r="K667" s="755"/>
      <c r="L667" s="755"/>
      <c r="M667" s="755"/>
      <c r="N667" s="421"/>
    </row>
    <row r="668" spans="1:14" x14ac:dyDescent="0.2">
      <c r="K668" s="755"/>
      <c r="L668" s="755"/>
      <c r="M668" s="755"/>
      <c r="N668" s="421"/>
    </row>
    <row r="669" spans="1:14" s="504" customFormat="1" ht="13.5" thickBot="1" x14ac:dyDescent="0.25">
      <c r="A669" s="421" t="s">
        <v>708</v>
      </c>
      <c r="B669" s="598"/>
      <c r="D669" s="670"/>
      <c r="F669" s="467"/>
      <c r="G669" s="467"/>
      <c r="H669" s="467"/>
      <c r="I669" s="792" t="s">
        <v>148</v>
      </c>
    </row>
    <row r="670" spans="1:14" s="106" customFormat="1" ht="20.25" customHeight="1" thickTop="1" thickBot="1" x14ac:dyDescent="0.25">
      <c r="A670" s="626" t="s">
        <v>565</v>
      </c>
      <c r="B670" s="628" t="s">
        <v>149</v>
      </c>
      <c r="C670" s="627" t="s">
        <v>150</v>
      </c>
      <c r="D670" s="589" t="s">
        <v>639</v>
      </c>
      <c r="E670" s="629" t="s">
        <v>151</v>
      </c>
      <c r="F670" s="629" t="s">
        <v>152</v>
      </c>
      <c r="G670" s="629" t="s">
        <v>796</v>
      </c>
      <c r="H670" s="629" t="s">
        <v>797</v>
      </c>
      <c r="I670" s="674" t="s">
        <v>798</v>
      </c>
    </row>
    <row r="671" spans="1:14" s="375" customFormat="1" ht="13.5" thickTop="1" thickBot="1" x14ac:dyDescent="0.25">
      <c r="A671" s="974">
        <v>1</v>
      </c>
      <c r="B671" s="975">
        <v>2</v>
      </c>
      <c r="C671" s="975">
        <v>3</v>
      </c>
      <c r="D671" s="975">
        <v>4</v>
      </c>
      <c r="E671" s="526">
        <v>5</v>
      </c>
      <c r="F671" s="976">
        <v>6</v>
      </c>
      <c r="G671" s="976">
        <v>7</v>
      </c>
      <c r="H671" s="977">
        <v>8</v>
      </c>
      <c r="I671" s="978" t="s">
        <v>689</v>
      </c>
    </row>
    <row r="672" spans="1:14" s="504" customFormat="1" ht="16.5" thickTop="1" thickBot="1" x14ac:dyDescent="0.3">
      <c r="A672" s="986">
        <v>60003100078</v>
      </c>
      <c r="B672" s="809">
        <v>3315</v>
      </c>
      <c r="C672" s="987">
        <v>5137</v>
      </c>
      <c r="D672" s="810">
        <v>870</v>
      </c>
      <c r="E672" s="811" t="s">
        <v>142</v>
      </c>
      <c r="F672" s="736"/>
      <c r="G672" s="989">
        <v>4598</v>
      </c>
      <c r="H672" s="736">
        <v>3299</v>
      </c>
      <c r="I672" s="990">
        <f>(H672/G672)*100</f>
        <v>71.748586341887773</v>
      </c>
    </row>
    <row r="673" spans="1:14" s="504" customFormat="1" ht="16.5" thickTop="1" thickBot="1" x14ac:dyDescent="0.3">
      <c r="A673" s="3110" t="s">
        <v>225</v>
      </c>
      <c r="B673" s="3111"/>
      <c r="C673" s="3111"/>
      <c r="D673" s="3111"/>
      <c r="E673" s="3111"/>
      <c r="F673" s="736">
        <v>0</v>
      </c>
      <c r="G673" s="736">
        <f>G672</f>
        <v>4598</v>
      </c>
      <c r="H673" s="736">
        <f>H672</f>
        <v>3299</v>
      </c>
      <c r="I673" s="990">
        <f>(H673/G673)*100</f>
        <v>71.748586341887773</v>
      </c>
    </row>
    <row r="674" spans="1:14" s="504" customFormat="1" ht="15.75" thickTop="1" x14ac:dyDescent="0.25">
      <c r="A674" s="1027">
        <v>60003100078</v>
      </c>
      <c r="B674" s="1028">
        <v>3315</v>
      </c>
      <c r="C674" s="1028">
        <v>6121</v>
      </c>
      <c r="D674" s="1002">
        <v>13</v>
      </c>
      <c r="E674" s="1001" t="s">
        <v>548</v>
      </c>
      <c r="F674" s="1000">
        <v>23295</v>
      </c>
      <c r="G674" s="1000">
        <v>0</v>
      </c>
      <c r="H674" s="1000">
        <v>0</v>
      </c>
      <c r="I674" s="985">
        <v>0</v>
      </c>
    </row>
    <row r="675" spans="1:14" s="504" customFormat="1" ht="15" x14ac:dyDescent="0.25">
      <c r="A675" s="1007">
        <v>60003100078</v>
      </c>
      <c r="B675" s="651">
        <v>3315</v>
      </c>
      <c r="C675" s="651">
        <v>6121</v>
      </c>
      <c r="D675" s="996">
        <v>870</v>
      </c>
      <c r="E675" s="1006" t="s">
        <v>548</v>
      </c>
      <c r="F675" s="700"/>
      <c r="G675" s="700">
        <v>22012</v>
      </c>
      <c r="H675" s="700">
        <v>20538</v>
      </c>
      <c r="I675" s="693">
        <f>(H675/G675)*100</f>
        <v>93.30365255315283</v>
      </c>
    </row>
    <row r="676" spans="1:14" s="504" customFormat="1" ht="15" x14ac:dyDescent="0.25">
      <c r="A676" s="1007">
        <v>60003100078</v>
      </c>
      <c r="B676" s="651">
        <v>3315</v>
      </c>
      <c r="C676" s="651">
        <v>6122</v>
      </c>
      <c r="D676" s="996">
        <v>870</v>
      </c>
      <c r="E676" s="1006" t="s">
        <v>549</v>
      </c>
      <c r="F676" s="700"/>
      <c r="G676" s="700">
        <v>1497</v>
      </c>
      <c r="H676" s="700">
        <v>536</v>
      </c>
      <c r="I676" s="693">
        <f>(H676/G676)*100</f>
        <v>35.804943219772881</v>
      </c>
    </row>
    <row r="677" spans="1:14" s="504" customFormat="1" ht="15.75" thickBot="1" x14ac:dyDescent="0.3">
      <c r="A677" s="805">
        <v>60003100078</v>
      </c>
      <c r="B677" s="738">
        <v>3315</v>
      </c>
      <c r="C677" s="738">
        <v>6129</v>
      </c>
      <c r="D677" s="1005">
        <v>870</v>
      </c>
      <c r="E677" s="1004" t="s">
        <v>703</v>
      </c>
      <c r="F677" s="1003"/>
      <c r="G677" s="1003">
        <v>174</v>
      </c>
      <c r="H677" s="1003">
        <v>0</v>
      </c>
      <c r="I677" s="816">
        <v>0</v>
      </c>
    </row>
    <row r="678" spans="1:14" s="504" customFormat="1" ht="18" customHeight="1" thickTop="1" thickBot="1" x14ac:dyDescent="0.3">
      <c r="A678" s="3127" t="s">
        <v>224</v>
      </c>
      <c r="B678" s="3126"/>
      <c r="C678" s="3126"/>
      <c r="D678" s="3126"/>
      <c r="E678" s="3126"/>
      <c r="F678" s="725">
        <f>F674</f>
        <v>23295</v>
      </c>
      <c r="G678" s="725">
        <f>G675+G676+G677</f>
        <v>23683</v>
      </c>
      <c r="H678" s="725">
        <f>H675+H676+H677</f>
        <v>21074</v>
      </c>
      <c r="I678" s="710">
        <f>(H678/G678)*100</f>
        <v>88.98365916480175</v>
      </c>
    </row>
    <row r="679" spans="1:14" ht="13.5" thickTop="1" x14ac:dyDescent="0.2">
      <c r="K679" s="755"/>
      <c r="L679" s="755"/>
      <c r="M679" s="755"/>
      <c r="N679" s="421"/>
    </row>
    <row r="680" spans="1:14" x14ac:dyDescent="0.2">
      <c r="K680" s="755"/>
      <c r="L680" s="755"/>
      <c r="M680" s="755"/>
      <c r="N680" s="421"/>
    </row>
    <row r="681" spans="1:14" s="504" customFormat="1" ht="13.5" thickBot="1" x14ac:dyDescent="0.25">
      <c r="A681" s="421" t="s">
        <v>709</v>
      </c>
      <c r="B681" s="598"/>
      <c r="D681" s="670"/>
      <c r="F681" s="467"/>
      <c r="G681" s="467"/>
      <c r="H681" s="467"/>
      <c r="I681" s="792" t="s">
        <v>148</v>
      </c>
    </row>
    <row r="682" spans="1:14" s="106" customFormat="1" ht="20.25" customHeight="1" thickTop="1" thickBot="1" x14ac:dyDescent="0.25">
      <c r="A682" s="626" t="s">
        <v>565</v>
      </c>
      <c r="B682" s="628" t="s">
        <v>149</v>
      </c>
      <c r="C682" s="627" t="s">
        <v>150</v>
      </c>
      <c r="D682" s="589" t="s">
        <v>639</v>
      </c>
      <c r="E682" s="629" t="s">
        <v>151</v>
      </c>
      <c r="F682" s="629" t="s">
        <v>152</v>
      </c>
      <c r="G682" s="629" t="s">
        <v>796</v>
      </c>
      <c r="H682" s="629" t="s">
        <v>797</v>
      </c>
      <c r="I682" s="674" t="s">
        <v>798</v>
      </c>
    </row>
    <row r="683" spans="1:14" s="375" customFormat="1" ht="13.5" thickTop="1" thickBot="1" x14ac:dyDescent="0.25">
      <c r="A683" s="974">
        <v>1</v>
      </c>
      <c r="B683" s="975">
        <v>2</v>
      </c>
      <c r="C683" s="975">
        <v>3</v>
      </c>
      <c r="D683" s="975">
        <v>4</v>
      </c>
      <c r="E683" s="526">
        <v>5</v>
      </c>
      <c r="F683" s="976">
        <v>6</v>
      </c>
      <c r="G683" s="976">
        <v>7</v>
      </c>
      <c r="H683" s="977">
        <v>8</v>
      </c>
      <c r="I683" s="978" t="s">
        <v>689</v>
      </c>
    </row>
    <row r="684" spans="1:14" s="504" customFormat="1" ht="16.5" thickTop="1" thickBot="1" x14ac:dyDescent="0.3">
      <c r="A684" s="986">
        <v>60003100198</v>
      </c>
      <c r="B684" s="809">
        <v>3315</v>
      </c>
      <c r="C684" s="987">
        <v>6121</v>
      </c>
      <c r="D684" s="810">
        <v>13</v>
      </c>
      <c r="E684" s="811" t="s">
        <v>548</v>
      </c>
      <c r="F684" s="736"/>
      <c r="G684" s="989">
        <v>374</v>
      </c>
      <c r="H684" s="736">
        <v>30</v>
      </c>
      <c r="I684" s="990">
        <f>(H684/G684)*100</f>
        <v>8.0213903743315509</v>
      </c>
    </row>
    <row r="685" spans="1:14" s="504" customFormat="1" ht="18" customHeight="1" thickTop="1" thickBot="1" x14ac:dyDescent="0.3">
      <c r="A685" s="3127" t="s">
        <v>224</v>
      </c>
      <c r="B685" s="3126"/>
      <c r="C685" s="3126"/>
      <c r="D685" s="3126"/>
      <c r="E685" s="3126"/>
      <c r="F685" s="725">
        <f>F684</f>
        <v>0</v>
      </c>
      <c r="G685" s="725">
        <f>G684</f>
        <v>374</v>
      </c>
      <c r="H685" s="725">
        <f>H684</f>
        <v>30</v>
      </c>
      <c r="I685" s="710">
        <f>(H685/G685)*100</f>
        <v>8.0213903743315509</v>
      </c>
    </row>
    <row r="686" spans="1:14" ht="13.5" thickTop="1" x14ac:dyDescent="0.2">
      <c r="K686" s="755"/>
      <c r="L686" s="755"/>
      <c r="M686" s="755"/>
      <c r="N686" s="421"/>
    </row>
    <row r="687" spans="1:14" x14ac:dyDescent="0.2">
      <c r="K687" s="755"/>
      <c r="L687" s="755"/>
      <c r="M687" s="755"/>
      <c r="N687" s="421"/>
    </row>
    <row r="688" spans="1:14" s="504" customFormat="1" ht="13.5" thickBot="1" x14ac:dyDescent="0.25">
      <c r="A688" s="421" t="s">
        <v>710</v>
      </c>
      <c r="B688" s="598"/>
      <c r="D688" s="670"/>
      <c r="F688" s="467"/>
      <c r="G688" s="467"/>
      <c r="H688" s="467"/>
      <c r="I688" s="792" t="s">
        <v>148</v>
      </c>
    </row>
    <row r="689" spans="1:14" s="106" customFormat="1" ht="20.25" customHeight="1" thickTop="1" thickBot="1" x14ac:dyDescent="0.25">
      <c r="A689" s="626" t="s">
        <v>565</v>
      </c>
      <c r="B689" s="628" t="s">
        <v>149</v>
      </c>
      <c r="C689" s="627" t="s">
        <v>150</v>
      </c>
      <c r="D689" s="589" t="s">
        <v>639</v>
      </c>
      <c r="E689" s="629" t="s">
        <v>151</v>
      </c>
      <c r="F689" s="629" t="s">
        <v>152</v>
      </c>
      <c r="G689" s="629" t="s">
        <v>796</v>
      </c>
      <c r="H689" s="629" t="s">
        <v>797</v>
      </c>
      <c r="I689" s="674" t="s">
        <v>798</v>
      </c>
    </row>
    <row r="690" spans="1:14" s="375" customFormat="1" ht="13.5" thickTop="1" thickBot="1" x14ac:dyDescent="0.25">
      <c r="A690" s="974">
        <v>1</v>
      </c>
      <c r="B690" s="975">
        <v>2</v>
      </c>
      <c r="C690" s="975">
        <v>3</v>
      </c>
      <c r="D690" s="975">
        <v>4</v>
      </c>
      <c r="E690" s="526">
        <v>5</v>
      </c>
      <c r="F690" s="976">
        <v>6</v>
      </c>
      <c r="G690" s="976">
        <v>7</v>
      </c>
      <c r="H690" s="977">
        <v>8</v>
      </c>
      <c r="I690" s="978" t="s">
        <v>689</v>
      </c>
    </row>
    <row r="691" spans="1:14" s="504" customFormat="1" ht="16.5" thickTop="1" thickBot="1" x14ac:dyDescent="0.3">
      <c r="A691" s="986">
        <v>60003100206</v>
      </c>
      <c r="B691" s="809">
        <v>3315</v>
      </c>
      <c r="C691" s="987">
        <v>6121</v>
      </c>
      <c r="D691" s="810">
        <v>870</v>
      </c>
      <c r="E691" s="811" t="s">
        <v>548</v>
      </c>
      <c r="F691" s="736"/>
      <c r="G691" s="989">
        <v>7100</v>
      </c>
      <c r="H691" s="736">
        <v>4741</v>
      </c>
      <c r="I691" s="990">
        <f>(H691/G691)*100</f>
        <v>66.774647887323951</v>
      </c>
    </row>
    <row r="692" spans="1:14" s="504" customFormat="1" ht="18" customHeight="1" thickTop="1" thickBot="1" x14ac:dyDescent="0.3">
      <c r="A692" s="3127" t="s">
        <v>224</v>
      </c>
      <c r="B692" s="3126"/>
      <c r="C692" s="3126"/>
      <c r="D692" s="3126"/>
      <c r="E692" s="3126"/>
      <c r="F692" s="725">
        <f>F691</f>
        <v>0</v>
      </c>
      <c r="G692" s="725">
        <f>G691</f>
        <v>7100</v>
      </c>
      <c r="H692" s="725">
        <f>H691</f>
        <v>4741</v>
      </c>
      <c r="I692" s="710">
        <f>(H692/G692)*100</f>
        <v>66.774647887323951</v>
      </c>
    </row>
    <row r="693" spans="1:14" ht="13.5" thickTop="1" x14ac:dyDescent="0.2">
      <c r="K693" s="755"/>
      <c r="L693" s="755"/>
      <c r="M693" s="755"/>
      <c r="N693" s="421"/>
    </row>
    <row r="694" spans="1:14" x14ac:dyDescent="0.2">
      <c r="K694" s="755"/>
      <c r="L694" s="755"/>
      <c r="M694" s="755"/>
      <c r="N694" s="421"/>
    </row>
    <row r="695" spans="1:14" s="504" customFormat="1" ht="13.5" thickBot="1" x14ac:dyDescent="0.25">
      <c r="A695" s="421" t="s">
        <v>711</v>
      </c>
      <c r="B695" s="598"/>
      <c r="D695" s="670"/>
      <c r="F695" s="467"/>
      <c r="G695" s="467"/>
      <c r="H695" s="467"/>
      <c r="I695" s="792" t="s">
        <v>148</v>
      </c>
    </row>
    <row r="696" spans="1:14" s="106" customFormat="1" ht="20.25" customHeight="1" thickTop="1" thickBot="1" x14ac:dyDescent="0.25">
      <c r="A696" s="626" t="s">
        <v>565</v>
      </c>
      <c r="B696" s="628" t="s">
        <v>149</v>
      </c>
      <c r="C696" s="627" t="s">
        <v>150</v>
      </c>
      <c r="D696" s="589" t="s">
        <v>639</v>
      </c>
      <c r="E696" s="629" t="s">
        <v>151</v>
      </c>
      <c r="F696" s="629" t="s">
        <v>152</v>
      </c>
      <c r="G696" s="629" t="s">
        <v>796</v>
      </c>
      <c r="H696" s="629" t="s">
        <v>797</v>
      </c>
      <c r="I696" s="674" t="s">
        <v>798</v>
      </c>
    </row>
    <row r="697" spans="1:14" s="375" customFormat="1" ht="13.5" thickTop="1" thickBot="1" x14ac:dyDescent="0.25">
      <c r="A697" s="974">
        <v>1</v>
      </c>
      <c r="B697" s="975">
        <v>2</v>
      </c>
      <c r="C697" s="975">
        <v>3</v>
      </c>
      <c r="D697" s="975">
        <v>4</v>
      </c>
      <c r="E697" s="526">
        <v>5</v>
      </c>
      <c r="F697" s="976">
        <v>6</v>
      </c>
      <c r="G697" s="976">
        <v>7</v>
      </c>
      <c r="H697" s="977">
        <v>8</v>
      </c>
      <c r="I697" s="978" t="s">
        <v>689</v>
      </c>
    </row>
    <row r="698" spans="1:14" s="504" customFormat="1" ht="16.5" thickTop="1" thickBot="1" x14ac:dyDescent="0.3">
      <c r="A698" s="986">
        <v>60003100208</v>
      </c>
      <c r="B698" s="809">
        <v>3315</v>
      </c>
      <c r="C698" s="987">
        <v>6121</v>
      </c>
      <c r="D698" s="810">
        <v>13</v>
      </c>
      <c r="E698" s="811" t="s">
        <v>548</v>
      </c>
      <c r="F698" s="736"/>
      <c r="G698" s="989">
        <v>5527</v>
      </c>
      <c r="H698" s="736">
        <v>5493</v>
      </c>
      <c r="I698" s="990">
        <f>(H698/G698)*100</f>
        <v>99.384838067667815</v>
      </c>
    </row>
    <row r="699" spans="1:14" s="504" customFormat="1" ht="18" customHeight="1" thickTop="1" thickBot="1" x14ac:dyDescent="0.3">
      <c r="A699" s="3127" t="s">
        <v>224</v>
      </c>
      <c r="B699" s="3126"/>
      <c r="C699" s="3126"/>
      <c r="D699" s="3126"/>
      <c r="E699" s="3126"/>
      <c r="F699" s="725">
        <f>F698</f>
        <v>0</v>
      </c>
      <c r="G699" s="725">
        <f>G698</f>
        <v>5527</v>
      </c>
      <c r="H699" s="725">
        <f>H698</f>
        <v>5493</v>
      </c>
      <c r="I699" s="710">
        <f>(H699/G699)*100</f>
        <v>99.384838067667815</v>
      </c>
    </row>
    <row r="700" spans="1:14" ht="13.5" thickTop="1" x14ac:dyDescent="0.2">
      <c r="K700" s="755"/>
      <c r="L700" s="755"/>
      <c r="M700" s="755"/>
      <c r="N700" s="421"/>
    </row>
    <row r="701" spans="1:14" x14ac:dyDescent="0.2">
      <c r="K701" s="755"/>
      <c r="L701" s="755"/>
      <c r="M701" s="755"/>
      <c r="N701" s="421"/>
    </row>
    <row r="702" spans="1:14" s="504" customFormat="1" ht="13.5" thickBot="1" x14ac:dyDescent="0.25">
      <c r="A702" s="421" t="s">
        <v>712</v>
      </c>
      <c r="B702" s="598"/>
      <c r="D702" s="670"/>
      <c r="F702" s="467"/>
      <c r="G702" s="467"/>
      <c r="H702" s="467"/>
      <c r="I702" s="792" t="s">
        <v>148</v>
      </c>
    </row>
    <row r="703" spans="1:14" s="106" customFormat="1" ht="20.25" customHeight="1" thickTop="1" thickBot="1" x14ac:dyDescent="0.25">
      <c r="A703" s="626" t="s">
        <v>565</v>
      </c>
      <c r="B703" s="628" t="s">
        <v>149</v>
      </c>
      <c r="C703" s="627" t="s">
        <v>150</v>
      </c>
      <c r="D703" s="589" t="s">
        <v>639</v>
      </c>
      <c r="E703" s="629" t="s">
        <v>151</v>
      </c>
      <c r="F703" s="629" t="s">
        <v>152</v>
      </c>
      <c r="G703" s="629" t="s">
        <v>796</v>
      </c>
      <c r="H703" s="629" t="s">
        <v>797</v>
      </c>
      <c r="I703" s="674" t="s">
        <v>798</v>
      </c>
    </row>
    <row r="704" spans="1:14" s="375" customFormat="1" ht="13.5" thickTop="1" thickBot="1" x14ac:dyDescent="0.25">
      <c r="A704" s="974">
        <v>1</v>
      </c>
      <c r="B704" s="975">
        <v>2</v>
      </c>
      <c r="C704" s="975">
        <v>3</v>
      </c>
      <c r="D704" s="975">
        <v>4</v>
      </c>
      <c r="E704" s="526">
        <v>5</v>
      </c>
      <c r="F704" s="976">
        <v>6</v>
      </c>
      <c r="G704" s="976">
        <v>7</v>
      </c>
      <c r="H704" s="977">
        <v>8</v>
      </c>
      <c r="I704" s="978" t="s">
        <v>689</v>
      </c>
    </row>
    <row r="705" spans="1:14" s="504" customFormat="1" ht="16.5" thickTop="1" thickBot="1" x14ac:dyDescent="0.3">
      <c r="A705" s="986">
        <v>60003100217</v>
      </c>
      <c r="B705" s="809">
        <v>3315</v>
      </c>
      <c r="C705" s="987">
        <v>6121</v>
      </c>
      <c r="D705" s="810">
        <v>13</v>
      </c>
      <c r="E705" s="811" t="s">
        <v>548</v>
      </c>
      <c r="F705" s="736"/>
      <c r="G705" s="989">
        <v>177</v>
      </c>
      <c r="H705" s="736">
        <v>30</v>
      </c>
      <c r="I705" s="990">
        <f>(H705/G705)*100</f>
        <v>16.949152542372879</v>
      </c>
    </row>
    <row r="706" spans="1:14" s="504" customFormat="1" ht="18" customHeight="1" thickTop="1" thickBot="1" x14ac:dyDescent="0.3">
      <c r="A706" s="3127" t="s">
        <v>224</v>
      </c>
      <c r="B706" s="3126"/>
      <c r="C706" s="3126"/>
      <c r="D706" s="3126"/>
      <c r="E706" s="3126"/>
      <c r="F706" s="725">
        <f>F705</f>
        <v>0</v>
      </c>
      <c r="G706" s="725">
        <f>G705</f>
        <v>177</v>
      </c>
      <c r="H706" s="725">
        <f>H705</f>
        <v>30</v>
      </c>
      <c r="I706" s="710">
        <f>(H706/G706)*100</f>
        <v>16.949152542372879</v>
      </c>
    </row>
    <row r="707" spans="1:14" ht="13.5" thickTop="1" x14ac:dyDescent="0.2">
      <c r="K707" s="755"/>
      <c r="L707" s="755"/>
      <c r="M707" s="755"/>
      <c r="N707" s="421"/>
    </row>
    <row r="708" spans="1:14" x14ac:dyDescent="0.2">
      <c r="K708" s="755"/>
      <c r="L708" s="755"/>
      <c r="M708" s="755"/>
      <c r="N708" s="421"/>
    </row>
    <row r="709" spans="1:14" s="504" customFormat="1" ht="13.5" thickBot="1" x14ac:dyDescent="0.25">
      <c r="A709" s="421" t="s">
        <v>713</v>
      </c>
      <c r="B709" s="598"/>
      <c r="D709" s="670"/>
      <c r="F709" s="467"/>
      <c r="G709" s="467"/>
      <c r="H709" s="467"/>
      <c r="I709" s="792" t="s">
        <v>148</v>
      </c>
    </row>
    <row r="710" spans="1:14" s="106" customFormat="1" ht="20.25" customHeight="1" thickTop="1" thickBot="1" x14ac:dyDescent="0.25">
      <c r="A710" s="626" t="s">
        <v>565</v>
      </c>
      <c r="B710" s="628" t="s">
        <v>149</v>
      </c>
      <c r="C710" s="627" t="s">
        <v>150</v>
      </c>
      <c r="D710" s="589" t="s">
        <v>639</v>
      </c>
      <c r="E710" s="629" t="s">
        <v>151</v>
      </c>
      <c r="F710" s="629" t="s">
        <v>152</v>
      </c>
      <c r="G710" s="629" t="s">
        <v>796</v>
      </c>
      <c r="H710" s="629" t="s">
        <v>797</v>
      </c>
      <c r="I710" s="674" t="s">
        <v>798</v>
      </c>
    </row>
    <row r="711" spans="1:14" s="375" customFormat="1" ht="13.5" thickTop="1" thickBot="1" x14ac:dyDescent="0.25">
      <c r="A711" s="974">
        <v>1</v>
      </c>
      <c r="B711" s="975">
        <v>2</v>
      </c>
      <c r="C711" s="975">
        <v>3</v>
      </c>
      <c r="D711" s="975">
        <v>4</v>
      </c>
      <c r="E711" s="526">
        <v>5</v>
      </c>
      <c r="F711" s="976">
        <v>6</v>
      </c>
      <c r="G711" s="976">
        <v>7</v>
      </c>
      <c r="H711" s="977">
        <v>8</v>
      </c>
      <c r="I711" s="978" t="s">
        <v>689</v>
      </c>
    </row>
    <row r="712" spans="1:14" s="504" customFormat="1" ht="16.5" thickTop="1" thickBot="1" x14ac:dyDescent="0.3">
      <c r="A712" s="986">
        <v>60003100218</v>
      </c>
      <c r="B712" s="809">
        <v>3315</v>
      </c>
      <c r="C712" s="987">
        <v>6121</v>
      </c>
      <c r="D712" s="810">
        <v>13</v>
      </c>
      <c r="E712" s="811" t="s">
        <v>548</v>
      </c>
      <c r="F712" s="736"/>
      <c r="G712" s="989">
        <v>155</v>
      </c>
      <c r="H712" s="736">
        <v>155</v>
      </c>
      <c r="I712" s="990">
        <f>(H712/G712)*100</f>
        <v>100</v>
      </c>
    </row>
    <row r="713" spans="1:14" s="504" customFormat="1" ht="18" customHeight="1" thickTop="1" thickBot="1" x14ac:dyDescent="0.3">
      <c r="A713" s="3127" t="s">
        <v>224</v>
      </c>
      <c r="B713" s="3126"/>
      <c r="C713" s="3126"/>
      <c r="D713" s="3126"/>
      <c r="E713" s="3126"/>
      <c r="F713" s="725">
        <f>F712</f>
        <v>0</v>
      </c>
      <c r="G713" s="725">
        <f>G712</f>
        <v>155</v>
      </c>
      <c r="H713" s="725">
        <f>H712</f>
        <v>155</v>
      </c>
      <c r="I713" s="710">
        <f>(H713/G713)*100</f>
        <v>100</v>
      </c>
    </row>
    <row r="714" spans="1:14" ht="13.5" thickTop="1" x14ac:dyDescent="0.2">
      <c r="K714" s="755"/>
      <c r="L714" s="755"/>
      <c r="M714" s="755"/>
      <c r="N714" s="421"/>
    </row>
    <row r="715" spans="1:14" x14ac:dyDescent="0.2">
      <c r="K715" s="755"/>
      <c r="L715" s="755"/>
      <c r="M715" s="755"/>
      <c r="N715" s="421"/>
    </row>
    <row r="716" spans="1:14" s="504" customFormat="1" ht="13.5" thickBot="1" x14ac:dyDescent="0.25">
      <c r="A716" s="421" t="s">
        <v>631</v>
      </c>
      <c r="B716" s="598"/>
      <c r="D716" s="670"/>
      <c r="F716" s="467"/>
      <c r="G716" s="467"/>
      <c r="H716" s="467"/>
      <c r="I716" s="792" t="s">
        <v>148</v>
      </c>
    </row>
    <row r="717" spans="1:14" s="106" customFormat="1" ht="20.25" customHeight="1" thickTop="1" thickBot="1" x14ac:dyDescent="0.25">
      <c r="A717" s="626" t="s">
        <v>565</v>
      </c>
      <c r="B717" s="628" t="s">
        <v>149</v>
      </c>
      <c r="C717" s="627" t="s">
        <v>150</v>
      </c>
      <c r="D717" s="589" t="s">
        <v>639</v>
      </c>
      <c r="E717" s="629" t="s">
        <v>151</v>
      </c>
      <c r="F717" s="629" t="s">
        <v>152</v>
      </c>
      <c r="G717" s="629" t="s">
        <v>796</v>
      </c>
      <c r="H717" s="629" t="s">
        <v>797</v>
      </c>
      <c r="I717" s="674" t="s">
        <v>798</v>
      </c>
    </row>
    <row r="718" spans="1:14" s="375" customFormat="1" ht="13.5" thickTop="1" thickBot="1" x14ac:dyDescent="0.25">
      <c r="A718" s="974">
        <v>1</v>
      </c>
      <c r="B718" s="975">
        <v>2</v>
      </c>
      <c r="C718" s="975">
        <v>3</v>
      </c>
      <c r="D718" s="975">
        <v>4</v>
      </c>
      <c r="E718" s="526">
        <v>5</v>
      </c>
      <c r="F718" s="976">
        <v>6</v>
      </c>
      <c r="G718" s="976">
        <v>7</v>
      </c>
      <c r="H718" s="977">
        <v>8</v>
      </c>
      <c r="I718" s="978" t="s">
        <v>689</v>
      </c>
    </row>
    <row r="719" spans="1:14" s="504" customFormat="1" ht="16.5" thickTop="1" thickBot="1" x14ac:dyDescent="0.3">
      <c r="A719" s="986">
        <v>60003100280</v>
      </c>
      <c r="B719" s="809">
        <v>3314</v>
      </c>
      <c r="C719" s="987">
        <v>6121</v>
      </c>
      <c r="D719" s="810">
        <v>13</v>
      </c>
      <c r="E719" s="811" t="s">
        <v>548</v>
      </c>
      <c r="F719" s="736"/>
      <c r="G719" s="989">
        <v>802</v>
      </c>
      <c r="H719" s="736">
        <v>802</v>
      </c>
      <c r="I719" s="990">
        <f>(H719/G719)*100</f>
        <v>100</v>
      </c>
    </row>
    <row r="720" spans="1:14" s="504" customFormat="1" ht="18" customHeight="1" thickTop="1" thickBot="1" x14ac:dyDescent="0.3">
      <c r="A720" s="3127" t="s">
        <v>224</v>
      </c>
      <c r="B720" s="3126"/>
      <c r="C720" s="3126"/>
      <c r="D720" s="3126"/>
      <c r="E720" s="3126"/>
      <c r="F720" s="725">
        <f>F719</f>
        <v>0</v>
      </c>
      <c r="G720" s="725">
        <f>G719</f>
        <v>802</v>
      </c>
      <c r="H720" s="725">
        <f>H719</f>
        <v>802</v>
      </c>
      <c r="I720" s="710">
        <f>(H720/G720)*100</f>
        <v>100</v>
      </c>
    </row>
    <row r="721" spans="1:14" ht="13.5" thickTop="1" x14ac:dyDescent="0.2">
      <c r="K721" s="755"/>
      <c r="L721" s="755"/>
      <c r="M721" s="755"/>
      <c r="N721" s="421"/>
    </row>
    <row r="722" spans="1:14" x14ac:dyDescent="0.2">
      <c r="K722" s="755"/>
      <c r="L722" s="755"/>
      <c r="M722" s="755"/>
      <c r="N722" s="421"/>
    </row>
    <row r="723" spans="1:14" s="504" customFormat="1" ht="13.5" thickBot="1" x14ac:dyDescent="0.25">
      <c r="A723" s="421" t="s">
        <v>632</v>
      </c>
      <c r="B723" s="598"/>
      <c r="D723" s="670"/>
      <c r="F723" s="467"/>
      <c r="G723" s="467"/>
      <c r="H723" s="467"/>
      <c r="I723" s="792" t="s">
        <v>148</v>
      </c>
    </row>
    <row r="724" spans="1:14" s="106" customFormat="1" ht="20.25" customHeight="1" thickTop="1" thickBot="1" x14ac:dyDescent="0.25">
      <c r="A724" s="626" t="s">
        <v>565</v>
      </c>
      <c r="B724" s="628" t="s">
        <v>149</v>
      </c>
      <c r="C724" s="627" t="s">
        <v>150</v>
      </c>
      <c r="D724" s="589" t="s">
        <v>639</v>
      </c>
      <c r="E724" s="629" t="s">
        <v>151</v>
      </c>
      <c r="F724" s="629" t="s">
        <v>152</v>
      </c>
      <c r="G724" s="629" t="s">
        <v>796</v>
      </c>
      <c r="H724" s="629" t="s">
        <v>797</v>
      </c>
      <c r="I724" s="674" t="s">
        <v>798</v>
      </c>
    </row>
    <row r="725" spans="1:14" s="375" customFormat="1" ht="13.5" thickTop="1" thickBot="1" x14ac:dyDescent="0.25">
      <c r="A725" s="974">
        <v>1</v>
      </c>
      <c r="B725" s="975">
        <v>2</v>
      </c>
      <c r="C725" s="975">
        <v>3</v>
      </c>
      <c r="D725" s="975">
        <v>4</v>
      </c>
      <c r="E725" s="526">
        <v>5</v>
      </c>
      <c r="F725" s="976">
        <v>6</v>
      </c>
      <c r="G725" s="976">
        <v>7</v>
      </c>
      <c r="H725" s="977">
        <v>8</v>
      </c>
      <c r="I725" s="978" t="s">
        <v>689</v>
      </c>
    </row>
    <row r="726" spans="1:14" s="504" customFormat="1" ht="16.5" thickTop="1" thickBot="1" x14ac:dyDescent="0.3">
      <c r="A726" s="986">
        <v>60003100281</v>
      </c>
      <c r="B726" s="809">
        <v>3315</v>
      </c>
      <c r="C726" s="987">
        <v>6121</v>
      </c>
      <c r="D726" s="810">
        <v>870</v>
      </c>
      <c r="E726" s="811" t="s">
        <v>548</v>
      </c>
      <c r="F726" s="736"/>
      <c r="G726" s="989">
        <v>12173</v>
      </c>
      <c r="H726" s="736">
        <v>12173</v>
      </c>
      <c r="I726" s="990">
        <f>(H726/G726)*100</f>
        <v>100</v>
      </c>
    </row>
    <row r="727" spans="1:14" s="504" customFormat="1" ht="18" customHeight="1" thickTop="1" thickBot="1" x14ac:dyDescent="0.3">
      <c r="A727" s="3127" t="s">
        <v>224</v>
      </c>
      <c r="B727" s="3126"/>
      <c r="C727" s="3126"/>
      <c r="D727" s="3126"/>
      <c r="E727" s="3126"/>
      <c r="F727" s="725">
        <f>F726</f>
        <v>0</v>
      </c>
      <c r="G727" s="725">
        <f>G726</f>
        <v>12173</v>
      </c>
      <c r="H727" s="725">
        <f>H726</f>
        <v>12173</v>
      </c>
      <c r="I727" s="710">
        <f>(H727/G727)*100</f>
        <v>100</v>
      </c>
    </row>
    <row r="728" spans="1:14" ht="13.5" thickTop="1" x14ac:dyDescent="0.2">
      <c r="K728" s="755"/>
      <c r="L728" s="755"/>
      <c r="M728" s="755"/>
      <c r="N728" s="421"/>
    </row>
    <row r="729" spans="1:14" x14ac:dyDescent="0.2">
      <c r="K729" s="755"/>
      <c r="L729" s="755"/>
      <c r="M729" s="755"/>
      <c r="N729" s="421"/>
    </row>
    <row r="730" spans="1:14" s="504" customFormat="1" ht="13.5" thickBot="1" x14ac:dyDescent="0.25">
      <c r="A730" s="421" t="s">
        <v>633</v>
      </c>
      <c r="B730" s="598"/>
      <c r="D730" s="670"/>
      <c r="F730" s="467"/>
      <c r="G730" s="467"/>
      <c r="H730" s="467"/>
      <c r="I730" s="792" t="s">
        <v>148</v>
      </c>
    </row>
    <row r="731" spans="1:14" s="106" customFormat="1" ht="20.25" customHeight="1" thickTop="1" thickBot="1" x14ac:dyDescent="0.25">
      <c r="A731" s="626" t="s">
        <v>565</v>
      </c>
      <c r="B731" s="628" t="s">
        <v>149</v>
      </c>
      <c r="C731" s="627" t="s">
        <v>150</v>
      </c>
      <c r="D731" s="589" t="s">
        <v>639</v>
      </c>
      <c r="E731" s="629" t="s">
        <v>151</v>
      </c>
      <c r="F731" s="629" t="s">
        <v>152</v>
      </c>
      <c r="G731" s="629" t="s">
        <v>796</v>
      </c>
      <c r="H731" s="629" t="s">
        <v>797</v>
      </c>
      <c r="I731" s="674" t="s">
        <v>798</v>
      </c>
    </row>
    <row r="732" spans="1:14" s="375" customFormat="1" ht="13.5" thickTop="1" thickBot="1" x14ac:dyDescent="0.25">
      <c r="A732" s="974">
        <v>1</v>
      </c>
      <c r="B732" s="975">
        <v>2</v>
      </c>
      <c r="C732" s="975">
        <v>3</v>
      </c>
      <c r="D732" s="975">
        <v>4</v>
      </c>
      <c r="E732" s="526">
        <v>5</v>
      </c>
      <c r="F732" s="976">
        <v>6</v>
      </c>
      <c r="G732" s="976">
        <v>7</v>
      </c>
      <c r="H732" s="977">
        <v>8</v>
      </c>
      <c r="I732" s="978" t="s">
        <v>689</v>
      </c>
    </row>
    <row r="733" spans="1:14" s="504" customFormat="1" ht="16.5" thickTop="1" thickBot="1" x14ac:dyDescent="0.3">
      <c r="A733" s="986">
        <v>60003100283</v>
      </c>
      <c r="B733" s="809">
        <v>3315</v>
      </c>
      <c r="C733" s="987">
        <v>6121</v>
      </c>
      <c r="D733" s="810">
        <v>13</v>
      </c>
      <c r="E733" s="811" t="s">
        <v>548</v>
      </c>
      <c r="F733" s="736"/>
      <c r="G733" s="989">
        <v>200</v>
      </c>
      <c r="H733" s="736">
        <v>0</v>
      </c>
      <c r="I733" s="990">
        <f>(H733/G733)*100</f>
        <v>0</v>
      </c>
    </row>
    <row r="734" spans="1:14" s="504" customFormat="1" ht="18" customHeight="1" thickTop="1" thickBot="1" x14ac:dyDescent="0.3">
      <c r="A734" s="3127" t="s">
        <v>224</v>
      </c>
      <c r="B734" s="3126"/>
      <c r="C734" s="3126"/>
      <c r="D734" s="3126"/>
      <c r="E734" s="3126"/>
      <c r="F734" s="725">
        <f>F733</f>
        <v>0</v>
      </c>
      <c r="G734" s="725">
        <f>G733</f>
        <v>200</v>
      </c>
      <c r="H734" s="725">
        <f>H733</f>
        <v>0</v>
      </c>
      <c r="I734" s="710">
        <f>(H734/G734)*100</f>
        <v>0</v>
      </c>
    </row>
    <row r="735" spans="1:14" s="504" customFormat="1" ht="14.25" thickTop="1" thickBot="1" x14ac:dyDescent="0.25">
      <c r="A735" s="421" t="s">
        <v>634</v>
      </c>
      <c r="B735" s="598"/>
      <c r="D735" s="670"/>
      <c r="F735" s="467"/>
      <c r="G735" s="467"/>
      <c r="H735" s="467"/>
      <c r="I735" s="792" t="s">
        <v>148</v>
      </c>
    </row>
    <row r="736" spans="1:14" s="106" customFormat="1" ht="20.25" customHeight="1" thickTop="1" thickBot="1" x14ac:dyDescent="0.25">
      <c r="A736" s="626" t="s">
        <v>565</v>
      </c>
      <c r="B736" s="628" t="s">
        <v>149</v>
      </c>
      <c r="C736" s="627" t="s">
        <v>150</v>
      </c>
      <c r="D736" s="589" t="s">
        <v>639</v>
      </c>
      <c r="E736" s="629" t="s">
        <v>151</v>
      </c>
      <c r="F736" s="629" t="s">
        <v>152</v>
      </c>
      <c r="G736" s="629" t="s">
        <v>796</v>
      </c>
      <c r="H736" s="629" t="s">
        <v>797</v>
      </c>
      <c r="I736" s="674" t="s">
        <v>798</v>
      </c>
    </row>
    <row r="737" spans="1:14" s="375" customFormat="1" ht="13.5" thickTop="1" thickBot="1" x14ac:dyDescent="0.25">
      <c r="A737" s="974">
        <v>1</v>
      </c>
      <c r="B737" s="975">
        <v>2</v>
      </c>
      <c r="C737" s="975">
        <v>3</v>
      </c>
      <c r="D737" s="975">
        <v>4</v>
      </c>
      <c r="E737" s="526">
        <v>5</v>
      </c>
      <c r="F737" s="976">
        <v>6</v>
      </c>
      <c r="G737" s="976">
        <v>7</v>
      </c>
      <c r="H737" s="977">
        <v>8</v>
      </c>
      <c r="I737" s="978" t="s">
        <v>689</v>
      </c>
    </row>
    <row r="738" spans="1:14" s="504" customFormat="1" ht="16.5" thickTop="1" thickBot="1" x14ac:dyDescent="0.3">
      <c r="A738" s="986">
        <v>60003100284</v>
      </c>
      <c r="B738" s="809">
        <v>3315</v>
      </c>
      <c r="C738" s="987">
        <v>6121</v>
      </c>
      <c r="D738" s="810">
        <v>13</v>
      </c>
      <c r="E738" s="811" t="s">
        <v>548</v>
      </c>
      <c r="F738" s="736"/>
      <c r="G738" s="989">
        <v>2330</v>
      </c>
      <c r="H738" s="736">
        <v>1200</v>
      </c>
      <c r="I738" s="990">
        <f>(H738/G738)*100</f>
        <v>51.502145922746777</v>
      </c>
    </row>
    <row r="739" spans="1:14" s="504" customFormat="1" ht="18" customHeight="1" thickTop="1" thickBot="1" x14ac:dyDescent="0.3">
      <c r="A739" s="3127" t="s">
        <v>224</v>
      </c>
      <c r="B739" s="3126"/>
      <c r="C739" s="3126"/>
      <c r="D739" s="3126"/>
      <c r="E739" s="3126"/>
      <c r="F739" s="725">
        <f>F738</f>
        <v>0</v>
      </c>
      <c r="G739" s="725">
        <f>G738</f>
        <v>2330</v>
      </c>
      <c r="H739" s="725">
        <f>H738</f>
        <v>1200</v>
      </c>
      <c r="I739" s="710">
        <f>(H739/G739)*100</f>
        <v>51.502145922746777</v>
      </c>
    </row>
    <row r="740" spans="1:14" ht="13.5" thickTop="1" x14ac:dyDescent="0.2">
      <c r="K740" s="755"/>
      <c r="L740" s="755"/>
      <c r="M740" s="755"/>
      <c r="N740" s="421"/>
    </row>
    <row r="741" spans="1:14" x14ac:dyDescent="0.2">
      <c r="K741" s="755"/>
      <c r="L741" s="755"/>
      <c r="M741" s="755"/>
      <c r="N741" s="421"/>
    </row>
    <row r="742" spans="1:14" s="504" customFormat="1" ht="13.5" thickBot="1" x14ac:dyDescent="0.25">
      <c r="A742" s="421" t="s">
        <v>635</v>
      </c>
      <c r="B742" s="598"/>
      <c r="D742" s="670"/>
      <c r="F742" s="467"/>
      <c r="G742" s="467"/>
      <c r="H742" s="467"/>
      <c r="I742" s="792" t="s">
        <v>148</v>
      </c>
    </row>
    <row r="743" spans="1:14" s="106" customFormat="1" ht="20.25" customHeight="1" thickTop="1" thickBot="1" x14ac:dyDescent="0.25">
      <c r="A743" s="626" t="s">
        <v>565</v>
      </c>
      <c r="B743" s="628" t="s">
        <v>149</v>
      </c>
      <c r="C743" s="627" t="s">
        <v>150</v>
      </c>
      <c r="D743" s="589" t="s">
        <v>639</v>
      </c>
      <c r="E743" s="629" t="s">
        <v>151</v>
      </c>
      <c r="F743" s="629" t="s">
        <v>152</v>
      </c>
      <c r="G743" s="629" t="s">
        <v>796</v>
      </c>
      <c r="H743" s="629" t="s">
        <v>797</v>
      </c>
      <c r="I743" s="674" t="s">
        <v>798</v>
      </c>
    </row>
    <row r="744" spans="1:14" s="375" customFormat="1" ht="13.5" thickTop="1" thickBot="1" x14ac:dyDescent="0.25">
      <c r="A744" s="974">
        <v>1</v>
      </c>
      <c r="B744" s="975">
        <v>2</v>
      </c>
      <c r="C744" s="975">
        <v>3</v>
      </c>
      <c r="D744" s="975">
        <v>4</v>
      </c>
      <c r="E744" s="526">
        <v>5</v>
      </c>
      <c r="F744" s="976">
        <v>6</v>
      </c>
      <c r="G744" s="976">
        <v>7</v>
      </c>
      <c r="H744" s="977">
        <v>8</v>
      </c>
      <c r="I744" s="978" t="s">
        <v>689</v>
      </c>
    </row>
    <row r="745" spans="1:14" s="375" customFormat="1" ht="16.5" thickTop="1" thickBot="1" x14ac:dyDescent="0.3">
      <c r="A745" s="1043">
        <v>60003100286</v>
      </c>
      <c r="B745" s="1044">
        <v>3319</v>
      </c>
      <c r="C745" s="1031">
        <v>5171</v>
      </c>
      <c r="D745" s="810">
        <v>13</v>
      </c>
      <c r="E745" s="1008" t="s">
        <v>811</v>
      </c>
      <c r="F745" s="1009"/>
      <c r="G745" s="1010">
        <v>2159</v>
      </c>
      <c r="H745" s="1011">
        <v>2159</v>
      </c>
      <c r="I745" s="990">
        <f>(H745/G745)*100</f>
        <v>100</v>
      </c>
    </row>
    <row r="746" spans="1:14" s="375" customFormat="1" ht="16.5" thickTop="1" thickBot="1" x14ac:dyDescent="0.3">
      <c r="A746" s="3110" t="s">
        <v>225</v>
      </c>
      <c r="B746" s="3111"/>
      <c r="C746" s="3111"/>
      <c r="D746" s="3111"/>
      <c r="E746" s="3111"/>
      <c r="F746" s="718">
        <v>0</v>
      </c>
      <c r="G746" s="1011">
        <f>G745</f>
        <v>2159</v>
      </c>
      <c r="H746" s="1011">
        <f>H745</f>
        <v>2159</v>
      </c>
      <c r="I746" s="990">
        <f>(H746/G746)*100</f>
        <v>100</v>
      </c>
    </row>
    <row r="747" spans="1:14" s="504" customFormat="1" ht="16.5" thickTop="1" thickBot="1" x14ac:dyDescent="0.3">
      <c r="A747" s="986">
        <v>60003100286</v>
      </c>
      <c r="B747" s="809">
        <v>3319</v>
      </c>
      <c r="C747" s="987">
        <v>6121</v>
      </c>
      <c r="D747" s="810">
        <v>13</v>
      </c>
      <c r="E747" s="811" t="s">
        <v>548</v>
      </c>
      <c r="F747" s="736"/>
      <c r="G747" s="989">
        <v>1</v>
      </c>
      <c r="H747" s="736">
        <v>0</v>
      </c>
      <c r="I747" s="990">
        <f>(H747/G747)*100</f>
        <v>0</v>
      </c>
    </row>
    <row r="748" spans="1:14" s="504" customFormat="1" ht="18" customHeight="1" thickTop="1" thickBot="1" x14ac:dyDescent="0.3">
      <c r="A748" s="3127" t="s">
        <v>224</v>
      </c>
      <c r="B748" s="3126"/>
      <c r="C748" s="3126"/>
      <c r="D748" s="3126"/>
      <c r="E748" s="3126"/>
      <c r="F748" s="725">
        <f>F747</f>
        <v>0</v>
      </c>
      <c r="G748" s="725">
        <f>G747</f>
        <v>1</v>
      </c>
      <c r="H748" s="725">
        <f>H747</f>
        <v>0</v>
      </c>
      <c r="I748" s="710">
        <f>(H748/G748)*100</f>
        <v>0</v>
      </c>
    </row>
    <row r="749" spans="1:14" ht="13.5" thickTop="1" x14ac:dyDescent="0.2">
      <c r="K749" s="755"/>
      <c r="L749" s="755"/>
      <c r="M749" s="755"/>
      <c r="N749" s="421"/>
    </row>
    <row r="750" spans="1:14" x14ac:dyDescent="0.2">
      <c r="K750" s="755"/>
      <c r="L750" s="755"/>
      <c r="M750" s="755"/>
      <c r="N750" s="421"/>
    </row>
    <row r="751" spans="1:14" s="504" customFormat="1" ht="13.5" thickBot="1" x14ac:dyDescent="0.25">
      <c r="A751" s="421" t="s">
        <v>635</v>
      </c>
      <c r="B751" s="598"/>
      <c r="D751" s="670"/>
      <c r="F751" s="467"/>
      <c r="G751" s="467"/>
      <c r="H751" s="467"/>
      <c r="I751" s="792" t="s">
        <v>148</v>
      </c>
    </row>
    <row r="752" spans="1:14" s="106" customFormat="1" ht="20.25" customHeight="1" thickTop="1" thickBot="1" x14ac:dyDescent="0.25">
      <c r="A752" s="626" t="s">
        <v>565</v>
      </c>
      <c r="B752" s="628" t="s">
        <v>149</v>
      </c>
      <c r="C752" s="627" t="s">
        <v>150</v>
      </c>
      <c r="D752" s="589" t="s">
        <v>639</v>
      </c>
      <c r="E752" s="629" t="s">
        <v>151</v>
      </c>
      <c r="F752" s="629" t="s">
        <v>152</v>
      </c>
      <c r="G752" s="629" t="s">
        <v>796</v>
      </c>
      <c r="H752" s="629" t="s">
        <v>797</v>
      </c>
      <c r="I752" s="674" t="s">
        <v>798</v>
      </c>
    </row>
    <row r="753" spans="1:14" s="375" customFormat="1" ht="13.5" thickTop="1" thickBot="1" x14ac:dyDescent="0.25">
      <c r="A753" s="974">
        <v>1</v>
      </c>
      <c r="B753" s="975">
        <v>2</v>
      </c>
      <c r="C753" s="975">
        <v>3</v>
      </c>
      <c r="D753" s="975">
        <v>4</v>
      </c>
      <c r="E753" s="526">
        <v>5</v>
      </c>
      <c r="F753" s="976">
        <v>6</v>
      </c>
      <c r="G753" s="976">
        <v>7</v>
      </c>
      <c r="H753" s="977">
        <v>8</v>
      </c>
      <c r="I753" s="978" t="s">
        <v>689</v>
      </c>
    </row>
    <row r="754" spans="1:14" s="504" customFormat="1" ht="15.75" thickTop="1" x14ac:dyDescent="0.25">
      <c r="A754" s="800">
        <v>60003100315</v>
      </c>
      <c r="B754" s="659">
        <v>3315</v>
      </c>
      <c r="C754" s="607">
        <v>5901</v>
      </c>
      <c r="D754" s="815">
        <v>0</v>
      </c>
      <c r="E754" s="662" t="s">
        <v>547</v>
      </c>
      <c r="F754" s="803"/>
      <c r="G754" s="984">
        <v>300</v>
      </c>
      <c r="H754" s="803">
        <v>0</v>
      </c>
      <c r="I754" s="985">
        <f>(H754/G754)*100</f>
        <v>0</v>
      </c>
    </row>
    <row r="755" spans="1:14" s="504" customFormat="1" ht="15.75" thickBot="1" x14ac:dyDescent="0.3">
      <c r="A755" s="805">
        <v>60003100315</v>
      </c>
      <c r="B755" s="738">
        <v>3315</v>
      </c>
      <c r="C755" s="738">
        <v>5901</v>
      </c>
      <c r="D755" s="1005">
        <v>24</v>
      </c>
      <c r="E755" s="1004" t="s">
        <v>547</v>
      </c>
      <c r="F755" s="1003"/>
      <c r="G755" s="1003">
        <v>350</v>
      </c>
      <c r="H755" s="1003">
        <v>0</v>
      </c>
      <c r="I755" s="816">
        <f>(H755/G755)*100</f>
        <v>0</v>
      </c>
    </row>
    <row r="756" spans="1:14" s="504" customFormat="1" ht="18" customHeight="1" thickTop="1" thickBot="1" x14ac:dyDescent="0.3">
      <c r="A756" s="3127" t="s">
        <v>225</v>
      </c>
      <c r="B756" s="3126"/>
      <c r="C756" s="3126"/>
      <c r="D756" s="3126"/>
      <c r="E756" s="3126"/>
      <c r="F756" s="725">
        <f>F754</f>
        <v>0</v>
      </c>
      <c r="G756" s="725">
        <f>G754+G755</f>
        <v>650</v>
      </c>
      <c r="H756" s="725">
        <f>H754+H755</f>
        <v>0</v>
      </c>
      <c r="I756" s="710">
        <f>(H756/G756)*100</f>
        <v>0</v>
      </c>
      <c r="K756" s="467"/>
      <c r="L756" s="467"/>
      <c r="M756" s="467"/>
    </row>
    <row r="757" spans="1:14" ht="13.5" thickTop="1" x14ac:dyDescent="0.2">
      <c r="K757" s="755"/>
      <c r="L757" s="755"/>
      <c r="M757" s="755"/>
      <c r="N757" s="421"/>
    </row>
    <row r="758" spans="1:14" x14ac:dyDescent="0.2">
      <c r="K758" s="755"/>
      <c r="L758" s="755"/>
      <c r="M758" s="755"/>
      <c r="N758" s="421"/>
    </row>
    <row r="759" spans="1:14" s="504" customFormat="1" ht="13.5" thickBot="1" x14ac:dyDescent="0.25">
      <c r="A759" s="421" t="s">
        <v>637</v>
      </c>
      <c r="B759" s="598"/>
      <c r="D759" s="670"/>
      <c r="F759" s="467"/>
      <c r="G759" s="467"/>
      <c r="H759" s="467"/>
      <c r="I759" s="792" t="s">
        <v>148</v>
      </c>
    </row>
    <row r="760" spans="1:14" s="106" customFormat="1" ht="20.25" customHeight="1" thickTop="1" thickBot="1" x14ac:dyDescent="0.25">
      <c r="A760" s="626" t="s">
        <v>565</v>
      </c>
      <c r="B760" s="628" t="s">
        <v>149</v>
      </c>
      <c r="C760" s="627" t="s">
        <v>150</v>
      </c>
      <c r="D760" s="589" t="s">
        <v>639</v>
      </c>
      <c r="E760" s="629" t="s">
        <v>151</v>
      </c>
      <c r="F760" s="629" t="s">
        <v>152</v>
      </c>
      <c r="G760" s="629" t="s">
        <v>796</v>
      </c>
      <c r="H760" s="629" t="s">
        <v>797</v>
      </c>
      <c r="I760" s="674" t="s">
        <v>798</v>
      </c>
    </row>
    <row r="761" spans="1:14" s="375" customFormat="1" ht="13.5" thickTop="1" thickBot="1" x14ac:dyDescent="0.25">
      <c r="A761" s="974">
        <v>1</v>
      </c>
      <c r="B761" s="975">
        <v>2</v>
      </c>
      <c r="C761" s="975">
        <v>3</v>
      </c>
      <c r="D761" s="975">
        <v>4</v>
      </c>
      <c r="E761" s="526">
        <v>5</v>
      </c>
      <c r="F761" s="976">
        <v>6</v>
      </c>
      <c r="G761" s="976">
        <v>7</v>
      </c>
      <c r="H761" s="977">
        <v>8</v>
      </c>
      <c r="I761" s="978" t="s">
        <v>689</v>
      </c>
    </row>
    <row r="762" spans="1:14" s="504" customFormat="1" ht="15.75" thickTop="1" x14ac:dyDescent="0.25">
      <c r="A762" s="800">
        <v>60003100330</v>
      </c>
      <c r="B762" s="659">
        <v>3399</v>
      </c>
      <c r="C762" s="607">
        <v>6121</v>
      </c>
      <c r="D762" s="815">
        <v>13</v>
      </c>
      <c r="E762" s="662" t="s">
        <v>548</v>
      </c>
      <c r="F762" s="803"/>
      <c r="G762" s="984">
        <v>270</v>
      </c>
      <c r="H762" s="803">
        <v>0</v>
      </c>
      <c r="I762" s="985">
        <f>(H762/G762)*100</f>
        <v>0</v>
      </c>
    </row>
    <row r="763" spans="1:14" s="504" customFormat="1" ht="15.75" thickBot="1" x14ac:dyDescent="0.3">
      <c r="A763" s="805">
        <v>60003100330</v>
      </c>
      <c r="B763" s="738">
        <v>3399</v>
      </c>
      <c r="C763" s="738">
        <v>6329</v>
      </c>
      <c r="D763" s="1005">
        <v>13</v>
      </c>
      <c r="E763" s="1004" t="s">
        <v>636</v>
      </c>
      <c r="F763" s="1003"/>
      <c r="G763" s="1003">
        <v>130</v>
      </c>
      <c r="H763" s="1003">
        <v>0</v>
      </c>
      <c r="I763" s="816">
        <f>(H763/G763)*100</f>
        <v>0</v>
      </c>
    </row>
    <row r="764" spans="1:14" s="504" customFormat="1" ht="18" customHeight="1" thickTop="1" thickBot="1" x14ac:dyDescent="0.3">
      <c r="A764" s="3127" t="s">
        <v>224</v>
      </c>
      <c r="B764" s="3126"/>
      <c r="C764" s="3126"/>
      <c r="D764" s="3126"/>
      <c r="E764" s="3126"/>
      <c r="F764" s="725">
        <f>F762</f>
        <v>0</v>
      </c>
      <c r="G764" s="725">
        <f>G762+G763</f>
        <v>400</v>
      </c>
      <c r="H764" s="725">
        <f>H762+H763</f>
        <v>0</v>
      </c>
      <c r="I764" s="710">
        <f>(H764/G764)*100</f>
        <v>0</v>
      </c>
      <c r="K764" s="467">
        <f>F648+F655+F662+F664+F673+F678+F685+F692+F699+F706+F713+F720+F727+F734+F739+F746+F748+F764+F756</f>
        <v>34847</v>
      </c>
      <c r="L764" s="467">
        <f>G648+G655+G662+G664+G673+G678+G685+G692+G699+G706+G713+G720+G727+G734+G739+G746+G748+G764+G756</f>
        <v>70661</v>
      </c>
      <c r="M764" s="467">
        <f>H648+H655+H662+H664+H673+H678+H685+H692+H699+H706+H713+H720+H727+H734+H739+H746+H748+H764+H756</f>
        <v>61431</v>
      </c>
      <c r="N764" s="504" t="s">
        <v>995</v>
      </c>
    </row>
    <row r="765" spans="1:14" ht="13.5" thickTop="1" x14ac:dyDescent="0.2">
      <c r="K765" s="755"/>
      <c r="L765" s="755"/>
      <c r="M765" s="755"/>
      <c r="N765" s="421"/>
    </row>
    <row r="766" spans="1:14" x14ac:dyDescent="0.2">
      <c r="K766" s="755"/>
      <c r="L766" s="755"/>
      <c r="M766" s="755"/>
      <c r="N766" s="421"/>
    </row>
    <row r="767" spans="1:14" s="504" customFormat="1" ht="13.5" thickBot="1" x14ac:dyDescent="0.25">
      <c r="A767" s="421" t="s">
        <v>638</v>
      </c>
      <c r="B767" s="598"/>
      <c r="D767" s="670"/>
      <c r="F767" s="467"/>
      <c r="G767" s="467"/>
      <c r="H767" s="467"/>
      <c r="I767" s="792" t="s">
        <v>148</v>
      </c>
    </row>
    <row r="768" spans="1:14" s="106" customFormat="1" ht="20.25" customHeight="1" thickTop="1" thickBot="1" x14ac:dyDescent="0.25">
      <c r="A768" s="626" t="s">
        <v>565</v>
      </c>
      <c r="B768" s="628" t="s">
        <v>149</v>
      </c>
      <c r="C768" s="627" t="s">
        <v>150</v>
      </c>
      <c r="D768" s="589" t="s">
        <v>639</v>
      </c>
      <c r="E768" s="629" t="s">
        <v>151</v>
      </c>
      <c r="F768" s="629" t="s">
        <v>152</v>
      </c>
      <c r="G768" s="629" t="s">
        <v>796</v>
      </c>
      <c r="H768" s="629" t="s">
        <v>797</v>
      </c>
      <c r="I768" s="674" t="s">
        <v>798</v>
      </c>
    </row>
    <row r="769" spans="1:14" s="375" customFormat="1" ht="13.5" thickTop="1" thickBot="1" x14ac:dyDescent="0.25">
      <c r="A769" s="974">
        <v>1</v>
      </c>
      <c r="B769" s="975">
        <v>2</v>
      </c>
      <c r="C769" s="975">
        <v>3</v>
      </c>
      <c r="D769" s="975">
        <v>4</v>
      </c>
      <c r="E769" s="526">
        <v>5</v>
      </c>
      <c r="F769" s="976">
        <v>6</v>
      </c>
      <c r="G769" s="976">
        <v>7</v>
      </c>
      <c r="H769" s="977">
        <v>8</v>
      </c>
      <c r="I769" s="978" t="s">
        <v>689</v>
      </c>
    </row>
    <row r="770" spans="1:14" s="504" customFormat="1" ht="15.75" thickTop="1" x14ac:dyDescent="0.25">
      <c r="A770" s="800">
        <v>60004100000</v>
      </c>
      <c r="B770" s="659">
        <v>2212</v>
      </c>
      <c r="C770" s="607">
        <v>6121</v>
      </c>
      <c r="D770" s="815">
        <v>12</v>
      </c>
      <c r="E770" s="662" t="s">
        <v>548</v>
      </c>
      <c r="F770" s="803"/>
      <c r="G770" s="984">
        <v>25</v>
      </c>
      <c r="H770" s="803">
        <v>0</v>
      </c>
      <c r="I770" s="985">
        <f>(H770/G770)*100</f>
        <v>0</v>
      </c>
    </row>
    <row r="771" spans="1:14" s="504" customFormat="1" ht="15.75" thickBot="1" x14ac:dyDescent="0.3">
      <c r="A771" s="805">
        <v>60004100000</v>
      </c>
      <c r="B771" s="738">
        <v>2212</v>
      </c>
      <c r="C771" s="738">
        <v>6121</v>
      </c>
      <c r="D771" s="1005">
        <v>91628</v>
      </c>
      <c r="E771" s="1004" t="s">
        <v>548</v>
      </c>
      <c r="F771" s="1003"/>
      <c r="G771" s="1003">
        <v>84318</v>
      </c>
      <c r="H771" s="1003">
        <v>83768</v>
      </c>
      <c r="I771" s="816">
        <f>(H771/G771)*100</f>
        <v>99.347707488318036</v>
      </c>
    </row>
    <row r="772" spans="1:14" s="504" customFormat="1" ht="18" customHeight="1" thickTop="1" thickBot="1" x14ac:dyDescent="0.3">
      <c r="A772" s="3127" t="s">
        <v>224</v>
      </c>
      <c r="B772" s="3126"/>
      <c r="C772" s="3126"/>
      <c r="D772" s="3126"/>
      <c r="E772" s="3126"/>
      <c r="F772" s="725">
        <f>F770</f>
        <v>0</v>
      </c>
      <c r="G772" s="725">
        <f>G770+G771</f>
        <v>84343</v>
      </c>
      <c r="H772" s="725">
        <f>H770+H771</f>
        <v>83768</v>
      </c>
      <c r="I772" s="710">
        <f>(H772/G772)*100</f>
        <v>99.318259962296807</v>
      </c>
    </row>
    <row r="773" spans="1:14" ht="13.5" thickTop="1" x14ac:dyDescent="0.2">
      <c r="K773" s="755"/>
      <c r="L773" s="755"/>
      <c r="M773" s="755"/>
      <c r="N773" s="421"/>
    </row>
    <row r="774" spans="1:14" x14ac:dyDescent="0.2">
      <c r="K774" s="755"/>
      <c r="L774" s="755"/>
      <c r="M774" s="755"/>
      <c r="N774" s="421"/>
    </row>
    <row r="775" spans="1:14" s="504" customFormat="1" ht="13.5" thickBot="1" x14ac:dyDescent="0.25">
      <c r="A775" s="421" t="s">
        <v>1002</v>
      </c>
      <c r="B775" s="598"/>
      <c r="D775" s="670"/>
      <c r="F775" s="467"/>
      <c r="G775" s="467"/>
      <c r="H775" s="467"/>
      <c r="I775" s="792" t="s">
        <v>148</v>
      </c>
    </row>
    <row r="776" spans="1:14" s="106" customFormat="1" ht="20.25" customHeight="1" thickTop="1" thickBot="1" x14ac:dyDescent="0.25">
      <c r="A776" s="626" t="s">
        <v>565</v>
      </c>
      <c r="B776" s="628" t="s">
        <v>149</v>
      </c>
      <c r="C776" s="627" t="s">
        <v>150</v>
      </c>
      <c r="D776" s="589" t="s">
        <v>639</v>
      </c>
      <c r="E776" s="629" t="s">
        <v>151</v>
      </c>
      <c r="F776" s="629" t="s">
        <v>152</v>
      </c>
      <c r="G776" s="629" t="s">
        <v>796</v>
      </c>
      <c r="H776" s="629" t="s">
        <v>797</v>
      </c>
      <c r="I776" s="674" t="s">
        <v>798</v>
      </c>
    </row>
    <row r="777" spans="1:14" s="375" customFormat="1" ht="13.5" thickTop="1" thickBot="1" x14ac:dyDescent="0.25">
      <c r="A777" s="974">
        <v>1</v>
      </c>
      <c r="B777" s="975">
        <v>2</v>
      </c>
      <c r="C777" s="975">
        <v>3</v>
      </c>
      <c r="D777" s="975">
        <v>4</v>
      </c>
      <c r="E777" s="526">
        <v>5</v>
      </c>
      <c r="F777" s="976">
        <v>6</v>
      </c>
      <c r="G777" s="976">
        <v>7</v>
      </c>
      <c r="H777" s="977">
        <v>8</v>
      </c>
      <c r="I777" s="978" t="s">
        <v>689</v>
      </c>
    </row>
    <row r="778" spans="1:14" s="504" customFormat="1" ht="16.5" thickTop="1" thickBot="1" x14ac:dyDescent="0.3">
      <c r="A778" s="986">
        <v>60004100012</v>
      </c>
      <c r="B778" s="809">
        <v>2212</v>
      </c>
      <c r="C778" s="987">
        <v>6121</v>
      </c>
      <c r="D778" s="810">
        <v>12</v>
      </c>
      <c r="E778" s="811" t="s">
        <v>548</v>
      </c>
      <c r="F778" s="736"/>
      <c r="G778" s="989">
        <v>1</v>
      </c>
      <c r="H778" s="736">
        <v>0</v>
      </c>
      <c r="I778" s="990">
        <f>(H778/G778)*100</f>
        <v>0</v>
      </c>
    </row>
    <row r="779" spans="1:14" s="504" customFormat="1" ht="18" customHeight="1" thickTop="1" thickBot="1" x14ac:dyDescent="0.3">
      <c r="A779" s="3127" t="s">
        <v>224</v>
      </c>
      <c r="B779" s="3126"/>
      <c r="C779" s="3126"/>
      <c r="D779" s="3126"/>
      <c r="E779" s="3126"/>
      <c r="F779" s="725">
        <f>F778</f>
        <v>0</v>
      </c>
      <c r="G779" s="725">
        <f>G778</f>
        <v>1</v>
      </c>
      <c r="H779" s="725">
        <f>H778</f>
        <v>0</v>
      </c>
      <c r="I779" s="710">
        <f>(H779/G779)*100</f>
        <v>0</v>
      </c>
    </row>
    <row r="780" spans="1:14" ht="13.5" thickTop="1" x14ac:dyDescent="0.2">
      <c r="K780" s="755"/>
      <c r="L780" s="755"/>
      <c r="M780" s="755"/>
      <c r="N780" s="421"/>
    </row>
    <row r="781" spans="1:14" x14ac:dyDescent="0.2">
      <c r="K781" s="755"/>
      <c r="L781" s="755"/>
      <c r="M781" s="755"/>
      <c r="N781" s="421"/>
    </row>
    <row r="782" spans="1:14" s="504" customFormat="1" ht="13.5" thickBot="1" x14ac:dyDescent="0.25">
      <c r="A782" s="421" t="s">
        <v>326</v>
      </c>
      <c r="B782" s="598"/>
      <c r="D782" s="670"/>
      <c r="F782" s="467"/>
      <c r="G782" s="467"/>
      <c r="H782" s="467"/>
      <c r="I782" s="792" t="s">
        <v>148</v>
      </c>
    </row>
    <row r="783" spans="1:14" s="106" customFormat="1" ht="20.25" customHeight="1" thickTop="1" thickBot="1" x14ac:dyDescent="0.25">
      <c r="A783" s="626" t="s">
        <v>565</v>
      </c>
      <c r="B783" s="628" t="s">
        <v>149</v>
      </c>
      <c r="C783" s="627" t="s">
        <v>150</v>
      </c>
      <c r="D783" s="589" t="s">
        <v>639</v>
      </c>
      <c r="E783" s="629" t="s">
        <v>151</v>
      </c>
      <c r="F783" s="629" t="s">
        <v>152</v>
      </c>
      <c r="G783" s="629" t="s">
        <v>796</v>
      </c>
      <c r="H783" s="629" t="s">
        <v>797</v>
      </c>
      <c r="I783" s="674" t="s">
        <v>798</v>
      </c>
    </row>
    <row r="784" spans="1:14" s="375" customFormat="1" ht="13.5" thickTop="1" thickBot="1" x14ac:dyDescent="0.25">
      <c r="A784" s="974">
        <v>1</v>
      </c>
      <c r="B784" s="975">
        <v>2</v>
      </c>
      <c r="C784" s="975">
        <v>3</v>
      </c>
      <c r="D784" s="975">
        <v>4</v>
      </c>
      <c r="E784" s="526">
        <v>5</v>
      </c>
      <c r="F784" s="976">
        <v>6</v>
      </c>
      <c r="G784" s="976">
        <v>7</v>
      </c>
      <c r="H784" s="977">
        <v>8</v>
      </c>
      <c r="I784" s="978" t="s">
        <v>689</v>
      </c>
    </row>
    <row r="785" spans="1:14" s="504" customFormat="1" ht="16.5" thickTop="1" thickBot="1" x14ac:dyDescent="0.3">
      <c r="A785" s="986">
        <v>60004100022</v>
      </c>
      <c r="B785" s="809">
        <v>3639</v>
      </c>
      <c r="C785" s="987">
        <v>6130</v>
      </c>
      <c r="D785" s="810">
        <v>12</v>
      </c>
      <c r="E785" s="811" t="s">
        <v>773</v>
      </c>
      <c r="F785" s="736">
        <v>15000</v>
      </c>
      <c r="G785" s="989">
        <v>0</v>
      </c>
      <c r="H785" s="736">
        <v>0</v>
      </c>
      <c r="I785" s="990">
        <v>0</v>
      </c>
    </row>
    <row r="786" spans="1:14" s="504" customFormat="1" ht="18" customHeight="1" thickTop="1" thickBot="1" x14ac:dyDescent="0.3">
      <c r="A786" s="3127" t="s">
        <v>224</v>
      </c>
      <c r="B786" s="3126"/>
      <c r="C786" s="3126"/>
      <c r="D786" s="3126"/>
      <c r="E786" s="3126"/>
      <c r="F786" s="725">
        <f>F785</f>
        <v>15000</v>
      </c>
      <c r="G786" s="725">
        <f>G785</f>
        <v>0</v>
      </c>
      <c r="H786" s="725">
        <f>H785</f>
        <v>0</v>
      </c>
      <c r="I786" s="710">
        <v>0</v>
      </c>
    </row>
    <row r="787" spans="1:14" ht="13.5" thickTop="1" x14ac:dyDescent="0.2">
      <c r="K787" s="755"/>
      <c r="L787" s="755"/>
      <c r="M787" s="755"/>
      <c r="N787" s="421"/>
    </row>
    <row r="788" spans="1:14" x14ac:dyDescent="0.2">
      <c r="K788" s="755"/>
      <c r="L788" s="755"/>
      <c r="M788" s="755"/>
      <c r="N788" s="421"/>
    </row>
    <row r="789" spans="1:14" s="504" customFormat="1" ht="13.5" thickBot="1" x14ac:dyDescent="0.25">
      <c r="A789" s="421" t="s">
        <v>1003</v>
      </c>
      <c r="B789" s="598"/>
      <c r="D789" s="670"/>
      <c r="F789" s="467"/>
      <c r="G789" s="467"/>
      <c r="H789" s="467"/>
      <c r="I789" s="792" t="s">
        <v>148</v>
      </c>
    </row>
    <row r="790" spans="1:14" s="106" customFormat="1" ht="20.25" customHeight="1" thickTop="1" thickBot="1" x14ac:dyDescent="0.25">
      <c r="A790" s="626" t="s">
        <v>565</v>
      </c>
      <c r="B790" s="628" t="s">
        <v>149</v>
      </c>
      <c r="C790" s="627" t="s">
        <v>150</v>
      </c>
      <c r="D790" s="589" t="s">
        <v>639</v>
      </c>
      <c r="E790" s="629" t="s">
        <v>151</v>
      </c>
      <c r="F790" s="629" t="s">
        <v>152</v>
      </c>
      <c r="G790" s="629" t="s">
        <v>796</v>
      </c>
      <c r="H790" s="629" t="s">
        <v>797</v>
      </c>
      <c r="I790" s="674" t="s">
        <v>798</v>
      </c>
    </row>
    <row r="791" spans="1:14" s="375" customFormat="1" ht="13.5" thickTop="1" thickBot="1" x14ac:dyDescent="0.25">
      <c r="A791" s="974">
        <v>1</v>
      </c>
      <c r="B791" s="975">
        <v>2</v>
      </c>
      <c r="C791" s="975">
        <v>3</v>
      </c>
      <c r="D791" s="975">
        <v>4</v>
      </c>
      <c r="E791" s="526">
        <v>5</v>
      </c>
      <c r="F791" s="976">
        <v>6</v>
      </c>
      <c r="G791" s="976">
        <v>7</v>
      </c>
      <c r="H791" s="977">
        <v>8</v>
      </c>
      <c r="I791" s="978" t="s">
        <v>689</v>
      </c>
    </row>
    <row r="792" spans="1:14" s="504" customFormat="1" ht="16.5" thickTop="1" thickBot="1" x14ac:dyDescent="0.3">
      <c r="A792" s="986">
        <v>60004100029</v>
      </c>
      <c r="B792" s="809">
        <v>2212</v>
      </c>
      <c r="C792" s="987">
        <v>6121</v>
      </c>
      <c r="D792" s="810">
        <v>12</v>
      </c>
      <c r="E792" s="811" t="s">
        <v>548</v>
      </c>
      <c r="F792" s="736"/>
      <c r="G792" s="989">
        <v>752</v>
      </c>
      <c r="H792" s="736">
        <v>751</v>
      </c>
      <c r="I792" s="990">
        <f>(H792/G792)*100</f>
        <v>99.86702127659575</v>
      </c>
    </row>
    <row r="793" spans="1:14" s="504" customFormat="1" ht="18" customHeight="1" thickTop="1" thickBot="1" x14ac:dyDescent="0.3">
      <c r="A793" s="3127" t="s">
        <v>224</v>
      </c>
      <c r="B793" s="3126"/>
      <c r="C793" s="3126"/>
      <c r="D793" s="3126"/>
      <c r="E793" s="3126"/>
      <c r="F793" s="725">
        <f>F792</f>
        <v>0</v>
      </c>
      <c r="G793" s="725">
        <f>G792</f>
        <v>752</v>
      </c>
      <c r="H793" s="725">
        <f>H792</f>
        <v>751</v>
      </c>
      <c r="I793" s="710">
        <f>(H793/G793)*100</f>
        <v>99.86702127659575</v>
      </c>
    </row>
    <row r="794" spans="1:14" ht="13.5" thickTop="1" x14ac:dyDescent="0.2">
      <c r="K794" s="755"/>
      <c r="L794" s="755"/>
      <c r="M794" s="755"/>
      <c r="N794" s="421"/>
    </row>
    <row r="795" spans="1:14" x14ac:dyDescent="0.2">
      <c r="K795" s="755"/>
      <c r="L795" s="755"/>
      <c r="M795" s="755"/>
      <c r="N795" s="421"/>
    </row>
    <row r="796" spans="1:14" s="504" customFormat="1" ht="13.5" thickBot="1" x14ac:dyDescent="0.25">
      <c r="A796" s="421" t="s">
        <v>1004</v>
      </c>
      <c r="B796" s="598"/>
      <c r="D796" s="670"/>
      <c r="F796" s="467"/>
      <c r="G796" s="467"/>
      <c r="H796" s="467"/>
      <c r="I796" s="792" t="s">
        <v>148</v>
      </c>
    </row>
    <row r="797" spans="1:14" s="106" customFormat="1" ht="20.25" customHeight="1" thickTop="1" thickBot="1" x14ac:dyDescent="0.25">
      <c r="A797" s="626" t="s">
        <v>565</v>
      </c>
      <c r="B797" s="628" t="s">
        <v>149</v>
      </c>
      <c r="C797" s="627" t="s">
        <v>150</v>
      </c>
      <c r="D797" s="589" t="s">
        <v>639</v>
      </c>
      <c r="E797" s="629" t="s">
        <v>151</v>
      </c>
      <c r="F797" s="629" t="s">
        <v>152</v>
      </c>
      <c r="G797" s="629" t="s">
        <v>796</v>
      </c>
      <c r="H797" s="629" t="s">
        <v>797</v>
      </c>
      <c r="I797" s="674" t="s">
        <v>798</v>
      </c>
    </row>
    <row r="798" spans="1:14" s="375" customFormat="1" ht="13.5" thickTop="1" thickBot="1" x14ac:dyDescent="0.25">
      <c r="A798" s="974">
        <v>1</v>
      </c>
      <c r="B798" s="975">
        <v>2</v>
      </c>
      <c r="C798" s="975">
        <v>3</v>
      </c>
      <c r="D798" s="975">
        <v>4</v>
      </c>
      <c r="E798" s="526">
        <v>5</v>
      </c>
      <c r="F798" s="976">
        <v>6</v>
      </c>
      <c r="G798" s="976">
        <v>7</v>
      </c>
      <c r="H798" s="977">
        <v>8</v>
      </c>
      <c r="I798" s="978" t="s">
        <v>689</v>
      </c>
    </row>
    <row r="799" spans="1:14" s="504" customFormat="1" ht="16.5" thickTop="1" thickBot="1" x14ac:dyDescent="0.3">
      <c r="A799" s="986">
        <v>60004100032</v>
      </c>
      <c r="B799" s="809">
        <v>2212</v>
      </c>
      <c r="C799" s="987">
        <v>6121</v>
      </c>
      <c r="D799" s="810">
        <v>12</v>
      </c>
      <c r="E799" s="811" t="s">
        <v>548</v>
      </c>
      <c r="F799" s="736"/>
      <c r="G799" s="989">
        <v>569</v>
      </c>
      <c r="H799" s="736">
        <v>440</v>
      </c>
      <c r="I799" s="990">
        <f>(H799/G799)*100</f>
        <v>77.328646748681891</v>
      </c>
    </row>
    <row r="800" spans="1:14" s="504" customFormat="1" ht="18" customHeight="1" thickTop="1" thickBot="1" x14ac:dyDescent="0.3">
      <c r="A800" s="3127" t="s">
        <v>224</v>
      </c>
      <c r="B800" s="3126"/>
      <c r="C800" s="3126"/>
      <c r="D800" s="3126"/>
      <c r="E800" s="3126"/>
      <c r="F800" s="725">
        <f>F799</f>
        <v>0</v>
      </c>
      <c r="G800" s="725">
        <f>G799</f>
        <v>569</v>
      </c>
      <c r="H800" s="725">
        <f>H799</f>
        <v>440</v>
      </c>
      <c r="I800" s="710">
        <f>(H800/G800)*100</f>
        <v>77.328646748681891</v>
      </c>
    </row>
    <row r="801" spans="1:14" s="504" customFormat="1" ht="14.25" thickTop="1" thickBot="1" x14ac:dyDescent="0.25">
      <c r="A801" s="421" t="s">
        <v>1005</v>
      </c>
      <c r="B801" s="598"/>
      <c r="D801" s="670"/>
      <c r="F801" s="467"/>
      <c r="G801" s="467"/>
      <c r="H801" s="467"/>
      <c r="I801" s="792" t="s">
        <v>148</v>
      </c>
    </row>
    <row r="802" spans="1:14" s="106" customFormat="1" ht="20.25" customHeight="1" thickTop="1" thickBot="1" x14ac:dyDescent="0.25">
      <c r="A802" s="626" t="s">
        <v>565</v>
      </c>
      <c r="B802" s="628" t="s">
        <v>149</v>
      </c>
      <c r="C802" s="627" t="s">
        <v>150</v>
      </c>
      <c r="D802" s="589" t="s">
        <v>639</v>
      </c>
      <c r="E802" s="629" t="s">
        <v>151</v>
      </c>
      <c r="F802" s="629" t="s">
        <v>152</v>
      </c>
      <c r="G802" s="629" t="s">
        <v>796</v>
      </c>
      <c r="H802" s="629" t="s">
        <v>797</v>
      </c>
      <c r="I802" s="674" t="s">
        <v>798</v>
      </c>
    </row>
    <row r="803" spans="1:14" s="375" customFormat="1" ht="13.5" thickTop="1" thickBot="1" x14ac:dyDescent="0.25">
      <c r="A803" s="974">
        <v>1</v>
      </c>
      <c r="B803" s="975">
        <v>2</v>
      </c>
      <c r="C803" s="975">
        <v>3</v>
      </c>
      <c r="D803" s="975">
        <v>4</v>
      </c>
      <c r="E803" s="526">
        <v>5</v>
      </c>
      <c r="F803" s="976">
        <v>6</v>
      </c>
      <c r="G803" s="976">
        <v>7</v>
      </c>
      <c r="H803" s="977">
        <v>8</v>
      </c>
      <c r="I803" s="978" t="s">
        <v>689</v>
      </c>
    </row>
    <row r="804" spans="1:14" s="504" customFormat="1" ht="16.5" thickTop="1" thickBot="1" x14ac:dyDescent="0.3">
      <c r="A804" s="986">
        <v>60004100033</v>
      </c>
      <c r="B804" s="809">
        <v>2212</v>
      </c>
      <c r="C804" s="987">
        <v>6121</v>
      </c>
      <c r="D804" s="810">
        <v>12</v>
      </c>
      <c r="E804" s="811" t="s">
        <v>548</v>
      </c>
      <c r="F804" s="736"/>
      <c r="G804" s="989">
        <v>36</v>
      </c>
      <c r="H804" s="736">
        <v>23</v>
      </c>
      <c r="I804" s="990">
        <f>(H804/G804)*100</f>
        <v>63.888888888888886</v>
      </c>
    </row>
    <row r="805" spans="1:14" s="504" customFormat="1" ht="18" customHeight="1" thickTop="1" thickBot="1" x14ac:dyDescent="0.3">
      <c r="A805" s="3127" t="s">
        <v>224</v>
      </c>
      <c r="B805" s="3126"/>
      <c r="C805" s="3126"/>
      <c r="D805" s="3126"/>
      <c r="E805" s="3126"/>
      <c r="F805" s="725">
        <f>F804</f>
        <v>0</v>
      </c>
      <c r="G805" s="725">
        <f>G804</f>
        <v>36</v>
      </c>
      <c r="H805" s="725">
        <f>H804</f>
        <v>23</v>
      </c>
      <c r="I805" s="710">
        <f>(H805/G805)*100</f>
        <v>63.888888888888886</v>
      </c>
    </row>
    <row r="806" spans="1:14" ht="13.5" thickTop="1" x14ac:dyDescent="0.2">
      <c r="K806" s="755"/>
      <c r="L806" s="755"/>
      <c r="M806" s="755"/>
      <c r="N806" s="421"/>
    </row>
    <row r="807" spans="1:14" x14ac:dyDescent="0.2">
      <c r="K807" s="755"/>
      <c r="L807" s="755"/>
      <c r="M807" s="755"/>
      <c r="N807" s="421"/>
    </row>
    <row r="808" spans="1:14" s="504" customFormat="1" ht="13.5" thickBot="1" x14ac:dyDescent="0.25">
      <c r="A808" s="421" t="s">
        <v>1006</v>
      </c>
      <c r="B808" s="598"/>
      <c r="D808" s="670"/>
      <c r="F808" s="467"/>
      <c r="G808" s="467"/>
      <c r="H808" s="467"/>
      <c r="I808" s="792" t="s">
        <v>148</v>
      </c>
    </row>
    <row r="809" spans="1:14" s="106" customFormat="1" ht="20.25" customHeight="1" thickTop="1" thickBot="1" x14ac:dyDescent="0.25">
      <c r="A809" s="626" t="s">
        <v>565</v>
      </c>
      <c r="B809" s="628" t="s">
        <v>149</v>
      </c>
      <c r="C809" s="627" t="s">
        <v>150</v>
      </c>
      <c r="D809" s="589" t="s">
        <v>639</v>
      </c>
      <c r="E809" s="629" t="s">
        <v>151</v>
      </c>
      <c r="F809" s="629" t="s">
        <v>152</v>
      </c>
      <c r="G809" s="629" t="s">
        <v>796</v>
      </c>
      <c r="H809" s="629" t="s">
        <v>797</v>
      </c>
      <c r="I809" s="674" t="s">
        <v>798</v>
      </c>
    </row>
    <row r="810" spans="1:14" s="375" customFormat="1" ht="13.5" thickTop="1" thickBot="1" x14ac:dyDescent="0.25">
      <c r="A810" s="974">
        <v>1</v>
      </c>
      <c r="B810" s="975">
        <v>2</v>
      </c>
      <c r="C810" s="975">
        <v>3</v>
      </c>
      <c r="D810" s="975">
        <v>4</v>
      </c>
      <c r="E810" s="526">
        <v>5</v>
      </c>
      <c r="F810" s="976">
        <v>6</v>
      </c>
      <c r="G810" s="976">
        <v>7</v>
      </c>
      <c r="H810" s="977">
        <v>8</v>
      </c>
      <c r="I810" s="978" t="s">
        <v>689</v>
      </c>
    </row>
    <row r="811" spans="1:14" s="504" customFormat="1" ht="16.5" thickTop="1" thickBot="1" x14ac:dyDescent="0.3">
      <c r="A811" s="986">
        <v>60004100037</v>
      </c>
      <c r="B811" s="809">
        <v>2212</v>
      </c>
      <c r="C811" s="987">
        <v>6121</v>
      </c>
      <c r="D811" s="810">
        <v>12</v>
      </c>
      <c r="E811" s="811" t="s">
        <v>548</v>
      </c>
      <c r="F811" s="736"/>
      <c r="G811" s="989">
        <v>224</v>
      </c>
      <c r="H811" s="736">
        <v>5</v>
      </c>
      <c r="I811" s="990">
        <f>(H811/G811)*100</f>
        <v>2.2321428571428572</v>
      </c>
    </row>
    <row r="812" spans="1:14" s="504" customFormat="1" ht="18" customHeight="1" thickTop="1" thickBot="1" x14ac:dyDescent="0.3">
      <c r="A812" s="3127" t="s">
        <v>224</v>
      </c>
      <c r="B812" s="3126"/>
      <c r="C812" s="3126"/>
      <c r="D812" s="3126"/>
      <c r="E812" s="3126"/>
      <c r="F812" s="725">
        <f>F811</f>
        <v>0</v>
      </c>
      <c r="G812" s="725">
        <f>G811</f>
        <v>224</v>
      </c>
      <c r="H812" s="725">
        <f>H811</f>
        <v>5</v>
      </c>
      <c r="I812" s="710">
        <f>(H812/G812)*100</f>
        <v>2.2321428571428572</v>
      </c>
    </row>
    <row r="813" spans="1:14" ht="13.5" thickTop="1" x14ac:dyDescent="0.2">
      <c r="K813" s="755"/>
      <c r="L813" s="755"/>
      <c r="M813" s="755"/>
      <c r="N813" s="421"/>
    </row>
    <row r="814" spans="1:14" x14ac:dyDescent="0.2">
      <c r="K814" s="755"/>
      <c r="L814" s="755"/>
      <c r="M814" s="755"/>
      <c r="N814" s="421"/>
    </row>
    <row r="815" spans="1:14" s="504" customFormat="1" ht="13.5" thickBot="1" x14ac:dyDescent="0.25">
      <c r="A815" s="421" t="s">
        <v>1007</v>
      </c>
      <c r="B815" s="598"/>
      <c r="D815" s="670"/>
      <c r="F815" s="467"/>
      <c r="G815" s="467"/>
      <c r="H815" s="467"/>
      <c r="I815" s="792" t="s">
        <v>148</v>
      </c>
    </row>
    <row r="816" spans="1:14" s="106" customFormat="1" ht="20.25" customHeight="1" thickTop="1" thickBot="1" x14ac:dyDescent="0.25">
      <c r="A816" s="626" t="s">
        <v>565</v>
      </c>
      <c r="B816" s="628" t="s">
        <v>149</v>
      </c>
      <c r="C816" s="627" t="s">
        <v>150</v>
      </c>
      <c r="D816" s="589" t="s">
        <v>639</v>
      </c>
      <c r="E816" s="629" t="s">
        <v>151</v>
      </c>
      <c r="F816" s="629" t="s">
        <v>152</v>
      </c>
      <c r="G816" s="629" t="s">
        <v>796</v>
      </c>
      <c r="H816" s="629" t="s">
        <v>797</v>
      </c>
      <c r="I816" s="674" t="s">
        <v>798</v>
      </c>
    </row>
    <row r="817" spans="1:14" s="375" customFormat="1" ht="13.5" thickTop="1" thickBot="1" x14ac:dyDescent="0.25">
      <c r="A817" s="974">
        <v>1</v>
      </c>
      <c r="B817" s="975">
        <v>2</v>
      </c>
      <c r="C817" s="975">
        <v>3</v>
      </c>
      <c r="D817" s="975">
        <v>4</v>
      </c>
      <c r="E817" s="526">
        <v>5</v>
      </c>
      <c r="F817" s="976">
        <v>6</v>
      </c>
      <c r="G817" s="976">
        <v>7</v>
      </c>
      <c r="H817" s="977">
        <v>8</v>
      </c>
      <c r="I817" s="978" t="s">
        <v>689</v>
      </c>
    </row>
    <row r="818" spans="1:14" s="504" customFormat="1" ht="15.75" thickTop="1" x14ac:dyDescent="0.25">
      <c r="A818" s="800">
        <v>60004100038</v>
      </c>
      <c r="B818" s="659">
        <v>2212</v>
      </c>
      <c r="C818" s="607">
        <v>6121</v>
      </c>
      <c r="D818" s="815">
        <v>12</v>
      </c>
      <c r="E818" s="662" t="s">
        <v>548</v>
      </c>
      <c r="F818" s="803"/>
      <c r="G818" s="984">
        <v>21</v>
      </c>
      <c r="H818" s="803">
        <v>17</v>
      </c>
      <c r="I818" s="985">
        <f>(H818/G818)*100</f>
        <v>80.952380952380949</v>
      </c>
    </row>
    <row r="819" spans="1:14" s="504" customFormat="1" ht="15.75" thickBot="1" x14ac:dyDescent="0.3">
      <c r="A819" s="805">
        <v>60004100038</v>
      </c>
      <c r="B819" s="738">
        <v>2212</v>
      </c>
      <c r="C819" s="738">
        <v>6130</v>
      </c>
      <c r="D819" s="1005">
        <v>12</v>
      </c>
      <c r="E819" s="1004" t="s">
        <v>773</v>
      </c>
      <c r="F819" s="1003"/>
      <c r="G819" s="1003">
        <v>5476</v>
      </c>
      <c r="H819" s="1003">
        <v>5477</v>
      </c>
      <c r="I819" s="816">
        <f>(H819/G819)*100</f>
        <v>100.018261504748</v>
      </c>
    </row>
    <row r="820" spans="1:14" s="504" customFormat="1" ht="18" customHeight="1" thickTop="1" thickBot="1" x14ac:dyDescent="0.3">
      <c r="A820" s="3127" t="s">
        <v>224</v>
      </c>
      <c r="B820" s="3126"/>
      <c r="C820" s="3126"/>
      <c r="D820" s="3126"/>
      <c r="E820" s="3126"/>
      <c r="F820" s="725">
        <f>F818</f>
        <v>0</v>
      </c>
      <c r="G820" s="725">
        <f>G818+G819</f>
        <v>5497</v>
      </c>
      <c r="H820" s="725">
        <f>H818+H819</f>
        <v>5494</v>
      </c>
      <c r="I820" s="710">
        <f>(H820/G820)*100</f>
        <v>99.945424777151175</v>
      </c>
    </row>
    <row r="821" spans="1:14" ht="13.5" thickTop="1" x14ac:dyDescent="0.2">
      <c r="K821" s="755"/>
      <c r="L821" s="755"/>
      <c r="M821" s="755"/>
      <c r="N821" s="421"/>
    </row>
    <row r="822" spans="1:14" x14ac:dyDescent="0.2">
      <c r="K822" s="755"/>
      <c r="L822" s="755"/>
      <c r="M822" s="755"/>
      <c r="N822" s="421"/>
    </row>
    <row r="823" spans="1:14" s="504" customFormat="1" ht="13.5" thickBot="1" x14ac:dyDescent="0.25">
      <c r="A823" s="421" t="s">
        <v>996</v>
      </c>
      <c r="B823" s="598"/>
      <c r="D823" s="670"/>
      <c r="F823" s="467"/>
      <c r="G823" s="467"/>
      <c r="H823" s="467"/>
      <c r="I823" s="792" t="s">
        <v>148</v>
      </c>
    </row>
    <row r="824" spans="1:14" s="106" customFormat="1" ht="20.25" customHeight="1" thickTop="1" thickBot="1" x14ac:dyDescent="0.25">
      <c r="A824" s="626" t="s">
        <v>565</v>
      </c>
      <c r="B824" s="628" t="s">
        <v>149</v>
      </c>
      <c r="C824" s="627" t="s">
        <v>150</v>
      </c>
      <c r="D824" s="589" t="s">
        <v>639</v>
      </c>
      <c r="E824" s="629" t="s">
        <v>151</v>
      </c>
      <c r="F824" s="629" t="s">
        <v>152</v>
      </c>
      <c r="G824" s="629" t="s">
        <v>796</v>
      </c>
      <c r="H824" s="629" t="s">
        <v>797</v>
      </c>
      <c r="I824" s="674" t="s">
        <v>798</v>
      </c>
    </row>
    <row r="825" spans="1:14" s="375" customFormat="1" ht="13.5" thickTop="1" thickBot="1" x14ac:dyDescent="0.25">
      <c r="A825" s="974">
        <v>1</v>
      </c>
      <c r="B825" s="975">
        <v>2</v>
      </c>
      <c r="C825" s="975">
        <v>3</v>
      </c>
      <c r="D825" s="975">
        <v>4</v>
      </c>
      <c r="E825" s="526">
        <v>5</v>
      </c>
      <c r="F825" s="976">
        <v>6</v>
      </c>
      <c r="G825" s="976">
        <v>7</v>
      </c>
      <c r="H825" s="977">
        <v>8</v>
      </c>
      <c r="I825" s="978" t="s">
        <v>689</v>
      </c>
    </row>
    <row r="826" spans="1:14" s="504" customFormat="1" ht="16.5" thickTop="1" thickBot="1" x14ac:dyDescent="0.3">
      <c r="A826" s="986">
        <v>60004100040</v>
      </c>
      <c r="B826" s="809">
        <v>2212</v>
      </c>
      <c r="C826" s="987">
        <v>6121</v>
      </c>
      <c r="D826" s="810">
        <v>12</v>
      </c>
      <c r="E826" s="811" t="s">
        <v>548</v>
      </c>
      <c r="F826" s="736"/>
      <c r="G826" s="989">
        <v>134</v>
      </c>
      <c r="H826" s="736">
        <v>133</v>
      </c>
      <c r="I826" s="990">
        <f>(H826/G826)*100</f>
        <v>99.253731343283576</v>
      </c>
    </row>
    <row r="827" spans="1:14" s="504" customFormat="1" ht="18" customHeight="1" thickTop="1" thickBot="1" x14ac:dyDescent="0.3">
      <c r="A827" s="3127" t="s">
        <v>224</v>
      </c>
      <c r="B827" s="3126"/>
      <c r="C827" s="3126"/>
      <c r="D827" s="3126"/>
      <c r="E827" s="3126"/>
      <c r="F827" s="725">
        <f>F826</f>
        <v>0</v>
      </c>
      <c r="G827" s="725">
        <f>G826</f>
        <v>134</v>
      </c>
      <c r="H827" s="725">
        <f>H826</f>
        <v>133</v>
      </c>
      <c r="I827" s="710">
        <f>(H827/G827)*100</f>
        <v>99.253731343283576</v>
      </c>
    </row>
    <row r="828" spans="1:14" ht="13.5" thickTop="1" x14ac:dyDescent="0.2">
      <c r="K828" s="755"/>
      <c r="L828" s="755"/>
      <c r="M828" s="755"/>
      <c r="N828" s="421"/>
    </row>
    <row r="829" spans="1:14" x14ac:dyDescent="0.2">
      <c r="K829" s="755"/>
      <c r="L829" s="755"/>
      <c r="M829" s="755"/>
      <c r="N829" s="421"/>
    </row>
    <row r="830" spans="1:14" s="504" customFormat="1" ht="13.5" thickBot="1" x14ac:dyDescent="0.25">
      <c r="A830" s="421" t="s">
        <v>1008</v>
      </c>
      <c r="B830" s="598"/>
      <c r="D830" s="670"/>
      <c r="F830" s="467"/>
      <c r="G830" s="467"/>
      <c r="H830" s="467"/>
      <c r="I830" s="792" t="s">
        <v>148</v>
      </c>
    </row>
    <row r="831" spans="1:14" s="106" customFormat="1" ht="20.25" customHeight="1" thickTop="1" thickBot="1" x14ac:dyDescent="0.25">
      <c r="A831" s="626" t="s">
        <v>565</v>
      </c>
      <c r="B831" s="628" t="s">
        <v>149</v>
      </c>
      <c r="C831" s="627" t="s">
        <v>150</v>
      </c>
      <c r="D831" s="589" t="s">
        <v>639</v>
      </c>
      <c r="E831" s="629" t="s">
        <v>151</v>
      </c>
      <c r="F831" s="629" t="s">
        <v>152</v>
      </c>
      <c r="G831" s="629" t="s">
        <v>796</v>
      </c>
      <c r="H831" s="629" t="s">
        <v>797</v>
      </c>
      <c r="I831" s="674" t="s">
        <v>798</v>
      </c>
    </row>
    <row r="832" spans="1:14" s="375" customFormat="1" ht="13.5" thickTop="1" thickBot="1" x14ac:dyDescent="0.25">
      <c r="A832" s="974">
        <v>1</v>
      </c>
      <c r="B832" s="975">
        <v>2</v>
      </c>
      <c r="C832" s="975">
        <v>3</v>
      </c>
      <c r="D832" s="975">
        <v>4</v>
      </c>
      <c r="E832" s="975">
        <v>5</v>
      </c>
      <c r="F832" s="976">
        <v>6</v>
      </c>
      <c r="G832" s="976">
        <v>7</v>
      </c>
      <c r="H832" s="977">
        <v>8</v>
      </c>
      <c r="I832" s="978" t="s">
        <v>689</v>
      </c>
    </row>
    <row r="833" spans="1:14" s="375" customFormat="1" ht="15.75" thickTop="1" x14ac:dyDescent="0.25">
      <c r="A833" s="1029">
        <v>60004100043</v>
      </c>
      <c r="B833" s="1030">
        <v>2212</v>
      </c>
      <c r="C833" s="1030">
        <v>6121</v>
      </c>
      <c r="D833" s="1002">
        <v>12</v>
      </c>
      <c r="E833" s="1023" t="s">
        <v>548</v>
      </c>
      <c r="F833" s="1022">
        <v>17000</v>
      </c>
      <c r="G833" s="1020">
        <v>0</v>
      </c>
      <c r="H833" s="1020">
        <v>0</v>
      </c>
      <c r="I833" s="985">
        <v>0</v>
      </c>
    </row>
    <row r="834" spans="1:14" s="504" customFormat="1" ht="15.75" thickBot="1" x14ac:dyDescent="0.3">
      <c r="A834" s="813">
        <v>60004100043</v>
      </c>
      <c r="B834" s="618">
        <v>2212</v>
      </c>
      <c r="C834" s="650">
        <v>6121</v>
      </c>
      <c r="D834" s="806">
        <v>870</v>
      </c>
      <c r="E834" s="1021" t="s">
        <v>548</v>
      </c>
      <c r="F834" s="732"/>
      <c r="G834" s="807">
        <v>8368</v>
      </c>
      <c r="H834" s="732">
        <v>8351</v>
      </c>
      <c r="I834" s="816">
        <f>(H834/G834)*100</f>
        <v>99.796845124282981</v>
      </c>
    </row>
    <row r="835" spans="1:14" s="504" customFormat="1" ht="18" customHeight="1" thickTop="1" thickBot="1" x14ac:dyDescent="0.3">
      <c r="A835" s="3127" t="s">
        <v>224</v>
      </c>
      <c r="B835" s="3126"/>
      <c r="C835" s="3126"/>
      <c r="D835" s="3126"/>
      <c r="E835" s="3126"/>
      <c r="F835" s="725">
        <f>F833</f>
        <v>17000</v>
      </c>
      <c r="G835" s="725">
        <f>G834</f>
        <v>8368</v>
      </c>
      <c r="H835" s="725">
        <f>H834</f>
        <v>8351</v>
      </c>
      <c r="I835" s="710">
        <f>(H835/G835)*100</f>
        <v>99.796845124282981</v>
      </c>
    </row>
    <row r="836" spans="1:14" ht="13.5" thickTop="1" x14ac:dyDescent="0.2">
      <c r="K836" s="755"/>
      <c r="L836" s="755"/>
      <c r="M836" s="755"/>
      <c r="N836" s="421"/>
    </row>
    <row r="837" spans="1:14" x14ac:dyDescent="0.2">
      <c r="K837" s="755"/>
      <c r="L837" s="755"/>
      <c r="M837" s="755"/>
      <c r="N837" s="421"/>
    </row>
    <row r="838" spans="1:14" s="504" customFormat="1" ht="13.5" thickBot="1" x14ac:dyDescent="0.25">
      <c r="A838" s="421" t="s">
        <v>861</v>
      </c>
      <c r="B838" s="598"/>
      <c r="D838" s="670"/>
      <c r="F838" s="467"/>
      <c r="G838" s="467"/>
      <c r="H838" s="467"/>
      <c r="I838" s="792" t="s">
        <v>148</v>
      </c>
    </row>
    <row r="839" spans="1:14" s="106" customFormat="1" ht="20.25" customHeight="1" thickTop="1" thickBot="1" x14ac:dyDescent="0.25">
      <c r="A839" s="626" t="s">
        <v>565</v>
      </c>
      <c r="B839" s="628" t="s">
        <v>149</v>
      </c>
      <c r="C839" s="627" t="s">
        <v>150</v>
      </c>
      <c r="D839" s="589" t="s">
        <v>639</v>
      </c>
      <c r="E839" s="629" t="s">
        <v>151</v>
      </c>
      <c r="F839" s="629" t="s">
        <v>152</v>
      </c>
      <c r="G839" s="629" t="s">
        <v>796</v>
      </c>
      <c r="H839" s="629" t="s">
        <v>797</v>
      </c>
      <c r="I839" s="674" t="s">
        <v>798</v>
      </c>
    </row>
    <row r="840" spans="1:14" s="375" customFormat="1" ht="13.5" thickTop="1" thickBot="1" x14ac:dyDescent="0.25">
      <c r="A840" s="974">
        <v>1</v>
      </c>
      <c r="B840" s="975">
        <v>2</v>
      </c>
      <c r="C840" s="975">
        <v>3</v>
      </c>
      <c r="D840" s="975">
        <v>4</v>
      </c>
      <c r="E840" s="526">
        <v>5</v>
      </c>
      <c r="F840" s="976">
        <v>6</v>
      </c>
      <c r="G840" s="976">
        <v>7</v>
      </c>
      <c r="H840" s="977">
        <v>8</v>
      </c>
      <c r="I840" s="978" t="s">
        <v>689</v>
      </c>
    </row>
    <row r="841" spans="1:14" s="375" customFormat="1" ht="15.75" thickTop="1" x14ac:dyDescent="0.25">
      <c r="A841" s="1029">
        <v>60004100044</v>
      </c>
      <c r="B841" s="1030">
        <v>2212</v>
      </c>
      <c r="C841" s="1030">
        <v>6121</v>
      </c>
      <c r="D841" s="1002">
        <v>12</v>
      </c>
      <c r="E841" s="1023" t="s">
        <v>548</v>
      </c>
      <c r="F841" s="1022">
        <v>15000</v>
      </c>
      <c r="G841" s="1020">
        <v>0</v>
      </c>
      <c r="H841" s="1020">
        <v>0</v>
      </c>
      <c r="I841" s="985">
        <v>0</v>
      </c>
    </row>
    <row r="842" spans="1:14" s="504" customFormat="1" ht="15.75" thickBot="1" x14ac:dyDescent="0.3">
      <c r="A842" s="813">
        <v>60004100044</v>
      </c>
      <c r="B842" s="618">
        <v>2212</v>
      </c>
      <c r="C842" s="650">
        <v>6121</v>
      </c>
      <c r="D842" s="806">
        <v>870</v>
      </c>
      <c r="E842" s="1021" t="s">
        <v>548</v>
      </c>
      <c r="F842" s="732"/>
      <c r="G842" s="807">
        <v>1599</v>
      </c>
      <c r="H842" s="732">
        <v>1536</v>
      </c>
      <c r="I842" s="816">
        <f>(H842/G842)*100</f>
        <v>96.060037523452152</v>
      </c>
    </row>
    <row r="843" spans="1:14" s="504" customFormat="1" ht="18" customHeight="1" thickTop="1" thickBot="1" x14ac:dyDescent="0.3">
      <c r="A843" s="3127" t="s">
        <v>224</v>
      </c>
      <c r="B843" s="3126"/>
      <c r="C843" s="3126"/>
      <c r="D843" s="3126"/>
      <c r="E843" s="3126"/>
      <c r="F843" s="725">
        <f>F841</f>
        <v>15000</v>
      </c>
      <c r="G843" s="725">
        <f>G842</f>
        <v>1599</v>
      </c>
      <c r="H843" s="725">
        <f>H842</f>
        <v>1536</v>
      </c>
      <c r="I843" s="710">
        <v>0</v>
      </c>
    </row>
    <row r="844" spans="1:14" ht="13.5" thickTop="1" x14ac:dyDescent="0.2">
      <c r="K844" s="755"/>
      <c r="L844" s="755"/>
      <c r="M844" s="755"/>
      <c r="N844" s="421"/>
    </row>
    <row r="845" spans="1:14" x14ac:dyDescent="0.2">
      <c r="K845" s="755"/>
      <c r="L845" s="755"/>
      <c r="M845" s="755"/>
      <c r="N845" s="421"/>
    </row>
    <row r="846" spans="1:14" s="504" customFormat="1" ht="13.5" thickBot="1" x14ac:dyDescent="0.25">
      <c r="A846" s="421" t="s">
        <v>327</v>
      </c>
      <c r="B846" s="598"/>
      <c r="D846" s="670"/>
      <c r="F846" s="467"/>
      <c r="G846" s="467"/>
      <c r="H846" s="467"/>
      <c r="I846" s="792" t="s">
        <v>148</v>
      </c>
    </row>
    <row r="847" spans="1:14" s="106" customFormat="1" ht="20.25" customHeight="1" thickTop="1" thickBot="1" x14ac:dyDescent="0.25">
      <c r="A847" s="626" t="s">
        <v>565</v>
      </c>
      <c r="B847" s="628" t="s">
        <v>149</v>
      </c>
      <c r="C847" s="627" t="s">
        <v>150</v>
      </c>
      <c r="D847" s="589" t="s">
        <v>639</v>
      </c>
      <c r="E847" s="629" t="s">
        <v>151</v>
      </c>
      <c r="F847" s="629" t="s">
        <v>152</v>
      </c>
      <c r="G847" s="629" t="s">
        <v>796</v>
      </c>
      <c r="H847" s="629" t="s">
        <v>797</v>
      </c>
      <c r="I847" s="674" t="s">
        <v>798</v>
      </c>
    </row>
    <row r="848" spans="1:14" s="375" customFormat="1" ht="13.5" thickTop="1" thickBot="1" x14ac:dyDescent="0.25">
      <c r="A848" s="974">
        <v>1</v>
      </c>
      <c r="B848" s="975">
        <v>2</v>
      </c>
      <c r="C848" s="975">
        <v>3</v>
      </c>
      <c r="D848" s="975">
        <v>4</v>
      </c>
      <c r="E848" s="526">
        <v>5</v>
      </c>
      <c r="F848" s="976">
        <v>6</v>
      </c>
      <c r="G848" s="976">
        <v>7</v>
      </c>
      <c r="H848" s="977">
        <v>8</v>
      </c>
      <c r="I848" s="978" t="s">
        <v>689</v>
      </c>
    </row>
    <row r="849" spans="1:14" s="375" customFormat="1" ht="16.5" thickTop="1" thickBot="1" x14ac:dyDescent="0.3">
      <c r="A849" s="1040">
        <v>60004100046</v>
      </c>
      <c r="B849" s="1041">
        <v>2212</v>
      </c>
      <c r="C849" s="1041">
        <v>6121</v>
      </c>
      <c r="D849" s="1013">
        <v>12</v>
      </c>
      <c r="E849" s="1024" t="s">
        <v>548</v>
      </c>
      <c r="F849" s="1025">
        <v>1000</v>
      </c>
      <c r="G849" s="1026">
        <v>0</v>
      </c>
      <c r="H849" s="1026">
        <v>0</v>
      </c>
      <c r="I849" s="990">
        <v>0</v>
      </c>
    </row>
    <row r="850" spans="1:14" s="504" customFormat="1" ht="18" customHeight="1" thickTop="1" thickBot="1" x14ac:dyDescent="0.3">
      <c r="A850" s="3127" t="s">
        <v>224</v>
      </c>
      <c r="B850" s="3126"/>
      <c r="C850" s="3126"/>
      <c r="D850" s="3126"/>
      <c r="E850" s="3126"/>
      <c r="F850" s="725">
        <f>F849</f>
        <v>1000</v>
      </c>
      <c r="G850" s="725">
        <f>G849</f>
        <v>0</v>
      </c>
      <c r="H850" s="725">
        <f>H849</f>
        <v>0</v>
      </c>
      <c r="I850" s="710">
        <v>0</v>
      </c>
    </row>
    <row r="851" spans="1:14" ht="13.5" thickTop="1" x14ac:dyDescent="0.2">
      <c r="K851" s="755"/>
      <c r="L851" s="755"/>
      <c r="M851" s="755"/>
      <c r="N851" s="421"/>
    </row>
    <row r="852" spans="1:14" x14ac:dyDescent="0.2">
      <c r="K852" s="755"/>
      <c r="L852" s="755"/>
      <c r="M852" s="755"/>
      <c r="N852" s="421"/>
    </row>
    <row r="853" spans="1:14" s="504" customFormat="1" ht="13.5" thickBot="1" x14ac:dyDescent="0.25">
      <c r="A853" s="421" t="s">
        <v>862</v>
      </c>
      <c r="B853" s="598"/>
      <c r="D853" s="670"/>
      <c r="F853" s="467"/>
      <c r="G853" s="467"/>
      <c r="H853" s="467"/>
      <c r="I853" s="792" t="s">
        <v>148</v>
      </c>
    </row>
    <row r="854" spans="1:14" s="106" customFormat="1" ht="20.25" customHeight="1" thickTop="1" thickBot="1" x14ac:dyDescent="0.25">
      <c r="A854" s="626" t="s">
        <v>565</v>
      </c>
      <c r="B854" s="628" t="s">
        <v>149</v>
      </c>
      <c r="C854" s="627" t="s">
        <v>150</v>
      </c>
      <c r="D854" s="589" t="s">
        <v>639</v>
      </c>
      <c r="E854" s="629" t="s">
        <v>151</v>
      </c>
      <c r="F854" s="629" t="s">
        <v>152</v>
      </c>
      <c r="G854" s="629" t="s">
        <v>796</v>
      </c>
      <c r="H854" s="629" t="s">
        <v>797</v>
      </c>
      <c r="I854" s="674" t="s">
        <v>798</v>
      </c>
    </row>
    <row r="855" spans="1:14" s="375" customFormat="1" ht="13.5" thickTop="1" thickBot="1" x14ac:dyDescent="0.25">
      <c r="A855" s="974">
        <v>1</v>
      </c>
      <c r="B855" s="975">
        <v>2</v>
      </c>
      <c r="C855" s="975">
        <v>3</v>
      </c>
      <c r="D855" s="975">
        <v>4</v>
      </c>
      <c r="E855" s="526">
        <v>5</v>
      </c>
      <c r="F855" s="976">
        <v>6</v>
      </c>
      <c r="G855" s="976">
        <v>7</v>
      </c>
      <c r="H855" s="977">
        <v>8</v>
      </c>
      <c r="I855" s="978" t="s">
        <v>689</v>
      </c>
    </row>
    <row r="856" spans="1:14" s="504" customFormat="1" ht="16.5" thickTop="1" thickBot="1" x14ac:dyDescent="0.3">
      <c r="A856" s="986">
        <v>60004100047</v>
      </c>
      <c r="B856" s="809">
        <v>2212</v>
      </c>
      <c r="C856" s="987">
        <v>6121</v>
      </c>
      <c r="D856" s="810">
        <v>12</v>
      </c>
      <c r="E856" s="811" t="s">
        <v>548</v>
      </c>
      <c r="F856" s="736"/>
      <c r="G856" s="989">
        <v>333</v>
      </c>
      <c r="H856" s="736">
        <v>333</v>
      </c>
      <c r="I856" s="990">
        <f>(H856/G856)*100</f>
        <v>100</v>
      </c>
    </row>
    <row r="857" spans="1:14" s="504" customFormat="1" ht="18" customHeight="1" thickTop="1" thickBot="1" x14ac:dyDescent="0.3">
      <c r="A857" s="3127" t="s">
        <v>224</v>
      </c>
      <c r="B857" s="3126"/>
      <c r="C857" s="3126"/>
      <c r="D857" s="3126"/>
      <c r="E857" s="3126"/>
      <c r="F857" s="725">
        <f>F856</f>
        <v>0</v>
      </c>
      <c r="G857" s="725">
        <f>G856</f>
        <v>333</v>
      </c>
      <c r="H857" s="725">
        <f>H856</f>
        <v>333</v>
      </c>
      <c r="I857" s="710">
        <f>(H857/G857)*100</f>
        <v>100</v>
      </c>
    </row>
    <row r="858" spans="1:14" ht="13.5" thickTop="1" x14ac:dyDescent="0.2">
      <c r="K858" s="755"/>
      <c r="L858" s="755"/>
      <c r="M858" s="755"/>
      <c r="N858" s="421"/>
    </row>
    <row r="859" spans="1:14" x14ac:dyDescent="0.2">
      <c r="K859" s="755"/>
      <c r="L859" s="755"/>
      <c r="M859" s="755"/>
      <c r="N859" s="421"/>
    </row>
    <row r="860" spans="1:14" s="504" customFormat="1" ht="13.5" thickBot="1" x14ac:dyDescent="0.25">
      <c r="A860" s="421" t="s">
        <v>863</v>
      </c>
      <c r="B860" s="598"/>
      <c r="D860" s="670"/>
      <c r="F860" s="467"/>
      <c r="G860" s="467"/>
      <c r="H860" s="467"/>
      <c r="I860" s="792" t="s">
        <v>148</v>
      </c>
    </row>
    <row r="861" spans="1:14" s="106" customFormat="1" ht="20.25" customHeight="1" thickTop="1" thickBot="1" x14ac:dyDescent="0.25">
      <c r="A861" s="626" t="s">
        <v>565</v>
      </c>
      <c r="B861" s="628" t="s">
        <v>149</v>
      </c>
      <c r="C861" s="627" t="s">
        <v>150</v>
      </c>
      <c r="D861" s="589" t="s">
        <v>639</v>
      </c>
      <c r="E861" s="629" t="s">
        <v>151</v>
      </c>
      <c r="F861" s="629" t="s">
        <v>152</v>
      </c>
      <c r="G861" s="629" t="s">
        <v>796</v>
      </c>
      <c r="H861" s="629" t="s">
        <v>797</v>
      </c>
      <c r="I861" s="674" t="s">
        <v>798</v>
      </c>
    </row>
    <row r="862" spans="1:14" s="375" customFormat="1" ht="13.5" thickTop="1" thickBot="1" x14ac:dyDescent="0.25">
      <c r="A862" s="974">
        <v>1</v>
      </c>
      <c r="B862" s="975">
        <v>2</v>
      </c>
      <c r="C862" s="975">
        <v>3</v>
      </c>
      <c r="D862" s="975">
        <v>4</v>
      </c>
      <c r="E862" s="526">
        <v>5</v>
      </c>
      <c r="F862" s="976">
        <v>6</v>
      </c>
      <c r="G862" s="976">
        <v>7</v>
      </c>
      <c r="H862" s="977">
        <v>8</v>
      </c>
      <c r="I862" s="978" t="s">
        <v>689</v>
      </c>
    </row>
    <row r="863" spans="1:14" s="504" customFormat="1" ht="16.5" thickTop="1" thickBot="1" x14ac:dyDescent="0.3">
      <c r="A863" s="986">
        <v>60004100048</v>
      </c>
      <c r="B863" s="809">
        <v>2212</v>
      </c>
      <c r="C863" s="987">
        <v>6121</v>
      </c>
      <c r="D863" s="810">
        <v>12</v>
      </c>
      <c r="E863" s="811" t="s">
        <v>548</v>
      </c>
      <c r="F863" s="736"/>
      <c r="G863" s="989">
        <v>2488</v>
      </c>
      <c r="H863" s="736">
        <v>2487</v>
      </c>
      <c r="I863" s="990">
        <f>(H863/G863)*100</f>
        <v>99.959807073954991</v>
      </c>
    </row>
    <row r="864" spans="1:14" s="504" customFormat="1" ht="18" customHeight="1" thickTop="1" thickBot="1" x14ac:dyDescent="0.3">
      <c r="A864" s="3127" t="s">
        <v>224</v>
      </c>
      <c r="B864" s="3126"/>
      <c r="C864" s="3126"/>
      <c r="D864" s="3126"/>
      <c r="E864" s="3126"/>
      <c r="F864" s="725">
        <f>F863</f>
        <v>0</v>
      </c>
      <c r="G864" s="725">
        <f>G863</f>
        <v>2488</v>
      </c>
      <c r="H864" s="725">
        <f>H863</f>
        <v>2487</v>
      </c>
      <c r="I864" s="710">
        <f>(H864/G864)*100</f>
        <v>99.959807073954991</v>
      </c>
    </row>
    <row r="865" spans="1:14" ht="13.5" thickTop="1" x14ac:dyDescent="0.2">
      <c r="K865" s="755"/>
      <c r="L865" s="755"/>
      <c r="M865" s="755"/>
      <c r="N865" s="421"/>
    </row>
    <row r="866" spans="1:14" x14ac:dyDescent="0.2">
      <c r="K866" s="755"/>
      <c r="L866" s="755"/>
      <c r="M866" s="755"/>
      <c r="N866" s="421"/>
    </row>
    <row r="867" spans="1:14" x14ac:dyDescent="0.2">
      <c r="K867" s="755"/>
      <c r="L867" s="755"/>
      <c r="M867" s="755"/>
      <c r="N867" s="421"/>
    </row>
    <row r="868" spans="1:14" s="504" customFormat="1" ht="13.5" thickBot="1" x14ac:dyDescent="0.25">
      <c r="A868" s="421" t="s">
        <v>864</v>
      </c>
      <c r="B868" s="598"/>
      <c r="D868" s="670"/>
      <c r="F868" s="467"/>
      <c r="G868" s="467"/>
      <c r="H868" s="467"/>
      <c r="I868" s="792" t="s">
        <v>148</v>
      </c>
    </row>
    <row r="869" spans="1:14" s="106" customFormat="1" ht="20.25" customHeight="1" thickTop="1" thickBot="1" x14ac:dyDescent="0.25">
      <c r="A869" s="626" t="s">
        <v>565</v>
      </c>
      <c r="B869" s="628" t="s">
        <v>149</v>
      </c>
      <c r="C869" s="627" t="s">
        <v>150</v>
      </c>
      <c r="D869" s="589" t="s">
        <v>639</v>
      </c>
      <c r="E869" s="629" t="s">
        <v>151</v>
      </c>
      <c r="F869" s="629" t="s">
        <v>152</v>
      </c>
      <c r="G869" s="629" t="s">
        <v>796</v>
      </c>
      <c r="H869" s="629" t="s">
        <v>797</v>
      </c>
      <c r="I869" s="674" t="s">
        <v>798</v>
      </c>
    </row>
    <row r="870" spans="1:14" s="375" customFormat="1" ht="13.5" thickTop="1" thickBot="1" x14ac:dyDescent="0.25">
      <c r="A870" s="974">
        <v>1</v>
      </c>
      <c r="B870" s="975">
        <v>2</v>
      </c>
      <c r="C870" s="975">
        <v>3</v>
      </c>
      <c r="D870" s="975">
        <v>4</v>
      </c>
      <c r="E870" s="526">
        <v>5</v>
      </c>
      <c r="F870" s="976">
        <v>6</v>
      </c>
      <c r="G870" s="976">
        <v>7</v>
      </c>
      <c r="H870" s="977">
        <v>8</v>
      </c>
      <c r="I870" s="978" t="s">
        <v>689</v>
      </c>
    </row>
    <row r="871" spans="1:14" s="504" customFormat="1" ht="16.5" thickTop="1" thickBot="1" x14ac:dyDescent="0.3">
      <c r="A871" s="986">
        <v>60004100050</v>
      </c>
      <c r="B871" s="809">
        <v>2212</v>
      </c>
      <c r="C871" s="987">
        <v>6121</v>
      </c>
      <c r="D871" s="810">
        <v>12</v>
      </c>
      <c r="E871" s="811" t="s">
        <v>548</v>
      </c>
      <c r="F871" s="736"/>
      <c r="G871" s="989">
        <v>706</v>
      </c>
      <c r="H871" s="736">
        <v>705</v>
      </c>
      <c r="I871" s="990">
        <f>(H871/G871)*100</f>
        <v>99.858356940509921</v>
      </c>
    </row>
    <row r="872" spans="1:14" s="504" customFormat="1" ht="18" customHeight="1" thickTop="1" thickBot="1" x14ac:dyDescent="0.3">
      <c r="A872" s="3127" t="s">
        <v>224</v>
      </c>
      <c r="B872" s="3126"/>
      <c r="C872" s="3126"/>
      <c r="D872" s="3126"/>
      <c r="E872" s="3126"/>
      <c r="F872" s="725">
        <f>F871</f>
        <v>0</v>
      </c>
      <c r="G872" s="725">
        <f>G871</f>
        <v>706</v>
      </c>
      <c r="H872" s="725">
        <f>H871</f>
        <v>705</v>
      </c>
      <c r="I872" s="710">
        <f>(H872/G872)*100</f>
        <v>99.858356940509921</v>
      </c>
    </row>
    <row r="873" spans="1:14" ht="13.5" thickTop="1" x14ac:dyDescent="0.2">
      <c r="K873" s="755"/>
      <c r="L873" s="755"/>
      <c r="M873" s="755"/>
      <c r="N873" s="421"/>
    </row>
    <row r="874" spans="1:14" x14ac:dyDescent="0.2">
      <c r="K874" s="755"/>
      <c r="L874" s="755"/>
      <c r="M874" s="755"/>
      <c r="N874" s="421"/>
    </row>
    <row r="875" spans="1:14" s="504" customFormat="1" ht="13.5" thickBot="1" x14ac:dyDescent="0.25">
      <c r="A875" s="421" t="s">
        <v>865</v>
      </c>
      <c r="B875" s="598"/>
      <c r="D875" s="670"/>
      <c r="F875" s="467"/>
      <c r="G875" s="467"/>
      <c r="H875" s="467"/>
      <c r="I875" s="792" t="s">
        <v>148</v>
      </c>
    </row>
    <row r="876" spans="1:14" s="106" customFormat="1" ht="20.25" customHeight="1" thickTop="1" thickBot="1" x14ac:dyDescent="0.25">
      <c r="A876" s="626" t="s">
        <v>565</v>
      </c>
      <c r="B876" s="628" t="s">
        <v>149</v>
      </c>
      <c r="C876" s="627" t="s">
        <v>150</v>
      </c>
      <c r="D876" s="589" t="s">
        <v>639</v>
      </c>
      <c r="E876" s="629" t="s">
        <v>151</v>
      </c>
      <c r="F876" s="629" t="s">
        <v>152</v>
      </c>
      <c r="G876" s="629" t="s">
        <v>796</v>
      </c>
      <c r="H876" s="629" t="s">
        <v>797</v>
      </c>
      <c r="I876" s="674" t="s">
        <v>798</v>
      </c>
    </row>
    <row r="877" spans="1:14" s="375" customFormat="1" ht="13.5" thickTop="1" thickBot="1" x14ac:dyDescent="0.25">
      <c r="A877" s="974">
        <v>1</v>
      </c>
      <c r="B877" s="975">
        <v>2</v>
      </c>
      <c r="C877" s="975">
        <v>3</v>
      </c>
      <c r="D877" s="975">
        <v>4</v>
      </c>
      <c r="E877" s="526">
        <v>5</v>
      </c>
      <c r="F877" s="976">
        <v>6</v>
      </c>
      <c r="G877" s="976">
        <v>7</v>
      </c>
      <c r="H877" s="977">
        <v>8</v>
      </c>
      <c r="I877" s="978" t="s">
        <v>689</v>
      </c>
    </row>
    <row r="878" spans="1:14" s="504" customFormat="1" ht="15.75" thickTop="1" x14ac:dyDescent="0.25">
      <c r="A878" s="800">
        <v>60004100060</v>
      </c>
      <c r="B878" s="659">
        <v>2212</v>
      </c>
      <c r="C878" s="607">
        <v>6121</v>
      </c>
      <c r="D878" s="815">
        <v>12</v>
      </c>
      <c r="E878" s="662" t="s">
        <v>548</v>
      </c>
      <c r="F878" s="803"/>
      <c r="G878" s="984">
        <v>15</v>
      </c>
      <c r="H878" s="803">
        <v>0</v>
      </c>
      <c r="I878" s="985">
        <f>(H878/G878)*100</f>
        <v>0</v>
      </c>
    </row>
    <row r="879" spans="1:14" s="504" customFormat="1" ht="15.75" thickBot="1" x14ac:dyDescent="0.3">
      <c r="A879" s="805">
        <v>60004100060</v>
      </c>
      <c r="B879" s="738">
        <v>2212</v>
      </c>
      <c r="C879" s="738">
        <v>6130</v>
      </c>
      <c r="D879" s="1005">
        <v>12</v>
      </c>
      <c r="E879" s="1004" t="s">
        <v>773</v>
      </c>
      <c r="F879" s="1003"/>
      <c r="G879" s="1003">
        <v>13</v>
      </c>
      <c r="H879" s="1003">
        <v>13</v>
      </c>
      <c r="I879" s="816">
        <f>(H879/G879)*100</f>
        <v>100</v>
      </c>
    </row>
    <row r="880" spans="1:14" s="504" customFormat="1" ht="18" customHeight="1" thickTop="1" thickBot="1" x14ac:dyDescent="0.3">
      <c r="A880" s="3127" t="s">
        <v>224</v>
      </c>
      <c r="B880" s="3126"/>
      <c r="C880" s="3126"/>
      <c r="D880" s="3126"/>
      <c r="E880" s="3126"/>
      <c r="F880" s="725">
        <f>F878</f>
        <v>0</v>
      </c>
      <c r="G880" s="725">
        <f>G878+G879</f>
        <v>28</v>
      </c>
      <c r="H880" s="725">
        <f>H878+H879</f>
        <v>13</v>
      </c>
      <c r="I880" s="710">
        <f>(H880/G880)*100</f>
        <v>46.428571428571431</v>
      </c>
    </row>
    <row r="881" spans="1:14" ht="13.5" thickTop="1" x14ac:dyDescent="0.2">
      <c r="K881" s="755"/>
      <c r="L881" s="755"/>
      <c r="M881" s="755"/>
      <c r="N881" s="421"/>
    </row>
    <row r="882" spans="1:14" x14ac:dyDescent="0.2">
      <c r="K882" s="755"/>
      <c r="L882" s="755"/>
      <c r="M882" s="755"/>
      <c r="N882" s="421"/>
    </row>
    <row r="883" spans="1:14" s="504" customFormat="1" ht="13.5" thickBot="1" x14ac:dyDescent="0.25">
      <c r="A883" s="421" t="s">
        <v>866</v>
      </c>
      <c r="B883" s="598"/>
      <c r="D883" s="670"/>
      <c r="F883" s="467"/>
      <c r="G883" s="467"/>
      <c r="H883" s="467"/>
      <c r="I883" s="792" t="s">
        <v>148</v>
      </c>
    </row>
    <row r="884" spans="1:14" s="106" customFormat="1" ht="20.25" customHeight="1" thickTop="1" thickBot="1" x14ac:dyDescent="0.25">
      <c r="A884" s="626" t="s">
        <v>565</v>
      </c>
      <c r="B884" s="628" t="s">
        <v>149</v>
      </c>
      <c r="C884" s="627" t="s">
        <v>150</v>
      </c>
      <c r="D884" s="589" t="s">
        <v>639</v>
      </c>
      <c r="E884" s="629" t="s">
        <v>151</v>
      </c>
      <c r="F884" s="629" t="s">
        <v>152</v>
      </c>
      <c r="G884" s="629" t="s">
        <v>796</v>
      </c>
      <c r="H884" s="629" t="s">
        <v>797</v>
      </c>
      <c r="I884" s="674" t="s">
        <v>798</v>
      </c>
    </row>
    <row r="885" spans="1:14" s="375" customFormat="1" ht="13.5" thickTop="1" thickBot="1" x14ac:dyDescent="0.25">
      <c r="A885" s="974">
        <v>1</v>
      </c>
      <c r="B885" s="975">
        <v>2</v>
      </c>
      <c r="C885" s="975">
        <v>3</v>
      </c>
      <c r="D885" s="975">
        <v>4</v>
      </c>
      <c r="E885" s="526">
        <v>5</v>
      </c>
      <c r="F885" s="976">
        <v>6</v>
      </c>
      <c r="G885" s="976">
        <v>7</v>
      </c>
      <c r="H885" s="977">
        <v>8</v>
      </c>
      <c r="I885" s="978" t="s">
        <v>689</v>
      </c>
    </row>
    <row r="886" spans="1:14" s="504" customFormat="1" ht="15.75" thickTop="1" x14ac:dyDescent="0.25">
      <c r="A886" s="800">
        <v>60004100061</v>
      </c>
      <c r="B886" s="659">
        <v>2212</v>
      </c>
      <c r="C886" s="607">
        <v>6121</v>
      </c>
      <c r="D886" s="815">
        <v>12</v>
      </c>
      <c r="E886" s="662" t="s">
        <v>548</v>
      </c>
      <c r="F886" s="803">
        <v>31035</v>
      </c>
      <c r="G886" s="984">
        <v>7959</v>
      </c>
      <c r="H886" s="803">
        <v>7925</v>
      </c>
      <c r="I886" s="985">
        <f>(H886/G886)*100</f>
        <v>99.572810654604851</v>
      </c>
    </row>
    <row r="887" spans="1:14" s="504" customFormat="1" ht="15.75" thickBot="1" x14ac:dyDescent="0.3">
      <c r="A887" s="805">
        <v>60004100061</v>
      </c>
      <c r="B887" s="738">
        <v>2212</v>
      </c>
      <c r="C887" s="738">
        <v>6121</v>
      </c>
      <c r="D887" s="1005">
        <v>805</v>
      </c>
      <c r="E887" s="1004" t="s">
        <v>548</v>
      </c>
      <c r="F887" s="1003"/>
      <c r="G887" s="1003">
        <v>23814</v>
      </c>
      <c r="H887" s="1003">
        <v>22826</v>
      </c>
      <c r="I887" s="816">
        <f>(H887/G887)*100</f>
        <v>95.851179978164097</v>
      </c>
    </row>
    <row r="888" spans="1:14" s="504" customFormat="1" ht="18" customHeight="1" thickTop="1" thickBot="1" x14ac:dyDescent="0.3">
      <c r="A888" s="3127" t="s">
        <v>224</v>
      </c>
      <c r="B888" s="3126"/>
      <c r="C888" s="3126"/>
      <c r="D888" s="3126"/>
      <c r="E888" s="3126"/>
      <c r="F888" s="725">
        <f>F886</f>
        <v>31035</v>
      </c>
      <c r="G888" s="725">
        <f>G886+G887</f>
        <v>31773</v>
      </c>
      <c r="H888" s="725">
        <f>H886+H887</f>
        <v>30751</v>
      </c>
      <c r="I888" s="710">
        <f>(H888/G888)*100</f>
        <v>96.783432474113241</v>
      </c>
    </row>
    <row r="889" spans="1:14" ht="13.5" thickTop="1" x14ac:dyDescent="0.2">
      <c r="K889" s="755"/>
      <c r="L889" s="755"/>
      <c r="M889" s="755"/>
      <c r="N889" s="421"/>
    </row>
    <row r="890" spans="1:14" x14ac:dyDescent="0.2">
      <c r="K890" s="755"/>
      <c r="L890" s="755"/>
      <c r="M890" s="755"/>
      <c r="N890" s="421"/>
    </row>
    <row r="891" spans="1:14" s="504" customFormat="1" ht="13.5" thickBot="1" x14ac:dyDescent="0.25">
      <c r="A891" s="421" t="s">
        <v>867</v>
      </c>
      <c r="B891" s="598"/>
      <c r="D891" s="670"/>
      <c r="F891" s="467"/>
      <c r="G891" s="467"/>
      <c r="H891" s="467"/>
      <c r="I891" s="792" t="s">
        <v>148</v>
      </c>
    </row>
    <row r="892" spans="1:14" s="106" customFormat="1" ht="20.25" customHeight="1" thickTop="1" thickBot="1" x14ac:dyDescent="0.25">
      <c r="A892" s="626" t="s">
        <v>565</v>
      </c>
      <c r="B892" s="628" t="s">
        <v>149</v>
      </c>
      <c r="C892" s="627" t="s">
        <v>150</v>
      </c>
      <c r="D892" s="589" t="s">
        <v>639</v>
      </c>
      <c r="E892" s="629" t="s">
        <v>151</v>
      </c>
      <c r="F892" s="629" t="s">
        <v>152</v>
      </c>
      <c r="G892" s="629" t="s">
        <v>796</v>
      </c>
      <c r="H892" s="629" t="s">
        <v>797</v>
      </c>
      <c r="I892" s="674" t="s">
        <v>798</v>
      </c>
    </row>
    <row r="893" spans="1:14" s="375" customFormat="1" ht="13.5" thickTop="1" thickBot="1" x14ac:dyDescent="0.25">
      <c r="A893" s="974">
        <v>1</v>
      </c>
      <c r="B893" s="975">
        <v>2</v>
      </c>
      <c r="C893" s="975">
        <v>3</v>
      </c>
      <c r="D893" s="975">
        <v>4</v>
      </c>
      <c r="E893" s="526">
        <v>5</v>
      </c>
      <c r="F893" s="976">
        <v>6</v>
      </c>
      <c r="G893" s="976">
        <v>7</v>
      </c>
      <c r="H893" s="977">
        <v>8</v>
      </c>
      <c r="I893" s="978" t="s">
        <v>689</v>
      </c>
    </row>
    <row r="894" spans="1:14" s="375" customFormat="1" ht="15.75" thickTop="1" x14ac:dyDescent="0.25">
      <c r="A894" s="800">
        <v>60004100081</v>
      </c>
      <c r="B894" s="659">
        <v>2212</v>
      </c>
      <c r="C894" s="607">
        <v>6121</v>
      </c>
      <c r="D894" s="815">
        <v>12</v>
      </c>
      <c r="E894" s="662" t="s">
        <v>548</v>
      </c>
      <c r="F894" s="803">
        <v>600</v>
      </c>
      <c r="G894" s="984">
        <v>0</v>
      </c>
      <c r="H894" s="803">
        <v>0</v>
      </c>
      <c r="I894" s="985">
        <v>0</v>
      </c>
    </row>
    <row r="895" spans="1:14" s="504" customFormat="1" ht="15.75" thickBot="1" x14ac:dyDescent="0.3">
      <c r="A895" s="805">
        <v>60004100081</v>
      </c>
      <c r="B895" s="738">
        <v>2212</v>
      </c>
      <c r="C895" s="738">
        <v>6121</v>
      </c>
      <c r="D895" s="1005">
        <v>805</v>
      </c>
      <c r="E895" s="1004" t="s">
        <v>548</v>
      </c>
      <c r="F895" s="1003"/>
      <c r="G895" s="1003">
        <v>855</v>
      </c>
      <c r="H895" s="1003">
        <v>743</v>
      </c>
      <c r="I895" s="816">
        <f>(H895/G895)*100</f>
        <v>86.900584795321635</v>
      </c>
    </row>
    <row r="896" spans="1:14" s="504" customFormat="1" ht="18" customHeight="1" thickTop="1" thickBot="1" x14ac:dyDescent="0.3">
      <c r="A896" s="3127" t="s">
        <v>224</v>
      </c>
      <c r="B896" s="3126"/>
      <c r="C896" s="3126"/>
      <c r="D896" s="3126"/>
      <c r="E896" s="3126"/>
      <c r="F896" s="725">
        <f>F894</f>
        <v>600</v>
      </c>
      <c r="G896" s="725">
        <f>G895</f>
        <v>855</v>
      </c>
      <c r="H896" s="725">
        <f>H895</f>
        <v>743</v>
      </c>
      <c r="I896" s="710">
        <f>(H896/G896)*100</f>
        <v>86.900584795321635</v>
      </c>
    </row>
    <row r="897" spans="1:14" ht="13.5" thickTop="1" x14ac:dyDescent="0.2">
      <c r="K897" s="755"/>
      <c r="L897" s="755"/>
      <c r="M897" s="755"/>
      <c r="N897" s="421"/>
    </row>
    <row r="898" spans="1:14" x14ac:dyDescent="0.2">
      <c r="K898" s="755"/>
      <c r="L898" s="755"/>
      <c r="M898" s="755"/>
      <c r="N898" s="421"/>
    </row>
    <row r="899" spans="1:14" s="504" customFormat="1" ht="13.5" thickBot="1" x14ac:dyDescent="0.25">
      <c r="A899" s="421" t="s">
        <v>671</v>
      </c>
      <c r="B899" s="598"/>
      <c r="D899" s="670"/>
      <c r="F899" s="467"/>
      <c r="G899" s="467"/>
      <c r="H899" s="467"/>
      <c r="I899" s="792" t="s">
        <v>148</v>
      </c>
    </row>
    <row r="900" spans="1:14" s="106" customFormat="1" ht="20.25" customHeight="1" thickTop="1" thickBot="1" x14ac:dyDescent="0.25">
      <c r="A900" s="626" t="s">
        <v>565</v>
      </c>
      <c r="B900" s="628" t="s">
        <v>149</v>
      </c>
      <c r="C900" s="627" t="s">
        <v>150</v>
      </c>
      <c r="D900" s="589" t="s">
        <v>639</v>
      </c>
      <c r="E900" s="629" t="s">
        <v>151</v>
      </c>
      <c r="F900" s="629" t="s">
        <v>152</v>
      </c>
      <c r="G900" s="629" t="s">
        <v>796</v>
      </c>
      <c r="H900" s="629" t="s">
        <v>797</v>
      </c>
      <c r="I900" s="674" t="s">
        <v>798</v>
      </c>
    </row>
    <row r="901" spans="1:14" s="375" customFormat="1" ht="13.5" thickTop="1" thickBot="1" x14ac:dyDescent="0.25">
      <c r="A901" s="974">
        <v>1</v>
      </c>
      <c r="B901" s="975">
        <v>2</v>
      </c>
      <c r="C901" s="975">
        <v>3</v>
      </c>
      <c r="D901" s="975">
        <v>4</v>
      </c>
      <c r="E901" s="526">
        <v>5</v>
      </c>
      <c r="F901" s="976">
        <v>6</v>
      </c>
      <c r="G901" s="976">
        <v>7</v>
      </c>
      <c r="H901" s="977">
        <v>8</v>
      </c>
      <c r="I901" s="978" t="s">
        <v>689</v>
      </c>
    </row>
    <row r="902" spans="1:14" s="504" customFormat="1" ht="16.5" thickTop="1" thickBot="1" x14ac:dyDescent="0.3">
      <c r="A902" s="986">
        <v>60004100086</v>
      </c>
      <c r="B902" s="809">
        <v>2212</v>
      </c>
      <c r="C902" s="987">
        <v>5169</v>
      </c>
      <c r="D902" s="810">
        <v>805</v>
      </c>
      <c r="E902" s="981" t="s">
        <v>769</v>
      </c>
      <c r="F902" s="736"/>
      <c r="G902" s="989">
        <v>144</v>
      </c>
      <c r="H902" s="736">
        <v>144</v>
      </c>
      <c r="I902" s="990">
        <f t="shared" ref="I902:I907" si="2">(H902/G902)*100</f>
        <v>100</v>
      </c>
    </row>
    <row r="903" spans="1:14" s="504" customFormat="1" ht="18" customHeight="1" thickTop="1" thickBot="1" x14ac:dyDescent="0.3">
      <c r="A903" s="3110" t="s">
        <v>225</v>
      </c>
      <c r="B903" s="3111"/>
      <c r="C903" s="3111"/>
      <c r="D903" s="3111"/>
      <c r="E903" s="3111"/>
      <c r="F903" s="725">
        <f>F902</f>
        <v>0</v>
      </c>
      <c r="G903" s="725">
        <f>G902</f>
        <v>144</v>
      </c>
      <c r="H903" s="725">
        <f>H902</f>
        <v>144</v>
      </c>
      <c r="I903" s="710">
        <f t="shared" si="2"/>
        <v>100</v>
      </c>
    </row>
    <row r="904" spans="1:14" s="504" customFormat="1" ht="15.75" thickTop="1" x14ac:dyDescent="0.25">
      <c r="A904" s="800">
        <v>60004100086</v>
      </c>
      <c r="B904" s="659">
        <v>2212</v>
      </c>
      <c r="C904" s="607">
        <v>6121</v>
      </c>
      <c r="D904" s="815">
        <v>12</v>
      </c>
      <c r="E904" s="305" t="s">
        <v>548</v>
      </c>
      <c r="F904" s="803">
        <v>26000</v>
      </c>
      <c r="G904" s="984">
        <v>889</v>
      </c>
      <c r="H904" s="803">
        <v>861</v>
      </c>
      <c r="I904" s="985">
        <f t="shared" si="2"/>
        <v>96.850393700787393</v>
      </c>
    </row>
    <row r="905" spans="1:14" s="504" customFormat="1" ht="15" x14ac:dyDescent="0.25">
      <c r="A905" s="1007">
        <v>60004100086</v>
      </c>
      <c r="B905" s="651">
        <v>2212</v>
      </c>
      <c r="C905" s="651">
        <v>6121</v>
      </c>
      <c r="D905" s="996">
        <v>805</v>
      </c>
      <c r="E905" s="1006" t="s">
        <v>548</v>
      </c>
      <c r="F905" s="700"/>
      <c r="G905" s="700">
        <v>28873</v>
      </c>
      <c r="H905" s="700">
        <v>28838</v>
      </c>
      <c r="I905" s="693">
        <f t="shared" si="2"/>
        <v>99.878779482561569</v>
      </c>
    </row>
    <row r="906" spans="1:14" s="504" customFormat="1" ht="15.75" thickBot="1" x14ac:dyDescent="0.3">
      <c r="A906" s="805">
        <v>60004100086</v>
      </c>
      <c r="B906" s="738">
        <v>2212</v>
      </c>
      <c r="C906" s="738">
        <v>6130</v>
      </c>
      <c r="D906" s="1005">
        <v>805</v>
      </c>
      <c r="E906" s="1004" t="s">
        <v>773</v>
      </c>
      <c r="F906" s="1003"/>
      <c r="G906" s="1003">
        <v>5</v>
      </c>
      <c r="H906" s="1003">
        <v>5</v>
      </c>
      <c r="I906" s="816">
        <f t="shared" si="2"/>
        <v>100</v>
      </c>
    </row>
    <row r="907" spans="1:14" s="504" customFormat="1" ht="18" customHeight="1" thickTop="1" thickBot="1" x14ac:dyDescent="0.3">
      <c r="A907" s="3127" t="s">
        <v>224</v>
      </c>
      <c r="B907" s="3126"/>
      <c r="C907" s="3126"/>
      <c r="D907" s="3126"/>
      <c r="E907" s="3126"/>
      <c r="F907" s="725">
        <f>F904</f>
        <v>26000</v>
      </c>
      <c r="G907" s="725">
        <f>G904+G905+G906</f>
        <v>29767</v>
      </c>
      <c r="H907" s="725">
        <f>H904+H905+H906</f>
        <v>29704</v>
      </c>
      <c r="I907" s="710">
        <f t="shared" si="2"/>
        <v>99.788356233412841</v>
      </c>
    </row>
    <row r="908" spans="1:14" ht="13.5" thickTop="1" x14ac:dyDescent="0.2">
      <c r="K908" s="755"/>
      <c r="L908" s="755"/>
      <c r="M908" s="755"/>
      <c r="N908" s="421"/>
    </row>
    <row r="909" spans="1:14" x14ac:dyDescent="0.2">
      <c r="K909" s="755"/>
      <c r="L909" s="755"/>
      <c r="M909" s="755"/>
      <c r="N909" s="421"/>
    </row>
    <row r="910" spans="1:14" s="504" customFormat="1" ht="13.5" thickBot="1" x14ac:dyDescent="0.25">
      <c r="A910" s="421" t="s">
        <v>672</v>
      </c>
      <c r="B910" s="598"/>
      <c r="D910" s="670"/>
      <c r="F910" s="467"/>
      <c r="G910" s="467"/>
      <c r="H910" s="467"/>
      <c r="I910" s="792" t="s">
        <v>148</v>
      </c>
    </row>
    <row r="911" spans="1:14" s="106" customFormat="1" ht="20.25" customHeight="1" thickTop="1" thickBot="1" x14ac:dyDescent="0.25">
      <c r="A911" s="626" t="s">
        <v>565</v>
      </c>
      <c r="B911" s="628" t="s">
        <v>149</v>
      </c>
      <c r="C911" s="627" t="s">
        <v>150</v>
      </c>
      <c r="D911" s="589" t="s">
        <v>639</v>
      </c>
      <c r="E911" s="629" t="s">
        <v>151</v>
      </c>
      <c r="F911" s="629" t="s">
        <v>152</v>
      </c>
      <c r="G911" s="629" t="s">
        <v>796</v>
      </c>
      <c r="H911" s="629" t="s">
        <v>797</v>
      </c>
      <c r="I911" s="674" t="s">
        <v>798</v>
      </c>
    </row>
    <row r="912" spans="1:14" s="375" customFormat="1" ht="13.5" thickTop="1" thickBot="1" x14ac:dyDescent="0.25">
      <c r="A912" s="974">
        <v>1</v>
      </c>
      <c r="B912" s="975">
        <v>2</v>
      </c>
      <c r="C912" s="975">
        <v>3</v>
      </c>
      <c r="D912" s="975">
        <v>4</v>
      </c>
      <c r="E912" s="526">
        <v>5</v>
      </c>
      <c r="F912" s="976">
        <v>6</v>
      </c>
      <c r="G912" s="976">
        <v>7</v>
      </c>
      <c r="H912" s="977">
        <v>8</v>
      </c>
      <c r="I912" s="978" t="s">
        <v>689</v>
      </c>
    </row>
    <row r="913" spans="1:14" s="504" customFormat="1" ht="16.5" thickTop="1" thickBot="1" x14ac:dyDescent="0.3">
      <c r="A913" s="986">
        <v>60004100099</v>
      </c>
      <c r="B913" s="809">
        <v>2212</v>
      </c>
      <c r="C913" s="987">
        <v>6121</v>
      </c>
      <c r="D913" s="810">
        <v>12</v>
      </c>
      <c r="E913" s="811" t="s">
        <v>548</v>
      </c>
      <c r="F913" s="736"/>
      <c r="G913" s="989">
        <v>3642</v>
      </c>
      <c r="H913" s="736">
        <v>3642</v>
      </c>
      <c r="I913" s="990">
        <f>(H913/G913)*100</f>
        <v>100</v>
      </c>
    </row>
    <row r="914" spans="1:14" s="504" customFormat="1" ht="18" customHeight="1" thickTop="1" thickBot="1" x14ac:dyDescent="0.3">
      <c r="A914" s="3127" t="s">
        <v>224</v>
      </c>
      <c r="B914" s="3126"/>
      <c r="C914" s="3126"/>
      <c r="D914" s="3126"/>
      <c r="E914" s="3126"/>
      <c r="F914" s="725">
        <f>F913</f>
        <v>0</v>
      </c>
      <c r="G914" s="725">
        <f>G913</f>
        <v>3642</v>
      </c>
      <c r="H914" s="725">
        <f>H913</f>
        <v>3642</v>
      </c>
      <c r="I914" s="710">
        <f>(H914/G914)*100</f>
        <v>100</v>
      </c>
    </row>
    <row r="915" spans="1:14" ht="13.5" thickTop="1" x14ac:dyDescent="0.2">
      <c r="K915" s="755"/>
      <c r="L915" s="755"/>
      <c r="M915" s="755"/>
      <c r="N915" s="421"/>
    </row>
    <row r="916" spans="1:14" x14ac:dyDescent="0.2">
      <c r="K916" s="755"/>
      <c r="L916" s="755"/>
      <c r="M916" s="755"/>
      <c r="N916" s="421"/>
    </row>
    <row r="917" spans="1:14" s="504" customFormat="1" ht="13.5" thickBot="1" x14ac:dyDescent="0.25">
      <c r="A917" s="421" t="s">
        <v>673</v>
      </c>
      <c r="B917" s="598"/>
      <c r="D917" s="670"/>
      <c r="F917" s="467"/>
      <c r="G917" s="467"/>
      <c r="H917" s="467"/>
      <c r="I917" s="792" t="s">
        <v>148</v>
      </c>
    </row>
    <row r="918" spans="1:14" s="106" customFormat="1" ht="20.25" customHeight="1" thickTop="1" thickBot="1" x14ac:dyDescent="0.25">
      <c r="A918" s="626" t="s">
        <v>565</v>
      </c>
      <c r="B918" s="628" t="s">
        <v>149</v>
      </c>
      <c r="C918" s="627" t="s">
        <v>150</v>
      </c>
      <c r="D918" s="589" t="s">
        <v>639</v>
      </c>
      <c r="E918" s="629" t="s">
        <v>151</v>
      </c>
      <c r="F918" s="629" t="s">
        <v>152</v>
      </c>
      <c r="G918" s="629" t="s">
        <v>796</v>
      </c>
      <c r="H918" s="629" t="s">
        <v>797</v>
      </c>
      <c r="I918" s="674" t="s">
        <v>798</v>
      </c>
    </row>
    <row r="919" spans="1:14" s="375" customFormat="1" ht="13.5" thickTop="1" thickBot="1" x14ac:dyDescent="0.25">
      <c r="A919" s="974">
        <v>1</v>
      </c>
      <c r="B919" s="975">
        <v>2</v>
      </c>
      <c r="C919" s="975">
        <v>3</v>
      </c>
      <c r="D919" s="975">
        <v>4</v>
      </c>
      <c r="E919" s="526">
        <v>5</v>
      </c>
      <c r="F919" s="976">
        <v>6</v>
      </c>
      <c r="G919" s="976">
        <v>7</v>
      </c>
      <c r="H919" s="977">
        <v>8</v>
      </c>
      <c r="I919" s="978" t="s">
        <v>689</v>
      </c>
    </row>
    <row r="920" spans="1:14" s="504" customFormat="1" ht="16.5" thickTop="1" thickBot="1" x14ac:dyDescent="0.3">
      <c r="A920" s="986">
        <v>60004100104</v>
      </c>
      <c r="B920" s="809">
        <v>2212</v>
      </c>
      <c r="C920" s="987">
        <v>6121</v>
      </c>
      <c r="D920" s="810">
        <v>12</v>
      </c>
      <c r="E920" s="811" t="s">
        <v>548</v>
      </c>
      <c r="F920" s="736"/>
      <c r="G920" s="989">
        <v>554</v>
      </c>
      <c r="H920" s="736">
        <v>553</v>
      </c>
      <c r="I920" s="990">
        <f>(H920/G920)*100</f>
        <v>99.819494584837543</v>
      </c>
    </row>
    <row r="921" spans="1:14" s="504" customFormat="1" ht="18" customHeight="1" thickTop="1" thickBot="1" x14ac:dyDescent="0.3">
      <c r="A921" s="3127" t="s">
        <v>224</v>
      </c>
      <c r="B921" s="3126"/>
      <c r="C921" s="3126"/>
      <c r="D921" s="3126"/>
      <c r="E921" s="3126"/>
      <c r="F921" s="725">
        <f>F920</f>
        <v>0</v>
      </c>
      <c r="G921" s="725">
        <f>G920</f>
        <v>554</v>
      </c>
      <c r="H921" s="725">
        <f>H920</f>
        <v>553</v>
      </c>
      <c r="I921" s="710">
        <f>(H921/G921)*100</f>
        <v>99.819494584837543</v>
      </c>
    </row>
    <row r="922" spans="1:14" ht="13.5" thickTop="1" x14ac:dyDescent="0.2">
      <c r="K922" s="755"/>
      <c r="L922" s="755"/>
      <c r="M922" s="755"/>
      <c r="N922" s="421"/>
    </row>
    <row r="923" spans="1:14" x14ac:dyDescent="0.2">
      <c r="K923" s="755"/>
      <c r="L923" s="755"/>
      <c r="M923" s="755"/>
      <c r="N923" s="421"/>
    </row>
    <row r="924" spans="1:14" s="504" customFormat="1" ht="13.5" thickBot="1" x14ac:dyDescent="0.25">
      <c r="A924" s="421" t="s">
        <v>674</v>
      </c>
      <c r="B924" s="598"/>
      <c r="D924" s="670"/>
      <c r="F924" s="467"/>
      <c r="G924" s="467"/>
      <c r="H924" s="467"/>
      <c r="I924" s="792" t="s">
        <v>148</v>
      </c>
    </row>
    <row r="925" spans="1:14" s="106" customFormat="1" ht="20.25" customHeight="1" thickTop="1" thickBot="1" x14ac:dyDescent="0.25">
      <c r="A925" s="626" t="s">
        <v>565</v>
      </c>
      <c r="B925" s="628" t="s">
        <v>149</v>
      </c>
      <c r="C925" s="627" t="s">
        <v>150</v>
      </c>
      <c r="D925" s="589" t="s">
        <v>639</v>
      </c>
      <c r="E925" s="629" t="s">
        <v>151</v>
      </c>
      <c r="F925" s="629" t="s">
        <v>152</v>
      </c>
      <c r="G925" s="629" t="s">
        <v>796</v>
      </c>
      <c r="H925" s="629" t="s">
        <v>797</v>
      </c>
      <c r="I925" s="674" t="s">
        <v>798</v>
      </c>
    </row>
    <row r="926" spans="1:14" s="375" customFormat="1" ht="13.5" thickTop="1" thickBot="1" x14ac:dyDescent="0.25">
      <c r="A926" s="974">
        <v>1</v>
      </c>
      <c r="B926" s="975">
        <v>2</v>
      </c>
      <c r="C926" s="975">
        <v>3</v>
      </c>
      <c r="D926" s="975">
        <v>4</v>
      </c>
      <c r="E926" s="526">
        <v>5</v>
      </c>
      <c r="F926" s="976">
        <v>6</v>
      </c>
      <c r="G926" s="976">
        <v>7</v>
      </c>
      <c r="H926" s="977">
        <v>8</v>
      </c>
      <c r="I926" s="978" t="s">
        <v>689</v>
      </c>
    </row>
    <row r="927" spans="1:14" s="504" customFormat="1" ht="16.5" thickTop="1" thickBot="1" x14ac:dyDescent="0.3">
      <c r="A927" s="986">
        <v>60004100107</v>
      </c>
      <c r="B927" s="809">
        <v>2212</v>
      </c>
      <c r="C927" s="987">
        <v>6121</v>
      </c>
      <c r="D927" s="810">
        <v>12</v>
      </c>
      <c r="E927" s="811" t="s">
        <v>548</v>
      </c>
      <c r="F927" s="736"/>
      <c r="G927" s="989">
        <v>1072</v>
      </c>
      <c r="H927" s="736">
        <v>1072</v>
      </c>
      <c r="I927" s="990">
        <f>(H927/G927)*100</f>
        <v>100</v>
      </c>
    </row>
    <row r="928" spans="1:14" s="504" customFormat="1" ht="18" customHeight="1" thickTop="1" thickBot="1" x14ac:dyDescent="0.3">
      <c r="A928" s="3127" t="s">
        <v>224</v>
      </c>
      <c r="B928" s="3126"/>
      <c r="C928" s="3126"/>
      <c r="D928" s="3126"/>
      <c r="E928" s="3126"/>
      <c r="F928" s="725">
        <f>F927</f>
        <v>0</v>
      </c>
      <c r="G928" s="725">
        <f>G927</f>
        <v>1072</v>
      </c>
      <c r="H928" s="725">
        <f>H927</f>
        <v>1072</v>
      </c>
      <c r="I928" s="710">
        <f>(H928/G928)*100</f>
        <v>100</v>
      </c>
    </row>
    <row r="929" spans="1:14" ht="13.5" thickTop="1" x14ac:dyDescent="0.2">
      <c r="K929" s="755"/>
      <c r="L929" s="755"/>
      <c r="M929" s="755"/>
      <c r="N929" s="421"/>
    </row>
    <row r="930" spans="1:14" x14ac:dyDescent="0.2">
      <c r="K930" s="755"/>
      <c r="L930" s="755"/>
      <c r="M930" s="755"/>
      <c r="N930" s="421"/>
    </row>
    <row r="931" spans="1:14" x14ac:dyDescent="0.2">
      <c r="K931" s="755"/>
      <c r="L931" s="755"/>
      <c r="M931" s="755"/>
      <c r="N931" s="421"/>
    </row>
    <row r="932" spans="1:14" x14ac:dyDescent="0.2">
      <c r="K932" s="755"/>
      <c r="L932" s="755"/>
      <c r="M932" s="755"/>
      <c r="N932" s="421"/>
    </row>
    <row r="933" spans="1:14" x14ac:dyDescent="0.2">
      <c r="K933" s="755"/>
      <c r="L933" s="755"/>
      <c r="M933" s="755"/>
      <c r="N933" s="421"/>
    </row>
    <row r="934" spans="1:14" x14ac:dyDescent="0.2">
      <c r="K934" s="755"/>
      <c r="L934" s="755"/>
      <c r="M934" s="755"/>
      <c r="N934" s="421"/>
    </row>
    <row r="935" spans="1:14" s="504" customFormat="1" ht="13.5" thickBot="1" x14ac:dyDescent="0.25">
      <c r="A935" s="421" t="s">
        <v>675</v>
      </c>
      <c r="B935" s="598"/>
      <c r="D935" s="670"/>
      <c r="F935" s="467"/>
      <c r="G935" s="467"/>
      <c r="H935" s="467"/>
      <c r="I935" s="792" t="s">
        <v>148</v>
      </c>
    </row>
    <row r="936" spans="1:14" s="106" customFormat="1" ht="20.25" customHeight="1" thickTop="1" thickBot="1" x14ac:dyDescent="0.25">
      <c r="A936" s="626" t="s">
        <v>565</v>
      </c>
      <c r="B936" s="628" t="s">
        <v>149</v>
      </c>
      <c r="C936" s="627" t="s">
        <v>150</v>
      </c>
      <c r="D936" s="589" t="s">
        <v>639</v>
      </c>
      <c r="E936" s="629" t="s">
        <v>151</v>
      </c>
      <c r="F936" s="629" t="s">
        <v>152</v>
      </c>
      <c r="G936" s="629" t="s">
        <v>796</v>
      </c>
      <c r="H936" s="629" t="s">
        <v>797</v>
      </c>
      <c r="I936" s="674" t="s">
        <v>798</v>
      </c>
    </row>
    <row r="937" spans="1:14" s="375" customFormat="1" ht="13.5" thickTop="1" thickBot="1" x14ac:dyDescent="0.25">
      <c r="A937" s="974">
        <v>1</v>
      </c>
      <c r="B937" s="975">
        <v>2</v>
      </c>
      <c r="C937" s="975">
        <v>3</v>
      </c>
      <c r="D937" s="975">
        <v>4</v>
      </c>
      <c r="E937" s="526">
        <v>5</v>
      </c>
      <c r="F937" s="976">
        <v>6</v>
      </c>
      <c r="G937" s="976">
        <v>7</v>
      </c>
      <c r="H937" s="977">
        <v>8</v>
      </c>
      <c r="I937" s="978" t="s">
        <v>689</v>
      </c>
    </row>
    <row r="938" spans="1:14" s="504" customFormat="1" ht="16.5" thickTop="1" thickBot="1" x14ac:dyDescent="0.3">
      <c r="A938" s="986">
        <v>60004100108</v>
      </c>
      <c r="B938" s="809">
        <v>2212</v>
      </c>
      <c r="C938" s="987">
        <v>6121</v>
      </c>
      <c r="D938" s="810">
        <v>12</v>
      </c>
      <c r="E938" s="811" t="s">
        <v>548</v>
      </c>
      <c r="F938" s="736"/>
      <c r="G938" s="989">
        <v>609</v>
      </c>
      <c r="H938" s="736">
        <v>609</v>
      </c>
      <c r="I938" s="990">
        <f>(H938/G938)*100</f>
        <v>100</v>
      </c>
    </row>
    <row r="939" spans="1:14" s="504" customFormat="1" ht="18" customHeight="1" thickTop="1" thickBot="1" x14ac:dyDescent="0.3">
      <c r="A939" s="3127" t="s">
        <v>224</v>
      </c>
      <c r="B939" s="3126"/>
      <c r="C939" s="3126"/>
      <c r="D939" s="3126"/>
      <c r="E939" s="3126"/>
      <c r="F939" s="725">
        <f>F938</f>
        <v>0</v>
      </c>
      <c r="G939" s="725">
        <f>G938</f>
        <v>609</v>
      </c>
      <c r="H939" s="725">
        <f>H938</f>
        <v>609</v>
      </c>
      <c r="I939" s="710">
        <f>(H939/G939)*100</f>
        <v>100</v>
      </c>
    </row>
    <row r="940" spans="1:14" ht="13.5" thickTop="1" x14ac:dyDescent="0.2">
      <c r="K940" s="755"/>
      <c r="L940" s="755"/>
      <c r="M940" s="755"/>
      <c r="N940" s="421"/>
    </row>
    <row r="941" spans="1:14" x14ac:dyDescent="0.2">
      <c r="K941" s="755"/>
      <c r="L941" s="755"/>
      <c r="M941" s="755"/>
      <c r="N941" s="421"/>
    </row>
    <row r="942" spans="1:14" s="504" customFormat="1" ht="13.5" thickBot="1" x14ac:dyDescent="0.25">
      <c r="A942" s="421" t="s">
        <v>466</v>
      </c>
      <c r="B942" s="598"/>
      <c r="D942" s="670"/>
      <c r="F942" s="467"/>
      <c r="G942" s="467"/>
      <c r="H942" s="467"/>
      <c r="I942" s="792" t="s">
        <v>148</v>
      </c>
    </row>
    <row r="943" spans="1:14" s="106" customFormat="1" ht="20.25" customHeight="1" thickTop="1" thickBot="1" x14ac:dyDescent="0.25">
      <c r="A943" s="626" t="s">
        <v>565</v>
      </c>
      <c r="B943" s="628" t="s">
        <v>149</v>
      </c>
      <c r="C943" s="627" t="s">
        <v>150</v>
      </c>
      <c r="D943" s="589" t="s">
        <v>639</v>
      </c>
      <c r="E943" s="629" t="s">
        <v>151</v>
      </c>
      <c r="F943" s="629" t="s">
        <v>152</v>
      </c>
      <c r="G943" s="629" t="s">
        <v>796</v>
      </c>
      <c r="H943" s="629" t="s">
        <v>797</v>
      </c>
      <c r="I943" s="674" t="s">
        <v>798</v>
      </c>
    </row>
    <row r="944" spans="1:14" s="375" customFormat="1" ht="13.5" thickTop="1" thickBot="1" x14ac:dyDescent="0.25">
      <c r="A944" s="974">
        <v>1</v>
      </c>
      <c r="B944" s="975">
        <v>2</v>
      </c>
      <c r="C944" s="975">
        <v>3</v>
      </c>
      <c r="D944" s="975">
        <v>4</v>
      </c>
      <c r="E944" s="526">
        <v>5</v>
      </c>
      <c r="F944" s="976">
        <v>6</v>
      </c>
      <c r="G944" s="976">
        <v>7</v>
      </c>
      <c r="H944" s="977">
        <v>8</v>
      </c>
      <c r="I944" s="978" t="s">
        <v>689</v>
      </c>
    </row>
    <row r="945" spans="1:14" s="504" customFormat="1" ht="16.5" thickTop="1" thickBot="1" x14ac:dyDescent="0.3">
      <c r="A945" s="986">
        <v>60004100109</v>
      </c>
      <c r="B945" s="809">
        <v>2212</v>
      </c>
      <c r="C945" s="987">
        <v>6121</v>
      </c>
      <c r="D945" s="810">
        <v>12</v>
      </c>
      <c r="E945" s="811" t="s">
        <v>548</v>
      </c>
      <c r="F945" s="736"/>
      <c r="G945" s="989">
        <v>1102</v>
      </c>
      <c r="H945" s="736">
        <v>725</v>
      </c>
      <c r="I945" s="990">
        <f>(H945/G945)*100</f>
        <v>65.789473684210535</v>
      </c>
    </row>
    <row r="946" spans="1:14" s="504" customFormat="1" ht="18" customHeight="1" thickTop="1" thickBot="1" x14ac:dyDescent="0.3">
      <c r="A946" s="3127" t="s">
        <v>224</v>
      </c>
      <c r="B946" s="3126"/>
      <c r="C946" s="3126"/>
      <c r="D946" s="3126"/>
      <c r="E946" s="3126"/>
      <c r="F946" s="725">
        <f>F945</f>
        <v>0</v>
      </c>
      <c r="G946" s="725">
        <f>G945</f>
        <v>1102</v>
      </c>
      <c r="H946" s="725">
        <f>H945</f>
        <v>725</v>
      </c>
      <c r="I946" s="710">
        <f>(H946/G946)*100</f>
        <v>65.789473684210535</v>
      </c>
    </row>
    <row r="947" spans="1:14" ht="13.5" thickTop="1" x14ac:dyDescent="0.2">
      <c r="K947" s="755"/>
      <c r="L947" s="755"/>
      <c r="M947" s="755"/>
      <c r="N947" s="421"/>
    </row>
    <row r="948" spans="1:14" x14ac:dyDescent="0.2">
      <c r="K948" s="755"/>
      <c r="L948" s="755"/>
      <c r="M948" s="755"/>
      <c r="N948" s="421"/>
    </row>
    <row r="949" spans="1:14" s="504" customFormat="1" ht="13.5" thickBot="1" x14ac:dyDescent="0.25">
      <c r="A949" s="421" t="s">
        <v>467</v>
      </c>
      <c r="B949" s="598"/>
      <c r="D949" s="670"/>
      <c r="F949" s="467"/>
      <c r="G949" s="467"/>
      <c r="H949" s="467"/>
      <c r="I949" s="792" t="s">
        <v>148</v>
      </c>
    </row>
    <row r="950" spans="1:14" s="106" customFormat="1" ht="20.25" customHeight="1" thickTop="1" thickBot="1" x14ac:dyDescent="0.25">
      <c r="A950" s="626" t="s">
        <v>565</v>
      </c>
      <c r="B950" s="628" t="s">
        <v>149</v>
      </c>
      <c r="C950" s="627" t="s">
        <v>150</v>
      </c>
      <c r="D950" s="589" t="s">
        <v>639</v>
      </c>
      <c r="E950" s="629" t="s">
        <v>151</v>
      </c>
      <c r="F950" s="629" t="s">
        <v>152</v>
      </c>
      <c r="G950" s="629" t="s">
        <v>796</v>
      </c>
      <c r="H950" s="629" t="s">
        <v>797</v>
      </c>
      <c r="I950" s="674" t="s">
        <v>798</v>
      </c>
    </row>
    <row r="951" spans="1:14" s="375" customFormat="1" ht="13.5" thickTop="1" thickBot="1" x14ac:dyDescent="0.25">
      <c r="A951" s="974">
        <v>1</v>
      </c>
      <c r="B951" s="975">
        <v>2</v>
      </c>
      <c r="C951" s="975">
        <v>3</v>
      </c>
      <c r="D951" s="975">
        <v>4</v>
      </c>
      <c r="E951" s="526">
        <v>5</v>
      </c>
      <c r="F951" s="976">
        <v>6</v>
      </c>
      <c r="G951" s="976">
        <v>7</v>
      </c>
      <c r="H951" s="977">
        <v>8</v>
      </c>
      <c r="I951" s="978" t="s">
        <v>689</v>
      </c>
    </row>
    <row r="952" spans="1:14" s="504" customFormat="1" ht="16.5" thickTop="1" thickBot="1" x14ac:dyDescent="0.3">
      <c r="A952" s="986">
        <v>60004100110</v>
      </c>
      <c r="B952" s="809">
        <v>2212</v>
      </c>
      <c r="C952" s="987">
        <v>6121</v>
      </c>
      <c r="D952" s="810">
        <v>12</v>
      </c>
      <c r="E952" s="811" t="s">
        <v>548</v>
      </c>
      <c r="F952" s="736"/>
      <c r="G952" s="989">
        <v>292</v>
      </c>
      <c r="H952" s="736">
        <v>292</v>
      </c>
      <c r="I952" s="990">
        <f>(H952/G952)*100</f>
        <v>100</v>
      </c>
    </row>
    <row r="953" spans="1:14" s="504" customFormat="1" ht="18" customHeight="1" thickTop="1" thickBot="1" x14ac:dyDescent="0.3">
      <c r="A953" s="3127" t="s">
        <v>224</v>
      </c>
      <c r="B953" s="3126"/>
      <c r="C953" s="3126"/>
      <c r="D953" s="3126"/>
      <c r="E953" s="3126"/>
      <c r="F953" s="725">
        <f>F952</f>
        <v>0</v>
      </c>
      <c r="G953" s="725">
        <f>G952</f>
        <v>292</v>
      </c>
      <c r="H953" s="725">
        <f>H952</f>
        <v>292</v>
      </c>
      <c r="I953" s="710">
        <f>(H953/G953)*100</f>
        <v>100</v>
      </c>
    </row>
    <row r="954" spans="1:14" ht="13.5" thickTop="1" x14ac:dyDescent="0.2">
      <c r="K954" s="755"/>
      <c r="L954" s="755"/>
      <c r="M954" s="755"/>
      <c r="N954" s="421"/>
    </row>
    <row r="955" spans="1:14" x14ac:dyDescent="0.2">
      <c r="K955" s="755"/>
      <c r="L955" s="755"/>
      <c r="M955" s="755"/>
      <c r="N955" s="421"/>
    </row>
    <row r="956" spans="1:14" s="504" customFormat="1" ht="13.5" thickBot="1" x14ac:dyDescent="0.25">
      <c r="A956" s="421" t="s">
        <v>468</v>
      </c>
      <c r="B956" s="598"/>
      <c r="D956" s="670"/>
      <c r="F956" s="467"/>
      <c r="G956" s="467"/>
      <c r="H956" s="467"/>
      <c r="I956" s="792" t="s">
        <v>148</v>
      </c>
    </row>
    <row r="957" spans="1:14" s="106" customFormat="1" ht="20.25" customHeight="1" thickTop="1" thickBot="1" x14ac:dyDescent="0.25">
      <c r="A957" s="626" t="s">
        <v>565</v>
      </c>
      <c r="B957" s="628" t="s">
        <v>149</v>
      </c>
      <c r="C957" s="627" t="s">
        <v>150</v>
      </c>
      <c r="D957" s="589" t="s">
        <v>639</v>
      </c>
      <c r="E957" s="629" t="s">
        <v>151</v>
      </c>
      <c r="F957" s="629" t="s">
        <v>152</v>
      </c>
      <c r="G957" s="629" t="s">
        <v>796</v>
      </c>
      <c r="H957" s="629" t="s">
        <v>797</v>
      </c>
      <c r="I957" s="674" t="s">
        <v>798</v>
      </c>
    </row>
    <row r="958" spans="1:14" s="375" customFormat="1" ht="13.5" thickTop="1" thickBot="1" x14ac:dyDescent="0.25">
      <c r="A958" s="974">
        <v>1</v>
      </c>
      <c r="B958" s="975">
        <v>2</v>
      </c>
      <c r="C958" s="975">
        <v>3</v>
      </c>
      <c r="D958" s="975">
        <v>4</v>
      </c>
      <c r="E958" s="526">
        <v>5</v>
      </c>
      <c r="F958" s="976">
        <v>6</v>
      </c>
      <c r="G958" s="976">
        <v>7</v>
      </c>
      <c r="H958" s="977">
        <v>8</v>
      </c>
      <c r="I958" s="978" t="s">
        <v>689</v>
      </c>
    </row>
    <row r="959" spans="1:14" s="504" customFormat="1" ht="16.5" thickTop="1" thickBot="1" x14ac:dyDescent="0.3">
      <c r="A959" s="986">
        <v>60004100111</v>
      </c>
      <c r="B959" s="809">
        <v>2212</v>
      </c>
      <c r="C959" s="987">
        <v>6121</v>
      </c>
      <c r="D959" s="810">
        <v>12</v>
      </c>
      <c r="E959" s="811" t="s">
        <v>548</v>
      </c>
      <c r="F959" s="736"/>
      <c r="G959" s="989">
        <v>200</v>
      </c>
      <c r="H959" s="736">
        <v>199</v>
      </c>
      <c r="I959" s="990">
        <f>(H959/G959)*100</f>
        <v>99.5</v>
      </c>
    </row>
    <row r="960" spans="1:14" s="504" customFormat="1" ht="18" customHeight="1" thickTop="1" thickBot="1" x14ac:dyDescent="0.3">
      <c r="A960" s="3127" t="s">
        <v>224</v>
      </c>
      <c r="B960" s="3126"/>
      <c r="C960" s="3126"/>
      <c r="D960" s="3126"/>
      <c r="E960" s="3126"/>
      <c r="F960" s="725">
        <f>F959</f>
        <v>0</v>
      </c>
      <c r="G960" s="725">
        <f>G959</f>
        <v>200</v>
      </c>
      <c r="H960" s="725">
        <f>H959</f>
        <v>199</v>
      </c>
      <c r="I960" s="710">
        <f>(H960/G960)*100</f>
        <v>99.5</v>
      </c>
    </row>
    <row r="961" spans="1:14" ht="13.5" thickTop="1" x14ac:dyDescent="0.2">
      <c r="K961" s="755"/>
      <c r="L961" s="755"/>
      <c r="M961" s="755"/>
      <c r="N961" s="421"/>
    </row>
    <row r="962" spans="1:14" x14ac:dyDescent="0.2">
      <c r="K962" s="755"/>
      <c r="L962" s="755"/>
      <c r="M962" s="755"/>
      <c r="N962" s="421"/>
    </row>
    <row r="963" spans="1:14" s="504" customFormat="1" ht="13.5" thickBot="1" x14ac:dyDescent="0.25">
      <c r="A963" s="421" t="s">
        <v>968</v>
      </c>
      <c r="B963" s="598"/>
      <c r="D963" s="670"/>
      <c r="F963" s="467"/>
      <c r="G963" s="467"/>
      <c r="H963" s="467"/>
      <c r="I963" s="792" t="s">
        <v>148</v>
      </c>
    </row>
    <row r="964" spans="1:14" s="106" customFormat="1" ht="20.25" customHeight="1" thickTop="1" thickBot="1" x14ac:dyDescent="0.25">
      <c r="A964" s="626" t="s">
        <v>565</v>
      </c>
      <c r="B964" s="628" t="s">
        <v>149</v>
      </c>
      <c r="C964" s="627" t="s">
        <v>150</v>
      </c>
      <c r="D964" s="589" t="s">
        <v>639</v>
      </c>
      <c r="E964" s="629" t="s">
        <v>151</v>
      </c>
      <c r="F964" s="629" t="s">
        <v>152</v>
      </c>
      <c r="G964" s="629" t="s">
        <v>796</v>
      </c>
      <c r="H964" s="629" t="s">
        <v>797</v>
      </c>
      <c r="I964" s="674" t="s">
        <v>798</v>
      </c>
    </row>
    <row r="965" spans="1:14" s="375" customFormat="1" ht="13.5" thickTop="1" thickBot="1" x14ac:dyDescent="0.25">
      <c r="A965" s="974">
        <v>1</v>
      </c>
      <c r="B965" s="975">
        <v>2</v>
      </c>
      <c r="C965" s="975">
        <v>3</v>
      </c>
      <c r="D965" s="975">
        <v>4</v>
      </c>
      <c r="E965" s="526">
        <v>5</v>
      </c>
      <c r="F965" s="976">
        <v>6</v>
      </c>
      <c r="G965" s="976">
        <v>7</v>
      </c>
      <c r="H965" s="977">
        <v>8</v>
      </c>
      <c r="I965" s="978" t="s">
        <v>689</v>
      </c>
    </row>
    <row r="966" spans="1:14" s="504" customFormat="1" ht="16.5" thickTop="1" thickBot="1" x14ac:dyDescent="0.3">
      <c r="A966" s="986">
        <v>60004100114</v>
      </c>
      <c r="B966" s="809">
        <v>2212</v>
      </c>
      <c r="C966" s="987">
        <v>6121</v>
      </c>
      <c r="D966" s="810">
        <v>12</v>
      </c>
      <c r="E966" s="811" t="s">
        <v>548</v>
      </c>
      <c r="F966" s="736"/>
      <c r="G966" s="989">
        <v>1538</v>
      </c>
      <c r="H966" s="736">
        <v>1537</v>
      </c>
      <c r="I966" s="990">
        <f>(H966/G966)*100</f>
        <v>99.934980494148235</v>
      </c>
    </row>
    <row r="967" spans="1:14" s="504" customFormat="1" ht="18" customHeight="1" thickTop="1" thickBot="1" x14ac:dyDescent="0.3">
      <c r="A967" s="3127" t="s">
        <v>224</v>
      </c>
      <c r="B967" s="3126"/>
      <c r="C967" s="3126"/>
      <c r="D967" s="3126"/>
      <c r="E967" s="3126"/>
      <c r="F967" s="725">
        <f>F966</f>
        <v>0</v>
      </c>
      <c r="G967" s="725">
        <f>G966</f>
        <v>1538</v>
      </c>
      <c r="H967" s="725">
        <f>H966</f>
        <v>1537</v>
      </c>
      <c r="I967" s="710">
        <f>(H967/G967)*100</f>
        <v>99.934980494148235</v>
      </c>
    </row>
    <row r="968" spans="1:14" ht="13.5" thickTop="1" x14ac:dyDescent="0.2">
      <c r="K968" s="755"/>
      <c r="L968" s="755"/>
      <c r="M968" s="755"/>
      <c r="N968" s="421"/>
    </row>
    <row r="969" spans="1:14" x14ac:dyDescent="0.2">
      <c r="K969" s="755"/>
      <c r="L969" s="755"/>
      <c r="M969" s="755"/>
      <c r="N969" s="421"/>
    </row>
    <row r="970" spans="1:14" s="504" customFormat="1" ht="13.5" thickBot="1" x14ac:dyDescent="0.25">
      <c r="A970" s="421" t="s">
        <v>27</v>
      </c>
      <c r="B970" s="598"/>
      <c r="D970" s="670"/>
      <c r="F970" s="467"/>
      <c r="G970" s="467"/>
      <c r="H970" s="467"/>
      <c r="I970" s="792" t="s">
        <v>148</v>
      </c>
    </row>
    <row r="971" spans="1:14" s="106" customFormat="1" ht="20.25" customHeight="1" thickTop="1" thickBot="1" x14ac:dyDescent="0.25">
      <c r="A971" s="626" t="s">
        <v>565</v>
      </c>
      <c r="B971" s="628" t="s">
        <v>149</v>
      </c>
      <c r="C971" s="627" t="s">
        <v>150</v>
      </c>
      <c r="D971" s="589" t="s">
        <v>639</v>
      </c>
      <c r="E971" s="629" t="s">
        <v>151</v>
      </c>
      <c r="F971" s="629" t="s">
        <v>152</v>
      </c>
      <c r="G971" s="629" t="s">
        <v>796</v>
      </c>
      <c r="H971" s="629" t="s">
        <v>797</v>
      </c>
      <c r="I971" s="674" t="s">
        <v>798</v>
      </c>
    </row>
    <row r="972" spans="1:14" s="375" customFormat="1" ht="13.5" thickTop="1" thickBot="1" x14ac:dyDescent="0.25">
      <c r="A972" s="974">
        <v>1</v>
      </c>
      <c r="B972" s="975">
        <v>2</v>
      </c>
      <c r="C972" s="975">
        <v>3</v>
      </c>
      <c r="D972" s="975">
        <v>4</v>
      </c>
      <c r="E972" s="526">
        <v>5</v>
      </c>
      <c r="F972" s="976">
        <v>6</v>
      </c>
      <c r="G972" s="976">
        <v>7</v>
      </c>
      <c r="H972" s="977">
        <v>8</v>
      </c>
      <c r="I972" s="978" t="s">
        <v>689</v>
      </c>
    </row>
    <row r="973" spans="1:14" s="504" customFormat="1" ht="16.5" thickTop="1" thickBot="1" x14ac:dyDescent="0.3">
      <c r="A973" s="986">
        <v>60004100115</v>
      </c>
      <c r="B973" s="809">
        <v>2212</v>
      </c>
      <c r="C973" s="987">
        <v>6121</v>
      </c>
      <c r="D973" s="810">
        <v>12</v>
      </c>
      <c r="E973" s="811" t="s">
        <v>548</v>
      </c>
      <c r="F973" s="736"/>
      <c r="G973" s="989">
        <v>1437</v>
      </c>
      <c r="H973" s="736">
        <v>1436</v>
      </c>
      <c r="I973" s="990">
        <f>(H973/G973)*100</f>
        <v>99.930410577592212</v>
      </c>
    </row>
    <row r="974" spans="1:14" s="504" customFormat="1" ht="18" customHeight="1" thickTop="1" thickBot="1" x14ac:dyDescent="0.3">
      <c r="A974" s="3127" t="s">
        <v>224</v>
      </c>
      <c r="B974" s="3126"/>
      <c r="C974" s="3126"/>
      <c r="D974" s="3126"/>
      <c r="E974" s="3126"/>
      <c r="F974" s="725">
        <f>F973</f>
        <v>0</v>
      </c>
      <c r="G974" s="725">
        <f>G973</f>
        <v>1437</v>
      </c>
      <c r="H974" s="725">
        <f>H973</f>
        <v>1436</v>
      </c>
      <c r="I974" s="710">
        <f>(H974/G974)*100</f>
        <v>99.930410577592212</v>
      </c>
    </row>
    <row r="975" spans="1:14" ht="13.5" thickTop="1" x14ac:dyDescent="0.2">
      <c r="K975" s="755"/>
      <c r="L975" s="755"/>
      <c r="M975" s="755"/>
      <c r="N975" s="421"/>
    </row>
    <row r="976" spans="1:14" x14ac:dyDescent="0.2">
      <c r="K976" s="755"/>
      <c r="L976" s="755"/>
      <c r="M976" s="755"/>
      <c r="N976" s="421"/>
    </row>
    <row r="977" spans="1:14" s="504" customFormat="1" ht="13.5" thickBot="1" x14ac:dyDescent="0.25">
      <c r="A977" s="421" t="s">
        <v>252</v>
      </c>
      <c r="B977" s="598"/>
      <c r="D977" s="670"/>
      <c r="F977" s="467"/>
      <c r="G977" s="467"/>
      <c r="H977" s="467"/>
      <c r="I977" s="792" t="s">
        <v>148</v>
      </c>
    </row>
    <row r="978" spans="1:14" s="106" customFormat="1" ht="20.25" customHeight="1" thickTop="1" thickBot="1" x14ac:dyDescent="0.25">
      <c r="A978" s="626" t="s">
        <v>565</v>
      </c>
      <c r="B978" s="628" t="s">
        <v>149</v>
      </c>
      <c r="C978" s="627" t="s">
        <v>150</v>
      </c>
      <c r="D978" s="589" t="s">
        <v>639</v>
      </c>
      <c r="E978" s="629" t="s">
        <v>151</v>
      </c>
      <c r="F978" s="629" t="s">
        <v>152</v>
      </c>
      <c r="G978" s="629" t="s">
        <v>796</v>
      </c>
      <c r="H978" s="629" t="s">
        <v>797</v>
      </c>
      <c r="I978" s="674" t="s">
        <v>798</v>
      </c>
    </row>
    <row r="979" spans="1:14" s="375" customFormat="1" ht="13.5" thickTop="1" thickBot="1" x14ac:dyDescent="0.25">
      <c r="A979" s="974">
        <v>1</v>
      </c>
      <c r="B979" s="975">
        <v>2</v>
      </c>
      <c r="C979" s="975">
        <v>3</v>
      </c>
      <c r="D979" s="975">
        <v>4</v>
      </c>
      <c r="E979" s="526">
        <v>5</v>
      </c>
      <c r="F979" s="976">
        <v>6</v>
      </c>
      <c r="G979" s="976">
        <v>7</v>
      </c>
      <c r="H979" s="977">
        <v>8</v>
      </c>
      <c r="I979" s="978" t="s">
        <v>689</v>
      </c>
    </row>
    <row r="980" spans="1:14" s="504" customFormat="1" ht="16.5" thickTop="1" thickBot="1" x14ac:dyDescent="0.3">
      <c r="A980" s="986">
        <v>60004100130</v>
      </c>
      <c r="B980" s="809">
        <v>2212</v>
      </c>
      <c r="C980" s="987">
        <v>5166</v>
      </c>
      <c r="D980" s="810">
        <v>12</v>
      </c>
      <c r="E980" s="811" t="s">
        <v>548</v>
      </c>
      <c r="F980" s="736">
        <v>1000</v>
      </c>
      <c r="G980" s="989">
        <v>8</v>
      </c>
      <c r="H980" s="736">
        <v>0</v>
      </c>
      <c r="I980" s="990">
        <f>(H980/G980)*100</f>
        <v>0</v>
      </c>
    </row>
    <row r="981" spans="1:14" s="504" customFormat="1" ht="18" customHeight="1" thickTop="1" thickBot="1" x14ac:dyDescent="0.3">
      <c r="A981" s="3127" t="s">
        <v>225</v>
      </c>
      <c r="B981" s="3126"/>
      <c r="C981" s="3126"/>
      <c r="D981" s="3126"/>
      <c r="E981" s="3126"/>
      <c r="F981" s="725">
        <f>F980</f>
        <v>1000</v>
      </c>
      <c r="G981" s="725">
        <f>G980</f>
        <v>8</v>
      </c>
      <c r="H981" s="725">
        <f>H980</f>
        <v>0</v>
      </c>
      <c r="I981" s="710">
        <f>(H981/G981)*100</f>
        <v>0</v>
      </c>
    </row>
    <row r="982" spans="1:14" ht="13.5" thickTop="1" x14ac:dyDescent="0.2">
      <c r="K982" s="755"/>
      <c r="L982" s="755"/>
      <c r="M982" s="755"/>
      <c r="N982" s="421"/>
    </row>
    <row r="983" spans="1:14" x14ac:dyDescent="0.2">
      <c r="K983" s="755"/>
      <c r="L983" s="755"/>
      <c r="M983" s="755"/>
      <c r="N983" s="421"/>
    </row>
    <row r="984" spans="1:14" s="504" customFormat="1" ht="13.5" thickBot="1" x14ac:dyDescent="0.25">
      <c r="A984" s="421" t="s">
        <v>253</v>
      </c>
      <c r="B984" s="598"/>
      <c r="D984" s="670"/>
      <c r="F984" s="467"/>
      <c r="G984" s="467"/>
      <c r="H984" s="467"/>
      <c r="I984" s="792" t="s">
        <v>148</v>
      </c>
    </row>
    <row r="985" spans="1:14" s="106" customFormat="1" ht="20.25" customHeight="1" thickTop="1" thickBot="1" x14ac:dyDescent="0.25">
      <c r="A985" s="626" t="s">
        <v>565</v>
      </c>
      <c r="B985" s="628" t="s">
        <v>149</v>
      </c>
      <c r="C985" s="627" t="s">
        <v>150</v>
      </c>
      <c r="D985" s="589" t="s">
        <v>639</v>
      </c>
      <c r="E985" s="629" t="s">
        <v>151</v>
      </c>
      <c r="F985" s="629" t="s">
        <v>152</v>
      </c>
      <c r="G985" s="629" t="s">
        <v>796</v>
      </c>
      <c r="H985" s="629" t="s">
        <v>797</v>
      </c>
      <c r="I985" s="674" t="s">
        <v>798</v>
      </c>
    </row>
    <row r="986" spans="1:14" s="375" customFormat="1" ht="13.5" thickTop="1" thickBot="1" x14ac:dyDescent="0.25">
      <c r="A986" s="974">
        <v>1</v>
      </c>
      <c r="B986" s="975">
        <v>2</v>
      </c>
      <c r="C986" s="975">
        <v>3</v>
      </c>
      <c r="D986" s="975">
        <v>4</v>
      </c>
      <c r="E986" s="526">
        <v>5</v>
      </c>
      <c r="F986" s="976">
        <v>6</v>
      </c>
      <c r="G986" s="976">
        <v>7</v>
      </c>
      <c r="H986" s="977">
        <v>8</v>
      </c>
      <c r="I986" s="978" t="s">
        <v>689</v>
      </c>
    </row>
    <row r="987" spans="1:14" s="504" customFormat="1" ht="16.5" thickTop="1" thickBot="1" x14ac:dyDescent="0.3">
      <c r="A987" s="986">
        <v>60004100139</v>
      </c>
      <c r="B987" s="809">
        <v>2212</v>
      </c>
      <c r="C987" s="987">
        <v>5169</v>
      </c>
      <c r="D987" s="810">
        <v>805</v>
      </c>
      <c r="E987" s="811" t="s">
        <v>769</v>
      </c>
      <c r="F987" s="736"/>
      <c r="G987" s="989">
        <v>53</v>
      </c>
      <c r="H987" s="736">
        <v>53</v>
      </c>
      <c r="I987" s="990">
        <f>(H987/G987)*100</f>
        <v>100</v>
      </c>
    </row>
    <row r="988" spans="1:14" s="504" customFormat="1" ht="16.5" thickTop="1" thickBot="1" x14ac:dyDescent="0.3">
      <c r="A988" s="3110" t="s">
        <v>225</v>
      </c>
      <c r="B988" s="3111"/>
      <c r="C988" s="3111"/>
      <c r="D988" s="3111"/>
      <c r="E988" s="3111"/>
      <c r="F988" s="736">
        <v>0</v>
      </c>
      <c r="G988" s="736">
        <f>G987</f>
        <v>53</v>
      </c>
      <c r="H988" s="736">
        <f>H987</f>
        <v>53</v>
      </c>
      <c r="I988" s="990">
        <f>(H988/G988)*100</f>
        <v>100</v>
      </c>
    </row>
    <row r="989" spans="1:14" s="504" customFormat="1" ht="16.5" thickTop="1" thickBot="1" x14ac:dyDescent="0.3">
      <c r="A989" s="808">
        <v>60004100139</v>
      </c>
      <c r="B989" s="1012">
        <v>2212</v>
      </c>
      <c r="C989" s="1012">
        <v>6121</v>
      </c>
      <c r="D989" s="1013">
        <v>805</v>
      </c>
      <c r="E989" s="1014" t="s">
        <v>548</v>
      </c>
      <c r="F989" s="1015"/>
      <c r="G989" s="1015">
        <v>16298</v>
      </c>
      <c r="H989" s="1015">
        <v>16298</v>
      </c>
      <c r="I989" s="990">
        <f>(H989/G989)*100</f>
        <v>100</v>
      </c>
    </row>
    <row r="990" spans="1:14" s="504" customFormat="1" ht="18" customHeight="1" thickTop="1" thickBot="1" x14ac:dyDescent="0.3">
      <c r="A990" s="3127" t="s">
        <v>224</v>
      </c>
      <c r="B990" s="3126"/>
      <c r="C990" s="3126"/>
      <c r="D990" s="3126"/>
      <c r="E990" s="3126"/>
      <c r="F990" s="725">
        <f>F987</f>
        <v>0</v>
      </c>
      <c r="G990" s="725">
        <f>G989</f>
        <v>16298</v>
      </c>
      <c r="H990" s="725">
        <f>H989</f>
        <v>16298</v>
      </c>
      <c r="I990" s="710">
        <f>(H990/G990)*100</f>
        <v>100</v>
      </c>
    </row>
    <row r="991" spans="1:14" ht="13.5" thickTop="1" x14ac:dyDescent="0.2">
      <c r="K991" s="755"/>
      <c r="L991" s="755"/>
      <c r="M991" s="755"/>
      <c r="N991" s="421"/>
    </row>
    <row r="992" spans="1:14" x14ac:dyDescent="0.2">
      <c r="K992" s="755"/>
      <c r="L992" s="755"/>
      <c r="M992" s="755"/>
      <c r="N992" s="421"/>
    </row>
    <row r="993" spans="1:14" s="504" customFormat="1" ht="13.5" thickBot="1" x14ac:dyDescent="0.25">
      <c r="A993" s="421" t="s">
        <v>254</v>
      </c>
      <c r="B993" s="598"/>
      <c r="D993" s="670"/>
      <c r="F993" s="467"/>
      <c r="G993" s="467"/>
      <c r="H993" s="467"/>
      <c r="I993" s="792" t="s">
        <v>148</v>
      </c>
    </row>
    <row r="994" spans="1:14" s="106" customFormat="1" ht="20.25" customHeight="1" thickTop="1" thickBot="1" x14ac:dyDescent="0.25">
      <c r="A994" s="626" t="s">
        <v>565</v>
      </c>
      <c r="B994" s="628" t="s">
        <v>149</v>
      </c>
      <c r="C994" s="627" t="s">
        <v>150</v>
      </c>
      <c r="D994" s="589" t="s">
        <v>639</v>
      </c>
      <c r="E994" s="629" t="s">
        <v>151</v>
      </c>
      <c r="F994" s="629" t="s">
        <v>152</v>
      </c>
      <c r="G994" s="629" t="s">
        <v>796</v>
      </c>
      <c r="H994" s="629" t="s">
        <v>797</v>
      </c>
      <c r="I994" s="674" t="s">
        <v>798</v>
      </c>
    </row>
    <row r="995" spans="1:14" s="375" customFormat="1" ht="13.5" thickTop="1" thickBot="1" x14ac:dyDescent="0.25">
      <c r="A995" s="974">
        <v>1</v>
      </c>
      <c r="B995" s="975">
        <v>2</v>
      </c>
      <c r="C995" s="975">
        <v>3</v>
      </c>
      <c r="D995" s="975">
        <v>4</v>
      </c>
      <c r="E995" s="526">
        <v>5</v>
      </c>
      <c r="F995" s="976">
        <v>6</v>
      </c>
      <c r="G995" s="976">
        <v>7</v>
      </c>
      <c r="H995" s="977">
        <v>8</v>
      </c>
      <c r="I995" s="978" t="s">
        <v>689</v>
      </c>
    </row>
    <row r="996" spans="1:14" s="504" customFormat="1" ht="16.5" thickTop="1" thickBot="1" x14ac:dyDescent="0.3">
      <c r="A996" s="986">
        <v>60004100290</v>
      </c>
      <c r="B996" s="809">
        <v>2212</v>
      </c>
      <c r="C996" s="987">
        <v>6121</v>
      </c>
      <c r="D996" s="810">
        <v>870</v>
      </c>
      <c r="E996" s="811" t="s">
        <v>548</v>
      </c>
      <c r="F996" s="736"/>
      <c r="G996" s="989">
        <v>11029</v>
      </c>
      <c r="H996" s="736">
        <v>11007</v>
      </c>
      <c r="I996" s="990">
        <f>(H996/G996)*100</f>
        <v>99.800525886299752</v>
      </c>
    </row>
    <row r="997" spans="1:14" s="504" customFormat="1" ht="18" customHeight="1" thickTop="1" thickBot="1" x14ac:dyDescent="0.3">
      <c r="A997" s="3127" t="s">
        <v>224</v>
      </c>
      <c r="B997" s="3126"/>
      <c r="C997" s="3126"/>
      <c r="D997" s="3126"/>
      <c r="E997" s="3126"/>
      <c r="F997" s="725">
        <f>F996</f>
        <v>0</v>
      </c>
      <c r="G997" s="725">
        <f>G996</f>
        <v>11029</v>
      </c>
      <c r="H997" s="725">
        <f>H996</f>
        <v>11007</v>
      </c>
      <c r="I997" s="710">
        <f>(H997/G997)*100</f>
        <v>99.800525886299752</v>
      </c>
    </row>
    <row r="998" spans="1:14" ht="13.5" thickTop="1" x14ac:dyDescent="0.2">
      <c r="K998" s="755"/>
      <c r="L998" s="755"/>
      <c r="M998" s="755"/>
      <c r="N998" s="421"/>
    </row>
    <row r="999" spans="1:14" x14ac:dyDescent="0.2">
      <c r="K999" s="755"/>
      <c r="L999" s="755"/>
      <c r="M999" s="755"/>
      <c r="N999" s="421"/>
    </row>
    <row r="1000" spans="1:14" x14ac:dyDescent="0.2">
      <c r="K1000" s="755"/>
      <c r="L1000" s="755"/>
      <c r="M1000" s="755"/>
      <c r="N1000" s="421"/>
    </row>
    <row r="1001" spans="1:14" x14ac:dyDescent="0.2">
      <c r="K1001" s="755"/>
      <c r="L1001" s="755"/>
      <c r="M1001" s="755"/>
      <c r="N1001" s="421"/>
    </row>
    <row r="1002" spans="1:14" s="504" customFormat="1" ht="13.5" thickBot="1" x14ac:dyDescent="0.25">
      <c r="A1002" s="421" t="s">
        <v>255</v>
      </c>
      <c r="B1002" s="598"/>
      <c r="D1002" s="670"/>
      <c r="F1002" s="467"/>
      <c r="G1002" s="467"/>
      <c r="H1002" s="467"/>
      <c r="I1002" s="792" t="s">
        <v>148</v>
      </c>
    </row>
    <row r="1003" spans="1:14" s="106" customFormat="1" ht="20.25" customHeight="1" thickTop="1" thickBot="1" x14ac:dyDescent="0.25">
      <c r="A1003" s="626" t="s">
        <v>565</v>
      </c>
      <c r="B1003" s="628" t="s">
        <v>149</v>
      </c>
      <c r="C1003" s="627" t="s">
        <v>150</v>
      </c>
      <c r="D1003" s="589" t="s">
        <v>639</v>
      </c>
      <c r="E1003" s="629" t="s">
        <v>151</v>
      </c>
      <c r="F1003" s="629" t="s">
        <v>152</v>
      </c>
      <c r="G1003" s="629" t="s">
        <v>796</v>
      </c>
      <c r="H1003" s="629" t="s">
        <v>797</v>
      </c>
      <c r="I1003" s="674" t="s">
        <v>798</v>
      </c>
    </row>
    <row r="1004" spans="1:14" s="375" customFormat="1" ht="13.5" thickTop="1" thickBot="1" x14ac:dyDescent="0.25">
      <c r="A1004" s="974">
        <v>1</v>
      </c>
      <c r="B1004" s="975">
        <v>2</v>
      </c>
      <c r="C1004" s="975">
        <v>3</v>
      </c>
      <c r="D1004" s="975">
        <v>4</v>
      </c>
      <c r="E1004" s="526">
        <v>5</v>
      </c>
      <c r="F1004" s="976">
        <v>6</v>
      </c>
      <c r="G1004" s="976">
        <v>7</v>
      </c>
      <c r="H1004" s="977">
        <v>8</v>
      </c>
      <c r="I1004" s="978" t="s">
        <v>689</v>
      </c>
    </row>
    <row r="1005" spans="1:14" s="504" customFormat="1" ht="16.5" thickTop="1" thickBot="1" x14ac:dyDescent="0.3">
      <c r="A1005" s="986">
        <v>60004100291</v>
      </c>
      <c r="B1005" s="809">
        <v>2212</v>
      </c>
      <c r="C1005" s="987">
        <v>6121</v>
      </c>
      <c r="D1005" s="810">
        <v>870</v>
      </c>
      <c r="E1005" s="811" t="s">
        <v>548</v>
      </c>
      <c r="F1005" s="736"/>
      <c r="G1005" s="989">
        <v>8280</v>
      </c>
      <c r="H1005" s="736">
        <v>8219</v>
      </c>
      <c r="I1005" s="990">
        <f>(H1005/G1005)*100</f>
        <v>99.263285024154584</v>
      </c>
    </row>
    <row r="1006" spans="1:14" s="504" customFormat="1" ht="18" customHeight="1" thickTop="1" thickBot="1" x14ac:dyDescent="0.3">
      <c r="A1006" s="3127" t="s">
        <v>224</v>
      </c>
      <c r="B1006" s="3126"/>
      <c r="C1006" s="3126"/>
      <c r="D1006" s="3126"/>
      <c r="E1006" s="3126"/>
      <c r="F1006" s="725">
        <f>F1005</f>
        <v>0</v>
      </c>
      <c r="G1006" s="725">
        <f>G1005</f>
        <v>8280</v>
      </c>
      <c r="H1006" s="725">
        <f>H1005</f>
        <v>8219</v>
      </c>
      <c r="I1006" s="710">
        <f>(H1006/G1006)*100</f>
        <v>99.263285024154584</v>
      </c>
    </row>
    <row r="1007" spans="1:14" ht="13.5" thickTop="1" x14ac:dyDescent="0.2">
      <c r="K1007" s="755"/>
      <c r="L1007" s="755"/>
      <c r="M1007" s="755"/>
      <c r="N1007" s="421"/>
    </row>
    <row r="1008" spans="1:14" x14ac:dyDescent="0.2">
      <c r="K1008" s="755"/>
      <c r="L1008" s="755"/>
      <c r="M1008" s="755"/>
      <c r="N1008" s="421"/>
    </row>
    <row r="1009" spans="1:14" s="504" customFormat="1" ht="13.5" thickBot="1" x14ac:dyDescent="0.25">
      <c r="A1009" s="421" t="s">
        <v>256</v>
      </c>
      <c r="B1009" s="598"/>
      <c r="D1009" s="670"/>
      <c r="F1009" s="467"/>
      <c r="G1009" s="467"/>
      <c r="H1009" s="467"/>
      <c r="I1009" s="792" t="s">
        <v>148</v>
      </c>
    </row>
    <row r="1010" spans="1:14" s="106" customFormat="1" ht="20.25" customHeight="1" thickTop="1" thickBot="1" x14ac:dyDescent="0.25">
      <c r="A1010" s="626" t="s">
        <v>565</v>
      </c>
      <c r="B1010" s="628" t="s">
        <v>149</v>
      </c>
      <c r="C1010" s="627" t="s">
        <v>150</v>
      </c>
      <c r="D1010" s="589" t="s">
        <v>639</v>
      </c>
      <c r="E1010" s="629" t="s">
        <v>151</v>
      </c>
      <c r="F1010" s="629" t="s">
        <v>152</v>
      </c>
      <c r="G1010" s="629" t="s">
        <v>796</v>
      </c>
      <c r="H1010" s="629" t="s">
        <v>797</v>
      </c>
      <c r="I1010" s="674" t="s">
        <v>798</v>
      </c>
    </row>
    <row r="1011" spans="1:14" s="375" customFormat="1" ht="13.5" thickTop="1" thickBot="1" x14ac:dyDescent="0.25">
      <c r="A1011" s="974">
        <v>1</v>
      </c>
      <c r="B1011" s="975">
        <v>2</v>
      </c>
      <c r="C1011" s="975">
        <v>3</v>
      </c>
      <c r="D1011" s="975">
        <v>4</v>
      </c>
      <c r="E1011" s="526">
        <v>5</v>
      </c>
      <c r="F1011" s="976">
        <v>6</v>
      </c>
      <c r="G1011" s="976">
        <v>7</v>
      </c>
      <c r="H1011" s="977">
        <v>8</v>
      </c>
      <c r="I1011" s="978" t="s">
        <v>689</v>
      </c>
    </row>
    <row r="1012" spans="1:14" s="504" customFormat="1" ht="16.5" thickTop="1" thickBot="1" x14ac:dyDescent="0.3">
      <c r="A1012" s="986">
        <v>60004100292</v>
      </c>
      <c r="B1012" s="809">
        <v>2212</v>
      </c>
      <c r="C1012" s="987">
        <v>6121</v>
      </c>
      <c r="D1012" s="810">
        <v>870</v>
      </c>
      <c r="E1012" s="811" t="s">
        <v>548</v>
      </c>
      <c r="F1012" s="736"/>
      <c r="G1012" s="989">
        <v>7607</v>
      </c>
      <c r="H1012" s="736">
        <v>5389</v>
      </c>
      <c r="I1012" s="990">
        <f>(H1012/G1012)*100</f>
        <v>70.842644932299208</v>
      </c>
    </row>
    <row r="1013" spans="1:14" s="504" customFormat="1" ht="18" customHeight="1" thickTop="1" thickBot="1" x14ac:dyDescent="0.3">
      <c r="A1013" s="3127" t="s">
        <v>224</v>
      </c>
      <c r="B1013" s="3126"/>
      <c r="C1013" s="3126"/>
      <c r="D1013" s="3126"/>
      <c r="E1013" s="3126"/>
      <c r="F1013" s="725">
        <f>F1012</f>
        <v>0</v>
      </c>
      <c r="G1013" s="725">
        <f>G1012</f>
        <v>7607</v>
      </c>
      <c r="H1013" s="725">
        <f>H1012</f>
        <v>5389</v>
      </c>
      <c r="I1013" s="710">
        <f>(H1013/G1013)*100</f>
        <v>70.842644932299208</v>
      </c>
    </row>
    <row r="1014" spans="1:14" ht="13.5" thickTop="1" x14ac:dyDescent="0.2">
      <c r="K1014" s="755"/>
      <c r="L1014" s="755"/>
      <c r="M1014" s="755"/>
      <c r="N1014" s="421"/>
    </row>
    <row r="1015" spans="1:14" x14ac:dyDescent="0.2">
      <c r="K1015" s="755"/>
      <c r="L1015" s="755"/>
      <c r="M1015" s="755"/>
      <c r="N1015" s="421"/>
    </row>
    <row r="1016" spans="1:14" s="504" customFormat="1" ht="13.5" thickBot="1" x14ac:dyDescent="0.25">
      <c r="A1016" s="421" t="s">
        <v>257</v>
      </c>
      <c r="B1016" s="598"/>
      <c r="D1016" s="670"/>
      <c r="F1016" s="467"/>
      <c r="G1016" s="467"/>
      <c r="H1016" s="467"/>
      <c r="I1016" s="792" t="s">
        <v>148</v>
      </c>
    </row>
    <row r="1017" spans="1:14" s="106" customFormat="1" ht="20.25" customHeight="1" thickTop="1" thickBot="1" x14ac:dyDescent="0.25">
      <c r="A1017" s="626" t="s">
        <v>565</v>
      </c>
      <c r="B1017" s="628" t="s">
        <v>149</v>
      </c>
      <c r="C1017" s="627" t="s">
        <v>150</v>
      </c>
      <c r="D1017" s="589" t="s">
        <v>639</v>
      </c>
      <c r="E1017" s="629" t="s">
        <v>151</v>
      </c>
      <c r="F1017" s="629" t="s">
        <v>152</v>
      </c>
      <c r="G1017" s="629" t="s">
        <v>796</v>
      </c>
      <c r="H1017" s="629" t="s">
        <v>797</v>
      </c>
      <c r="I1017" s="674" t="s">
        <v>798</v>
      </c>
    </row>
    <row r="1018" spans="1:14" s="375" customFormat="1" ht="13.5" thickTop="1" thickBot="1" x14ac:dyDescent="0.25">
      <c r="A1018" s="974">
        <v>1</v>
      </c>
      <c r="B1018" s="975">
        <v>2</v>
      </c>
      <c r="C1018" s="975">
        <v>3</v>
      </c>
      <c r="D1018" s="975">
        <v>4</v>
      </c>
      <c r="E1018" s="526">
        <v>5</v>
      </c>
      <c r="F1018" s="976">
        <v>6</v>
      </c>
      <c r="G1018" s="976">
        <v>7</v>
      </c>
      <c r="H1018" s="977">
        <v>8</v>
      </c>
      <c r="I1018" s="978" t="s">
        <v>689</v>
      </c>
    </row>
    <row r="1019" spans="1:14" s="504" customFormat="1" ht="16.5" thickTop="1" thickBot="1" x14ac:dyDescent="0.3">
      <c r="A1019" s="986">
        <v>60004100341</v>
      </c>
      <c r="B1019" s="809">
        <v>2212</v>
      </c>
      <c r="C1019" s="987">
        <v>5171</v>
      </c>
      <c r="D1019" s="810">
        <v>12</v>
      </c>
      <c r="E1019" s="811" t="s">
        <v>811</v>
      </c>
      <c r="F1019" s="736"/>
      <c r="G1019" s="989">
        <v>441</v>
      </c>
      <c r="H1019" s="736">
        <v>441</v>
      </c>
      <c r="I1019" s="990">
        <f>(H1019/G1019)*100</f>
        <v>100</v>
      </c>
    </row>
    <row r="1020" spans="1:14" s="504" customFormat="1" ht="18" customHeight="1" thickTop="1" thickBot="1" x14ac:dyDescent="0.3">
      <c r="A1020" s="3127" t="s">
        <v>225</v>
      </c>
      <c r="B1020" s="3126"/>
      <c r="C1020" s="3126"/>
      <c r="D1020" s="3126"/>
      <c r="E1020" s="3126"/>
      <c r="F1020" s="725">
        <f>F1019</f>
        <v>0</v>
      </c>
      <c r="G1020" s="725">
        <f>G1019</f>
        <v>441</v>
      </c>
      <c r="H1020" s="725">
        <f>H1019</f>
        <v>441</v>
      </c>
      <c r="I1020" s="710">
        <f>(H1020/G1020)*100</f>
        <v>100</v>
      </c>
    </row>
    <row r="1021" spans="1:14" ht="13.5" thickTop="1" x14ac:dyDescent="0.2">
      <c r="K1021" s="755"/>
      <c r="L1021" s="755"/>
      <c r="M1021" s="755"/>
      <c r="N1021" s="421"/>
    </row>
    <row r="1022" spans="1:14" x14ac:dyDescent="0.2">
      <c r="K1022" s="755"/>
      <c r="L1022" s="755"/>
      <c r="M1022" s="755"/>
      <c r="N1022" s="421"/>
    </row>
    <row r="1023" spans="1:14" s="504" customFormat="1" ht="13.5" thickBot="1" x14ac:dyDescent="0.25">
      <c r="A1023" s="421" t="s">
        <v>258</v>
      </c>
      <c r="B1023" s="598"/>
      <c r="D1023" s="670"/>
      <c r="F1023" s="467"/>
      <c r="G1023" s="467"/>
      <c r="H1023" s="467"/>
      <c r="I1023" s="792" t="s">
        <v>148</v>
      </c>
    </row>
    <row r="1024" spans="1:14" s="106" customFormat="1" ht="20.25" customHeight="1" thickTop="1" thickBot="1" x14ac:dyDescent="0.25">
      <c r="A1024" s="626" t="s">
        <v>565</v>
      </c>
      <c r="B1024" s="628" t="s">
        <v>149</v>
      </c>
      <c r="C1024" s="627" t="s">
        <v>150</v>
      </c>
      <c r="D1024" s="589" t="s">
        <v>639</v>
      </c>
      <c r="E1024" s="629" t="s">
        <v>151</v>
      </c>
      <c r="F1024" s="629" t="s">
        <v>152</v>
      </c>
      <c r="G1024" s="629" t="s">
        <v>796</v>
      </c>
      <c r="H1024" s="629" t="s">
        <v>797</v>
      </c>
      <c r="I1024" s="674" t="s">
        <v>798</v>
      </c>
    </row>
    <row r="1025" spans="1:14" s="375" customFormat="1" ht="13.5" thickTop="1" thickBot="1" x14ac:dyDescent="0.25">
      <c r="A1025" s="974">
        <v>1</v>
      </c>
      <c r="B1025" s="975">
        <v>2</v>
      </c>
      <c r="C1025" s="975">
        <v>3</v>
      </c>
      <c r="D1025" s="975">
        <v>4</v>
      </c>
      <c r="E1025" s="526">
        <v>5</v>
      </c>
      <c r="F1025" s="976">
        <v>6</v>
      </c>
      <c r="G1025" s="976">
        <v>7</v>
      </c>
      <c r="H1025" s="977">
        <v>8</v>
      </c>
      <c r="I1025" s="978" t="s">
        <v>689</v>
      </c>
    </row>
    <row r="1026" spans="1:14" s="504" customFormat="1" ht="16.5" thickTop="1" thickBot="1" x14ac:dyDescent="0.3">
      <c r="A1026" s="986">
        <v>60004100342</v>
      </c>
      <c r="B1026" s="809">
        <v>2212</v>
      </c>
      <c r="C1026" s="987">
        <v>5171</v>
      </c>
      <c r="D1026" s="810">
        <v>12</v>
      </c>
      <c r="E1026" s="811" t="s">
        <v>811</v>
      </c>
      <c r="F1026" s="736"/>
      <c r="G1026" s="989">
        <v>10255</v>
      </c>
      <c r="H1026" s="736">
        <v>10243</v>
      </c>
      <c r="I1026" s="990">
        <f>(H1026/G1026)*100</f>
        <v>99.882983910287663</v>
      </c>
    </row>
    <row r="1027" spans="1:14" s="504" customFormat="1" ht="18" customHeight="1" thickTop="1" thickBot="1" x14ac:dyDescent="0.3">
      <c r="A1027" s="3127" t="s">
        <v>225</v>
      </c>
      <c r="B1027" s="3126"/>
      <c r="C1027" s="3126"/>
      <c r="D1027" s="3126"/>
      <c r="E1027" s="3126"/>
      <c r="F1027" s="725">
        <f>F1026</f>
        <v>0</v>
      </c>
      <c r="G1027" s="725">
        <f>G1026</f>
        <v>10255</v>
      </c>
      <c r="H1027" s="725">
        <f>H1026</f>
        <v>10243</v>
      </c>
      <c r="I1027" s="710">
        <f>(H1027/G1027)*100</f>
        <v>99.882983910287663</v>
      </c>
      <c r="K1027" s="467">
        <f>F772+F779+F786+F793+F800+F805+F812+F820+F835+F843+F850+F857+F864+F872+F880+F888+F896+F903+F907+F914+F921+F928+F939+F946+F953+F960+F967+F974+F981+F988+F990+F997+F1006+F1013+F1020+F1027</f>
        <v>106635</v>
      </c>
      <c r="L1027" s="467">
        <f>G772+G779+G786+G793+G800+G805+G812+G820+G827+G835+G843+G850+G857+G864+G872+G880+G888+G896+G903+G907+G914+G921+G928+G939+G946+G953+G960+G967+G974+G981+G988+G990+G997+G1006+G1013+G1020+G1027</f>
        <v>232034</v>
      </c>
      <c r="M1027" s="467">
        <f>H772+H779+H786+H793+H800+H805+H812+H820+H827+H835+H843+H850+H857+H864+H872+H880+H888+H896+H903+H907+H914+H921+H928+H939+H946+H953+H960+H967+H974+H981+H988+H990+H997+H1006+H1013+H1020+H1027</f>
        <v>227096</v>
      </c>
      <c r="N1027" s="504" t="s">
        <v>992</v>
      </c>
    </row>
    <row r="1028" spans="1:14" ht="13.5" thickTop="1" x14ac:dyDescent="0.2">
      <c r="K1028" s="755"/>
      <c r="L1028" s="755"/>
      <c r="M1028" s="755"/>
      <c r="N1028" s="421"/>
    </row>
    <row r="1029" spans="1:14" x14ac:dyDescent="0.2">
      <c r="K1029" s="755"/>
      <c r="L1029" s="755"/>
      <c r="M1029" s="755"/>
      <c r="N1029" s="421"/>
    </row>
    <row r="1030" spans="1:14" s="504" customFormat="1" ht="13.5" thickBot="1" x14ac:dyDescent="0.25">
      <c r="A1030" s="421" t="s">
        <v>259</v>
      </c>
      <c r="B1030" s="598"/>
      <c r="D1030" s="670"/>
      <c r="F1030" s="467"/>
      <c r="G1030" s="467"/>
      <c r="H1030" s="467"/>
      <c r="I1030" s="792" t="s">
        <v>148</v>
      </c>
    </row>
    <row r="1031" spans="1:14" s="106" customFormat="1" ht="20.25" customHeight="1" thickTop="1" thickBot="1" x14ac:dyDescent="0.25">
      <c r="A1031" s="626" t="s">
        <v>565</v>
      </c>
      <c r="B1031" s="628" t="s">
        <v>149</v>
      </c>
      <c r="C1031" s="627" t="s">
        <v>150</v>
      </c>
      <c r="D1031" s="589" t="s">
        <v>639</v>
      </c>
      <c r="E1031" s="629" t="s">
        <v>151</v>
      </c>
      <c r="F1031" s="629" t="s">
        <v>152</v>
      </c>
      <c r="G1031" s="629" t="s">
        <v>796</v>
      </c>
      <c r="H1031" s="629" t="s">
        <v>797</v>
      </c>
      <c r="I1031" s="674" t="s">
        <v>798</v>
      </c>
    </row>
    <row r="1032" spans="1:14" s="375" customFormat="1" ht="13.5" thickTop="1" thickBot="1" x14ac:dyDescent="0.25">
      <c r="A1032" s="974">
        <v>1</v>
      </c>
      <c r="B1032" s="975">
        <v>2</v>
      </c>
      <c r="C1032" s="975">
        <v>3</v>
      </c>
      <c r="D1032" s="975">
        <v>4</v>
      </c>
      <c r="E1032" s="526">
        <v>5</v>
      </c>
      <c r="F1032" s="976">
        <v>6</v>
      </c>
      <c r="G1032" s="976">
        <v>7</v>
      </c>
      <c r="H1032" s="977">
        <v>8</v>
      </c>
      <c r="I1032" s="978" t="s">
        <v>689</v>
      </c>
    </row>
    <row r="1033" spans="1:14" s="504" customFormat="1" ht="16.5" thickTop="1" thickBot="1" x14ac:dyDescent="0.3">
      <c r="A1033" s="986">
        <v>60005100072</v>
      </c>
      <c r="B1033" s="809">
        <v>3522</v>
      </c>
      <c r="C1033" s="987">
        <v>6121</v>
      </c>
      <c r="D1033" s="810">
        <v>25</v>
      </c>
      <c r="E1033" s="811" t="s">
        <v>548</v>
      </c>
      <c r="F1033" s="736">
        <v>1595</v>
      </c>
      <c r="G1033" s="989">
        <v>1595</v>
      </c>
      <c r="H1033" s="736">
        <v>1595</v>
      </c>
      <c r="I1033" s="990">
        <f>(H1033/G1033)*100</f>
        <v>100</v>
      </c>
    </row>
    <row r="1034" spans="1:14" s="504" customFormat="1" ht="18" customHeight="1" thickTop="1" thickBot="1" x14ac:dyDescent="0.3">
      <c r="A1034" s="3127" t="s">
        <v>224</v>
      </c>
      <c r="B1034" s="3126"/>
      <c r="C1034" s="3126"/>
      <c r="D1034" s="3126"/>
      <c r="E1034" s="3126"/>
      <c r="F1034" s="725">
        <f>F1033</f>
        <v>1595</v>
      </c>
      <c r="G1034" s="725">
        <f>G1033</f>
        <v>1595</v>
      </c>
      <c r="H1034" s="725">
        <f>H1033</f>
        <v>1595</v>
      </c>
      <c r="I1034" s="710">
        <f>(H1034/G1034)*100</f>
        <v>100</v>
      </c>
    </row>
    <row r="1035" spans="1:14" ht="13.5" thickTop="1" x14ac:dyDescent="0.2">
      <c r="K1035" s="755"/>
      <c r="L1035" s="755"/>
      <c r="M1035" s="755"/>
      <c r="N1035" s="421"/>
    </row>
    <row r="1036" spans="1:14" x14ac:dyDescent="0.2">
      <c r="K1036" s="755"/>
      <c r="L1036" s="755"/>
      <c r="M1036" s="755"/>
      <c r="N1036" s="421"/>
    </row>
    <row r="1037" spans="1:14" s="504" customFormat="1" ht="13.5" thickBot="1" x14ac:dyDescent="0.25">
      <c r="A1037" s="421" t="s">
        <v>260</v>
      </c>
      <c r="B1037" s="598"/>
      <c r="D1037" s="670"/>
      <c r="F1037" s="467"/>
      <c r="G1037" s="467"/>
      <c r="H1037" s="467"/>
      <c r="I1037" s="792" t="s">
        <v>148</v>
      </c>
    </row>
    <row r="1038" spans="1:14" s="106" customFormat="1" ht="20.25" customHeight="1" thickTop="1" thickBot="1" x14ac:dyDescent="0.25">
      <c r="A1038" s="626" t="s">
        <v>565</v>
      </c>
      <c r="B1038" s="628" t="s">
        <v>149</v>
      </c>
      <c r="C1038" s="627" t="s">
        <v>150</v>
      </c>
      <c r="D1038" s="589" t="s">
        <v>639</v>
      </c>
      <c r="E1038" s="629" t="s">
        <v>151</v>
      </c>
      <c r="F1038" s="629" t="s">
        <v>152</v>
      </c>
      <c r="G1038" s="629" t="s">
        <v>796</v>
      </c>
      <c r="H1038" s="629" t="s">
        <v>797</v>
      </c>
      <c r="I1038" s="674" t="s">
        <v>798</v>
      </c>
    </row>
    <row r="1039" spans="1:14" s="375" customFormat="1" ht="13.5" thickTop="1" thickBot="1" x14ac:dyDescent="0.25">
      <c r="A1039" s="974">
        <v>1</v>
      </c>
      <c r="B1039" s="975">
        <v>2</v>
      </c>
      <c r="C1039" s="975">
        <v>3</v>
      </c>
      <c r="D1039" s="975">
        <v>4</v>
      </c>
      <c r="E1039" s="526">
        <v>5</v>
      </c>
      <c r="F1039" s="976">
        <v>6</v>
      </c>
      <c r="G1039" s="976">
        <v>7</v>
      </c>
      <c r="H1039" s="977">
        <v>8</v>
      </c>
      <c r="I1039" s="978" t="s">
        <v>689</v>
      </c>
    </row>
    <row r="1040" spans="1:14" s="504" customFormat="1" ht="16.5" thickTop="1" thickBot="1" x14ac:dyDescent="0.3">
      <c r="A1040" s="986">
        <v>60005100080</v>
      </c>
      <c r="B1040" s="809">
        <v>3522</v>
      </c>
      <c r="C1040" s="987">
        <v>6121</v>
      </c>
      <c r="D1040" s="810">
        <v>14</v>
      </c>
      <c r="E1040" s="811" t="s">
        <v>548</v>
      </c>
      <c r="F1040" s="736">
        <v>1433</v>
      </c>
      <c r="G1040" s="989">
        <v>1800</v>
      </c>
      <c r="H1040" s="736">
        <v>1669</v>
      </c>
      <c r="I1040" s="990">
        <f>(H1040/G1040)*100</f>
        <v>92.722222222222214</v>
      </c>
    </row>
    <row r="1041" spans="1:14" s="504" customFormat="1" ht="18" customHeight="1" thickTop="1" thickBot="1" x14ac:dyDescent="0.3">
      <c r="A1041" s="3127" t="s">
        <v>224</v>
      </c>
      <c r="B1041" s="3126"/>
      <c r="C1041" s="3126"/>
      <c r="D1041" s="3126"/>
      <c r="E1041" s="3126"/>
      <c r="F1041" s="725">
        <f>F1040</f>
        <v>1433</v>
      </c>
      <c r="G1041" s="725">
        <f>G1040</f>
        <v>1800</v>
      </c>
      <c r="H1041" s="725">
        <f>H1040</f>
        <v>1669</v>
      </c>
      <c r="I1041" s="710">
        <f>(H1041/G1041)*100</f>
        <v>92.722222222222214</v>
      </c>
    </row>
    <row r="1042" spans="1:14" ht="13.5" thickTop="1" x14ac:dyDescent="0.2">
      <c r="K1042" s="755"/>
      <c r="L1042" s="755"/>
      <c r="M1042" s="755"/>
      <c r="N1042" s="421"/>
    </row>
    <row r="1043" spans="1:14" x14ac:dyDescent="0.2">
      <c r="K1043" s="755"/>
      <c r="L1043" s="755"/>
      <c r="M1043" s="755"/>
      <c r="N1043" s="421"/>
    </row>
    <row r="1044" spans="1:14" s="504" customFormat="1" ht="13.5" thickBot="1" x14ac:dyDescent="0.25">
      <c r="A1044" s="421" t="s">
        <v>262</v>
      </c>
      <c r="B1044" s="598"/>
      <c r="D1044" s="670"/>
      <c r="F1044" s="467"/>
      <c r="G1044" s="467"/>
      <c r="H1044" s="467"/>
      <c r="I1044" s="792" t="s">
        <v>148</v>
      </c>
    </row>
    <row r="1045" spans="1:14" s="106" customFormat="1" ht="20.25" customHeight="1" thickTop="1" thickBot="1" x14ac:dyDescent="0.25">
      <c r="A1045" s="626" t="s">
        <v>565</v>
      </c>
      <c r="B1045" s="628" t="s">
        <v>149</v>
      </c>
      <c r="C1045" s="627" t="s">
        <v>150</v>
      </c>
      <c r="D1045" s="589" t="s">
        <v>639</v>
      </c>
      <c r="E1045" s="629" t="s">
        <v>151</v>
      </c>
      <c r="F1045" s="629" t="s">
        <v>152</v>
      </c>
      <c r="G1045" s="629" t="s">
        <v>796</v>
      </c>
      <c r="H1045" s="629" t="s">
        <v>797</v>
      </c>
      <c r="I1045" s="674" t="s">
        <v>798</v>
      </c>
    </row>
    <row r="1046" spans="1:14" s="375" customFormat="1" ht="13.5" thickTop="1" thickBot="1" x14ac:dyDescent="0.25">
      <c r="A1046" s="525">
        <v>1</v>
      </c>
      <c r="B1046" s="526">
        <v>2</v>
      </c>
      <c r="C1046" s="526">
        <v>3</v>
      </c>
      <c r="D1046" s="526">
        <v>4</v>
      </c>
      <c r="E1046" s="526">
        <v>5</v>
      </c>
      <c r="F1046" s="512">
        <v>6</v>
      </c>
      <c r="G1046" s="512">
        <v>7</v>
      </c>
      <c r="H1046" s="513">
        <v>8</v>
      </c>
      <c r="I1046" s="591" t="s">
        <v>689</v>
      </c>
    </row>
    <row r="1047" spans="1:14" s="375" customFormat="1" ht="15.75" thickTop="1" x14ac:dyDescent="0.25">
      <c r="A1047" s="1032">
        <v>60005100136</v>
      </c>
      <c r="B1047" s="1033">
        <v>3522</v>
      </c>
      <c r="C1047" s="1033">
        <v>5137</v>
      </c>
      <c r="D1047" s="996">
        <v>870</v>
      </c>
      <c r="E1047" s="995" t="s">
        <v>261</v>
      </c>
      <c r="F1047" s="994"/>
      <c r="G1047" s="994">
        <v>752</v>
      </c>
      <c r="H1047" s="994">
        <v>752</v>
      </c>
      <c r="I1047" s="691">
        <f t="shared" ref="I1047:I1054" si="3">(H1047/G1047)*100</f>
        <v>100</v>
      </c>
    </row>
    <row r="1048" spans="1:14" s="375" customFormat="1" ht="15.75" thickBot="1" x14ac:dyDescent="0.3">
      <c r="A1048" s="1035">
        <v>60005100136</v>
      </c>
      <c r="B1048" s="1036">
        <v>3522</v>
      </c>
      <c r="C1048" s="1037">
        <v>5172</v>
      </c>
      <c r="D1048" s="806">
        <v>870</v>
      </c>
      <c r="E1048" s="991" t="s">
        <v>812</v>
      </c>
      <c r="F1048" s="992"/>
      <c r="G1048" s="993">
        <v>121</v>
      </c>
      <c r="H1048" s="992">
        <v>121</v>
      </c>
      <c r="I1048" s="814">
        <f t="shared" si="3"/>
        <v>100</v>
      </c>
    </row>
    <row r="1049" spans="1:14" s="504" customFormat="1" ht="18" customHeight="1" thickTop="1" thickBot="1" x14ac:dyDescent="0.3">
      <c r="A1049" s="3110" t="s">
        <v>225</v>
      </c>
      <c r="B1049" s="3111"/>
      <c r="C1049" s="3111"/>
      <c r="D1049" s="3111"/>
      <c r="E1049" s="3111"/>
      <c r="F1049" s="680">
        <v>0</v>
      </c>
      <c r="G1049" s="680">
        <f>G1047+G1048</f>
        <v>873</v>
      </c>
      <c r="H1049" s="680">
        <f>H1047+H1048</f>
        <v>873</v>
      </c>
      <c r="I1049" s="681">
        <f t="shared" si="3"/>
        <v>100</v>
      </c>
    </row>
    <row r="1050" spans="1:14" s="504" customFormat="1" ht="18" customHeight="1" thickTop="1" x14ac:dyDescent="0.25">
      <c r="A1050" s="1032">
        <v>60005100136</v>
      </c>
      <c r="B1050" s="1033">
        <v>3522</v>
      </c>
      <c r="C1050" s="1033">
        <v>6121</v>
      </c>
      <c r="D1050" s="996">
        <v>14</v>
      </c>
      <c r="E1050" s="995" t="s">
        <v>548</v>
      </c>
      <c r="F1050" s="994">
        <v>36279</v>
      </c>
      <c r="G1050" s="994">
        <v>31347</v>
      </c>
      <c r="H1050" s="994">
        <v>31079</v>
      </c>
      <c r="I1050" s="691">
        <f>(H1050/G1050)*100</f>
        <v>99.145053753150222</v>
      </c>
    </row>
    <row r="1051" spans="1:14" s="375" customFormat="1" ht="15" x14ac:dyDescent="0.25">
      <c r="A1051" s="1032">
        <v>60005100136</v>
      </c>
      <c r="B1051" s="1033">
        <v>3522</v>
      </c>
      <c r="C1051" s="1034">
        <v>6121</v>
      </c>
      <c r="D1051" s="801">
        <v>870</v>
      </c>
      <c r="E1051" s="979" t="s">
        <v>548</v>
      </c>
      <c r="F1051" s="403"/>
      <c r="G1051" s="983">
        <v>31347</v>
      </c>
      <c r="H1051" s="403">
        <v>31079</v>
      </c>
      <c r="I1051" s="691">
        <f t="shared" si="3"/>
        <v>99.145053753150222</v>
      </c>
    </row>
    <row r="1052" spans="1:14" s="375" customFormat="1" ht="15" x14ac:dyDescent="0.25">
      <c r="A1052" s="1032">
        <v>60005100136</v>
      </c>
      <c r="B1052" s="1033">
        <v>3522</v>
      </c>
      <c r="C1052" s="1033">
        <v>6122</v>
      </c>
      <c r="D1052" s="996">
        <v>870</v>
      </c>
      <c r="E1052" s="995" t="s">
        <v>549</v>
      </c>
      <c r="F1052" s="994"/>
      <c r="G1052" s="994">
        <v>3626</v>
      </c>
      <c r="H1052" s="994">
        <v>3626</v>
      </c>
      <c r="I1052" s="691">
        <f t="shared" si="3"/>
        <v>100</v>
      </c>
    </row>
    <row r="1053" spans="1:14" s="375" customFormat="1" ht="15.75" thickBot="1" x14ac:dyDescent="0.3">
      <c r="A1053" s="1035">
        <v>60005100136</v>
      </c>
      <c r="B1053" s="1036">
        <v>3522</v>
      </c>
      <c r="C1053" s="1037">
        <v>6125</v>
      </c>
      <c r="D1053" s="806">
        <v>870</v>
      </c>
      <c r="E1053" s="991" t="s">
        <v>161</v>
      </c>
      <c r="F1053" s="992"/>
      <c r="G1053" s="993">
        <v>701</v>
      </c>
      <c r="H1053" s="992">
        <v>701</v>
      </c>
      <c r="I1053" s="814">
        <f t="shared" si="3"/>
        <v>100</v>
      </c>
    </row>
    <row r="1054" spans="1:14" s="504" customFormat="1" ht="18" customHeight="1" thickTop="1" thickBot="1" x14ac:dyDescent="0.3">
      <c r="A1054" s="3127" t="s">
        <v>224</v>
      </c>
      <c r="B1054" s="3126"/>
      <c r="C1054" s="3126"/>
      <c r="D1054" s="3126"/>
      <c r="E1054" s="3126"/>
      <c r="F1054" s="725">
        <f>F1050</f>
        <v>36279</v>
      </c>
      <c r="G1054" s="725">
        <f>G1051+G1052+G1053</f>
        <v>35674</v>
      </c>
      <c r="H1054" s="725">
        <f>H1051+H1052+H1053</f>
        <v>35406</v>
      </c>
      <c r="I1054" s="681">
        <f t="shared" si="3"/>
        <v>99.248752592924816</v>
      </c>
    </row>
    <row r="1055" spans="1:14" ht="13.5" thickTop="1" x14ac:dyDescent="0.2">
      <c r="K1055" s="755"/>
      <c r="L1055" s="755"/>
      <c r="M1055" s="755"/>
      <c r="N1055" s="421"/>
    </row>
    <row r="1056" spans="1:14" x14ac:dyDescent="0.2">
      <c r="K1056" s="755"/>
      <c r="L1056" s="755"/>
      <c r="M1056" s="755"/>
      <c r="N1056" s="421"/>
    </row>
    <row r="1057" spans="1:14" s="504" customFormat="1" ht="13.5" thickBot="1" x14ac:dyDescent="0.25">
      <c r="A1057" s="421" t="s">
        <v>263</v>
      </c>
      <c r="B1057" s="598"/>
      <c r="D1057" s="670"/>
      <c r="F1057" s="467"/>
      <c r="G1057" s="467"/>
      <c r="H1057" s="467"/>
      <c r="I1057" s="792" t="s">
        <v>148</v>
      </c>
    </row>
    <row r="1058" spans="1:14" s="106" customFormat="1" ht="20.25" customHeight="1" thickTop="1" thickBot="1" x14ac:dyDescent="0.25">
      <c r="A1058" s="626" t="s">
        <v>565</v>
      </c>
      <c r="B1058" s="628" t="s">
        <v>149</v>
      </c>
      <c r="C1058" s="627" t="s">
        <v>150</v>
      </c>
      <c r="D1058" s="589" t="s">
        <v>639</v>
      </c>
      <c r="E1058" s="629" t="s">
        <v>151</v>
      </c>
      <c r="F1058" s="629" t="s">
        <v>152</v>
      </c>
      <c r="G1058" s="629" t="s">
        <v>796</v>
      </c>
      <c r="H1058" s="629" t="s">
        <v>797</v>
      </c>
      <c r="I1058" s="674" t="s">
        <v>798</v>
      </c>
    </row>
    <row r="1059" spans="1:14" s="375" customFormat="1" ht="13.5" thickTop="1" thickBot="1" x14ac:dyDescent="0.25">
      <c r="A1059" s="974">
        <v>1</v>
      </c>
      <c r="B1059" s="975">
        <v>2</v>
      </c>
      <c r="C1059" s="975">
        <v>3</v>
      </c>
      <c r="D1059" s="975">
        <v>4</v>
      </c>
      <c r="E1059" s="526">
        <v>5</v>
      </c>
      <c r="F1059" s="976">
        <v>6</v>
      </c>
      <c r="G1059" s="976">
        <v>7</v>
      </c>
      <c r="H1059" s="977">
        <v>8</v>
      </c>
      <c r="I1059" s="978" t="s">
        <v>689</v>
      </c>
    </row>
    <row r="1060" spans="1:14" s="504" customFormat="1" ht="16.5" thickTop="1" thickBot="1" x14ac:dyDescent="0.3">
      <c r="A1060" s="986">
        <v>60005100293</v>
      </c>
      <c r="B1060" s="809">
        <v>3523</v>
      </c>
      <c r="C1060" s="987">
        <v>6121</v>
      </c>
      <c r="D1060" s="810">
        <v>14</v>
      </c>
      <c r="E1060" s="811" t="s">
        <v>548</v>
      </c>
      <c r="F1060" s="736"/>
      <c r="G1060" s="989">
        <v>5135</v>
      </c>
      <c r="H1060" s="736">
        <v>5112</v>
      </c>
      <c r="I1060" s="990">
        <f>(H1060/G1060)*100</f>
        <v>99.552093476144108</v>
      </c>
    </row>
    <row r="1061" spans="1:14" s="504" customFormat="1" ht="18" customHeight="1" thickTop="1" thickBot="1" x14ac:dyDescent="0.3">
      <c r="A1061" s="3127" t="s">
        <v>224</v>
      </c>
      <c r="B1061" s="3126"/>
      <c r="C1061" s="3126"/>
      <c r="D1061" s="3126"/>
      <c r="E1061" s="3126"/>
      <c r="F1061" s="725">
        <f>F1060</f>
        <v>0</v>
      </c>
      <c r="G1061" s="725">
        <f>G1060</f>
        <v>5135</v>
      </c>
      <c r="H1061" s="725">
        <f>H1060</f>
        <v>5112</v>
      </c>
      <c r="I1061" s="710">
        <f>(H1061/G1061)*100</f>
        <v>99.552093476144108</v>
      </c>
    </row>
    <row r="1062" spans="1:14" ht="13.5" thickTop="1" x14ac:dyDescent="0.2">
      <c r="K1062" s="755"/>
      <c r="L1062" s="755"/>
      <c r="M1062" s="755"/>
      <c r="N1062" s="421"/>
    </row>
    <row r="1063" spans="1:14" x14ac:dyDescent="0.2">
      <c r="K1063" s="755"/>
      <c r="L1063" s="755"/>
      <c r="M1063" s="755"/>
      <c r="N1063" s="421"/>
    </row>
    <row r="1064" spans="1:14" x14ac:dyDescent="0.2">
      <c r="K1064" s="755"/>
      <c r="L1064" s="755"/>
      <c r="M1064" s="755"/>
      <c r="N1064" s="421"/>
    </row>
    <row r="1065" spans="1:14" x14ac:dyDescent="0.2">
      <c r="K1065" s="755"/>
      <c r="L1065" s="755"/>
      <c r="M1065" s="755"/>
      <c r="N1065" s="421"/>
    </row>
    <row r="1066" spans="1:14" x14ac:dyDescent="0.2">
      <c r="K1066" s="755"/>
      <c r="L1066" s="755"/>
      <c r="M1066" s="755"/>
      <c r="N1066" s="421"/>
    </row>
    <row r="1067" spans="1:14" x14ac:dyDescent="0.2">
      <c r="K1067" s="755"/>
      <c r="L1067" s="755"/>
      <c r="M1067" s="755"/>
      <c r="N1067" s="421"/>
    </row>
    <row r="1068" spans="1:14" x14ac:dyDescent="0.2">
      <c r="K1068" s="755"/>
      <c r="L1068" s="755"/>
      <c r="M1068" s="755"/>
      <c r="N1068" s="421"/>
    </row>
    <row r="1069" spans="1:14" s="504" customFormat="1" ht="13.5" thickBot="1" x14ac:dyDescent="0.25">
      <c r="A1069" s="421" t="s">
        <v>264</v>
      </c>
      <c r="B1069" s="598"/>
      <c r="D1069" s="670"/>
      <c r="F1069" s="467"/>
      <c r="G1069" s="467"/>
      <c r="H1069" s="467"/>
      <c r="I1069" s="792" t="s">
        <v>148</v>
      </c>
    </row>
    <row r="1070" spans="1:14" s="106" customFormat="1" ht="20.25" customHeight="1" thickTop="1" thickBot="1" x14ac:dyDescent="0.25">
      <c r="A1070" s="626" t="s">
        <v>565</v>
      </c>
      <c r="B1070" s="628" t="s">
        <v>149</v>
      </c>
      <c r="C1070" s="627" t="s">
        <v>150</v>
      </c>
      <c r="D1070" s="589" t="s">
        <v>639</v>
      </c>
      <c r="E1070" s="629" t="s">
        <v>151</v>
      </c>
      <c r="F1070" s="629" t="s">
        <v>152</v>
      </c>
      <c r="G1070" s="629" t="s">
        <v>796</v>
      </c>
      <c r="H1070" s="629" t="s">
        <v>797</v>
      </c>
      <c r="I1070" s="674" t="s">
        <v>798</v>
      </c>
    </row>
    <row r="1071" spans="1:14" s="375" customFormat="1" ht="13.5" thickTop="1" thickBot="1" x14ac:dyDescent="0.25">
      <c r="A1071" s="974">
        <v>1</v>
      </c>
      <c r="B1071" s="975">
        <v>2</v>
      </c>
      <c r="C1071" s="975">
        <v>3</v>
      </c>
      <c r="D1071" s="975">
        <v>4</v>
      </c>
      <c r="E1071" s="526">
        <v>5</v>
      </c>
      <c r="F1071" s="976">
        <v>6</v>
      </c>
      <c r="G1071" s="976">
        <v>7</v>
      </c>
      <c r="H1071" s="977">
        <v>8</v>
      </c>
      <c r="I1071" s="978" t="s">
        <v>689</v>
      </c>
    </row>
    <row r="1072" spans="1:14" s="504" customFormat="1" ht="16.5" thickTop="1" thickBot="1" x14ac:dyDescent="0.3">
      <c r="A1072" s="986">
        <v>60005100294</v>
      </c>
      <c r="B1072" s="809">
        <v>4322</v>
      </c>
      <c r="C1072" s="987">
        <v>6121</v>
      </c>
      <c r="D1072" s="810">
        <v>14</v>
      </c>
      <c r="E1072" s="811" t="s">
        <v>548</v>
      </c>
      <c r="F1072" s="736"/>
      <c r="G1072" s="989">
        <v>1971</v>
      </c>
      <c r="H1072" s="736">
        <v>518</v>
      </c>
      <c r="I1072" s="990">
        <f>(H1072/G1072)*100</f>
        <v>26.281075596144088</v>
      </c>
    </row>
    <row r="1073" spans="1:14" s="504" customFormat="1" ht="18" customHeight="1" thickTop="1" thickBot="1" x14ac:dyDescent="0.3">
      <c r="A1073" s="3127" t="s">
        <v>224</v>
      </c>
      <c r="B1073" s="3126"/>
      <c r="C1073" s="3126"/>
      <c r="D1073" s="3126"/>
      <c r="E1073" s="3126"/>
      <c r="F1073" s="725">
        <f>F1072</f>
        <v>0</v>
      </c>
      <c r="G1073" s="725">
        <f>G1072</f>
        <v>1971</v>
      </c>
      <c r="H1073" s="725">
        <f>H1072</f>
        <v>518</v>
      </c>
      <c r="I1073" s="710">
        <f>(H1073/G1073)*100</f>
        <v>26.281075596144088</v>
      </c>
    </row>
    <row r="1074" spans="1:14" ht="13.5" thickTop="1" x14ac:dyDescent="0.2">
      <c r="K1074" s="755"/>
      <c r="L1074" s="755"/>
      <c r="M1074" s="755"/>
      <c r="N1074" s="421"/>
    </row>
    <row r="1075" spans="1:14" x14ac:dyDescent="0.2">
      <c r="K1075" s="755"/>
      <c r="L1075" s="755"/>
      <c r="M1075" s="755"/>
      <c r="N1075" s="421"/>
    </row>
    <row r="1076" spans="1:14" s="504" customFormat="1" ht="13.5" thickBot="1" x14ac:dyDescent="0.25">
      <c r="A1076" s="421" t="s">
        <v>265</v>
      </c>
      <c r="B1076" s="598"/>
      <c r="D1076" s="670"/>
      <c r="F1076" s="467"/>
      <c r="G1076" s="467"/>
      <c r="H1076" s="467"/>
      <c r="I1076" s="792" t="s">
        <v>148</v>
      </c>
    </row>
    <row r="1077" spans="1:14" s="106" customFormat="1" ht="20.25" customHeight="1" thickTop="1" thickBot="1" x14ac:dyDescent="0.25">
      <c r="A1077" s="626" t="s">
        <v>565</v>
      </c>
      <c r="B1077" s="628" t="s">
        <v>149</v>
      </c>
      <c r="C1077" s="627" t="s">
        <v>150</v>
      </c>
      <c r="D1077" s="589" t="s">
        <v>639</v>
      </c>
      <c r="E1077" s="629" t="s">
        <v>151</v>
      </c>
      <c r="F1077" s="629" t="s">
        <v>152</v>
      </c>
      <c r="G1077" s="629" t="s">
        <v>796</v>
      </c>
      <c r="H1077" s="629" t="s">
        <v>797</v>
      </c>
      <c r="I1077" s="674" t="s">
        <v>798</v>
      </c>
    </row>
    <row r="1078" spans="1:14" s="375" customFormat="1" ht="13.5" thickTop="1" thickBot="1" x14ac:dyDescent="0.25">
      <c r="A1078" s="974">
        <v>1</v>
      </c>
      <c r="B1078" s="975">
        <v>2</v>
      </c>
      <c r="C1078" s="975">
        <v>3</v>
      </c>
      <c r="D1078" s="975">
        <v>4</v>
      </c>
      <c r="E1078" s="526">
        <v>5</v>
      </c>
      <c r="F1078" s="976">
        <v>6</v>
      </c>
      <c r="G1078" s="976">
        <v>7</v>
      </c>
      <c r="H1078" s="977">
        <v>8</v>
      </c>
      <c r="I1078" s="978" t="s">
        <v>689</v>
      </c>
    </row>
    <row r="1079" spans="1:14" s="504" customFormat="1" ht="16.5" thickTop="1" thickBot="1" x14ac:dyDescent="0.3">
      <c r="A1079" s="986">
        <v>60005100298</v>
      </c>
      <c r="B1079" s="809">
        <v>3523</v>
      </c>
      <c r="C1079" s="987">
        <v>6121</v>
      </c>
      <c r="D1079" s="810">
        <v>14</v>
      </c>
      <c r="E1079" s="811" t="s">
        <v>548</v>
      </c>
      <c r="F1079" s="736"/>
      <c r="G1079" s="989">
        <v>500</v>
      </c>
      <c r="H1079" s="736">
        <v>19</v>
      </c>
      <c r="I1079" s="990">
        <f>(H1079/G1079)*100</f>
        <v>3.8</v>
      </c>
    </row>
    <row r="1080" spans="1:14" s="504" customFormat="1" ht="18" customHeight="1" thickTop="1" thickBot="1" x14ac:dyDescent="0.3">
      <c r="A1080" s="3127" t="s">
        <v>224</v>
      </c>
      <c r="B1080" s="3126"/>
      <c r="C1080" s="3126"/>
      <c r="D1080" s="3126"/>
      <c r="E1080" s="3126"/>
      <c r="F1080" s="725">
        <f>F1079</f>
        <v>0</v>
      </c>
      <c r="G1080" s="725">
        <f>G1079</f>
        <v>500</v>
      </c>
      <c r="H1080" s="725">
        <f>H1079</f>
        <v>19</v>
      </c>
      <c r="I1080" s="710">
        <f>(H1080/G1080)*100</f>
        <v>3.8</v>
      </c>
    </row>
    <row r="1081" spans="1:14" ht="13.5" thickTop="1" x14ac:dyDescent="0.2">
      <c r="K1081" s="755"/>
      <c r="L1081" s="755"/>
      <c r="M1081" s="755"/>
      <c r="N1081" s="421"/>
    </row>
    <row r="1082" spans="1:14" x14ac:dyDescent="0.2">
      <c r="K1082" s="755"/>
      <c r="L1082" s="755"/>
      <c r="M1082" s="755"/>
      <c r="N1082" s="421"/>
    </row>
    <row r="1083" spans="1:14" s="504" customFormat="1" ht="13.5" thickBot="1" x14ac:dyDescent="0.25">
      <c r="A1083" s="421" t="s">
        <v>1045</v>
      </c>
      <c r="B1083" s="598"/>
      <c r="D1083" s="670"/>
      <c r="F1083" s="467"/>
      <c r="G1083" s="467"/>
      <c r="H1083" s="467"/>
      <c r="I1083" s="792" t="s">
        <v>148</v>
      </c>
    </row>
    <row r="1084" spans="1:14" s="106" customFormat="1" ht="20.25" customHeight="1" thickTop="1" thickBot="1" x14ac:dyDescent="0.25">
      <c r="A1084" s="626" t="s">
        <v>565</v>
      </c>
      <c r="B1084" s="628" t="s">
        <v>149</v>
      </c>
      <c r="C1084" s="627" t="s">
        <v>150</v>
      </c>
      <c r="D1084" s="589" t="s">
        <v>639</v>
      </c>
      <c r="E1084" s="629" t="s">
        <v>151</v>
      </c>
      <c r="F1084" s="629" t="s">
        <v>152</v>
      </c>
      <c r="G1084" s="629" t="s">
        <v>796</v>
      </c>
      <c r="H1084" s="629" t="s">
        <v>797</v>
      </c>
      <c r="I1084" s="674" t="s">
        <v>798</v>
      </c>
    </row>
    <row r="1085" spans="1:14" s="375" customFormat="1" ht="13.5" thickTop="1" thickBot="1" x14ac:dyDescent="0.25">
      <c r="A1085" s="974">
        <v>1</v>
      </c>
      <c r="B1085" s="975">
        <v>2</v>
      </c>
      <c r="C1085" s="975">
        <v>3</v>
      </c>
      <c r="D1085" s="975">
        <v>4</v>
      </c>
      <c r="E1085" s="526">
        <v>5</v>
      </c>
      <c r="F1085" s="976">
        <v>6</v>
      </c>
      <c r="G1085" s="976">
        <v>7</v>
      </c>
      <c r="H1085" s="977">
        <v>8</v>
      </c>
      <c r="I1085" s="978" t="s">
        <v>689</v>
      </c>
    </row>
    <row r="1086" spans="1:14" s="504" customFormat="1" ht="16.5" thickTop="1" thickBot="1" x14ac:dyDescent="0.3">
      <c r="A1086" s="986">
        <v>60005100299</v>
      </c>
      <c r="B1086" s="809">
        <v>3522</v>
      </c>
      <c r="C1086" s="987">
        <v>6121</v>
      </c>
      <c r="D1086" s="810">
        <v>14</v>
      </c>
      <c r="E1086" s="811" t="s">
        <v>548</v>
      </c>
      <c r="F1086" s="736"/>
      <c r="G1086" s="989">
        <v>118</v>
      </c>
      <c r="H1086" s="736">
        <v>118</v>
      </c>
      <c r="I1086" s="990">
        <f>(H1086/G1086)*100</f>
        <v>100</v>
      </c>
    </row>
    <row r="1087" spans="1:14" s="504" customFormat="1" ht="18" customHeight="1" thickTop="1" thickBot="1" x14ac:dyDescent="0.3">
      <c r="A1087" s="3127" t="s">
        <v>224</v>
      </c>
      <c r="B1087" s="3126"/>
      <c r="C1087" s="3126"/>
      <c r="D1087" s="3126"/>
      <c r="E1087" s="3126"/>
      <c r="F1087" s="725">
        <f>F1086</f>
        <v>0</v>
      </c>
      <c r="G1087" s="725">
        <f>G1086</f>
        <v>118</v>
      </c>
      <c r="H1087" s="725">
        <f>H1086</f>
        <v>118</v>
      </c>
      <c r="I1087" s="710">
        <f>(H1087/G1087)*100</f>
        <v>100</v>
      </c>
    </row>
    <row r="1088" spans="1:14" ht="13.5" thickTop="1" x14ac:dyDescent="0.2">
      <c r="K1088" s="755"/>
      <c r="L1088" s="755"/>
      <c r="M1088" s="755"/>
      <c r="N1088" s="421"/>
    </row>
    <row r="1089" spans="1:14" x14ac:dyDescent="0.2">
      <c r="K1089" s="755"/>
      <c r="L1089" s="755"/>
      <c r="M1089" s="755"/>
      <c r="N1089" s="421"/>
    </row>
    <row r="1090" spans="1:14" s="504" customFormat="1" ht="13.5" thickBot="1" x14ac:dyDescent="0.25">
      <c r="A1090" s="421" t="s">
        <v>1046</v>
      </c>
      <c r="B1090" s="598"/>
      <c r="D1090" s="670"/>
      <c r="F1090" s="467"/>
      <c r="G1090" s="467"/>
      <c r="H1090" s="467"/>
      <c r="I1090" s="792" t="s">
        <v>148</v>
      </c>
    </row>
    <row r="1091" spans="1:14" s="106" customFormat="1" ht="20.25" customHeight="1" thickTop="1" thickBot="1" x14ac:dyDescent="0.25">
      <c r="A1091" s="626" t="s">
        <v>565</v>
      </c>
      <c r="B1091" s="628" t="s">
        <v>149</v>
      </c>
      <c r="C1091" s="627" t="s">
        <v>150</v>
      </c>
      <c r="D1091" s="589" t="s">
        <v>639</v>
      </c>
      <c r="E1091" s="629" t="s">
        <v>151</v>
      </c>
      <c r="F1091" s="629" t="s">
        <v>152</v>
      </c>
      <c r="G1091" s="629" t="s">
        <v>796</v>
      </c>
      <c r="H1091" s="629" t="s">
        <v>797</v>
      </c>
      <c r="I1091" s="674" t="s">
        <v>798</v>
      </c>
    </row>
    <row r="1092" spans="1:14" s="375" customFormat="1" ht="13.5" thickTop="1" thickBot="1" x14ac:dyDescent="0.25">
      <c r="A1092" s="974">
        <v>1</v>
      </c>
      <c r="B1092" s="975">
        <v>2</v>
      </c>
      <c r="C1092" s="975">
        <v>3</v>
      </c>
      <c r="D1092" s="975">
        <v>4</v>
      </c>
      <c r="E1092" s="526">
        <v>5</v>
      </c>
      <c r="F1092" s="976">
        <v>6</v>
      </c>
      <c r="G1092" s="976">
        <v>7</v>
      </c>
      <c r="H1092" s="977">
        <v>8</v>
      </c>
      <c r="I1092" s="978" t="s">
        <v>689</v>
      </c>
    </row>
    <row r="1093" spans="1:14" s="504" customFormat="1" ht="16.5" thickTop="1" thickBot="1" x14ac:dyDescent="0.3">
      <c r="A1093" s="986">
        <v>60005100300</v>
      </c>
      <c r="B1093" s="809">
        <v>3523</v>
      </c>
      <c r="C1093" s="987">
        <v>6121</v>
      </c>
      <c r="D1093" s="810">
        <v>14</v>
      </c>
      <c r="E1093" s="811" t="s">
        <v>548</v>
      </c>
      <c r="F1093" s="736"/>
      <c r="G1093" s="989">
        <v>1200</v>
      </c>
      <c r="H1093" s="736">
        <v>1115</v>
      </c>
      <c r="I1093" s="990">
        <f>(H1093/G1093)*100</f>
        <v>92.916666666666671</v>
      </c>
    </row>
    <row r="1094" spans="1:14" s="504" customFormat="1" ht="18" customHeight="1" thickTop="1" thickBot="1" x14ac:dyDescent="0.3">
      <c r="A1094" s="3127" t="s">
        <v>224</v>
      </c>
      <c r="B1094" s="3126"/>
      <c r="C1094" s="3126"/>
      <c r="D1094" s="3126"/>
      <c r="E1094" s="3126"/>
      <c r="F1094" s="725">
        <f>F1093</f>
        <v>0</v>
      </c>
      <c r="G1094" s="725">
        <f>G1093</f>
        <v>1200</v>
      </c>
      <c r="H1094" s="725">
        <f>H1093</f>
        <v>1115</v>
      </c>
      <c r="I1094" s="710">
        <f>(H1094/G1094)*100</f>
        <v>92.916666666666671</v>
      </c>
    </row>
    <row r="1095" spans="1:14" ht="13.5" thickTop="1" x14ac:dyDescent="0.2">
      <c r="K1095" s="755"/>
      <c r="L1095" s="755"/>
      <c r="M1095" s="755"/>
      <c r="N1095" s="421"/>
    </row>
    <row r="1096" spans="1:14" x14ac:dyDescent="0.2">
      <c r="K1096" s="755"/>
      <c r="L1096" s="755"/>
      <c r="M1096" s="755"/>
      <c r="N1096" s="421"/>
    </row>
    <row r="1097" spans="1:14" s="504" customFormat="1" ht="13.5" thickBot="1" x14ac:dyDescent="0.25">
      <c r="A1097" s="421" t="s">
        <v>1047</v>
      </c>
      <c r="B1097" s="598"/>
      <c r="D1097" s="670"/>
      <c r="F1097" s="467"/>
      <c r="G1097" s="467"/>
      <c r="H1097" s="467"/>
      <c r="I1097" s="792" t="s">
        <v>148</v>
      </c>
    </row>
    <row r="1098" spans="1:14" s="106" customFormat="1" ht="20.25" customHeight="1" thickTop="1" thickBot="1" x14ac:dyDescent="0.25">
      <c r="A1098" s="626" t="s">
        <v>565</v>
      </c>
      <c r="B1098" s="628" t="s">
        <v>149</v>
      </c>
      <c r="C1098" s="627" t="s">
        <v>150</v>
      </c>
      <c r="D1098" s="589" t="s">
        <v>639</v>
      </c>
      <c r="E1098" s="629" t="s">
        <v>151</v>
      </c>
      <c r="F1098" s="629" t="s">
        <v>152</v>
      </c>
      <c r="G1098" s="629" t="s">
        <v>796</v>
      </c>
      <c r="H1098" s="629" t="s">
        <v>797</v>
      </c>
      <c r="I1098" s="674" t="s">
        <v>798</v>
      </c>
    </row>
    <row r="1099" spans="1:14" s="375" customFormat="1" ht="13.5" thickTop="1" thickBot="1" x14ac:dyDescent="0.25">
      <c r="A1099" s="974">
        <v>1</v>
      </c>
      <c r="B1099" s="975">
        <v>2</v>
      </c>
      <c r="C1099" s="975">
        <v>3</v>
      </c>
      <c r="D1099" s="975">
        <v>4</v>
      </c>
      <c r="E1099" s="526">
        <v>5</v>
      </c>
      <c r="F1099" s="976">
        <v>6</v>
      </c>
      <c r="G1099" s="976">
        <v>7</v>
      </c>
      <c r="H1099" s="977">
        <v>8</v>
      </c>
      <c r="I1099" s="978" t="s">
        <v>689</v>
      </c>
    </row>
    <row r="1100" spans="1:14" s="504" customFormat="1" ht="16.5" thickTop="1" thickBot="1" x14ac:dyDescent="0.3">
      <c r="A1100" s="986">
        <v>60005100301</v>
      </c>
      <c r="B1100" s="809">
        <v>3523</v>
      </c>
      <c r="C1100" s="987">
        <v>6121</v>
      </c>
      <c r="D1100" s="810">
        <v>870</v>
      </c>
      <c r="E1100" s="811" t="s">
        <v>548</v>
      </c>
      <c r="F1100" s="736"/>
      <c r="G1100" s="989">
        <v>7196</v>
      </c>
      <c r="H1100" s="736">
        <v>3446</v>
      </c>
      <c r="I1100" s="990">
        <f>(H1100/G1100)*100</f>
        <v>47.887715397443024</v>
      </c>
    </row>
    <row r="1101" spans="1:14" s="504" customFormat="1" ht="18" customHeight="1" thickTop="1" thickBot="1" x14ac:dyDescent="0.3">
      <c r="A1101" s="3127" t="s">
        <v>224</v>
      </c>
      <c r="B1101" s="3126"/>
      <c r="C1101" s="3126"/>
      <c r="D1101" s="3126"/>
      <c r="E1101" s="3126"/>
      <c r="F1101" s="725">
        <f>F1100</f>
        <v>0</v>
      </c>
      <c r="G1101" s="725">
        <f>G1100</f>
        <v>7196</v>
      </c>
      <c r="H1101" s="725">
        <f>H1100</f>
        <v>3446</v>
      </c>
      <c r="I1101" s="710">
        <f>(H1101/G1101)*100</f>
        <v>47.887715397443024</v>
      </c>
    </row>
    <row r="1102" spans="1:14" ht="13.5" thickTop="1" x14ac:dyDescent="0.2">
      <c r="K1102" s="755"/>
      <c r="L1102" s="755"/>
      <c r="M1102" s="755"/>
      <c r="N1102" s="421"/>
    </row>
    <row r="1103" spans="1:14" x14ac:dyDescent="0.2">
      <c r="K1103" s="755"/>
      <c r="L1103" s="755"/>
      <c r="M1103" s="755"/>
      <c r="N1103" s="421"/>
    </row>
    <row r="1104" spans="1:14" s="504" customFormat="1" ht="13.5" thickBot="1" x14ac:dyDescent="0.25">
      <c r="A1104" s="421" t="s">
        <v>18</v>
      </c>
      <c r="B1104" s="598"/>
      <c r="D1104" s="670"/>
      <c r="F1104" s="467"/>
      <c r="G1104" s="467"/>
      <c r="H1104" s="467"/>
      <c r="I1104" s="792" t="s">
        <v>148</v>
      </c>
    </row>
    <row r="1105" spans="1:14" s="106" customFormat="1" ht="20.25" customHeight="1" thickTop="1" thickBot="1" x14ac:dyDescent="0.25">
      <c r="A1105" s="626" t="s">
        <v>565</v>
      </c>
      <c r="B1105" s="628" t="s">
        <v>149</v>
      </c>
      <c r="C1105" s="627" t="s">
        <v>150</v>
      </c>
      <c r="D1105" s="589" t="s">
        <v>639</v>
      </c>
      <c r="E1105" s="629" t="s">
        <v>151</v>
      </c>
      <c r="F1105" s="629" t="s">
        <v>152</v>
      </c>
      <c r="G1105" s="629" t="s">
        <v>796</v>
      </c>
      <c r="H1105" s="629" t="s">
        <v>797</v>
      </c>
      <c r="I1105" s="674" t="s">
        <v>798</v>
      </c>
    </row>
    <row r="1106" spans="1:14" s="375" customFormat="1" ht="13.5" thickTop="1" thickBot="1" x14ac:dyDescent="0.25">
      <c r="A1106" s="974">
        <v>1</v>
      </c>
      <c r="B1106" s="975">
        <v>2</v>
      </c>
      <c r="C1106" s="975">
        <v>3</v>
      </c>
      <c r="D1106" s="975">
        <v>4</v>
      </c>
      <c r="E1106" s="526">
        <v>5</v>
      </c>
      <c r="F1106" s="976">
        <v>6</v>
      </c>
      <c r="G1106" s="976">
        <v>7</v>
      </c>
      <c r="H1106" s="977">
        <v>8</v>
      </c>
      <c r="I1106" s="978" t="s">
        <v>689</v>
      </c>
    </row>
    <row r="1107" spans="1:14" s="504" customFormat="1" ht="16.5" thickTop="1" thickBot="1" x14ac:dyDescent="0.3">
      <c r="A1107" s="986">
        <v>60005100302</v>
      </c>
      <c r="B1107" s="809">
        <v>3522</v>
      </c>
      <c r="C1107" s="987">
        <v>6121</v>
      </c>
      <c r="D1107" s="810">
        <v>14</v>
      </c>
      <c r="E1107" s="811" t="s">
        <v>548</v>
      </c>
      <c r="F1107" s="736"/>
      <c r="G1107" s="989">
        <v>2079</v>
      </c>
      <c r="H1107" s="736">
        <v>1879</v>
      </c>
      <c r="I1107" s="990">
        <f>(H1107/G1107)*100</f>
        <v>90.379990379990389</v>
      </c>
    </row>
    <row r="1108" spans="1:14" s="504" customFormat="1" ht="18" customHeight="1" thickTop="1" thickBot="1" x14ac:dyDescent="0.3">
      <c r="A1108" s="3127" t="s">
        <v>224</v>
      </c>
      <c r="B1108" s="3126"/>
      <c r="C1108" s="3126"/>
      <c r="D1108" s="3126"/>
      <c r="E1108" s="3126"/>
      <c r="F1108" s="725">
        <f>F1107</f>
        <v>0</v>
      </c>
      <c r="G1108" s="725">
        <f>G1107</f>
        <v>2079</v>
      </c>
      <c r="H1108" s="725">
        <f>H1107</f>
        <v>1879</v>
      </c>
      <c r="I1108" s="710">
        <f>(H1108/G1108)*100</f>
        <v>90.379990379990389</v>
      </c>
    </row>
    <row r="1109" spans="1:14" ht="13.5" thickTop="1" x14ac:dyDescent="0.2">
      <c r="K1109" s="755"/>
      <c r="L1109" s="755"/>
      <c r="M1109" s="755"/>
      <c r="N1109" s="421"/>
    </row>
    <row r="1110" spans="1:14" x14ac:dyDescent="0.2">
      <c r="K1110" s="755"/>
      <c r="L1110" s="755"/>
      <c r="M1110" s="755"/>
      <c r="N1110" s="421"/>
    </row>
    <row r="1111" spans="1:14" s="504" customFormat="1" ht="13.5" thickBot="1" x14ac:dyDescent="0.25">
      <c r="A1111" s="421" t="s">
        <v>19</v>
      </c>
      <c r="B1111" s="598"/>
      <c r="D1111" s="670"/>
      <c r="F1111" s="467"/>
      <c r="G1111" s="467"/>
      <c r="H1111" s="467"/>
      <c r="I1111" s="792" t="s">
        <v>148</v>
      </c>
    </row>
    <row r="1112" spans="1:14" s="106" customFormat="1" ht="20.25" customHeight="1" thickTop="1" thickBot="1" x14ac:dyDescent="0.25">
      <c r="A1112" s="626" t="s">
        <v>565</v>
      </c>
      <c r="B1112" s="628" t="s">
        <v>149</v>
      </c>
      <c r="C1112" s="627" t="s">
        <v>150</v>
      </c>
      <c r="D1112" s="589" t="s">
        <v>639</v>
      </c>
      <c r="E1112" s="629" t="s">
        <v>151</v>
      </c>
      <c r="F1112" s="629" t="s">
        <v>152</v>
      </c>
      <c r="G1112" s="629" t="s">
        <v>796</v>
      </c>
      <c r="H1112" s="629" t="s">
        <v>797</v>
      </c>
      <c r="I1112" s="674" t="s">
        <v>798</v>
      </c>
    </row>
    <row r="1113" spans="1:14" s="375" customFormat="1" ht="13.5" thickTop="1" thickBot="1" x14ac:dyDescent="0.25">
      <c r="A1113" s="974">
        <v>1</v>
      </c>
      <c r="B1113" s="975">
        <v>2</v>
      </c>
      <c r="C1113" s="975">
        <v>3</v>
      </c>
      <c r="D1113" s="975">
        <v>4</v>
      </c>
      <c r="E1113" s="526">
        <v>5</v>
      </c>
      <c r="F1113" s="976">
        <v>6</v>
      </c>
      <c r="G1113" s="976">
        <v>7</v>
      </c>
      <c r="H1113" s="977">
        <v>8</v>
      </c>
      <c r="I1113" s="978" t="s">
        <v>689</v>
      </c>
    </row>
    <row r="1114" spans="1:14" s="504" customFormat="1" ht="16.5" thickTop="1" thickBot="1" x14ac:dyDescent="0.3">
      <c r="A1114" s="986">
        <v>60005100303</v>
      </c>
      <c r="B1114" s="809">
        <v>3522</v>
      </c>
      <c r="C1114" s="987">
        <v>6121</v>
      </c>
      <c r="D1114" s="810">
        <v>14</v>
      </c>
      <c r="E1114" s="811" t="s">
        <v>548</v>
      </c>
      <c r="F1114" s="736"/>
      <c r="G1114" s="989">
        <v>60</v>
      </c>
      <c r="H1114" s="736">
        <v>60</v>
      </c>
      <c r="I1114" s="990">
        <f>(H1114/G1114)*100</f>
        <v>100</v>
      </c>
    </row>
    <row r="1115" spans="1:14" s="504" customFormat="1" ht="18" customHeight="1" thickTop="1" thickBot="1" x14ac:dyDescent="0.3">
      <c r="A1115" s="3127" t="s">
        <v>224</v>
      </c>
      <c r="B1115" s="3126"/>
      <c r="C1115" s="3126"/>
      <c r="D1115" s="3126"/>
      <c r="E1115" s="3126"/>
      <c r="F1115" s="725">
        <f>F1114</f>
        <v>0</v>
      </c>
      <c r="G1115" s="725">
        <f>G1114</f>
        <v>60</v>
      </c>
      <c r="H1115" s="725">
        <f>H1114</f>
        <v>60</v>
      </c>
      <c r="I1115" s="710">
        <f>(H1115/G1115)*100</f>
        <v>100</v>
      </c>
    </row>
    <row r="1116" spans="1:14" ht="13.5" thickTop="1" x14ac:dyDescent="0.2">
      <c r="K1116" s="755"/>
      <c r="L1116" s="755"/>
      <c r="M1116" s="755"/>
      <c r="N1116" s="421"/>
    </row>
    <row r="1117" spans="1:14" x14ac:dyDescent="0.2">
      <c r="K1117" s="755"/>
      <c r="L1117" s="755"/>
      <c r="M1117" s="755"/>
      <c r="N1117" s="421"/>
    </row>
    <row r="1118" spans="1:14" s="504" customFormat="1" ht="13.5" thickBot="1" x14ac:dyDescent="0.25">
      <c r="A1118" s="421" t="s">
        <v>20</v>
      </c>
      <c r="B1118" s="598"/>
      <c r="D1118" s="670"/>
      <c r="F1118" s="467"/>
      <c r="G1118" s="467"/>
      <c r="H1118" s="467"/>
      <c r="I1118" s="792" t="s">
        <v>148</v>
      </c>
    </row>
    <row r="1119" spans="1:14" s="106" customFormat="1" ht="20.25" customHeight="1" thickTop="1" thickBot="1" x14ac:dyDescent="0.25">
      <c r="A1119" s="626" t="s">
        <v>565</v>
      </c>
      <c r="B1119" s="628" t="s">
        <v>149</v>
      </c>
      <c r="C1119" s="627" t="s">
        <v>150</v>
      </c>
      <c r="D1119" s="589" t="s">
        <v>639</v>
      </c>
      <c r="E1119" s="629" t="s">
        <v>151</v>
      </c>
      <c r="F1119" s="629" t="s">
        <v>152</v>
      </c>
      <c r="G1119" s="629" t="s">
        <v>796</v>
      </c>
      <c r="H1119" s="629" t="s">
        <v>797</v>
      </c>
      <c r="I1119" s="674" t="s">
        <v>798</v>
      </c>
    </row>
    <row r="1120" spans="1:14" s="375" customFormat="1" ht="13.5" thickTop="1" thickBot="1" x14ac:dyDescent="0.25">
      <c r="A1120" s="974">
        <v>1</v>
      </c>
      <c r="B1120" s="975">
        <v>2</v>
      </c>
      <c r="C1120" s="975">
        <v>3</v>
      </c>
      <c r="D1120" s="975">
        <v>4</v>
      </c>
      <c r="E1120" s="526">
        <v>5</v>
      </c>
      <c r="F1120" s="976">
        <v>6</v>
      </c>
      <c r="G1120" s="976">
        <v>7</v>
      </c>
      <c r="H1120" s="977">
        <v>8</v>
      </c>
      <c r="I1120" s="978" t="s">
        <v>689</v>
      </c>
    </row>
    <row r="1121" spans="1:14" s="504" customFormat="1" ht="16.5" thickTop="1" thickBot="1" x14ac:dyDescent="0.3">
      <c r="A1121" s="986">
        <v>60005100304</v>
      </c>
      <c r="B1121" s="809">
        <v>3522</v>
      </c>
      <c r="C1121" s="987">
        <v>6121</v>
      </c>
      <c r="D1121" s="810">
        <v>25</v>
      </c>
      <c r="E1121" s="811" t="s">
        <v>548</v>
      </c>
      <c r="F1121" s="736"/>
      <c r="G1121" s="989">
        <v>7082</v>
      </c>
      <c r="H1121" s="736">
        <v>7081</v>
      </c>
      <c r="I1121" s="990">
        <f>(H1121/G1121)*100</f>
        <v>99.985879695001415</v>
      </c>
    </row>
    <row r="1122" spans="1:14" s="504" customFormat="1" ht="18" customHeight="1" thickTop="1" thickBot="1" x14ac:dyDescent="0.3">
      <c r="A1122" s="3127" t="s">
        <v>224</v>
      </c>
      <c r="B1122" s="3126"/>
      <c r="C1122" s="3126"/>
      <c r="D1122" s="3126"/>
      <c r="E1122" s="3126"/>
      <c r="F1122" s="725">
        <f>F1121</f>
        <v>0</v>
      </c>
      <c r="G1122" s="725">
        <f>G1121</f>
        <v>7082</v>
      </c>
      <c r="H1122" s="725">
        <f>H1121</f>
        <v>7081</v>
      </c>
      <c r="I1122" s="710">
        <f>(H1122/G1122)*100</f>
        <v>99.985879695001415</v>
      </c>
    </row>
    <row r="1123" spans="1:14" ht="13.5" thickTop="1" x14ac:dyDescent="0.2">
      <c r="K1123" s="755"/>
      <c r="L1123" s="755"/>
      <c r="M1123" s="755"/>
      <c r="N1123" s="421"/>
    </row>
    <row r="1124" spans="1:14" x14ac:dyDescent="0.2">
      <c r="K1124" s="755"/>
      <c r="L1124" s="755"/>
      <c r="M1124" s="755"/>
      <c r="N1124" s="421"/>
    </row>
    <row r="1125" spans="1:14" s="504" customFormat="1" ht="13.5" thickBot="1" x14ac:dyDescent="0.25">
      <c r="A1125" s="421" t="s">
        <v>21</v>
      </c>
      <c r="B1125" s="598"/>
      <c r="D1125" s="670"/>
      <c r="F1125" s="467"/>
      <c r="G1125" s="467"/>
      <c r="H1125" s="467"/>
      <c r="I1125" s="792" t="s">
        <v>148</v>
      </c>
    </row>
    <row r="1126" spans="1:14" s="106" customFormat="1" ht="20.25" customHeight="1" thickTop="1" thickBot="1" x14ac:dyDescent="0.25">
      <c r="A1126" s="626" t="s">
        <v>565</v>
      </c>
      <c r="B1126" s="628" t="s">
        <v>149</v>
      </c>
      <c r="C1126" s="627" t="s">
        <v>150</v>
      </c>
      <c r="D1126" s="589" t="s">
        <v>639</v>
      </c>
      <c r="E1126" s="629" t="s">
        <v>151</v>
      </c>
      <c r="F1126" s="629" t="s">
        <v>152</v>
      </c>
      <c r="G1126" s="629" t="s">
        <v>796</v>
      </c>
      <c r="H1126" s="629" t="s">
        <v>797</v>
      </c>
      <c r="I1126" s="674" t="s">
        <v>798</v>
      </c>
    </row>
    <row r="1127" spans="1:14" s="375" customFormat="1" ht="13.5" thickTop="1" thickBot="1" x14ac:dyDescent="0.25">
      <c r="A1127" s="974">
        <v>1</v>
      </c>
      <c r="B1127" s="975">
        <v>2</v>
      </c>
      <c r="C1127" s="975">
        <v>3</v>
      </c>
      <c r="D1127" s="975">
        <v>4</v>
      </c>
      <c r="E1127" s="526">
        <v>5</v>
      </c>
      <c r="F1127" s="976">
        <v>6</v>
      </c>
      <c r="G1127" s="976">
        <v>7</v>
      </c>
      <c r="H1127" s="977">
        <v>8</v>
      </c>
      <c r="I1127" s="978" t="s">
        <v>689</v>
      </c>
    </row>
    <row r="1128" spans="1:14" s="504" customFormat="1" ht="16.5" thickTop="1" thickBot="1" x14ac:dyDescent="0.3">
      <c r="A1128" s="986">
        <v>60005100305</v>
      </c>
      <c r="B1128" s="809">
        <v>3522</v>
      </c>
      <c r="C1128" s="987">
        <v>6121</v>
      </c>
      <c r="D1128" s="810">
        <v>25</v>
      </c>
      <c r="E1128" s="811" t="s">
        <v>548</v>
      </c>
      <c r="F1128" s="736"/>
      <c r="G1128" s="989">
        <v>366</v>
      </c>
      <c r="H1128" s="736">
        <v>339</v>
      </c>
      <c r="I1128" s="990">
        <f>(H1128/G1128)*100</f>
        <v>92.622950819672127</v>
      </c>
    </row>
    <row r="1129" spans="1:14" s="504" customFormat="1" ht="18" customHeight="1" thickTop="1" thickBot="1" x14ac:dyDescent="0.3">
      <c r="A1129" s="3127" t="s">
        <v>224</v>
      </c>
      <c r="B1129" s="3126"/>
      <c r="C1129" s="3126"/>
      <c r="D1129" s="3126"/>
      <c r="E1129" s="3126"/>
      <c r="F1129" s="725">
        <f>F1128</f>
        <v>0</v>
      </c>
      <c r="G1129" s="725">
        <f>G1128</f>
        <v>366</v>
      </c>
      <c r="H1129" s="725">
        <f>H1128</f>
        <v>339</v>
      </c>
      <c r="I1129" s="710">
        <f>(H1129/G1129)*100</f>
        <v>92.622950819672127</v>
      </c>
    </row>
    <row r="1130" spans="1:14" ht="13.5" thickTop="1" x14ac:dyDescent="0.2">
      <c r="K1130" s="755"/>
      <c r="L1130" s="755"/>
      <c r="M1130" s="755"/>
      <c r="N1130" s="421"/>
    </row>
    <row r="1131" spans="1:14" x14ac:dyDescent="0.2">
      <c r="K1131" s="755"/>
      <c r="L1131" s="755"/>
      <c r="M1131" s="755"/>
      <c r="N1131" s="421"/>
    </row>
    <row r="1132" spans="1:14" x14ac:dyDescent="0.2">
      <c r="K1132" s="755"/>
      <c r="L1132" s="755"/>
      <c r="M1132" s="755"/>
      <c r="N1132" s="421"/>
    </row>
    <row r="1133" spans="1:14" x14ac:dyDescent="0.2">
      <c r="K1133" s="755"/>
      <c r="L1133" s="755"/>
      <c r="M1133" s="755"/>
      <c r="N1133" s="421"/>
    </row>
    <row r="1134" spans="1:14" x14ac:dyDescent="0.2">
      <c r="K1134" s="755"/>
      <c r="L1134" s="755"/>
      <c r="M1134" s="755"/>
      <c r="N1134" s="421"/>
    </row>
    <row r="1135" spans="1:14" x14ac:dyDescent="0.2">
      <c r="K1135" s="755"/>
      <c r="L1135" s="755"/>
      <c r="M1135" s="755"/>
      <c r="N1135" s="421"/>
    </row>
    <row r="1136" spans="1:14" s="504" customFormat="1" ht="13.5" thickBot="1" x14ac:dyDescent="0.25">
      <c r="A1136" s="421" t="s">
        <v>192</v>
      </c>
      <c r="B1136" s="598"/>
      <c r="D1136" s="670"/>
      <c r="F1136" s="467"/>
      <c r="G1136" s="467"/>
      <c r="H1136" s="467"/>
      <c r="I1136" s="792" t="s">
        <v>148</v>
      </c>
    </row>
    <row r="1137" spans="1:14" s="106" customFormat="1" ht="20.25" customHeight="1" thickTop="1" thickBot="1" x14ac:dyDescent="0.25">
      <c r="A1137" s="626" t="s">
        <v>565</v>
      </c>
      <c r="B1137" s="628" t="s">
        <v>149</v>
      </c>
      <c r="C1137" s="627" t="s">
        <v>150</v>
      </c>
      <c r="D1137" s="589" t="s">
        <v>639</v>
      </c>
      <c r="E1137" s="629" t="s">
        <v>151</v>
      </c>
      <c r="F1137" s="629" t="s">
        <v>152</v>
      </c>
      <c r="G1137" s="629" t="s">
        <v>796</v>
      </c>
      <c r="H1137" s="629" t="s">
        <v>797</v>
      </c>
      <c r="I1137" s="674" t="s">
        <v>798</v>
      </c>
    </row>
    <row r="1138" spans="1:14" s="375" customFormat="1" ht="13.5" thickTop="1" thickBot="1" x14ac:dyDescent="0.25">
      <c r="A1138" s="974">
        <v>1</v>
      </c>
      <c r="B1138" s="975">
        <v>2</v>
      </c>
      <c r="C1138" s="975">
        <v>3</v>
      </c>
      <c r="D1138" s="975">
        <v>4</v>
      </c>
      <c r="E1138" s="526">
        <v>5</v>
      </c>
      <c r="F1138" s="976">
        <v>6</v>
      </c>
      <c r="G1138" s="976">
        <v>7</v>
      </c>
      <c r="H1138" s="977">
        <v>8</v>
      </c>
      <c r="I1138" s="978" t="s">
        <v>689</v>
      </c>
    </row>
    <row r="1139" spans="1:14" s="504" customFormat="1" ht="16.5" thickTop="1" thickBot="1" x14ac:dyDescent="0.3">
      <c r="A1139" s="986">
        <v>60005100306</v>
      </c>
      <c r="B1139" s="809">
        <v>3522</v>
      </c>
      <c r="C1139" s="987">
        <v>6121</v>
      </c>
      <c r="D1139" s="810">
        <v>25</v>
      </c>
      <c r="E1139" s="811" t="s">
        <v>548</v>
      </c>
      <c r="F1139" s="736"/>
      <c r="G1139" s="989">
        <v>99</v>
      </c>
      <c r="H1139" s="736">
        <v>98</v>
      </c>
      <c r="I1139" s="990">
        <f>(H1139/G1139)*100</f>
        <v>98.98989898989899</v>
      </c>
    </row>
    <row r="1140" spans="1:14" s="504" customFormat="1" ht="18" customHeight="1" thickTop="1" thickBot="1" x14ac:dyDescent="0.3">
      <c r="A1140" s="3127" t="s">
        <v>224</v>
      </c>
      <c r="B1140" s="3126"/>
      <c r="C1140" s="3126"/>
      <c r="D1140" s="3126"/>
      <c r="E1140" s="3126"/>
      <c r="F1140" s="725">
        <f>F1139</f>
        <v>0</v>
      </c>
      <c r="G1140" s="725">
        <f>G1139</f>
        <v>99</v>
      </c>
      <c r="H1140" s="725">
        <f>H1139</f>
        <v>98</v>
      </c>
      <c r="I1140" s="710">
        <f>(H1140/G1140)*100</f>
        <v>98.98989898989899</v>
      </c>
    </row>
    <row r="1141" spans="1:14" ht="13.5" thickTop="1" x14ac:dyDescent="0.2">
      <c r="K1141" s="755"/>
      <c r="L1141" s="755"/>
      <c r="M1141" s="755"/>
      <c r="N1141" s="421"/>
    </row>
    <row r="1142" spans="1:14" x14ac:dyDescent="0.2">
      <c r="K1142" s="755"/>
      <c r="L1142" s="755"/>
      <c r="M1142" s="755"/>
      <c r="N1142" s="421"/>
    </row>
    <row r="1143" spans="1:14" s="504" customFormat="1" ht="13.5" thickBot="1" x14ac:dyDescent="0.25">
      <c r="A1143" s="421" t="s">
        <v>540</v>
      </c>
      <c r="B1143" s="598"/>
      <c r="D1143" s="670"/>
      <c r="F1143" s="467"/>
      <c r="G1143" s="467"/>
      <c r="H1143" s="467"/>
      <c r="I1143" s="792" t="s">
        <v>148</v>
      </c>
    </row>
    <row r="1144" spans="1:14" s="106" customFormat="1" ht="20.25" customHeight="1" thickTop="1" thickBot="1" x14ac:dyDescent="0.25">
      <c r="A1144" s="626" t="s">
        <v>565</v>
      </c>
      <c r="B1144" s="628" t="s">
        <v>149</v>
      </c>
      <c r="C1144" s="627" t="s">
        <v>150</v>
      </c>
      <c r="D1144" s="589" t="s">
        <v>639</v>
      </c>
      <c r="E1144" s="629" t="s">
        <v>151</v>
      </c>
      <c r="F1144" s="629" t="s">
        <v>152</v>
      </c>
      <c r="G1144" s="629" t="s">
        <v>796</v>
      </c>
      <c r="H1144" s="629" t="s">
        <v>797</v>
      </c>
      <c r="I1144" s="674" t="s">
        <v>798</v>
      </c>
    </row>
    <row r="1145" spans="1:14" s="375" customFormat="1" ht="13.5" thickTop="1" thickBot="1" x14ac:dyDescent="0.25">
      <c r="A1145" s="974">
        <v>1</v>
      </c>
      <c r="B1145" s="975">
        <v>2</v>
      </c>
      <c r="C1145" s="975">
        <v>3</v>
      </c>
      <c r="D1145" s="975">
        <v>4</v>
      </c>
      <c r="E1145" s="526">
        <v>5</v>
      </c>
      <c r="F1145" s="976">
        <v>6</v>
      </c>
      <c r="G1145" s="976">
        <v>7</v>
      </c>
      <c r="H1145" s="977">
        <v>8</v>
      </c>
      <c r="I1145" s="978" t="s">
        <v>689</v>
      </c>
    </row>
    <row r="1146" spans="1:14" s="504" customFormat="1" ht="16.5" thickTop="1" thickBot="1" x14ac:dyDescent="0.3">
      <c r="A1146" s="986">
        <v>60005100307</v>
      </c>
      <c r="B1146" s="809">
        <v>3522</v>
      </c>
      <c r="C1146" s="987">
        <v>6121</v>
      </c>
      <c r="D1146" s="810">
        <v>25</v>
      </c>
      <c r="E1146" s="811" t="s">
        <v>548</v>
      </c>
      <c r="F1146" s="736"/>
      <c r="G1146" s="989">
        <v>171</v>
      </c>
      <c r="H1146" s="736">
        <v>100</v>
      </c>
      <c r="I1146" s="990">
        <f>(H1146/G1146)*100</f>
        <v>58.479532163742689</v>
      </c>
    </row>
    <row r="1147" spans="1:14" s="504" customFormat="1" ht="18" customHeight="1" thickTop="1" thickBot="1" x14ac:dyDescent="0.3">
      <c r="A1147" s="3127" t="s">
        <v>224</v>
      </c>
      <c r="B1147" s="3126"/>
      <c r="C1147" s="3126"/>
      <c r="D1147" s="3126"/>
      <c r="E1147" s="3126"/>
      <c r="F1147" s="725">
        <f>F1146</f>
        <v>0</v>
      </c>
      <c r="G1147" s="725">
        <f>G1146</f>
        <v>171</v>
      </c>
      <c r="H1147" s="725">
        <f>H1146</f>
        <v>100</v>
      </c>
      <c r="I1147" s="710">
        <f>(H1147/G1147)*100</f>
        <v>58.479532163742689</v>
      </c>
    </row>
    <row r="1148" spans="1:14" ht="13.5" thickTop="1" x14ac:dyDescent="0.2">
      <c r="K1148" s="755"/>
      <c r="L1148" s="755"/>
      <c r="M1148" s="755"/>
      <c r="N1148" s="421"/>
    </row>
    <row r="1149" spans="1:14" x14ac:dyDescent="0.2">
      <c r="K1149" s="755"/>
      <c r="L1149" s="755"/>
      <c r="M1149" s="755"/>
      <c r="N1149" s="421"/>
    </row>
    <row r="1150" spans="1:14" s="504" customFormat="1" ht="13.5" thickBot="1" x14ac:dyDescent="0.25">
      <c r="A1150" s="421" t="s">
        <v>541</v>
      </c>
      <c r="B1150" s="598"/>
      <c r="D1150" s="670"/>
      <c r="F1150" s="467"/>
      <c r="G1150" s="467"/>
      <c r="H1150" s="467"/>
      <c r="I1150" s="792" t="s">
        <v>148</v>
      </c>
    </row>
    <row r="1151" spans="1:14" s="106" customFormat="1" ht="20.25" customHeight="1" thickTop="1" thickBot="1" x14ac:dyDescent="0.25">
      <c r="A1151" s="626" t="s">
        <v>565</v>
      </c>
      <c r="B1151" s="628" t="s">
        <v>149</v>
      </c>
      <c r="C1151" s="627" t="s">
        <v>150</v>
      </c>
      <c r="D1151" s="589" t="s">
        <v>639</v>
      </c>
      <c r="E1151" s="629" t="s">
        <v>151</v>
      </c>
      <c r="F1151" s="629" t="s">
        <v>152</v>
      </c>
      <c r="G1151" s="629" t="s">
        <v>796</v>
      </c>
      <c r="H1151" s="629" t="s">
        <v>797</v>
      </c>
      <c r="I1151" s="674" t="s">
        <v>798</v>
      </c>
    </row>
    <row r="1152" spans="1:14" s="375" customFormat="1" ht="13.5" thickTop="1" thickBot="1" x14ac:dyDescent="0.25">
      <c r="A1152" s="974">
        <v>1</v>
      </c>
      <c r="B1152" s="975">
        <v>2</v>
      </c>
      <c r="C1152" s="975">
        <v>3</v>
      </c>
      <c r="D1152" s="975">
        <v>4</v>
      </c>
      <c r="E1152" s="526">
        <v>5</v>
      </c>
      <c r="F1152" s="976">
        <v>6</v>
      </c>
      <c r="G1152" s="976">
        <v>7</v>
      </c>
      <c r="H1152" s="977">
        <v>8</v>
      </c>
      <c r="I1152" s="978" t="s">
        <v>689</v>
      </c>
    </row>
    <row r="1153" spans="1:14" s="504" customFormat="1" ht="16.5" thickTop="1" thickBot="1" x14ac:dyDescent="0.3">
      <c r="A1153" s="986">
        <v>60005100308</v>
      </c>
      <c r="B1153" s="809">
        <v>3522</v>
      </c>
      <c r="C1153" s="987">
        <v>6121</v>
      </c>
      <c r="D1153" s="810">
        <v>25</v>
      </c>
      <c r="E1153" s="811" t="s">
        <v>548</v>
      </c>
      <c r="F1153" s="736"/>
      <c r="G1153" s="989">
        <v>1698</v>
      </c>
      <c r="H1153" s="736">
        <v>1698</v>
      </c>
      <c r="I1153" s="990">
        <f>(H1153/G1153)*100</f>
        <v>100</v>
      </c>
    </row>
    <row r="1154" spans="1:14" s="504" customFormat="1" ht="18" customHeight="1" thickTop="1" thickBot="1" x14ac:dyDescent="0.3">
      <c r="A1154" s="3127" t="s">
        <v>224</v>
      </c>
      <c r="B1154" s="3126"/>
      <c r="C1154" s="3126"/>
      <c r="D1154" s="3126"/>
      <c r="E1154" s="3126"/>
      <c r="F1154" s="725">
        <f>F1153</f>
        <v>0</v>
      </c>
      <c r="G1154" s="725">
        <f>G1153</f>
        <v>1698</v>
      </c>
      <c r="H1154" s="725">
        <f>H1153</f>
        <v>1698</v>
      </c>
      <c r="I1154" s="710">
        <f>(H1154/G1154)*100</f>
        <v>100</v>
      </c>
    </row>
    <row r="1155" spans="1:14" ht="13.5" thickTop="1" x14ac:dyDescent="0.2">
      <c r="K1155" s="755"/>
      <c r="L1155" s="755"/>
      <c r="M1155" s="755"/>
      <c r="N1155" s="421"/>
    </row>
    <row r="1156" spans="1:14" x14ac:dyDescent="0.2">
      <c r="K1156" s="755"/>
      <c r="L1156" s="755"/>
      <c r="M1156" s="755"/>
      <c r="N1156" s="421"/>
    </row>
    <row r="1157" spans="1:14" s="504" customFormat="1" ht="13.5" thickBot="1" x14ac:dyDescent="0.25">
      <c r="A1157" s="421" t="s">
        <v>542</v>
      </c>
      <c r="B1157" s="598"/>
      <c r="D1157" s="670"/>
      <c r="F1157" s="467"/>
      <c r="G1157" s="467"/>
      <c r="H1157" s="467"/>
      <c r="I1157" s="792" t="s">
        <v>148</v>
      </c>
    </row>
    <row r="1158" spans="1:14" s="106" customFormat="1" ht="20.25" customHeight="1" thickTop="1" thickBot="1" x14ac:dyDescent="0.25">
      <c r="A1158" s="626" t="s">
        <v>565</v>
      </c>
      <c r="B1158" s="628" t="s">
        <v>149</v>
      </c>
      <c r="C1158" s="627" t="s">
        <v>150</v>
      </c>
      <c r="D1158" s="589" t="s">
        <v>639</v>
      </c>
      <c r="E1158" s="629" t="s">
        <v>151</v>
      </c>
      <c r="F1158" s="629" t="s">
        <v>152</v>
      </c>
      <c r="G1158" s="629" t="s">
        <v>796</v>
      </c>
      <c r="H1158" s="629" t="s">
        <v>797</v>
      </c>
      <c r="I1158" s="674" t="s">
        <v>798</v>
      </c>
    </row>
    <row r="1159" spans="1:14" s="375" customFormat="1" ht="13.5" thickTop="1" thickBot="1" x14ac:dyDescent="0.25">
      <c r="A1159" s="974">
        <v>1</v>
      </c>
      <c r="B1159" s="975">
        <v>2</v>
      </c>
      <c r="C1159" s="975">
        <v>3</v>
      </c>
      <c r="D1159" s="975">
        <v>4</v>
      </c>
      <c r="E1159" s="526">
        <v>5</v>
      </c>
      <c r="F1159" s="976">
        <v>6</v>
      </c>
      <c r="G1159" s="976">
        <v>7</v>
      </c>
      <c r="H1159" s="977">
        <v>8</v>
      </c>
      <c r="I1159" s="978" t="s">
        <v>689</v>
      </c>
    </row>
    <row r="1160" spans="1:14" s="504" customFormat="1" ht="16.5" thickTop="1" thickBot="1" x14ac:dyDescent="0.3">
      <c r="A1160" s="986">
        <v>60005100309</v>
      </c>
      <c r="B1160" s="809">
        <v>3522</v>
      </c>
      <c r="C1160" s="987">
        <v>6121</v>
      </c>
      <c r="D1160" s="810">
        <v>25</v>
      </c>
      <c r="E1160" s="811" t="s">
        <v>548</v>
      </c>
      <c r="F1160" s="736"/>
      <c r="G1160" s="989">
        <v>5429</v>
      </c>
      <c r="H1160" s="736">
        <v>5429</v>
      </c>
      <c r="I1160" s="990">
        <f>(H1160/G1160)*100</f>
        <v>100</v>
      </c>
    </row>
    <row r="1161" spans="1:14" s="504" customFormat="1" ht="18" customHeight="1" thickTop="1" thickBot="1" x14ac:dyDescent="0.3">
      <c r="A1161" s="3127" t="s">
        <v>224</v>
      </c>
      <c r="B1161" s="3126"/>
      <c r="C1161" s="3126"/>
      <c r="D1161" s="3126"/>
      <c r="E1161" s="3126"/>
      <c r="F1161" s="725">
        <f>F1160</f>
        <v>0</v>
      </c>
      <c r="G1161" s="725">
        <f>G1160</f>
        <v>5429</v>
      </c>
      <c r="H1161" s="725">
        <f>H1160</f>
        <v>5429</v>
      </c>
      <c r="I1161" s="710">
        <f>(H1161/G1161)*100</f>
        <v>100</v>
      </c>
    </row>
    <row r="1162" spans="1:14" ht="13.5" thickTop="1" x14ac:dyDescent="0.2">
      <c r="K1162" s="755"/>
      <c r="L1162" s="755"/>
      <c r="M1162" s="755"/>
      <c r="N1162" s="421"/>
    </row>
    <row r="1163" spans="1:14" x14ac:dyDescent="0.2">
      <c r="K1163" s="755"/>
      <c r="L1163" s="755"/>
      <c r="M1163" s="755"/>
      <c r="N1163" s="421"/>
    </row>
    <row r="1164" spans="1:14" s="504" customFormat="1" ht="13.5" thickBot="1" x14ac:dyDescent="0.25">
      <c r="A1164" s="421" t="s">
        <v>199</v>
      </c>
      <c r="B1164" s="598"/>
      <c r="D1164" s="670"/>
      <c r="F1164" s="467"/>
      <c r="G1164" s="467"/>
      <c r="H1164" s="467"/>
      <c r="I1164" s="792" t="s">
        <v>148</v>
      </c>
    </row>
    <row r="1165" spans="1:14" s="106" customFormat="1" ht="20.25" customHeight="1" thickTop="1" thickBot="1" x14ac:dyDescent="0.25">
      <c r="A1165" s="626" t="s">
        <v>565</v>
      </c>
      <c r="B1165" s="628" t="s">
        <v>149</v>
      </c>
      <c r="C1165" s="627" t="s">
        <v>150</v>
      </c>
      <c r="D1165" s="589" t="s">
        <v>639</v>
      </c>
      <c r="E1165" s="629" t="s">
        <v>151</v>
      </c>
      <c r="F1165" s="629" t="s">
        <v>152</v>
      </c>
      <c r="G1165" s="629" t="s">
        <v>796</v>
      </c>
      <c r="H1165" s="629" t="s">
        <v>797</v>
      </c>
      <c r="I1165" s="674" t="s">
        <v>798</v>
      </c>
    </row>
    <row r="1166" spans="1:14" s="375" customFormat="1" ht="13.5" thickTop="1" thickBot="1" x14ac:dyDescent="0.25">
      <c r="A1166" s="974">
        <v>1</v>
      </c>
      <c r="B1166" s="975">
        <v>2</v>
      </c>
      <c r="C1166" s="975">
        <v>3</v>
      </c>
      <c r="D1166" s="975">
        <v>4</v>
      </c>
      <c r="E1166" s="526">
        <v>5</v>
      </c>
      <c r="F1166" s="976">
        <v>6</v>
      </c>
      <c r="G1166" s="976">
        <v>7</v>
      </c>
      <c r="H1166" s="977">
        <v>8</v>
      </c>
      <c r="I1166" s="978" t="s">
        <v>689</v>
      </c>
    </row>
    <row r="1167" spans="1:14" s="504" customFormat="1" ht="16.5" thickTop="1" thickBot="1" x14ac:dyDescent="0.3">
      <c r="A1167" s="986">
        <v>60005100310</v>
      </c>
      <c r="B1167" s="809">
        <v>3522</v>
      </c>
      <c r="C1167" s="987">
        <v>6121</v>
      </c>
      <c r="D1167" s="810">
        <v>25</v>
      </c>
      <c r="E1167" s="811" t="s">
        <v>548</v>
      </c>
      <c r="F1167" s="736"/>
      <c r="G1167" s="989">
        <v>4115</v>
      </c>
      <c r="H1167" s="736">
        <v>0</v>
      </c>
      <c r="I1167" s="990">
        <f>(H1167/G1167)*100</f>
        <v>0</v>
      </c>
    </row>
    <row r="1168" spans="1:14" s="504" customFormat="1" ht="18" customHeight="1" thickTop="1" thickBot="1" x14ac:dyDescent="0.3">
      <c r="A1168" s="3127" t="s">
        <v>224</v>
      </c>
      <c r="B1168" s="3126"/>
      <c r="C1168" s="3126"/>
      <c r="D1168" s="3126"/>
      <c r="E1168" s="3126"/>
      <c r="F1168" s="725">
        <f>F1167</f>
        <v>0</v>
      </c>
      <c r="G1168" s="725">
        <f>G1167</f>
        <v>4115</v>
      </c>
      <c r="H1168" s="725">
        <f>H1167</f>
        <v>0</v>
      </c>
      <c r="I1168" s="710">
        <f>(H1168/G1168)*100</f>
        <v>0</v>
      </c>
    </row>
    <row r="1169" spans="1:14" ht="13.5" thickTop="1" x14ac:dyDescent="0.2">
      <c r="K1169" s="755"/>
      <c r="L1169" s="755"/>
      <c r="M1169" s="755"/>
      <c r="N1169" s="421"/>
    </row>
    <row r="1170" spans="1:14" x14ac:dyDescent="0.2">
      <c r="K1170" s="755"/>
      <c r="L1170" s="755"/>
      <c r="M1170" s="755"/>
      <c r="N1170" s="421"/>
    </row>
    <row r="1171" spans="1:14" s="504" customFormat="1" ht="13.5" thickBot="1" x14ac:dyDescent="0.25">
      <c r="A1171" s="421" t="s">
        <v>200</v>
      </c>
      <c r="B1171" s="598"/>
      <c r="D1171" s="670"/>
      <c r="F1171" s="467"/>
      <c r="G1171" s="467"/>
      <c r="H1171" s="467"/>
      <c r="I1171" s="792" t="s">
        <v>148</v>
      </c>
    </row>
    <row r="1172" spans="1:14" s="106" customFormat="1" ht="20.25" customHeight="1" thickTop="1" thickBot="1" x14ac:dyDescent="0.25">
      <c r="A1172" s="626" t="s">
        <v>565</v>
      </c>
      <c r="B1172" s="628" t="s">
        <v>149</v>
      </c>
      <c r="C1172" s="627" t="s">
        <v>150</v>
      </c>
      <c r="D1172" s="589" t="s">
        <v>639</v>
      </c>
      <c r="E1172" s="629" t="s">
        <v>151</v>
      </c>
      <c r="F1172" s="629" t="s">
        <v>152</v>
      </c>
      <c r="G1172" s="629" t="s">
        <v>796</v>
      </c>
      <c r="H1172" s="629" t="s">
        <v>797</v>
      </c>
      <c r="I1172" s="674" t="s">
        <v>798</v>
      </c>
    </row>
    <row r="1173" spans="1:14" s="375" customFormat="1" ht="13.5" thickTop="1" thickBot="1" x14ac:dyDescent="0.25">
      <c r="A1173" s="974">
        <v>1</v>
      </c>
      <c r="B1173" s="975">
        <v>2</v>
      </c>
      <c r="C1173" s="975">
        <v>3</v>
      </c>
      <c r="D1173" s="975">
        <v>4</v>
      </c>
      <c r="E1173" s="526">
        <v>5</v>
      </c>
      <c r="F1173" s="976">
        <v>6</v>
      </c>
      <c r="G1173" s="976">
        <v>7</v>
      </c>
      <c r="H1173" s="977">
        <v>8</v>
      </c>
      <c r="I1173" s="978" t="s">
        <v>689</v>
      </c>
    </row>
    <row r="1174" spans="1:14" s="504" customFormat="1" ht="16.5" thickTop="1" thickBot="1" x14ac:dyDescent="0.3">
      <c r="A1174" s="986">
        <v>60005100311</v>
      </c>
      <c r="B1174" s="809">
        <v>3522</v>
      </c>
      <c r="C1174" s="987">
        <v>6121</v>
      </c>
      <c r="D1174" s="810">
        <v>25</v>
      </c>
      <c r="E1174" s="811" t="s">
        <v>548</v>
      </c>
      <c r="F1174" s="736"/>
      <c r="G1174" s="989">
        <v>843</v>
      </c>
      <c r="H1174" s="736">
        <v>842</v>
      </c>
      <c r="I1174" s="990">
        <f>(H1174/G1174)*100</f>
        <v>99.881376037959669</v>
      </c>
    </row>
    <row r="1175" spans="1:14" s="504" customFormat="1" ht="18" customHeight="1" thickTop="1" thickBot="1" x14ac:dyDescent="0.3">
      <c r="A1175" s="3127" t="s">
        <v>224</v>
      </c>
      <c r="B1175" s="3126"/>
      <c r="C1175" s="3126"/>
      <c r="D1175" s="3126"/>
      <c r="E1175" s="3126"/>
      <c r="F1175" s="725">
        <f>F1174</f>
        <v>0</v>
      </c>
      <c r="G1175" s="725">
        <f>G1174</f>
        <v>843</v>
      </c>
      <c r="H1175" s="725">
        <f>H1174</f>
        <v>842</v>
      </c>
      <c r="I1175" s="710">
        <f>(H1175/G1175)*100</f>
        <v>99.881376037959669</v>
      </c>
    </row>
    <row r="1176" spans="1:14" ht="13.5" thickTop="1" x14ac:dyDescent="0.2">
      <c r="K1176" s="755"/>
      <c r="L1176" s="755"/>
      <c r="M1176" s="755"/>
      <c r="N1176" s="421"/>
    </row>
    <row r="1177" spans="1:14" x14ac:dyDescent="0.2">
      <c r="K1177" s="755"/>
      <c r="L1177" s="755"/>
      <c r="M1177" s="755"/>
      <c r="N1177" s="421"/>
    </row>
    <row r="1178" spans="1:14" s="504" customFormat="1" ht="13.5" thickBot="1" x14ac:dyDescent="0.25">
      <c r="A1178" s="421" t="s">
        <v>67</v>
      </c>
      <c r="B1178" s="598"/>
      <c r="D1178" s="670"/>
      <c r="F1178" s="467"/>
      <c r="G1178" s="467"/>
      <c r="H1178" s="467"/>
      <c r="I1178" s="792" t="s">
        <v>148</v>
      </c>
    </row>
    <row r="1179" spans="1:14" s="106" customFormat="1" ht="20.25" customHeight="1" thickTop="1" thickBot="1" x14ac:dyDescent="0.25">
      <c r="A1179" s="626" t="s">
        <v>565</v>
      </c>
      <c r="B1179" s="628" t="s">
        <v>149</v>
      </c>
      <c r="C1179" s="627" t="s">
        <v>150</v>
      </c>
      <c r="D1179" s="589" t="s">
        <v>639</v>
      </c>
      <c r="E1179" s="629" t="s">
        <v>151</v>
      </c>
      <c r="F1179" s="629" t="s">
        <v>152</v>
      </c>
      <c r="G1179" s="629" t="s">
        <v>796</v>
      </c>
      <c r="H1179" s="629" t="s">
        <v>797</v>
      </c>
      <c r="I1179" s="674" t="s">
        <v>798</v>
      </c>
    </row>
    <row r="1180" spans="1:14" s="375" customFormat="1" ht="13.5" thickTop="1" thickBot="1" x14ac:dyDescent="0.25">
      <c r="A1180" s="974">
        <v>1</v>
      </c>
      <c r="B1180" s="975">
        <v>2</v>
      </c>
      <c r="C1180" s="975">
        <v>3</v>
      </c>
      <c r="D1180" s="975">
        <v>4</v>
      </c>
      <c r="E1180" s="526">
        <v>5</v>
      </c>
      <c r="F1180" s="976">
        <v>6</v>
      </c>
      <c r="G1180" s="976">
        <v>7</v>
      </c>
      <c r="H1180" s="977">
        <v>8</v>
      </c>
      <c r="I1180" s="978" t="s">
        <v>689</v>
      </c>
    </row>
    <row r="1181" spans="1:14" s="504" customFormat="1" ht="16.5" thickTop="1" thickBot="1" x14ac:dyDescent="0.3">
      <c r="A1181" s="986">
        <v>60005100312</v>
      </c>
      <c r="B1181" s="809">
        <v>3522</v>
      </c>
      <c r="C1181" s="987">
        <v>6121</v>
      </c>
      <c r="D1181" s="810">
        <v>25</v>
      </c>
      <c r="E1181" s="811" t="s">
        <v>548</v>
      </c>
      <c r="F1181" s="736"/>
      <c r="G1181" s="989">
        <v>1549</v>
      </c>
      <c r="H1181" s="736">
        <v>0</v>
      </c>
      <c r="I1181" s="990">
        <f>(H1181/G1181)*100</f>
        <v>0</v>
      </c>
    </row>
    <row r="1182" spans="1:14" s="504" customFormat="1" ht="18" customHeight="1" thickTop="1" thickBot="1" x14ac:dyDescent="0.3">
      <c r="A1182" s="3127" t="s">
        <v>224</v>
      </c>
      <c r="B1182" s="3126"/>
      <c r="C1182" s="3126"/>
      <c r="D1182" s="3126"/>
      <c r="E1182" s="3126"/>
      <c r="F1182" s="725">
        <f>F1181</f>
        <v>0</v>
      </c>
      <c r="G1182" s="725">
        <f>G1181</f>
        <v>1549</v>
      </c>
      <c r="H1182" s="725">
        <f>H1181</f>
        <v>0</v>
      </c>
      <c r="I1182" s="710">
        <f>(H1182/G1182)*100</f>
        <v>0</v>
      </c>
    </row>
    <row r="1183" spans="1:14" ht="13.5" thickTop="1" x14ac:dyDescent="0.2">
      <c r="K1183" s="755"/>
      <c r="L1183" s="755"/>
      <c r="M1183" s="755"/>
      <c r="N1183" s="421"/>
    </row>
    <row r="1184" spans="1:14" x14ac:dyDescent="0.2">
      <c r="K1184" s="755"/>
      <c r="L1184" s="755"/>
      <c r="M1184" s="755"/>
      <c r="N1184" s="421"/>
    </row>
    <row r="1185" spans="1:14" s="504" customFormat="1" ht="13.5" thickBot="1" x14ac:dyDescent="0.25">
      <c r="A1185" s="421" t="s">
        <v>68</v>
      </c>
      <c r="B1185" s="598"/>
      <c r="D1185" s="670"/>
      <c r="F1185" s="467"/>
      <c r="G1185" s="467"/>
      <c r="H1185" s="467"/>
      <c r="I1185" s="792" t="s">
        <v>148</v>
      </c>
    </row>
    <row r="1186" spans="1:14" s="106" customFormat="1" ht="20.25" customHeight="1" thickTop="1" thickBot="1" x14ac:dyDescent="0.25">
      <c r="A1186" s="626" t="s">
        <v>565</v>
      </c>
      <c r="B1186" s="628" t="s">
        <v>149</v>
      </c>
      <c r="C1186" s="627" t="s">
        <v>150</v>
      </c>
      <c r="D1186" s="589" t="s">
        <v>639</v>
      </c>
      <c r="E1186" s="629" t="s">
        <v>151</v>
      </c>
      <c r="F1186" s="629" t="s">
        <v>152</v>
      </c>
      <c r="G1186" s="629" t="s">
        <v>796</v>
      </c>
      <c r="H1186" s="629" t="s">
        <v>797</v>
      </c>
      <c r="I1186" s="674" t="s">
        <v>798</v>
      </c>
    </row>
    <row r="1187" spans="1:14" s="375" customFormat="1" ht="13.5" thickTop="1" thickBot="1" x14ac:dyDescent="0.25">
      <c r="A1187" s="974">
        <v>1</v>
      </c>
      <c r="B1187" s="975">
        <v>2</v>
      </c>
      <c r="C1187" s="975">
        <v>3</v>
      </c>
      <c r="D1187" s="975">
        <v>4</v>
      </c>
      <c r="E1187" s="526">
        <v>5</v>
      </c>
      <c r="F1187" s="976">
        <v>6</v>
      </c>
      <c r="G1187" s="976">
        <v>7</v>
      </c>
      <c r="H1187" s="977">
        <v>8</v>
      </c>
      <c r="I1187" s="978" t="s">
        <v>689</v>
      </c>
    </row>
    <row r="1188" spans="1:14" s="504" customFormat="1" ht="16.5" thickTop="1" thickBot="1" x14ac:dyDescent="0.3">
      <c r="A1188" s="986">
        <v>60005100313</v>
      </c>
      <c r="B1188" s="809">
        <v>3522</v>
      </c>
      <c r="C1188" s="987">
        <v>6121</v>
      </c>
      <c r="D1188" s="810">
        <v>25</v>
      </c>
      <c r="E1188" s="811" t="s">
        <v>548</v>
      </c>
      <c r="F1188" s="736"/>
      <c r="G1188" s="989">
        <v>380</v>
      </c>
      <c r="H1188" s="736">
        <v>173</v>
      </c>
      <c r="I1188" s="990">
        <f>(H1188/G1188)*100</f>
        <v>45.526315789473685</v>
      </c>
    </row>
    <row r="1189" spans="1:14" s="504" customFormat="1" ht="18" customHeight="1" thickTop="1" thickBot="1" x14ac:dyDescent="0.3">
      <c r="A1189" s="3127" t="s">
        <v>224</v>
      </c>
      <c r="B1189" s="3126"/>
      <c r="C1189" s="3126"/>
      <c r="D1189" s="3126"/>
      <c r="E1189" s="3126"/>
      <c r="F1189" s="725">
        <f>F1188</f>
        <v>0</v>
      </c>
      <c r="G1189" s="725">
        <f>G1188</f>
        <v>380</v>
      </c>
      <c r="H1189" s="725">
        <f>H1188</f>
        <v>173</v>
      </c>
      <c r="I1189" s="710">
        <f>(H1189/G1189)*100</f>
        <v>45.526315789473685</v>
      </c>
    </row>
    <row r="1190" spans="1:14" ht="13.5" thickTop="1" x14ac:dyDescent="0.2">
      <c r="K1190" s="755"/>
      <c r="L1190" s="755"/>
      <c r="M1190" s="755"/>
      <c r="N1190" s="421"/>
    </row>
    <row r="1191" spans="1:14" x14ac:dyDescent="0.2">
      <c r="K1191" s="755"/>
      <c r="L1191" s="755"/>
      <c r="M1191" s="755"/>
      <c r="N1191" s="421"/>
    </row>
    <row r="1192" spans="1:14" s="504" customFormat="1" ht="13.5" thickBot="1" x14ac:dyDescent="0.25">
      <c r="A1192" s="421" t="s">
        <v>303</v>
      </c>
      <c r="B1192" s="598"/>
      <c r="D1192" s="670"/>
      <c r="F1192" s="467"/>
      <c r="G1192" s="467"/>
      <c r="H1192" s="467"/>
      <c r="I1192" s="792" t="s">
        <v>148</v>
      </c>
    </row>
    <row r="1193" spans="1:14" s="106" customFormat="1" ht="20.25" customHeight="1" thickTop="1" thickBot="1" x14ac:dyDescent="0.25">
      <c r="A1193" s="626" t="s">
        <v>565</v>
      </c>
      <c r="B1193" s="628" t="s">
        <v>149</v>
      </c>
      <c r="C1193" s="627" t="s">
        <v>150</v>
      </c>
      <c r="D1193" s="589" t="s">
        <v>639</v>
      </c>
      <c r="E1193" s="629" t="s">
        <v>151</v>
      </c>
      <c r="F1193" s="629" t="s">
        <v>152</v>
      </c>
      <c r="G1193" s="629" t="s">
        <v>796</v>
      </c>
      <c r="H1193" s="629" t="s">
        <v>797</v>
      </c>
      <c r="I1193" s="674" t="s">
        <v>798</v>
      </c>
    </row>
    <row r="1194" spans="1:14" s="375" customFormat="1" ht="13.5" thickTop="1" thickBot="1" x14ac:dyDescent="0.25">
      <c r="A1194" s="974">
        <v>1</v>
      </c>
      <c r="B1194" s="975">
        <v>2</v>
      </c>
      <c r="C1194" s="975">
        <v>3</v>
      </c>
      <c r="D1194" s="975">
        <v>4</v>
      </c>
      <c r="E1194" s="526">
        <v>5</v>
      </c>
      <c r="F1194" s="976">
        <v>6</v>
      </c>
      <c r="G1194" s="976">
        <v>7</v>
      </c>
      <c r="H1194" s="977">
        <v>8</v>
      </c>
      <c r="I1194" s="978" t="s">
        <v>689</v>
      </c>
    </row>
    <row r="1195" spans="1:14" s="504" customFormat="1" ht="16.5" thickTop="1" thickBot="1" x14ac:dyDescent="0.3">
      <c r="A1195" s="986">
        <v>60005100339</v>
      </c>
      <c r="B1195" s="809">
        <v>3522</v>
      </c>
      <c r="C1195" s="987">
        <v>6121</v>
      </c>
      <c r="D1195" s="810">
        <v>25</v>
      </c>
      <c r="E1195" s="811" t="s">
        <v>548</v>
      </c>
      <c r="F1195" s="736"/>
      <c r="G1195" s="989">
        <v>4918</v>
      </c>
      <c r="H1195" s="736">
        <v>845</v>
      </c>
      <c r="I1195" s="990">
        <f>(H1195/G1195)*100</f>
        <v>17.181781211874746</v>
      </c>
    </row>
    <row r="1196" spans="1:14" s="504" customFormat="1" ht="18" customHeight="1" thickTop="1" thickBot="1" x14ac:dyDescent="0.3">
      <c r="A1196" s="3127" t="s">
        <v>224</v>
      </c>
      <c r="B1196" s="3126"/>
      <c r="C1196" s="3126"/>
      <c r="D1196" s="3126"/>
      <c r="E1196" s="3126"/>
      <c r="F1196" s="725">
        <f>F1195</f>
        <v>0</v>
      </c>
      <c r="G1196" s="725">
        <f>G1195</f>
        <v>4918</v>
      </c>
      <c r="H1196" s="725">
        <f>H1195</f>
        <v>845</v>
      </c>
      <c r="I1196" s="710">
        <f>(H1196/G1196)*100</f>
        <v>17.181781211874746</v>
      </c>
    </row>
    <row r="1197" spans="1:14" ht="13.5" thickTop="1" x14ac:dyDescent="0.2">
      <c r="K1197" s="755"/>
      <c r="L1197" s="755"/>
      <c r="M1197" s="755"/>
      <c r="N1197" s="421"/>
    </row>
    <row r="1198" spans="1:14" x14ac:dyDescent="0.2">
      <c r="K1198" s="755"/>
      <c r="L1198" s="755"/>
      <c r="M1198" s="755"/>
      <c r="N1198" s="421"/>
    </row>
    <row r="1199" spans="1:14" x14ac:dyDescent="0.2">
      <c r="K1199" s="755"/>
      <c r="L1199" s="755"/>
      <c r="M1199" s="755"/>
      <c r="N1199" s="421"/>
    </row>
    <row r="1200" spans="1:14" x14ac:dyDescent="0.2">
      <c r="K1200" s="755"/>
      <c r="L1200" s="755"/>
      <c r="M1200" s="755"/>
      <c r="N1200" s="421"/>
    </row>
    <row r="1201" spans="1:14" x14ac:dyDescent="0.2">
      <c r="K1201" s="755"/>
      <c r="L1201" s="755"/>
      <c r="M1201" s="755"/>
      <c r="N1201" s="421"/>
    </row>
    <row r="1202" spans="1:14" x14ac:dyDescent="0.2">
      <c r="K1202" s="755"/>
      <c r="L1202" s="755"/>
      <c r="M1202" s="755"/>
      <c r="N1202" s="421"/>
    </row>
    <row r="1203" spans="1:14" s="504" customFormat="1" ht="13.5" thickBot="1" x14ac:dyDescent="0.25">
      <c r="A1203" s="421" t="s">
        <v>304</v>
      </c>
      <c r="B1203" s="598"/>
      <c r="D1203" s="670"/>
      <c r="F1203" s="467"/>
      <c r="G1203" s="467"/>
      <c r="H1203" s="467"/>
      <c r="I1203" s="792" t="s">
        <v>148</v>
      </c>
    </row>
    <row r="1204" spans="1:14" s="106" customFormat="1" ht="20.25" customHeight="1" thickTop="1" thickBot="1" x14ac:dyDescent="0.25">
      <c r="A1204" s="626" t="s">
        <v>565</v>
      </c>
      <c r="B1204" s="628" t="s">
        <v>149</v>
      </c>
      <c r="C1204" s="627" t="s">
        <v>150</v>
      </c>
      <c r="D1204" s="589" t="s">
        <v>639</v>
      </c>
      <c r="E1204" s="629" t="s">
        <v>151</v>
      </c>
      <c r="F1204" s="629" t="s">
        <v>152</v>
      </c>
      <c r="G1204" s="629" t="s">
        <v>796</v>
      </c>
      <c r="H1204" s="629" t="s">
        <v>797</v>
      </c>
      <c r="I1204" s="674" t="s">
        <v>798</v>
      </c>
    </row>
    <row r="1205" spans="1:14" s="375" customFormat="1" ht="13.5" thickTop="1" thickBot="1" x14ac:dyDescent="0.25">
      <c r="A1205" s="974">
        <v>1</v>
      </c>
      <c r="B1205" s="975">
        <v>2</v>
      </c>
      <c r="C1205" s="975">
        <v>3</v>
      </c>
      <c r="D1205" s="975">
        <v>4</v>
      </c>
      <c r="E1205" s="526">
        <v>5</v>
      </c>
      <c r="F1205" s="976">
        <v>6</v>
      </c>
      <c r="G1205" s="976">
        <v>7</v>
      </c>
      <c r="H1205" s="977">
        <v>8</v>
      </c>
      <c r="I1205" s="978" t="s">
        <v>689</v>
      </c>
    </row>
    <row r="1206" spans="1:14" s="504" customFormat="1" ht="16.5" thickTop="1" thickBot="1" x14ac:dyDescent="0.3">
      <c r="A1206" s="986">
        <v>60005100340</v>
      </c>
      <c r="B1206" s="809">
        <v>3522</v>
      </c>
      <c r="C1206" s="987">
        <v>6121</v>
      </c>
      <c r="D1206" s="810">
        <v>25</v>
      </c>
      <c r="E1206" s="811" t="s">
        <v>548</v>
      </c>
      <c r="F1206" s="736"/>
      <c r="G1206" s="989">
        <v>100</v>
      </c>
      <c r="H1206" s="736">
        <v>94</v>
      </c>
      <c r="I1206" s="990">
        <f>(H1206/G1206)*100</f>
        <v>94</v>
      </c>
    </row>
    <row r="1207" spans="1:14" s="504" customFormat="1" ht="18" customHeight="1" thickTop="1" thickBot="1" x14ac:dyDescent="0.3">
      <c r="A1207" s="3127" t="s">
        <v>224</v>
      </c>
      <c r="B1207" s="3126"/>
      <c r="C1207" s="3126"/>
      <c r="D1207" s="3126"/>
      <c r="E1207" s="3126"/>
      <c r="F1207" s="725">
        <f>F1206</f>
        <v>0</v>
      </c>
      <c r="G1207" s="725">
        <f>G1206</f>
        <v>100</v>
      </c>
      <c r="H1207" s="725">
        <f>H1206</f>
        <v>94</v>
      </c>
      <c r="I1207" s="710">
        <f>(H1207/G1207)*100</f>
        <v>94</v>
      </c>
    </row>
    <row r="1208" spans="1:14" ht="13.5" thickTop="1" x14ac:dyDescent="0.2">
      <c r="K1208" s="755"/>
      <c r="L1208" s="755"/>
      <c r="M1208" s="755"/>
      <c r="N1208" s="421"/>
    </row>
    <row r="1209" spans="1:14" x14ac:dyDescent="0.2">
      <c r="K1209" s="755"/>
      <c r="L1209" s="755"/>
      <c r="M1209" s="755"/>
      <c r="N1209" s="421"/>
    </row>
    <row r="1210" spans="1:14" s="504" customFormat="1" ht="13.5" thickBot="1" x14ac:dyDescent="0.25">
      <c r="A1210" s="421" t="s">
        <v>966</v>
      </c>
      <c r="B1210" s="598"/>
      <c r="D1210" s="670"/>
      <c r="F1210" s="467"/>
      <c r="G1210" s="467"/>
      <c r="H1210" s="467"/>
      <c r="I1210" s="792" t="s">
        <v>148</v>
      </c>
    </row>
    <row r="1211" spans="1:14" s="106" customFormat="1" ht="20.25" customHeight="1" thickTop="1" thickBot="1" x14ac:dyDescent="0.25">
      <c r="A1211" s="626" t="s">
        <v>565</v>
      </c>
      <c r="B1211" s="628" t="s">
        <v>149</v>
      </c>
      <c r="C1211" s="627" t="s">
        <v>150</v>
      </c>
      <c r="D1211" s="589" t="s">
        <v>639</v>
      </c>
      <c r="E1211" s="629" t="s">
        <v>151</v>
      </c>
      <c r="F1211" s="629" t="s">
        <v>152</v>
      </c>
      <c r="G1211" s="629" t="s">
        <v>796</v>
      </c>
      <c r="H1211" s="629" t="s">
        <v>797</v>
      </c>
      <c r="I1211" s="674" t="s">
        <v>798</v>
      </c>
    </row>
    <row r="1212" spans="1:14" s="375" customFormat="1" ht="13.5" thickTop="1" thickBot="1" x14ac:dyDescent="0.25">
      <c r="A1212" s="974">
        <v>1</v>
      </c>
      <c r="B1212" s="975">
        <v>2</v>
      </c>
      <c r="C1212" s="975">
        <v>3</v>
      </c>
      <c r="D1212" s="975">
        <v>4</v>
      </c>
      <c r="E1212" s="526">
        <v>5</v>
      </c>
      <c r="F1212" s="976">
        <v>6</v>
      </c>
      <c r="G1212" s="976">
        <v>7</v>
      </c>
      <c r="H1212" s="977">
        <v>8</v>
      </c>
      <c r="I1212" s="978" t="s">
        <v>689</v>
      </c>
    </row>
    <row r="1213" spans="1:14" s="504" customFormat="1" ht="16.5" thickTop="1" thickBot="1" x14ac:dyDescent="0.3">
      <c r="A1213" s="986">
        <v>60005100344</v>
      </c>
      <c r="B1213" s="809">
        <v>3522</v>
      </c>
      <c r="C1213" s="987">
        <v>6121</v>
      </c>
      <c r="D1213" s="810">
        <v>25</v>
      </c>
      <c r="E1213" s="811" t="s">
        <v>548</v>
      </c>
      <c r="F1213" s="736"/>
      <c r="G1213" s="989">
        <v>380</v>
      </c>
      <c r="H1213" s="736">
        <v>0</v>
      </c>
      <c r="I1213" s="990">
        <f>(H1213/G1213)*100</f>
        <v>0</v>
      </c>
    </row>
    <row r="1214" spans="1:14" s="504" customFormat="1" ht="18" customHeight="1" thickTop="1" thickBot="1" x14ac:dyDescent="0.3">
      <c r="A1214" s="3127" t="s">
        <v>224</v>
      </c>
      <c r="B1214" s="3126"/>
      <c r="C1214" s="3126"/>
      <c r="D1214" s="3126"/>
      <c r="E1214" s="3126"/>
      <c r="F1214" s="725">
        <f>F1213</f>
        <v>0</v>
      </c>
      <c r="G1214" s="725">
        <f>G1213</f>
        <v>380</v>
      </c>
      <c r="H1214" s="725">
        <f>H1213</f>
        <v>0</v>
      </c>
      <c r="I1214" s="710">
        <f>(H1214/G1214)*100</f>
        <v>0</v>
      </c>
      <c r="K1214" s="467">
        <f>F1034+F1041+F1049+F1054+F1061+F1073+F1080+F1087+F1094+F1101+F1108+F1115+F1122+F1129+F1140+F1147+F1154+F1161+F1168+F1175+F1182+F1189+F1196+F1207+F1214</f>
        <v>39307</v>
      </c>
      <c r="L1214" s="467">
        <f>G1034+G1041+G1049+G1054+G1061+G1073+G1080+G1087+G1094+G1101+G1108+G1115+G1122+G1129+G1140+G1147+G1154+G1161+G1168+G1175+G1182+G1189+G1196+G1207+G1214</f>
        <v>85331</v>
      </c>
      <c r="M1214" s="467">
        <f>H1034+H1041+H1049+H1054+H1061+H1073+H1080+H1087+H1094+H1101+H1108+H1115+H1122+H1129+H1140+H1147+H1154+H1161+H1168+H1175+H1182+H1189+H1196+H1207+H1214</f>
        <v>68509</v>
      </c>
      <c r="N1214" s="504" t="s">
        <v>993</v>
      </c>
    </row>
    <row r="1215" spans="1:14" ht="13.5" thickTop="1" x14ac:dyDescent="0.2">
      <c r="K1215" s="755"/>
      <c r="L1215" s="755"/>
      <c r="M1215" s="755"/>
      <c r="N1215" s="421"/>
    </row>
    <row r="1216" spans="1:14" x14ac:dyDescent="0.2">
      <c r="K1216" s="755"/>
      <c r="L1216" s="755"/>
      <c r="M1216" s="755"/>
      <c r="N1216" s="421"/>
    </row>
    <row r="1217" spans="1:15" s="504" customFormat="1" ht="13.5" thickBot="1" x14ac:dyDescent="0.25">
      <c r="A1217" s="421" t="s">
        <v>967</v>
      </c>
      <c r="B1217" s="598"/>
      <c r="D1217" s="670"/>
      <c r="F1217" s="467"/>
      <c r="G1217" s="467"/>
      <c r="H1217" s="467"/>
      <c r="I1217" s="792" t="s">
        <v>148</v>
      </c>
    </row>
    <row r="1218" spans="1:15" s="106" customFormat="1" ht="20.25" customHeight="1" thickTop="1" thickBot="1" x14ac:dyDescent="0.25">
      <c r="A1218" s="626" t="s">
        <v>565</v>
      </c>
      <c r="B1218" s="628" t="s">
        <v>149</v>
      </c>
      <c r="C1218" s="627" t="s">
        <v>150</v>
      </c>
      <c r="D1218" s="589" t="s">
        <v>639</v>
      </c>
      <c r="E1218" s="629" t="s">
        <v>151</v>
      </c>
      <c r="F1218" s="629" t="s">
        <v>152</v>
      </c>
      <c r="G1218" s="629" t="s">
        <v>796</v>
      </c>
      <c r="H1218" s="629" t="s">
        <v>797</v>
      </c>
      <c r="I1218" s="674" t="s">
        <v>798</v>
      </c>
    </row>
    <row r="1219" spans="1:15" s="375" customFormat="1" ht="13.5" thickTop="1" thickBot="1" x14ac:dyDescent="0.25">
      <c r="A1219" s="974">
        <v>1</v>
      </c>
      <c r="B1219" s="975">
        <v>2</v>
      </c>
      <c r="C1219" s="975">
        <v>3</v>
      </c>
      <c r="D1219" s="975">
        <v>4</v>
      </c>
      <c r="E1219" s="526">
        <v>5</v>
      </c>
      <c r="F1219" s="976">
        <v>6</v>
      </c>
      <c r="G1219" s="976">
        <v>7</v>
      </c>
      <c r="H1219" s="977">
        <v>8</v>
      </c>
      <c r="I1219" s="978" t="s">
        <v>689</v>
      </c>
    </row>
    <row r="1220" spans="1:15" s="504" customFormat="1" ht="16.5" thickTop="1" thickBot="1" x14ac:dyDescent="0.3">
      <c r="A1220" s="986">
        <v>60008100137</v>
      </c>
      <c r="B1220" s="809">
        <v>3315</v>
      </c>
      <c r="C1220" s="987">
        <v>6121</v>
      </c>
      <c r="D1220" s="810">
        <v>0</v>
      </c>
      <c r="E1220" s="811" t="s">
        <v>548</v>
      </c>
      <c r="F1220" s="736"/>
      <c r="G1220" s="989">
        <v>1590</v>
      </c>
      <c r="H1220" s="736">
        <v>248</v>
      </c>
      <c r="I1220" s="990">
        <f>(H1220/G1220)*100</f>
        <v>15.59748427672956</v>
      </c>
    </row>
    <row r="1221" spans="1:15" s="504" customFormat="1" ht="18" customHeight="1" thickTop="1" thickBot="1" x14ac:dyDescent="0.3">
      <c r="A1221" s="3127" t="s">
        <v>224</v>
      </c>
      <c r="B1221" s="3126"/>
      <c r="C1221" s="3126"/>
      <c r="D1221" s="3126"/>
      <c r="E1221" s="3126"/>
      <c r="F1221" s="725">
        <f>F1220</f>
        <v>0</v>
      </c>
      <c r="G1221" s="725">
        <f>G1220</f>
        <v>1590</v>
      </c>
      <c r="H1221" s="725">
        <f>H1220</f>
        <v>248</v>
      </c>
      <c r="I1221" s="710">
        <f>(H1221/G1221)*100</f>
        <v>15.59748427672956</v>
      </c>
      <c r="K1221" s="467">
        <f>F1221</f>
        <v>0</v>
      </c>
      <c r="L1221" s="467">
        <f>G1221</f>
        <v>1590</v>
      </c>
      <c r="M1221" s="467">
        <f>H1221</f>
        <v>248</v>
      </c>
      <c r="N1221" s="504" t="s">
        <v>994</v>
      </c>
    </row>
    <row r="1222" spans="1:15" ht="13.5" thickTop="1" x14ac:dyDescent="0.2">
      <c r="K1222" s="755"/>
      <c r="L1222" s="755"/>
      <c r="M1222" s="755"/>
      <c r="N1222" s="421"/>
    </row>
    <row r="1223" spans="1:15" x14ac:dyDescent="0.2">
      <c r="K1223" s="755"/>
      <c r="L1223" s="755"/>
      <c r="M1223" s="755"/>
      <c r="N1223" s="421"/>
    </row>
    <row r="1224" spans="1:15" s="823" customFormat="1" ht="27.75" customHeight="1" thickBot="1" x14ac:dyDescent="0.4">
      <c r="A1224" s="818" t="s">
        <v>538</v>
      </c>
      <c r="B1224" s="819"/>
      <c r="C1224" s="819"/>
      <c r="D1224" s="819"/>
      <c r="E1224" s="820"/>
      <c r="F1224" s="821">
        <f>K1234</f>
        <v>253286</v>
      </c>
      <c r="G1224" s="821">
        <f>L1234</f>
        <v>662054</v>
      </c>
      <c r="H1224" s="821">
        <f>M1234</f>
        <v>597273</v>
      </c>
      <c r="I1224" s="822">
        <f>(H1224/G1224)*100</f>
        <v>90.21514861325511</v>
      </c>
      <c r="K1224" s="824"/>
      <c r="L1224" s="824"/>
      <c r="M1224" s="824"/>
      <c r="N1224" s="825"/>
    </row>
    <row r="1225" spans="1:15" ht="13.5" thickTop="1" x14ac:dyDescent="0.2">
      <c r="K1225" s="755"/>
      <c r="L1225" s="755"/>
      <c r="M1225" s="755"/>
    </row>
    <row r="1227" spans="1:15" x14ac:dyDescent="0.2">
      <c r="A1227" s="3178" t="s">
        <v>408</v>
      </c>
      <c r="B1227" s="3092"/>
      <c r="C1227" s="3092"/>
      <c r="D1227" s="3092"/>
      <c r="E1227" s="3092"/>
      <c r="F1227" s="3092"/>
      <c r="G1227" s="3092"/>
      <c r="H1227" s="3092"/>
      <c r="I1227" s="3092"/>
      <c r="K1227" s="755"/>
      <c r="L1227" s="755"/>
      <c r="M1227" s="755"/>
    </row>
    <row r="1228" spans="1:15" s="504" customFormat="1" x14ac:dyDescent="0.2">
      <c r="A1228" s="3092"/>
      <c r="B1228" s="3092"/>
      <c r="C1228" s="3092"/>
      <c r="D1228" s="3092"/>
      <c r="E1228" s="3092"/>
      <c r="F1228" s="3092"/>
      <c r="G1228" s="3092"/>
      <c r="H1228" s="3092"/>
      <c r="I1228" s="3092"/>
      <c r="J1228" s="611"/>
      <c r="K1228" s="750">
        <f>K1027</f>
        <v>106635</v>
      </c>
      <c r="L1228" s="750">
        <f>L1027</f>
        <v>232034</v>
      </c>
      <c r="M1228" s="750">
        <f>M1027</f>
        <v>227096</v>
      </c>
      <c r="N1228" s="421" t="s">
        <v>992</v>
      </c>
      <c r="O1228" s="106"/>
    </row>
    <row r="1229" spans="1:15" s="504" customFormat="1" x14ac:dyDescent="0.2">
      <c r="A1229" s="798"/>
      <c r="B1229" s="799"/>
      <c r="C1229" s="611"/>
      <c r="D1229" s="613"/>
      <c r="E1229" s="611"/>
      <c r="F1229" s="613"/>
      <c r="G1229" s="613"/>
      <c r="H1229" s="613"/>
      <c r="I1229" s="797"/>
      <c r="J1229" s="611"/>
      <c r="K1229" s="817">
        <f>K413</f>
        <v>62847</v>
      </c>
      <c r="L1229" s="817">
        <f>L413</f>
        <v>229852</v>
      </c>
      <c r="M1229" s="817">
        <f>M413</f>
        <v>210636</v>
      </c>
      <c r="N1229" s="421" t="s">
        <v>990</v>
      </c>
      <c r="O1229" s="375"/>
    </row>
    <row r="1230" spans="1:15" x14ac:dyDescent="0.2">
      <c r="K1230" s="613">
        <f>K764</f>
        <v>34847</v>
      </c>
      <c r="L1230" s="613">
        <f>L764</f>
        <v>70661</v>
      </c>
      <c r="M1230" s="613">
        <f>M764</f>
        <v>61431</v>
      </c>
      <c r="N1230" s="421" t="s">
        <v>995</v>
      </c>
    </row>
    <row r="1231" spans="1:15" x14ac:dyDescent="0.2">
      <c r="K1231" s="613">
        <f>K640</f>
        <v>9650</v>
      </c>
      <c r="L1231" s="613">
        <f>L640</f>
        <v>42586</v>
      </c>
      <c r="M1231" s="613">
        <f>M640</f>
        <v>29353</v>
      </c>
      <c r="N1231" s="421" t="s">
        <v>991</v>
      </c>
    </row>
    <row r="1232" spans="1:15" x14ac:dyDescent="0.2">
      <c r="K1232" s="613">
        <f>K1214</f>
        <v>39307</v>
      </c>
      <c r="L1232" s="613">
        <f>L1214</f>
        <v>85331</v>
      </c>
      <c r="M1232" s="613">
        <f>M1214</f>
        <v>68509</v>
      </c>
      <c r="N1232" s="421" t="s">
        <v>993</v>
      </c>
    </row>
    <row r="1233" spans="11:15" ht="23.25" x14ac:dyDescent="0.35">
      <c r="K1233" s="824">
        <f>K1221</f>
        <v>0</v>
      </c>
      <c r="L1233" s="824">
        <f>L1221</f>
        <v>1590</v>
      </c>
      <c r="M1233" s="824">
        <f>M1221</f>
        <v>248</v>
      </c>
      <c r="N1233" s="825" t="s">
        <v>679</v>
      </c>
      <c r="O1233" s="823"/>
    </row>
    <row r="1234" spans="11:15" x14ac:dyDescent="0.2">
      <c r="K1234" s="755">
        <f>K1228+K1229+K1230+K1231+K1232+K1233</f>
        <v>253286</v>
      </c>
      <c r="L1234" s="755">
        <f>L1228+L1229+L1230+L1231+L1232+L1233</f>
        <v>662054</v>
      </c>
      <c r="M1234" s="755">
        <f>M1228+M1229+M1230+M1231+M1232+M1233</f>
        <v>597273</v>
      </c>
      <c r="N1234" s="421" t="s">
        <v>690</v>
      </c>
    </row>
  </sheetData>
  <mergeCells count="173">
    <mergeCell ref="A1227:I1228"/>
    <mergeCell ref="A1221:E1221"/>
    <mergeCell ref="A1189:E1189"/>
    <mergeCell ref="A1196:E1196"/>
    <mergeCell ref="A1207:E1207"/>
    <mergeCell ref="A1214:E1214"/>
    <mergeCell ref="A1161:E1161"/>
    <mergeCell ref="A1168:E1168"/>
    <mergeCell ref="A1175:E1175"/>
    <mergeCell ref="A1182:E1182"/>
    <mergeCell ref="A1129:E1129"/>
    <mergeCell ref="A1140:E1140"/>
    <mergeCell ref="A1147:E1147"/>
    <mergeCell ref="A1154:E1154"/>
    <mergeCell ref="A1101:E1101"/>
    <mergeCell ref="A1108:E1108"/>
    <mergeCell ref="A1115:E1115"/>
    <mergeCell ref="A1122:E1122"/>
    <mergeCell ref="A1073:E1073"/>
    <mergeCell ref="A1080:E1080"/>
    <mergeCell ref="A1087:E1087"/>
    <mergeCell ref="A1094:E1094"/>
    <mergeCell ref="A967:E967"/>
    <mergeCell ref="A928:E928"/>
    <mergeCell ref="A974:E974"/>
    <mergeCell ref="A981:E981"/>
    <mergeCell ref="A953:E953"/>
    <mergeCell ref="A960:E960"/>
    <mergeCell ref="A939:E939"/>
    <mergeCell ref="A946:E946"/>
    <mergeCell ref="A914:E914"/>
    <mergeCell ref="A921:E921"/>
    <mergeCell ref="A1041:E1041"/>
    <mergeCell ref="A1049:E1049"/>
    <mergeCell ref="A1054:E1054"/>
    <mergeCell ref="A1061:E1061"/>
    <mergeCell ref="A988:E988"/>
    <mergeCell ref="A990:E990"/>
    <mergeCell ref="A1027:E1027"/>
    <mergeCell ref="A1034:E1034"/>
    <mergeCell ref="A997:E997"/>
    <mergeCell ref="A1006:E1006"/>
    <mergeCell ref="A1013:E1013"/>
    <mergeCell ref="A1020:E1020"/>
    <mergeCell ref="A772:E772"/>
    <mergeCell ref="A779:E779"/>
    <mergeCell ref="A746:E746"/>
    <mergeCell ref="A793:E793"/>
    <mergeCell ref="A786:E786"/>
    <mergeCell ref="A764:E764"/>
    <mergeCell ref="A756:E756"/>
    <mergeCell ref="A835:E835"/>
    <mergeCell ref="A843:E843"/>
    <mergeCell ref="A827:E827"/>
    <mergeCell ref="A427:E427"/>
    <mergeCell ref="A434:E434"/>
    <mergeCell ref="A613:E613"/>
    <mergeCell ref="A620:E620"/>
    <mergeCell ref="A627:E627"/>
    <mergeCell ref="A634:E634"/>
    <mergeCell ref="A581:E581"/>
    <mergeCell ref="A589:E589"/>
    <mergeCell ref="A596:E596"/>
    <mergeCell ref="A606:E606"/>
    <mergeCell ref="A553:E553"/>
    <mergeCell ref="A560:E560"/>
    <mergeCell ref="A567:E567"/>
    <mergeCell ref="A574:E574"/>
    <mergeCell ref="A525:E525"/>
    <mergeCell ref="A473:E473"/>
    <mergeCell ref="A483:E483"/>
    <mergeCell ref="A490:E490"/>
    <mergeCell ref="A441:E441"/>
    <mergeCell ref="A448:E448"/>
    <mergeCell ref="A455:E455"/>
    <mergeCell ref="A462:E462"/>
    <mergeCell ref="A476:E476"/>
    <mergeCell ref="A532:E532"/>
    <mergeCell ref="A361:E361"/>
    <mergeCell ref="A379:E379"/>
    <mergeCell ref="A413:E413"/>
    <mergeCell ref="A406:E406"/>
    <mergeCell ref="A387:E387"/>
    <mergeCell ref="A394:E394"/>
    <mergeCell ref="A369:E369"/>
    <mergeCell ref="A371:E371"/>
    <mergeCell ref="A420:E420"/>
    <mergeCell ref="A14:E14"/>
    <mergeCell ref="A33:E33"/>
    <mergeCell ref="A41:E41"/>
    <mergeCell ref="A205:E205"/>
    <mergeCell ref="A163:E163"/>
    <mergeCell ref="A177:E177"/>
    <mergeCell ref="A21:E21"/>
    <mergeCell ref="A86:E86"/>
    <mergeCell ref="A29:E29"/>
    <mergeCell ref="A94:E94"/>
    <mergeCell ref="A101:E101"/>
    <mergeCell ref="A108:E108"/>
    <mergeCell ref="A115:E115"/>
    <mergeCell ref="A48:E48"/>
    <mergeCell ref="A56:E56"/>
    <mergeCell ref="A63:E63"/>
    <mergeCell ref="A72:E72"/>
    <mergeCell ref="A79:E79"/>
    <mergeCell ref="A139:E139"/>
    <mergeCell ref="A146:E146"/>
    <mergeCell ref="A153:E153"/>
    <mergeCell ref="A122:E122"/>
    <mergeCell ref="A129:E129"/>
    <mergeCell ref="A184:E184"/>
    <mergeCell ref="A227:E227"/>
    <mergeCell ref="A230:E230"/>
    <mergeCell ref="A198:E198"/>
    <mergeCell ref="A219:E219"/>
    <mergeCell ref="A160:E160"/>
    <mergeCell ref="A237:E237"/>
    <mergeCell ref="A212:E212"/>
    <mergeCell ref="A170:E170"/>
    <mergeCell ref="A191:E191"/>
    <mergeCell ref="A244:E244"/>
    <mergeCell ref="A346:E346"/>
    <mergeCell ref="A354:E354"/>
    <mergeCell ref="A349:H350"/>
    <mergeCell ref="A329:E329"/>
    <mergeCell ref="A339:E339"/>
    <mergeCell ref="A251:E251"/>
    <mergeCell ref="A322:E322"/>
    <mergeCell ref="A258:E258"/>
    <mergeCell ref="A261:E261"/>
    <mergeCell ref="A272:E272"/>
    <mergeCell ref="A279:E279"/>
    <mergeCell ref="A315:E315"/>
    <mergeCell ref="A286:E286"/>
    <mergeCell ref="A294:E294"/>
    <mergeCell ref="A301:E301"/>
    <mergeCell ref="A308:E308"/>
    <mergeCell ref="A539:E539"/>
    <mergeCell ref="A546:E546"/>
    <mergeCell ref="A497:E497"/>
    <mergeCell ref="A504:E504"/>
    <mergeCell ref="A511:E511"/>
    <mergeCell ref="A518:E518"/>
    <mergeCell ref="A734:E734"/>
    <mergeCell ref="A739:E739"/>
    <mergeCell ref="A748:E748"/>
    <mergeCell ref="A641:E641"/>
    <mergeCell ref="A648:E648"/>
    <mergeCell ref="A655:E655"/>
    <mergeCell ref="A664:E664"/>
    <mergeCell ref="A662:E662"/>
    <mergeCell ref="A673:E673"/>
    <mergeCell ref="A706:E706"/>
    <mergeCell ref="A713:E713"/>
    <mergeCell ref="A720:E720"/>
    <mergeCell ref="A678:E678"/>
    <mergeCell ref="A685:E685"/>
    <mergeCell ref="A692:E692"/>
    <mergeCell ref="A699:E699"/>
    <mergeCell ref="A727:E727"/>
    <mergeCell ref="A864:E864"/>
    <mergeCell ref="A872:E872"/>
    <mergeCell ref="A880:E880"/>
    <mergeCell ref="A888:E888"/>
    <mergeCell ref="A903:E903"/>
    <mergeCell ref="A907:E907"/>
    <mergeCell ref="A800:E800"/>
    <mergeCell ref="A805:E805"/>
    <mergeCell ref="A812:E812"/>
    <mergeCell ref="A820:E820"/>
    <mergeCell ref="A857:E857"/>
    <mergeCell ref="A896:E896"/>
    <mergeCell ref="A850:E850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30" orientation="portrait" r:id="rId1"/>
  <headerFooter alignWithMargins="0">
    <oddFooter xml:space="preserve">&amp;L&amp;"Arial,Kurzíva"Rada Olomouckého kraje 3.6.2010
4.3.- Rozpočet Olomouckého kraje 2009 - závěrečný  účet
Příloha č. 3: Plnění rozpočtu výdajů Olomouckého kraje k 31.12.2009&amp;R&amp;"Arial,Kurzíva"Strana &amp;P (Celkem 458)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37"/>
  <sheetViews>
    <sheetView showGridLines="0" view="pageBreakPreview" zoomScaleNormal="100" zoomScaleSheetLayoutView="100" workbookViewId="0">
      <selection activeCell="F29" sqref="F29"/>
    </sheetView>
  </sheetViews>
  <sheetFormatPr defaultColWidth="9.140625" defaultRowHeight="12.75" x14ac:dyDescent="0.2"/>
  <cols>
    <col min="1" max="1" width="5.5703125" style="2326" customWidth="1"/>
    <col min="2" max="2" width="5.28515625" style="1249" customWidth="1"/>
    <col min="3" max="3" width="9.140625" style="2559" customWidth="1"/>
    <col min="4" max="4" width="46.140625" style="1249" customWidth="1"/>
    <col min="5" max="5" width="13.140625" style="1254" customWidth="1"/>
    <col min="6" max="6" width="15.28515625" style="1254" customWidth="1"/>
    <col min="7" max="7" width="13.5703125" style="1254" customWidth="1"/>
    <col min="8" max="8" width="8.7109375" style="2203" customWidth="1"/>
    <col min="9" max="9" width="9.140625" style="1254"/>
    <col min="10" max="10" width="15.28515625" style="1254" customWidth="1"/>
    <col min="11" max="11" width="14.7109375" style="1249" customWidth="1"/>
    <col min="12" max="12" width="13.7109375" style="1249" customWidth="1"/>
    <col min="13" max="16384" width="9.140625" style="1249"/>
  </cols>
  <sheetData>
    <row r="1" spans="1:10" ht="18.75" thickBot="1" x14ac:dyDescent="0.3">
      <c r="A1" s="2627" t="s">
        <v>1954</v>
      </c>
      <c r="B1" s="2626"/>
      <c r="C1" s="2625"/>
      <c r="D1" s="1339"/>
      <c r="E1" s="2624"/>
      <c r="F1" s="1339"/>
      <c r="G1" s="2463" t="s">
        <v>826</v>
      </c>
      <c r="J1" s="1249"/>
    </row>
    <row r="2" spans="1:10" ht="18" x14ac:dyDescent="0.25">
      <c r="A2" s="2623"/>
      <c r="B2" s="2622"/>
      <c r="C2" s="2621"/>
      <c r="D2" s="1308"/>
      <c r="E2" s="1309"/>
      <c r="F2" s="1308"/>
      <c r="G2" s="2620"/>
      <c r="J2" s="1249"/>
    </row>
    <row r="3" spans="1:10" ht="12.75" customHeight="1" x14ac:dyDescent="0.25">
      <c r="A3" s="1337" t="s">
        <v>336</v>
      </c>
      <c r="B3" s="1311"/>
      <c r="C3" s="2619" t="s">
        <v>1884</v>
      </c>
      <c r="D3" s="1336"/>
      <c r="E3" s="1308"/>
      <c r="F3" s="2094"/>
      <c r="G3" s="1307"/>
      <c r="H3" s="2384"/>
      <c r="I3" s="1249"/>
      <c r="J3" s="1249"/>
    </row>
    <row r="4" spans="1:10" ht="12.75" customHeight="1" x14ac:dyDescent="0.25">
      <c r="A4" s="1335"/>
      <c r="B4" s="1311"/>
      <c r="C4" s="2619" t="s">
        <v>318</v>
      </c>
      <c r="D4" s="1254"/>
      <c r="E4" s="1308"/>
      <c r="F4" s="2094"/>
      <c r="G4" s="1307"/>
      <c r="H4" s="2384"/>
      <c r="I4" s="1249"/>
      <c r="J4" s="1249"/>
    </row>
    <row r="5" spans="1:10" ht="12.75" customHeight="1" x14ac:dyDescent="0.25">
      <c r="A5" s="1335"/>
      <c r="B5" s="1311"/>
      <c r="C5" s="2619"/>
      <c r="D5" s="1254"/>
      <c r="E5" s="1308"/>
      <c r="F5" s="2094"/>
      <c r="G5" s="1307"/>
      <c r="H5" s="2384"/>
      <c r="I5" s="1249"/>
      <c r="J5" s="1249"/>
    </row>
    <row r="6" spans="1:10" ht="12.75" customHeight="1" x14ac:dyDescent="0.25">
      <c r="A6" s="1335"/>
      <c r="B6" s="1311"/>
      <c r="C6" s="2619"/>
      <c r="D6" s="1254"/>
      <c r="E6" s="1308"/>
      <c r="F6" s="2094"/>
      <c r="G6" s="1307"/>
      <c r="H6" s="2384"/>
      <c r="I6" s="1249"/>
      <c r="J6" s="1249"/>
    </row>
    <row r="7" spans="1:10" ht="16.5" customHeight="1" x14ac:dyDescent="0.25">
      <c r="A7" s="1312" t="s">
        <v>799</v>
      </c>
      <c r="B7" s="1311"/>
      <c r="C7" s="2619"/>
      <c r="D7" s="1254"/>
      <c r="E7" s="1308"/>
      <c r="F7" s="2094"/>
      <c r="G7" s="1307"/>
      <c r="H7" s="2384"/>
      <c r="I7" s="1249"/>
      <c r="J7" s="1249"/>
    </row>
    <row r="8" spans="1:10" ht="12.75" customHeight="1" thickBot="1" x14ac:dyDescent="0.3">
      <c r="A8" s="1312"/>
      <c r="B8" s="1311"/>
      <c r="C8" s="2619"/>
      <c r="D8" s="1254"/>
      <c r="E8" s="1308"/>
      <c r="F8" s="2094"/>
      <c r="G8" s="1307"/>
      <c r="H8" s="2203" t="s">
        <v>148</v>
      </c>
      <c r="I8" s="1249"/>
      <c r="J8" s="1249"/>
    </row>
    <row r="9" spans="1:10" s="2602" customFormat="1" ht="20.25" customHeight="1" thickTop="1" thickBot="1" x14ac:dyDescent="0.25">
      <c r="A9" s="2606" t="s">
        <v>149</v>
      </c>
      <c r="B9" s="2605" t="s">
        <v>150</v>
      </c>
      <c r="C9" s="2604" t="s">
        <v>639</v>
      </c>
      <c r="D9" s="2604" t="s">
        <v>151</v>
      </c>
      <c r="E9" s="1324" t="s">
        <v>569</v>
      </c>
      <c r="F9" s="1324" t="s">
        <v>570</v>
      </c>
      <c r="G9" s="2198" t="s">
        <v>797</v>
      </c>
      <c r="H9" s="2238" t="s">
        <v>798</v>
      </c>
      <c r="I9" s="2603"/>
      <c r="J9" s="2603"/>
    </row>
    <row r="10" spans="1:10" s="1292" customFormat="1" ht="13.5" thickTop="1" thickBot="1" x14ac:dyDescent="0.25">
      <c r="A10" s="1297">
        <v>1</v>
      </c>
      <c r="B10" s="1296">
        <v>2</v>
      </c>
      <c r="C10" s="1296">
        <v>3</v>
      </c>
      <c r="D10" s="1296">
        <v>4</v>
      </c>
      <c r="E10" s="1296">
        <v>5</v>
      </c>
      <c r="F10" s="1295">
        <v>6</v>
      </c>
      <c r="G10" s="1295">
        <v>7</v>
      </c>
      <c r="H10" s="1294" t="s">
        <v>54</v>
      </c>
      <c r="I10" s="1298"/>
    </row>
    <row r="11" spans="1:10" s="1292" customFormat="1" ht="15.75" thickTop="1" x14ac:dyDescent="0.25">
      <c r="A11" s="2288">
        <v>2212</v>
      </c>
      <c r="B11" s="2287">
        <v>5166</v>
      </c>
      <c r="C11" s="1281"/>
      <c r="D11" s="2617" t="s">
        <v>607</v>
      </c>
      <c r="E11" s="2286"/>
      <c r="F11" s="1283">
        <v>1153</v>
      </c>
      <c r="G11" s="1283">
        <v>0</v>
      </c>
      <c r="H11" s="1282">
        <f t="shared" ref="H11:H40" si="0">(G11/F11)*100</f>
        <v>0</v>
      </c>
      <c r="I11" s="1298"/>
    </row>
    <row r="12" spans="1:10" s="1292" customFormat="1" ht="14.25" x14ac:dyDescent="0.2">
      <c r="A12" s="2288"/>
      <c r="B12" s="2287"/>
      <c r="C12" s="1281" t="s">
        <v>1891</v>
      </c>
      <c r="D12" s="1287" t="s">
        <v>702</v>
      </c>
      <c r="E12" s="2286"/>
      <c r="F12" s="1275">
        <v>1153</v>
      </c>
      <c r="G12" s="1274">
        <v>0</v>
      </c>
      <c r="H12" s="1273">
        <f t="shared" si="0"/>
        <v>0</v>
      </c>
      <c r="I12" s="1298"/>
    </row>
    <row r="13" spans="1:10" s="1292" customFormat="1" ht="15" x14ac:dyDescent="0.25">
      <c r="A13" s="2288">
        <v>2212</v>
      </c>
      <c r="B13" s="2287">
        <v>5169</v>
      </c>
      <c r="C13" s="1281"/>
      <c r="D13" s="2617" t="s">
        <v>769</v>
      </c>
      <c r="E13" s="2286"/>
      <c r="F13" s="1283">
        <v>142</v>
      </c>
      <c r="G13" s="1283">
        <v>142</v>
      </c>
      <c r="H13" s="1282">
        <f t="shared" si="0"/>
        <v>100</v>
      </c>
      <c r="I13" s="1298"/>
    </row>
    <row r="14" spans="1:10" s="1292" customFormat="1" ht="14.25" x14ac:dyDescent="0.2">
      <c r="A14" s="2288"/>
      <c r="B14" s="2287"/>
      <c r="C14" s="1281" t="s">
        <v>1891</v>
      </c>
      <c r="D14" s="1287" t="s">
        <v>702</v>
      </c>
      <c r="E14" s="2286"/>
      <c r="F14" s="1275">
        <v>142</v>
      </c>
      <c r="G14" s="1274">
        <v>142</v>
      </c>
      <c r="H14" s="1273">
        <f t="shared" si="0"/>
        <v>100</v>
      </c>
      <c r="I14" s="1298"/>
    </row>
    <row r="15" spans="1:10" s="1292" customFormat="1" ht="15" x14ac:dyDescent="0.25">
      <c r="A15" s="2288">
        <v>2212</v>
      </c>
      <c r="B15" s="2287">
        <v>5171</v>
      </c>
      <c r="C15" s="1281"/>
      <c r="D15" s="2309" t="s">
        <v>811</v>
      </c>
      <c r="E15" s="2286"/>
      <c r="F15" s="1284">
        <v>420</v>
      </c>
      <c r="G15" s="1283">
        <v>397</v>
      </c>
      <c r="H15" s="1282">
        <f t="shared" si="0"/>
        <v>94.523809523809518</v>
      </c>
      <c r="I15" s="1298"/>
    </row>
    <row r="16" spans="1:10" s="1292" customFormat="1" ht="14.25" x14ac:dyDescent="0.2">
      <c r="A16" s="2288"/>
      <c r="B16" s="2287"/>
      <c r="C16" s="1281" t="s">
        <v>1891</v>
      </c>
      <c r="D16" s="1287" t="s">
        <v>702</v>
      </c>
      <c r="E16" s="2286"/>
      <c r="F16" s="1275">
        <v>420</v>
      </c>
      <c r="G16" s="1274">
        <v>397</v>
      </c>
      <c r="H16" s="1273">
        <f t="shared" si="0"/>
        <v>94.523809523809518</v>
      </c>
      <c r="I16" s="1298"/>
    </row>
    <row r="17" spans="1:21" s="1292" customFormat="1" ht="15" x14ac:dyDescent="0.25">
      <c r="A17" s="2288">
        <v>3111</v>
      </c>
      <c r="B17" s="2287">
        <v>5137</v>
      </c>
      <c r="C17" s="1281"/>
      <c r="D17" s="2309" t="s">
        <v>142</v>
      </c>
      <c r="E17" s="2286"/>
      <c r="F17" s="1283">
        <v>400</v>
      </c>
      <c r="G17" s="1283">
        <v>388</v>
      </c>
      <c r="H17" s="1282">
        <f t="shared" si="0"/>
        <v>97</v>
      </c>
      <c r="I17" s="1298"/>
    </row>
    <row r="18" spans="1:21" s="1292" customFormat="1" ht="14.25" x14ac:dyDescent="0.2">
      <c r="A18" s="2288"/>
      <c r="B18" s="2287"/>
      <c r="C18" s="1281" t="s">
        <v>1951</v>
      </c>
      <c r="D18" s="1287" t="s">
        <v>645</v>
      </c>
      <c r="E18" s="2286"/>
      <c r="F18" s="1275">
        <v>400</v>
      </c>
      <c r="G18" s="1274">
        <v>388</v>
      </c>
      <c r="H18" s="1273">
        <f t="shared" si="0"/>
        <v>97</v>
      </c>
      <c r="I18" s="1298"/>
    </row>
    <row r="19" spans="1:21" s="1292" customFormat="1" ht="15" x14ac:dyDescent="0.25">
      <c r="A19" s="2288">
        <v>3111</v>
      </c>
      <c r="B19" s="2287">
        <v>5169</v>
      </c>
      <c r="C19" s="1281"/>
      <c r="D19" s="2617" t="s">
        <v>769</v>
      </c>
      <c r="E19" s="2286"/>
      <c r="F19" s="1283">
        <v>30</v>
      </c>
      <c r="G19" s="1283">
        <v>23</v>
      </c>
      <c r="H19" s="1282">
        <f t="shared" si="0"/>
        <v>76.666666666666671</v>
      </c>
      <c r="I19" s="1298"/>
    </row>
    <row r="20" spans="1:21" s="1292" customFormat="1" ht="14.25" x14ac:dyDescent="0.2">
      <c r="A20" s="2288"/>
      <c r="B20" s="2287"/>
      <c r="C20" s="1281" t="s">
        <v>1951</v>
      </c>
      <c r="D20" s="1287" t="s">
        <v>645</v>
      </c>
      <c r="E20" s="2286"/>
      <c r="F20" s="1275">
        <v>30</v>
      </c>
      <c r="G20" s="1274">
        <v>23</v>
      </c>
      <c r="H20" s="1273">
        <f t="shared" si="0"/>
        <v>76.666666666666671</v>
      </c>
      <c r="I20" s="1298"/>
    </row>
    <row r="21" spans="1:21" s="1292" customFormat="1" ht="15" x14ac:dyDescent="0.25">
      <c r="A21" s="2288">
        <v>3121</v>
      </c>
      <c r="B21" s="2287">
        <v>5171</v>
      </c>
      <c r="C21" s="1281"/>
      <c r="D21" s="2309" t="s">
        <v>811</v>
      </c>
      <c r="E21" s="2293"/>
      <c r="F21" s="1284">
        <v>2672</v>
      </c>
      <c r="G21" s="1283">
        <v>2634</v>
      </c>
      <c r="H21" s="2594">
        <f t="shared" si="0"/>
        <v>98.577844311377248</v>
      </c>
      <c r="I21" s="1298"/>
    </row>
    <row r="22" spans="1:21" s="1292" customFormat="1" ht="14.25" x14ac:dyDescent="0.2">
      <c r="A22" s="2288"/>
      <c r="B22" s="2287"/>
      <c r="C22" s="1281" t="s">
        <v>1951</v>
      </c>
      <c r="D22" s="1287" t="s">
        <v>645</v>
      </c>
      <c r="E22" s="2286"/>
      <c r="F22" s="1275">
        <v>2672</v>
      </c>
      <c r="G22" s="1274">
        <v>2634</v>
      </c>
      <c r="H22" s="1273">
        <f t="shared" si="0"/>
        <v>98.577844311377248</v>
      </c>
      <c r="I22" s="1298"/>
    </row>
    <row r="23" spans="1:21" s="1292" customFormat="1" ht="15" x14ac:dyDescent="0.25">
      <c r="A23" s="2288">
        <v>3122</v>
      </c>
      <c r="B23" s="2287">
        <v>5171</v>
      </c>
      <c r="C23" s="1281"/>
      <c r="D23" s="2309" t="s">
        <v>811</v>
      </c>
      <c r="E23" s="2293"/>
      <c r="F23" s="1284">
        <v>13607</v>
      </c>
      <c r="G23" s="1283">
        <v>13483</v>
      </c>
      <c r="H23" s="2594">
        <f t="shared" si="0"/>
        <v>99.088704343352688</v>
      </c>
      <c r="I23" s="1298"/>
    </row>
    <row r="24" spans="1:21" s="1292" customFormat="1" ht="14.25" x14ac:dyDescent="0.2">
      <c r="A24" s="2288"/>
      <c r="B24" s="2287"/>
      <c r="C24" s="1281" t="s">
        <v>1951</v>
      </c>
      <c r="D24" s="1287" t="s">
        <v>645</v>
      </c>
      <c r="E24" s="2286"/>
      <c r="F24" s="1275">
        <v>13607</v>
      </c>
      <c r="G24" s="1274">
        <v>13483</v>
      </c>
      <c r="H24" s="1273">
        <f t="shared" si="0"/>
        <v>99.088704343352688</v>
      </c>
      <c r="I24" s="1298"/>
    </row>
    <row r="25" spans="1:21" s="1292" customFormat="1" ht="15" x14ac:dyDescent="0.25">
      <c r="A25" s="2288">
        <v>3123</v>
      </c>
      <c r="B25" s="2287">
        <v>5169</v>
      </c>
      <c r="C25" s="1281"/>
      <c r="D25" s="2617" t="s">
        <v>769</v>
      </c>
      <c r="E25" s="2286"/>
      <c r="F25" s="1283">
        <v>54</v>
      </c>
      <c r="G25" s="1283">
        <v>54</v>
      </c>
      <c r="H25" s="1282">
        <f t="shared" si="0"/>
        <v>100</v>
      </c>
      <c r="I25" s="1298"/>
    </row>
    <row r="26" spans="1:21" s="1292" customFormat="1" ht="14.25" x14ac:dyDescent="0.2">
      <c r="A26" s="2288"/>
      <c r="B26" s="2287"/>
      <c r="C26" s="1281" t="s">
        <v>1951</v>
      </c>
      <c r="D26" s="1287" t="s">
        <v>645</v>
      </c>
      <c r="E26" s="2286"/>
      <c r="F26" s="1275">
        <v>54</v>
      </c>
      <c r="G26" s="1274">
        <v>54</v>
      </c>
      <c r="H26" s="1273">
        <f t="shared" si="0"/>
        <v>100</v>
      </c>
      <c r="I26" s="1298"/>
    </row>
    <row r="27" spans="1:21" s="1292" customFormat="1" ht="15" x14ac:dyDescent="0.25">
      <c r="A27" s="2288">
        <v>3124</v>
      </c>
      <c r="B27" s="2287">
        <v>5171</v>
      </c>
      <c r="C27" s="1281"/>
      <c r="D27" s="2309" t="s">
        <v>811</v>
      </c>
      <c r="E27" s="2293"/>
      <c r="F27" s="1284">
        <v>2020</v>
      </c>
      <c r="G27" s="1283">
        <v>2020</v>
      </c>
      <c r="H27" s="2594">
        <f t="shared" si="0"/>
        <v>100</v>
      </c>
      <c r="I27" s="1298"/>
    </row>
    <row r="28" spans="1:21" s="1292" customFormat="1" ht="14.25" x14ac:dyDescent="0.2">
      <c r="A28" s="2288"/>
      <c r="B28" s="2287"/>
      <c r="C28" s="1281" t="s">
        <v>1951</v>
      </c>
      <c r="D28" s="1287" t="s">
        <v>645</v>
      </c>
      <c r="E28" s="2286"/>
      <c r="F28" s="1275">
        <v>2020</v>
      </c>
      <c r="G28" s="1274">
        <v>2020</v>
      </c>
      <c r="H28" s="1273">
        <f t="shared" si="0"/>
        <v>100</v>
      </c>
      <c r="I28" s="1298"/>
    </row>
    <row r="29" spans="1:21" s="2312" customFormat="1" ht="15" x14ac:dyDescent="0.25">
      <c r="A29" s="2288">
        <v>3315</v>
      </c>
      <c r="B29" s="2287">
        <v>5171</v>
      </c>
      <c r="C29" s="1281"/>
      <c r="D29" s="2309" t="s">
        <v>811</v>
      </c>
      <c r="E29" s="2293"/>
      <c r="F29" s="1284">
        <v>2304</v>
      </c>
      <c r="G29" s="1283">
        <v>2190</v>
      </c>
      <c r="H29" s="2594">
        <f t="shared" si="0"/>
        <v>95.052083333333343</v>
      </c>
      <c r="I29" s="2300"/>
      <c r="J29" s="2300"/>
      <c r="K29" s="2300"/>
      <c r="L29" s="2300"/>
      <c r="M29" s="2300"/>
      <c r="N29" s="2300"/>
      <c r="O29" s="2300"/>
      <c r="P29" s="2300"/>
      <c r="Q29" s="2300"/>
      <c r="R29" s="2300"/>
      <c r="S29" s="2300"/>
      <c r="T29" s="2300"/>
      <c r="U29" s="2300"/>
    </row>
    <row r="30" spans="1:21" s="2312" customFormat="1" ht="15" x14ac:dyDescent="0.25">
      <c r="A30" s="2288"/>
      <c r="B30" s="2287"/>
      <c r="C30" s="1281" t="s">
        <v>1908</v>
      </c>
      <c r="D30" s="1287" t="s">
        <v>804</v>
      </c>
      <c r="E30" s="2293"/>
      <c r="F30" s="1275">
        <v>2304</v>
      </c>
      <c r="G30" s="1274">
        <v>2190</v>
      </c>
      <c r="H30" s="1273">
        <f t="shared" si="0"/>
        <v>95.052083333333343</v>
      </c>
      <c r="I30" s="2300"/>
      <c r="J30" s="2300"/>
      <c r="K30" s="2300"/>
      <c r="L30" s="2300"/>
      <c r="M30" s="2300"/>
      <c r="N30" s="2300"/>
      <c r="O30" s="2300"/>
      <c r="P30" s="2300"/>
      <c r="Q30" s="2300"/>
      <c r="R30" s="2300"/>
      <c r="S30" s="2300"/>
      <c r="T30" s="2300"/>
      <c r="U30" s="2300"/>
    </row>
    <row r="31" spans="1:21" s="2312" customFormat="1" ht="15" x14ac:dyDescent="0.25">
      <c r="A31" s="2288">
        <v>3315</v>
      </c>
      <c r="B31" s="2287">
        <v>5901</v>
      </c>
      <c r="C31" s="1281"/>
      <c r="D31" s="1285" t="s">
        <v>547</v>
      </c>
      <c r="E31" s="2293">
        <v>650</v>
      </c>
      <c r="F31" s="1284">
        <v>650</v>
      </c>
      <c r="G31" s="1283">
        <v>0</v>
      </c>
      <c r="H31" s="1282">
        <f t="shared" si="0"/>
        <v>0</v>
      </c>
      <c r="I31" s="2300"/>
      <c r="J31" s="2300"/>
      <c r="K31" s="2300"/>
      <c r="L31" s="2300"/>
      <c r="M31" s="2300"/>
      <c r="N31" s="2300"/>
      <c r="O31" s="2300"/>
      <c r="P31" s="2300"/>
      <c r="Q31" s="2300"/>
      <c r="R31" s="2300"/>
      <c r="S31" s="2300"/>
      <c r="T31" s="2300"/>
      <c r="U31" s="2300"/>
    </row>
    <row r="32" spans="1:21" s="2312" customFormat="1" ht="15" x14ac:dyDescent="0.25">
      <c r="A32" s="2288">
        <v>3529</v>
      </c>
      <c r="B32" s="2287">
        <v>5137</v>
      </c>
      <c r="C32" s="1281"/>
      <c r="D32" s="2501" t="s">
        <v>142</v>
      </c>
      <c r="E32" s="2293"/>
      <c r="F32" s="1284">
        <v>32</v>
      </c>
      <c r="G32" s="1283">
        <v>31</v>
      </c>
      <c r="H32" s="2594">
        <f t="shared" si="0"/>
        <v>96.875</v>
      </c>
      <c r="I32" s="2300"/>
      <c r="J32" s="2300"/>
      <c r="K32" s="2300"/>
      <c r="L32" s="2300"/>
      <c r="M32" s="2300"/>
      <c r="N32" s="2300"/>
      <c r="O32" s="2300"/>
      <c r="P32" s="2300"/>
      <c r="Q32" s="2300"/>
      <c r="R32" s="2300"/>
      <c r="S32" s="2300"/>
      <c r="T32" s="2300"/>
      <c r="U32" s="2300"/>
    </row>
    <row r="33" spans="1:21" s="2312" customFormat="1" ht="15" x14ac:dyDescent="0.25">
      <c r="A33" s="2288"/>
      <c r="B33" s="2287"/>
      <c r="C33" s="1281" t="s">
        <v>1931</v>
      </c>
      <c r="D33" s="1287" t="s">
        <v>704</v>
      </c>
      <c r="E33" s="2293"/>
      <c r="F33" s="1275">
        <v>32</v>
      </c>
      <c r="G33" s="1274">
        <v>31</v>
      </c>
      <c r="H33" s="1273">
        <f t="shared" si="0"/>
        <v>96.875</v>
      </c>
      <c r="I33" s="2300"/>
      <c r="J33" s="2300"/>
      <c r="K33" s="2300"/>
      <c r="L33" s="2300"/>
      <c r="M33" s="2300"/>
      <c r="N33" s="2300"/>
      <c r="O33" s="2300"/>
      <c r="P33" s="2300"/>
      <c r="Q33" s="2300"/>
      <c r="R33" s="2300"/>
      <c r="S33" s="2300"/>
      <c r="T33" s="2300"/>
      <c r="U33" s="2300"/>
    </row>
    <row r="34" spans="1:21" s="2312" customFormat="1" ht="15" x14ac:dyDescent="0.25">
      <c r="A34" s="2288">
        <v>4350</v>
      </c>
      <c r="B34" s="2287">
        <v>5171</v>
      </c>
      <c r="C34" s="1281"/>
      <c r="D34" s="2309" t="s">
        <v>811</v>
      </c>
      <c r="E34" s="2293">
        <v>10000</v>
      </c>
      <c r="F34" s="1284">
        <v>9964</v>
      </c>
      <c r="G34" s="1283">
        <v>9945</v>
      </c>
      <c r="H34" s="2594">
        <f t="shared" si="0"/>
        <v>99.809313528703342</v>
      </c>
      <c r="I34" s="2300"/>
      <c r="J34" s="2300"/>
      <c r="K34" s="2300"/>
      <c r="L34" s="2300"/>
      <c r="M34" s="2300"/>
      <c r="N34" s="2300"/>
      <c r="O34" s="2300"/>
      <c r="P34" s="2300"/>
      <c r="Q34" s="2300"/>
      <c r="R34" s="2300"/>
      <c r="S34" s="2300"/>
      <c r="T34" s="2300"/>
      <c r="U34" s="2300"/>
    </row>
    <row r="35" spans="1:21" s="2312" customFormat="1" ht="15" x14ac:dyDescent="0.25">
      <c r="A35" s="2288"/>
      <c r="B35" s="2287"/>
      <c r="C35" s="1281" t="s">
        <v>1949</v>
      </c>
      <c r="D35" s="1287" t="s">
        <v>645</v>
      </c>
      <c r="E35" s="2293"/>
      <c r="F35" s="1275">
        <v>9964</v>
      </c>
      <c r="G35" s="1274">
        <v>9945</v>
      </c>
      <c r="H35" s="1273">
        <f t="shared" si="0"/>
        <v>99.809313528703342</v>
      </c>
      <c r="I35" s="2300"/>
      <c r="J35" s="2300"/>
      <c r="K35" s="2300"/>
      <c r="L35" s="2300"/>
      <c r="M35" s="2300"/>
      <c r="N35" s="2300"/>
      <c r="O35" s="2300"/>
      <c r="P35" s="2300"/>
      <c r="Q35" s="2300"/>
      <c r="R35" s="2300"/>
      <c r="S35" s="2300"/>
      <c r="T35" s="2300"/>
      <c r="U35" s="2300"/>
    </row>
    <row r="36" spans="1:21" s="2312" customFormat="1" ht="15" x14ac:dyDescent="0.25">
      <c r="A36" s="2288">
        <v>4351</v>
      </c>
      <c r="B36" s="2287">
        <v>5171</v>
      </c>
      <c r="C36" s="1281"/>
      <c r="D36" s="2309" t="s">
        <v>811</v>
      </c>
      <c r="E36" s="2293"/>
      <c r="F36" s="1284">
        <v>22</v>
      </c>
      <c r="G36" s="1283">
        <v>21</v>
      </c>
      <c r="H36" s="1282">
        <f t="shared" si="0"/>
        <v>95.454545454545453</v>
      </c>
      <c r="I36" s="2300"/>
      <c r="J36" s="2300"/>
      <c r="K36" s="2300"/>
      <c r="L36" s="2300"/>
      <c r="M36" s="2300"/>
      <c r="N36" s="2300"/>
      <c r="O36" s="2300"/>
      <c r="P36" s="2300"/>
      <c r="Q36" s="2300"/>
      <c r="R36" s="2300"/>
      <c r="S36" s="2300"/>
      <c r="T36" s="2300"/>
      <c r="U36" s="2300"/>
    </row>
    <row r="37" spans="1:21" s="2312" customFormat="1" ht="15" x14ac:dyDescent="0.25">
      <c r="A37" s="2288"/>
      <c r="B37" s="2287"/>
      <c r="C37" s="1281" t="s">
        <v>1949</v>
      </c>
      <c r="D37" s="1287" t="s">
        <v>645</v>
      </c>
      <c r="E37" s="2293"/>
      <c r="F37" s="1275">
        <v>22</v>
      </c>
      <c r="G37" s="1274">
        <v>21</v>
      </c>
      <c r="H37" s="1273">
        <f t="shared" si="0"/>
        <v>95.454545454545453</v>
      </c>
      <c r="I37" s="2300"/>
      <c r="J37" s="2300"/>
      <c r="K37" s="2300"/>
      <c r="L37" s="2300"/>
      <c r="M37" s="2300"/>
      <c r="N37" s="2300"/>
      <c r="O37" s="2300"/>
      <c r="P37" s="2300"/>
      <c r="Q37" s="2300"/>
      <c r="R37" s="2300"/>
      <c r="S37" s="2300"/>
      <c r="T37" s="2300"/>
      <c r="U37" s="2300"/>
    </row>
    <row r="38" spans="1:21" s="2312" customFormat="1" ht="15" x14ac:dyDescent="0.25">
      <c r="A38" s="2591">
        <v>4357</v>
      </c>
      <c r="B38" s="2590">
        <v>5137</v>
      </c>
      <c r="C38" s="1281"/>
      <c r="D38" s="2501" t="s">
        <v>142</v>
      </c>
      <c r="E38" s="2286"/>
      <c r="F38" s="1283">
        <v>43</v>
      </c>
      <c r="G38" s="1283">
        <v>43</v>
      </c>
      <c r="H38" s="2594">
        <f t="shared" si="0"/>
        <v>100</v>
      </c>
      <c r="I38" s="2300"/>
      <c r="J38" s="2300"/>
      <c r="K38" s="2300"/>
      <c r="L38" s="2300"/>
      <c r="M38" s="2300"/>
      <c r="N38" s="2300"/>
      <c r="O38" s="2300"/>
      <c r="P38" s="2300"/>
      <c r="Q38" s="2300"/>
      <c r="R38" s="2300"/>
      <c r="S38" s="2300"/>
      <c r="T38" s="2300"/>
      <c r="U38" s="2300"/>
    </row>
    <row r="39" spans="1:21" s="2312" customFormat="1" ht="14.25" x14ac:dyDescent="0.2">
      <c r="A39" s="2591"/>
      <c r="B39" s="2590"/>
      <c r="C39" s="1281" t="s">
        <v>1949</v>
      </c>
      <c r="D39" s="1287" t="s">
        <v>645</v>
      </c>
      <c r="E39" s="2286"/>
      <c r="F39" s="1274">
        <v>43</v>
      </c>
      <c r="G39" s="1274">
        <v>43</v>
      </c>
      <c r="H39" s="2618">
        <f t="shared" si="0"/>
        <v>100</v>
      </c>
      <c r="I39" s="2300"/>
      <c r="J39" s="2300"/>
      <c r="K39" s="2300"/>
      <c r="L39" s="2300"/>
      <c r="M39" s="2300"/>
      <c r="N39" s="2300"/>
      <c r="O39" s="2300"/>
      <c r="P39" s="2300"/>
      <c r="Q39" s="2300"/>
      <c r="R39" s="2300"/>
      <c r="S39" s="2300"/>
      <c r="T39" s="2300"/>
      <c r="U39" s="2300"/>
    </row>
    <row r="40" spans="1:21" s="2312" customFormat="1" ht="15" x14ac:dyDescent="0.25">
      <c r="A40" s="2288">
        <v>4357</v>
      </c>
      <c r="B40" s="2287">
        <v>5169</v>
      </c>
      <c r="C40" s="1281"/>
      <c r="D40" s="2617" t="s">
        <v>769</v>
      </c>
      <c r="E40" s="2286"/>
      <c r="F40" s="1283">
        <v>10</v>
      </c>
      <c r="G40" s="1283">
        <v>6</v>
      </c>
      <c r="H40" s="1282">
        <f t="shared" si="0"/>
        <v>60</v>
      </c>
      <c r="I40" s="2300"/>
      <c r="J40" s="2300"/>
      <c r="K40" s="2300"/>
      <c r="L40" s="2300"/>
      <c r="M40" s="2300"/>
      <c r="N40" s="2300"/>
      <c r="O40" s="2300"/>
      <c r="P40" s="2300"/>
      <c r="Q40" s="2300"/>
      <c r="R40" s="2300"/>
      <c r="S40" s="2300"/>
      <c r="T40" s="2300"/>
      <c r="U40" s="2300"/>
    </row>
    <row r="41" spans="1:21" s="2312" customFormat="1" ht="14.25" x14ac:dyDescent="0.2">
      <c r="A41" s="2591"/>
      <c r="B41" s="2590"/>
      <c r="C41" s="1281" t="s">
        <v>1949</v>
      </c>
      <c r="D41" s="1287" t="s">
        <v>645</v>
      </c>
      <c r="E41" s="2286"/>
      <c r="F41" s="1274">
        <v>10</v>
      </c>
      <c r="G41" s="1274">
        <v>6</v>
      </c>
      <c r="H41" s="2618">
        <v>0</v>
      </c>
      <c r="I41" s="2300"/>
      <c r="J41" s="2300"/>
      <c r="K41" s="2300"/>
      <c r="L41" s="2300"/>
      <c r="M41" s="2300"/>
      <c r="N41" s="2300"/>
      <c r="O41" s="2300"/>
      <c r="P41" s="2300"/>
      <c r="Q41" s="2300"/>
      <c r="R41" s="2300"/>
      <c r="S41" s="2300"/>
      <c r="T41" s="2300"/>
      <c r="U41" s="2300"/>
    </row>
    <row r="42" spans="1:21" s="2312" customFormat="1" ht="15" x14ac:dyDescent="0.25">
      <c r="A42" s="2591">
        <v>4357</v>
      </c>
      <c r="B42" s="2590">
        <v>5171</v>
      </c>
      <c r="C42" s="1281"/>
      <c r="D42" s="2309" t="s">
        <v>811</v>
      </c>
      <c r="E42" s="2293">
        <v>6300</v>
      </c>
      <c r="F42" s="1284">
        <v>6878</v>
      </c>
      <c r="G42" s="1283">
        <v>6818</v>
      </c>
      <c r="H42" s="1282">
        <f>(G42/F42)*100</f>
        <v>99.127653387612682</v>
      </c>
      <c r="I42" s="2300"/>
      <c r="J42" s="2300"/>
      <c r="K42" s="2300"/>
      <c r="L42" s="2300"/>
      <c r="M42" s="2300"/>
      <c r="N42" s="2300"/>
      <c r="O42" s="2300"/>
      <c r="P42" s="2300"/>
      <c r="Q42" s="2300"/>
      <c r="R42" s="2300"/>
      <c r="S42" s="2300"/>
      <c r="T42" s="2300"/>
      <c r="U42" s="2300"/>
    </row>
    <row r="43" spans="1:21" s="2312" customFormat="1" ht="14.25" x14ac:dyDescent="0.2">
      <c r="A43" s="2591"/>
      <c r="B43" s="2590"/>
      <c r="C43" s="1281" t="s">
        <v>1949</v>
      </c>
      <c r="D43" s="1287" t="s">
        <v>645</v>
      </c>
      <c r="E43" s="2286">
        <v>6300</v>
      </c>
      <c r="F43" s="1275">
        <v>6878</v>
      </c>
      <c r="G43" s="1274">
        <v>6818</v>
      </c>
      <c r="H43" s="1273">
        <f>(G43/F43)*100</f>
        <v>99.127653387612682</v>
      </c>
      <c r="I43" s="2300"/>
      <c r="J43" s="2300"/>
      <c r="K43" s="2300"/>
      <c r="L43" s="2300"/>
      <c r="M43" s="2300"/>
      <c r="N43" s="2300"/>
      <c r="O43" s="2300"/>
      <c r="P43" s="2300"/>
      <c r="Q43" s="2300"/>
      <c r="R43" s="2300"/>
      <c r="S43" s="2300"/>
      <c r="T43" s="2300"/>
      <c r="U43" s="2300"/>
    </row>
    <row r="44" spans="1:21" s="2312" customFormat="1" ht="15" x14ac:dyDescent="0.25">
      <c r="A44" s="2591">
        <v>4399</v>
      </c>
      <c r="B44" s="2590">
        <v>5166</v>
      </c>
      <c r="C44" s="1281"/>
      <c r="D44" s="2617" t="s">
        <v>607</v>
      </c>
      <c r="E44" s="2293">
        <v>250</v>
      </c>
      <c r="F44" s="1283">
        <v>162</v>
      </c>
      <c r="G44" s="1283">
        <v>162</v>
      </c>
      <c r="H44" s="2594">
        <v>0</v>
      </c>
      <c r="I44" s="2300"/>
      <c r="J44" s="2300"/>
      <c r="K44" s="2300"/>
      <c r="L44" s="2300"/>
      <c r="M44" s="2300"/>
      <c r="N44" s="2300"/>
      <c r="O44" s="2300"/>
      <c r="P44" s="2300"/>
      <c r="Q44" s="2300"/>
      <c r="R44" s="2300"/>
      <c r="S44" s="2300"/>
      <c r="T44" s="2300"/>
      <c r="U44" s="2300"/>
    </row>
    <row r="45" spans="1:21" s="2312" customFormat="1" ht="14.25" x14ac:dyDescent="0.2">
      <c r="A45" s="2591"/>
      <c r="B45" s="2590"/>
      <c r="C45" s="1281" t="s">
        <v>1949</v>
      </c>
      <c r="D45" s="1287" t="s">
        <v>645</v>
      </c>
      <c r="E45" s="2286">
        <v>250</v>
      </c>
      <c r="F45" s="1274">
        <v>162</v>
      </c>
      <c r="G45" s="1274">
        <v>162</v>
      </c>
      <c r="H45" s="2618">
        <v>0</v>
      </c>
      <c r="I45" s="2300"/>
      <c r="J45" s="2300"/>
      <c r="K45" s="2300"/>
      <c r="L45" s="2300"/>
      <c r="M45" s="2300"/>
      <c r="N45" s="2300"/>
      <c r="O45" s="2300"/>
      <c r="P45" s="2300"/>
      <c r="Q45" s="2300"/>
      <c r="R45" s="2300"/>
      <c r="S45" s="2300"/>
      <c r="T45" s="2300"/>
      <c r="U45" s="2300"/>
    </row>
    <row r="46" spans="1:21" s="2312" customFormat="1" ht="15" x14ac:dyDescent="0.25">
      <c r="A46" s="2591">
        <v>6172</v>
      </c>
      <c r="B46" s="2590">
        <v>5164</v>
      </c>
      <c r="C46" s="2595"/>
      <c r="D46" s="2617" t="s">
        <v>157</v>
      </c>
      <c r="E46" s="2293">
        <v>377</v>
      </c>
      <c r="F46" s="1283">
        <v>377</v>
      </c>
      <c r="G46" s="1283">
        <v>119</v>
      </c>
      <c r="H46" s="1282">
        <f t="shared" ref="H46:H51" si="1">(G46/F46)*100</f>
        <v>31.564986737400531</v>
      </c>
      <c r="I46" s="2300"/>
      <c r="J46" s="2300"/>
      <c r="K46" s="2300"/>
      <c r="L46" s="2300"/>
      <c r="M46" s="2300"/>
      <c r="N46" s="2300"/>
      <c r="O46" s="2300"/>
      <c r="P46" s="2300"/>
      <c r="Q46" s="2300"/>
      <c r="R46" s="2300"/>
      <c r="S46" s="2300"/>
      <c r="T46" s="2300"/>
      <c r="U46" s="2300"/>
    </row>
    <row r="47" spans="1:21" s="2312" customFormat="1" ht="15" x14ac:dyDescent="0.25">
      <c r="A47" s="2591">
        <v>6172</v>
      </c>
      <c r="B47" s="2590">
        <v>5166</v>
      </c>
      <c r="C47" s="2595"/>
      <c r="D47" s="2617" t="s">
        <v>607</v>
      </c>
      <c r="E47" s="2293">
        <v>850</v>
      </c>
      <c r="F47" s="1283">
        <v>610</v>
      </c>
      <c r="G47" s="1283">
        <v>45</v>
      </c>
      <c r="H47" s="1282">
        <f t="shared" si="1"/>
        <v>7.3770491803278686</v>
      </c>
      <c r="I47" s="2300"/>
      <c r="J47" s="2300"/>
      <c r="K47" s="2300"/>
      <c r="L47" s="2300"/>
      <c r="M47" s="2300"/>
      <c r="N47" s="2300"/>
      <c r="O47" s="2300"/>
      <c r="P47" s="2300"/>
      <c r="Q47" s="2300"/>
      <c r="R47" s="2300"/>
      <c r="S47" s="2300"/>
      <c r="T47" s="2300"/>
      <c r="U47" s="2300"/>
    </row>
    <row r="48" spans="1:21" s="2312" customFormat="1" ht="15" x14ac:dyDescent="0.25">
      <c r="A48" s="2591">
        <v>6172</v>
      </c>
      <c r="B48" s="2590">
        <v>5169</v>
      </c>
      <c r="C48" s="2595"/>
      <c r="D48" s="2617" t="s">
        <v>769</v>
      </c>
      <c r="E48" s="2293">
        <v>300</v>
      </c>
      <c r="F48" s="1283">
        <v>200</v>
      </c>
      <c r="G48" s="1283">
        <v>115</v>
      </c>
      <c r="H48" s="1282">
        <f t="shared" si="1"/>
        <v>57.499999999999993</v>
      </c>
      <c r="I48" s="2300"/>
      <c r="J48" s="2300"/>
      <c r="K48" s="2300"/>
      <c r="L48" s="2300"/>
      <c r="M48" s="2300"/>
      <c r="N48" s="2300"/>
      <c r="O48" s="2300"/>
      <c r="P48" s="2300"/>
      <c r="Q48" s="2300"/>
      <c r="R48" s="2300"/>
      <c r="S48" s="2300"/>
      <c r="T48" s="2300"/>
      <c r="U48" s="2300"/>
    </row>
    <row r="49" spans="1:21" s="2312" customFormat="1" ht="15" x14ac:dyDescent="0.25">
      <c r="A49" s="2591">
        <v>6172</v>
      </c>
      <c r="B49" s="2590">
        <v>5362</v>
      </c>
      <c r="C49" s="2595"/>
      <c r="D49" s="2617" t="s">
        <v>684</v>
      </c>
      <c r="E49" s="2293">
        <v>40</v>
      </c>
      <c r="F49" s="1283">
        <v>1</v>
      </c>
      <c r="G49" s="1283">
        <v>1</v>
      </c>
      <c r="H49" s="1282">
        <f t="shared" si="1"/>
        <v>100</v>
      </c>
      <c r="I49" s="2300"/>
      <c r="J49" s="2300"/>
      <c r="K49" s="2300"/>
      <c r="L49" s="2300"/>
      <c r="M49" s="2589"/>
      <c r="N49" s="2589"/>
      <c r="O49" s="2300"/>
      <c r="P49" s="2300"/>
      <c r="Q49" s="2300"/>
      <c r="R49" s="2300"/>
      <c r="S49" s="2300"/>
      <c r="T49" s="2300"/>
      <c r="U49" s="2300"/>
    </row>
    <row r="50" spans="1:21" s="2312" customFormat="1" ht="15" x14ac:dyDescent="0.25">
      <c r="A50" s="2591">
        <v>6172</v>
      </c>
      <c r="B50" s="2590">
        <v>5363</v>
      </c>
      <c r="C50" s="2595"/>
      <c r="D50" s="2617" t="s">
        <v>1353</v>
      </c>
      <c r="E50" s="2293"/>
      <c r="F50" s="1283">
        <v>241</v>
      </c>
      <c r="G50" s="1283">
        <v>207</v>
      </c>
      <c r="H50" s="1282">
        <f t="shared" si="1"/>
        <v>85.892116182572607</v>
      </c>
      <c r="I50" s="2300"/>
      <c r="J50" s="2300"/>
      <c r="K50" s="2300"/>
      <c r="L50" s="2300"/>
      <c r="M50" s="2589"/>
      <c r="N50" s="2589"/>
      <c r="O50" s="2300"/>
      <c r="P50" s="2300"/>
      <c r="Q50" s="2300"/>
      <c r="R50" s="2300"/>
      <c r="S50" s="2300"/>
      <c r="T50" s="2300"/>
      <c r="U50" s="2300"/>
    </row>
    <row r="51" spans="1:21" s="2312" customFormat="1" ht="15" x14ac:dyDescent="0.25">
      <c r="A51" s="2288">
        <v>6402</v>
      </c>
      <c r="B51" s="2590">
        <v>5368</v>
      </c>
      <c r="C51" s="2595"/>
      <c r="D51" s="3185" t="s">
        <v>495</v>
      </c>
      <c r="E51" s="2293"/>
      <c r="F51" s="1283">
        <v>38</v>
      </c>
      <c r="G51" s="1283">
        <v>38</v>
      </c>
      <c r="H51" s="2616">
        <f t="shared" si="1"/>
        <v>100</v>
      </c>
      <c r="I51" s="2300"/>
      <c r="J51" s="2300"/>
      <c r="K51" s="2300"/>
      <c r="L51" s="2300"/>
      <c r="M51" s="2589"/>
      <c r="N51" s="2589"/>
      <c r="O51" s="2300"/>
      <c r="P51" s="2300"/>
      <c r="Q51" s="2300"/>
      <c r="R51" s="2300"/>
      <c r="S51" s="2300"/>
      <c r="T51" s="2300"/>
      <c r="U51" s="2300"/>
    </row>
    <row r="52" spans="1:21" s="2312" customFormat="1" ht="15.75" thickBot="1" x14ac:dyDescent="0.3">
      <c r="A52" s="2308"/>
      <c r="B52" s="2615"/>
      <c r="C52" s="2614"/>
      <c r="D52" s="3172"/>
      <c r="E52" s="2613"/>
      <c r="F52" s="2274"/>
      <c r="G52" s="2274"/>
      <c r="H52" s="2612"/>
      <c r="I52" s="2300"/>
      <c r="J52" s="2300"/>
      <c r="K52" s="2300"/>
      <c r="L52" s="2300"/>
      <c r="M52" s="2589"/>
      <c r="N52" s="2589"/>
      <c r="O52" s="2300"/>
      <c r="P52" s="2300"/>
      <c r="Q52" s="2300"/>
      <c r="R52" s="2300"/>
      <c r="S52" s="2300"/>
      <c r="T52" s="2300"/>
      <c r="U52" s="2300"/>
    </row>
    <row r="53" spans="1:21" s="1266" customFormat="1" ht="35.85" customHeight="1" thickTop="1" thickBot="1" x14ac:dyDescent="0.35">
      <c r="A53" s="2270" t="s">
        <v>225</v>
      </c>
      <c r="B53" s="2588"/>
      <c r="C53" s="2611"/>
      <c r="D53" s="2586"/>
      <c r="E53" s="1268">
        <f>E31+E34+E42+E44+E46+E47+E48+E49</f>
        <v>18767</v>
      </c>
      <c r="F53" s="1268">
        <f>F11+F13+F15+F17+F19+F21+F23+F25+F27+F29+F31+F32+F34+F36+F38+F40+F42+F44+F46+F47+F48+F49+F50+F51</f>
        <v>42030</v>
      </c>
      <c r="G53" s="1268">
        <f>G11+G13+G15+G17+G19+G21+G23+G25+G27+G29+G31+G32+G34+G36+G38+G40+G42+G44+G46+G47+G48+G49+G50+G51</f>
        <v>38882</v>
      </c>
      <c r="H53" s="2390">
        <f>G53/F53*100</f>
        <v>92.510111824886991</v>
      </c>
      <c r="J53" s="2610">
        <v>18767000</v>
      </c>
      <c r="K53" s="2610">
        <v>42030056.119999997</v>
      </c>
      <c r="L53" s="2610">
        <v>38882360.93</v>
      </c>
      <c r="M53" s="2609"/>
      <c r="N53" s="2609"/>
    </row>
    <row r="54" spans="1:21" ht="13.5" thickTop="1" x14ac:dyDescent="0.2">
      <c r="E54" s="2608"/>
      <c r="F54" s="2608"/>
      <c r="G54" s="2608"/>
    </row>
    <row r="76" spans="1:21" ht="18" x14ac:dyDescent="0.25">
      <c r="A76" s="1312" t="s">
        <v>1120</v>
      </c>
      <c r="B76" s="1311"/>
      <c r="C76" s="2607"/>
      <c r="D76" s="1309"/>
      <c r="E76" s="1308"/>
      <c r="F76" s="2094"/>
      <c r="G76" s="1307"/>
      <c r="H76" s="2384"/>
      <c r="I76" s="1249"/>
      <c r="J76" s="1249"/>
    </row>
    <row r="77" spans="1:21" ht="13.5" thickBot="1" x14ac:dyDescent="0.25">
      <c r="A77" s="1305"/>
      <c r="B77" s="1305"/>
      <c r="C77" s="1325"/>
      <c r="F77" s="1303"/>
      <c r="H77" s="2203" t="s">
        <v>148</v>
      </c>
      <c r="I77" s="1249"/>
      <c r="J77" s="1249"/>
    </row>
    <row r="78" spans="1:21" s="2602" customFormat="1" ht="20.25" customHeight="1" thickTop="1" thickBot="1" x14ac:dyDescent="0.25">
      <c r="A78" s="2606" t="s">
        <v>149</v>
      </c>
      <c r="B78" s="2605" t="s">
        <v>150</v>
      </c>
      <c r="C78" s="2604" t="s">
        <v>639</v>
      </c>
      <c r="D78" s="2604" t="s">
        <v>151</v>
      </c>
      <c r="E78" s="1324" t="s">
        <v>569</v>
      </c>
      <c r="F78" s="1324" t="s">
        <v>570</v>
      </c>
      <c r="G78" s="2198" t="s">
        <v>797</v>
      </c>
      <c r="H78" s="2238" t="s">
        <v>798</v>
      </c>
      <c r="I78" s="2603"/>
      <c r="J78" s="2603"/>
    </row>
    <row r="79" spans="1:21" s="1292" customFormat="1" ht="13.5" thickTop="1" thickBot="1" x14ac:dyDescent="0.25">
      <c r="A79" s="1297">
        <v>1</v>
      </c>
      <c r="B79" s="1296">
        <v>2</v>
      </c>
      <c r="C79" s="1296">
        <v>3</v>
      </c>
      <c r="D79" s="1296">
        <v>4</v>
      </c>
      <c r="E79" s="1296">
        <v>5</v>
      </c>
      <c r="F79" s="1295">
        <v>6</v>
      </c>
      <c r="G79" s="1295">
        <v>7</v>
      </c>
      <c r="H79" s="1294" t="s">
        <v>54</v>
      </c>
      <c r="I79" s="1298"/>
    </row>
    <row r="80" spans="1:21" s="2312" customFormat="1" ht="15.75" thickTop="1" x14ac:dyDescent="0.25">
      <c r="A80" s="2601">
        <v>2212</v>
      </c>
      <c r="B80" s="2600">
        <v>6121</v>
      </c>
      <c r="C80" s="2599"/>
      <c r="D80" s="2598" t="s">
        <v>548</v>
      </c>
      <c r="E80" s="2597">
        <f>E81+E82</f>
        <v>19276</v>
      </c>
      <c r="F80" s="2597">
        <f>F81+F82</f>
        <v>125184</v>
      </c>
      <c r="G80" s="2597">
        <f>G81+G82</f>
        <v>122382</v>
      </c>
      <c r="H80" s="2596">
        <f t="shared" ref="H80:H123" si="2">(G80/F80)*100</f>
        <v>97.761694785276077</v>
      </c>
      <c r="I80" s="2300"/>
      <c r="J80" s="2300"/>
      <c r="K80" s="2300"/>
      <c r="L80" s="2300"/>
      <c r="M80" s="2300"/>
      <c r="N80" s="2300"/>
      <c r="O80" s="2300"/>
      <c r="P80" s="2300"/>
      <c r="Q80" s="2300"/>
      <c r="R80" s="2300"/>
      <c r="S80" s="2300"/>
      <c r="T80" s="2300"/>
      <c r="U80" s="2300"/>
    </row>
    <row r="81" spans="1:21" s="2312" customFormat="1" ht="14.25" x14ac:dyDescent="0.2">
      <c r="A81" s="2591"/>
      <c r="B81" s="2590"/>
      <c r="C81" s="1281" t="s">
        <v>1891</v>
      </c>
      <c r="D81" s="1287" t="s">
        <v>702</v>
      </c>
      <c r="E81" s="2286">
        <v>19276</v>
      </c>
      <c r="F81" s="1275">
        <v>34570</v>
      </c>
      <c r="G81" s="1274">
        <v>31768</v>
      </c>
      <c r="H81" s="1273">
        <f t="shared" si="2"/>
        <v>91.894706392826151</v>
      </c>
      <c r="I81" s="2300"/>
      <c r="J81" s="2300"/>
      <c r="K81" s="2300"/>
      <c r="L81" s="2300"/>
      <c r="M81" s="2300"/>
      <c r="N81" s="2300"/>
      <c r="O81" s="2300"/>
      <c r="P81" s="2300"/>
      <c r="Q81" s="2300"/>
      <c r="R81" s="2300"/>
      <c r="S81" s="2300"/>
      <c r="T81" s="2300"/>
      <c r="U81" s="2300"/>
    </row>
    <row r="82" spans="1:21" s="2312" customFormat="1" ht="14.25" x14ac:dyDescent="0.2">
      <c r="A82" s="2591"/>
      <c r="B82" s="2590"/>
      <c r="C82" s="1281" t="s">
        <v>1953</v>
      </c>
      <c r="D82" s="1287" t="s">
        <v>1952</v>
      </c>
      <c r="E82" s="2286"/>
      <c r="F82" s="1275">
        <v>90614</v>
      </c>
      <c r="G82" s="1274">
        <v>90614</v>
      </c>
      <c r="H82" s="1273">
        <f t="shared" si="2"/>
        <v>100</v>
      </c>
      <c r="I82" s="2300"/>
      <c r="J82" s="2300"/>
      <c r="K82" s="2300"/>
      <c r="L82" s="2300"/>
      <c r="M82" s="2300"/>
      <c r="N82" s="2300"/>
      <c r="O82" s="2300"/>
      <c r="P82" s="2300"/>
      <c r="Q82" s="2300"/>
      <c r="R82" s="2300"/>
      <c r="S82" s="2300"/>
      <c r="T82" s="2300"/>
      <c r="U82" s="2300"/>
    </row>
    <row r="83" spans="1:21" s="2312" customFormat="1" ht="15" x14ac:dyDescent="0.25">
      <c r="A83" s="2591">
        <v>2212</v>
      </c>
      <c r="B83" s="2590">
        <v>6130</v>
      </c>
      <c r="C83" s="1281"/>
      <c r="D83" s="1285" t="s">
        <v>773</v>
      </c>
      <c r="E83" s="2293">
        <v>6500</v>
      </c>
      <c r="F83" s="1283">
        <v>1405</v>
      </c>
      <c r="G83" s="1283">
        <v>1404</v>
      </c>
      <c r="H83" s="1282">
        <f t="shared" si="2"/>
        <v>99.92882562277579</v>
      </c>
      <c r="I83" s="2300"/>
      <c r="J83" s="2300"/>
      <c r="K83" s="2300"/>
      <c r="L83" s="2300"/>
      <c r="M83" s="2300"/>
      <c r="N83" s="2300"/>
      <c r="O83" s="2300"/>
      <c r="P83" s="2300"/>
      <c r="Q83" s="2300"/>
      <c r="R83" s="2300"/>
      <c r="S83" s="2300"/>
      <c r="T83" s="2300"/>
      <c r="U83" s="2300"/>
    </row>
    <row r="84" spans="1:21" s="2312" customFormat="1" ht="14.25" x14ac:dyDescent="0.2">
      <c r="A84" s="2591"/>
      <c r="B84" s="2590"/>
      <c r="C84" s="1281" t="s">
        <v>1891</v>
      </c>
      <c r="D84" s="1287" t="s">
        <v>702</v>
      </c>
      <c r="E84" s="2286">
        <v>6500</v>
      </c>
      <c r="F84" s="1275">
        <v>1405</v>
      </c>
      <c r="G84" s="1274">
        <v>1404</v>
      </c>
      <c r="H84" s="1273">
        <f t="shared" si="2"/>
        <v>99.92882562277579</v>
      </c>
      <c r="I84" s="2300"/>
      <c r="J84" s="2300"/>
      <c r="K84" s="2300"/>
      <c r="L84" s="2300"/>
      <c r="M84" s="2300"/>
      <c r="N84" s="2300"/>
      <c r="O84" s="2300"/>
      <c r="P84" s="2300"/>
      <c r="Q84" s="2300"/>
      <c r="R84" s="2300"/>
      <c r="S84" s="2300"/>
      <c r="T84" s="2300"/>
      <c r="U84" s="2300"/>
    </row>
    <row r="85" spans="1:21" s="2312" customFormat="1" ht="15" x14ac:dyDescent="0.25">
      <c r="A85" s="2591">
        <v>3111</v>
      </c>
      <c r="B85" s="2590">
        <v>6121</v>
      </c>
      <c r="C85" s="1281"/>
      <c r="D85" s="2309" t="s">
        <v>548</v>
      </c>
      <c r="E85" s="2293"/>
      <c r="F85" s="2293">
        <v>2502</v>
      </c>
      <c r="G85" s="2293">
        <v>1635</v>
      </c>
      <c r="H85" s="1282">
        <f t="shared" si="2"/>
        <v>65.34772182254197</v>
      </c>
      <c r="I85" s="2300"/>
      <c r="J85" s="2300"/>
      <c r="K85" s="2300"/>
      <c r="L85" s="2300"/>
      <c r="M85" s="2300"/>
      <c r="N85" s="2300"/>
      <c r="O85" s="2300"/>
      <c r="P85" s="2300"/>
      <c r="Q85" s="2300"/>
      <c r="R85" s="2300"/>
      <c r="S85" s="2300"/>
      <c r="T85" s="2300"/>
      <c r="U85" s="2300"/>
    </row>
    <row r="86" spans="1:21" s="2312" customFormat="1" ht="14.25" x14ac:dyDescent="0.2">
      <c r="A86" s="2591"/>
      <c r="B86" s="2590"/>
      <c r="C86" s="1281" t="s">
        <v>1951</v>
      </c>
      <c r="D86" s="1287" t="s">
        <v>645</v>
      </c>
      <c r="E86" s="2286"/>
      <c r="F86" s="1275">
        <v>2502</v>
      </c>
      <c r="G86" s="1274">
        <v>1635</v>
      </c>
      <c r="H86" s="1273">
        <f t="shared" si="2"/>
        <v>65.34772182254197</v>
      </c>
      <c r="I86" s="2300"/>
      <c r="J86" s="2300"/>
      <c r="K86" s="2300"/>
      <c r="L86" s="2300"/>
      <c r="M86" s="2300"/>
      <c r="N86" s="2300"/>
      <c r="O86" s="2300"/>
      <c r="P86" s="2300"/>
      <c r="Q86" s="2300"/>
      <c r="R86" s="2300"/>
      <c r="S86" s="2300"/>
      <c r="T86" s="2300"/>
      <c r="U86" s="2300"/>
    </row>
    <row r="87" spans="1:21" s="2312" customFormat="1" ht="15" x14ac:dyDescent="0.25">
      <c r="A87" s="2591">
        <v>3111</v>
      </c>
      <c r="B87" s="2590">
        <v>6122</v>
      </c>
      <c r="C87" s="1281"/>
      <c r="D87" s="2309" t="s">
        <v>549</v>
      </c>
      <c r="E87" s="2286"/>
      <c r="F87" s="1283">
        <v>200</v>
      </c>
      <c r="G87" s="1283">
        <v>194</v>
      </c>
      <c r="H87" s="1282">
        <f t="shared" si="2"/>
        <v>97</v>
      </c>
      <c r="I87" s="2300"/>
      <c r="J87" s="2300"/>
      <c r="K87" s="2300"/>
      <c r="L87" s="2300"/>
      <c r="M87" s="2300"/>
      <c r="N87" s="2300"/>
      <c r="O87" s="2300"/>
      <c r="P87" s="2300"/>
      <c r="Q87" s="2300"/>
      <c r="R87" s="2300"/>
      <c r="S87" s="2300"/>
      <c r="T87" s="2300"/>
      <c r="U87" s="2300"/>
    </row>
    <row r="88" spans="1:21" s="2312" customFormat="1" ht="14.25" x14ac:dyDescent="0.2">
      <c r="A88" s="2591"/>
      <c r="B88" s="2590"/>
      <c r="C88" s="1281" t="s">
        <v>1951</v>
      </c>
      <c r="D88" s="1287" t="s">
        <v>645</v>
      </c>
      <c r="E88" s="2286"/>
      <c r="F88" s="1275">
        <v>200</v>
      </c>
      <c r="G88" s="1274">
        <v>194</v>
      </c>
      <c r="H88" s="1273">
        <f t="shared" si="2"/>
        <v>97</v>
      </c>
      <c r="I88" s="2300"/>
      <c r="J88" s="2300"/>
      <c r="K88" s="2300"/>
      <c r="L88" s="2300"/>
      <c r="M88" s="2300"/>
      <c r="N88" s="2300"/>
      <c r="O88" s="2300"/>
      <c r="P88" s="2300"/>
      <c r="Q88" s="2300"/>
      <c r="R88" s="2300"/>
      <c r="S88" s="2300"/>
      <c r="T88" s="2300"/>
      <c r="U88" s="2300"/>
    </row>
    <row r="89" spans="1:21" s="2312" customFormat="1" ht="15" x14ac:dyDescent="0.25">
      <c r="A89" s="2591">
        <v>3114</v>
      </c>
      <c r="B89" s="2590">
        <v>6121</v>
      </c>
      <c r="C89" s="1281"/>
      <c r="D89" s="2309" t="s">
        <v>548</v>
      </c>
      <c r="E89" s="2293"/>
      <c r="F89" s="2293">
        <v>4506</v>
      </c>
      <c r="G89" s="2293">
        <v>4506</v>
      </c>
      <c r="H89" s="1282">
        <f t="shared" si="2"/>
        <v>100</v>
      </c>
      <c r="I89" s="2300"/>
      <c r="J89" s="2300"/>
      <c r="K89" s="2300"/>
      <c r="L89" s="2300"/>
      <c r="M89" s="2300"/>
      <c r="N89" s="2300"/>
      <c r="O89" s="2300"/>
      <c r="P89" s="2300"/>
      <c r="Q89" s="2300"/>
      <c r="R89" s="2300"/>
      <c r="S89" s="2300"/>
      <c r="T89" s="2300"/>
      <c r="U89" s="2300"/>
    </row>
    <row r="90" spans="1:21" s="2312" customFormat="1" ht="14.25" x14ac:dyDescent="0.2">
      <c r="A90" s="2591"/>
      <c r="B90" s="2590"/>
      <c r="C90" s="1281" t="s">
        <v>1951</v>
      </c>
      <c r="D90" s="1287" t="s">
        <v>645</v>
      </c>
      <c r="E90" s="2286"/>
      <c r="F90" s="1275">
        <v>4506</v>
      </c>
      <c r="G90" s="1274">
        <v>4506</v>
      </c>
      <c r="H90" s="1273">
        <f t="shared" si="2"/>
        <v>100</v>
      </c>
      <c r="I90" s="2300"/>
      <c r="J90" s="2300"/>
      <c r="K90" s="2300"/>
      <c r="L90" s="2300"/>
      <c r="M90" s="2300"/>
      <c r="N90" s="2300"/>
      <c r="O90" s="2300"/>
      <c r="P90" s="2300"/>
      <c r="Q90" s="2300"/>
      <c r="R90" s="2300"/>
      <c r="S90" s="2300"/>
      <c r="T90" s="2300"/>
      <c r="U90" s="2300"/>
    </row>
    <row r="91" spans="1:21" s="2312" customFormat="1" ht="15" x14ac:dyDescent="0.25">
      <c r="A91" s="2591">
        <v>3121</v>
      </c>
      <c r="B91" s="2590">
        <v>6121</v>
      </c>
      <c r="C91" s="1281"/>
      <c r="D91" s="2309" t="s">
        <v>548</v>
      </c>
      <c r="E91" s="2293"/>
      <c r="F91" s="2293">
        <v>2178</v>
      </c>
      <c r="G91" s="2293">
        <v>2178</v>
      </c>
      <c r="H91" s="1282">
        <f t="shared" si="2"/>
        <v>100</v>
      </c>
      <c r="I91" s="2300"/>
      <c r="J91" s="2300"/>
      <c r="K91" s="2300"/>
      <c r="L91" s="2300"/>
      <c r="M91" s="2300"/>
      <c r="N91" s="2300"/>
      <c r="O91" s="2300"/>
      <c r="P91" s="2300"/>
      <c r="Q91" s="2300"/>
      <c r="R91" s="2300"/>
      <c r="S91" s="2300"/>
      <c r="T91" s="2300"/>
      <c r="U91" s="2300"/>
    </row>
    <row r="92" spans="1:21" s="2312" customFormat="1" ht="14.25" x14ac:dyDescent="0.2">
      <c r="A92" s="2591"/>
      <c r="B92" s="2590"/>
      <c r="C92" s="1281" t="s">
        <v>1951</v>
      </c>
      <c r="D92" s="1287" t="s">
        <v>645</v>
      </c>
      <c r="E92" s="2286"/>
      <c r="F92" s="1275">
        <v>2178</v>
      </c>
      <c r="G92" s="1274">
        <v>2178</v>
      </c>
      <c r="H92" s="1273">
        <f t="shared" si="2"/>
        <v>100</v>
      </c>
      <c r="I92" s="2300"/>
      <c r="J92" s="2300"/>
      <c r="K92" s="2300"/>
      <c r="L92" s="2300"/>
      <c r="M92" s="2300"/>
      <c r="N92" s="2300"/>
      <c r="O92" s="2300"/>
      <c r="P92" s="2300"/>
      <c r="Q92" s="2300"/>
      <c r="R92" s="2300"/>
      <c r="S92" s="2300"/>
      <c r="T92" s="2300"/>
      <c r="U92" s="2300"/>
    </row>
    <row r="93" spans="1:21" s="2312" customFormat="1" ht="15" x14ac:dyDescent="0.25">
      <c r="A93" s="2591">
        <v>3122</v>
      </c>
      <c r="B93" s="2590">
        <v>6121</v>
      </c>
      <c r="C93" s="1281"/>
      <c r="D93" s="2309" t="s">
        <v>548</v>
      </c>
      <c r="E93" s="2293"/>
      <c r="F93" s="2293">
        <v>13610</v>
      </c>
      <c r="G93" s="2293">
        <v>13110</v>
      </c>
      <c r="H93" s="1282">
        <f t="shared" si="2"/>
        <v>96.326230712711251</v>
      </c>
      <c r="I93" s="2300"/>
      <c r="J93" s="2300"/>
      <c r="K93" s="2300"/>
      <c r="L93" s="2300"/>
      <c r="M93" s="2300"/>
      <c r="N93" s="2300"/>
      <c r="O93" s="2300"/>
      <c r="P93" s="2300"/>
      <c r="Q93" s="2300"/>
      <c r="R93" s="2300"/>
      <c r="S93" s="2300"/>
      <c r="T93" s="2300"/>
      <c r="U93" s="2300"/>
    </row>
    <row r="94" spans="1:21" s="2312" customFormat="1" ht="14.25" x14ac:dyDescent="0.2">
      <c r="A94" s="2591"/>
      <c r="B94" s="2590"/>
      <c r="C94" s="1281" t="s">
        <v>1951</v>
      </c>
      <c r="D94" s="1287" t="s">
        <v>645</v>
      </c>
      <c r="E94" s="2286"/>
      <c r="F94" s="1275">
        <v>13610</v>
      </c>
      <c r="G94" s="1274">
        <v>13110</v>
      </c>
      <c r="H94" s="1273">
        <f t="shared" si="2"/>
        <v>96.326230712711251</v>
      </c>
      <c r="I94" s="2300"/>
      <c r="J94" s="2300"/>
      <c r="K94" s="2300"/>
      <c r="L94" s="2300"/>
      <c r="M94" s="2300"/>
      <c r="N94" s="2300"/>
      <c r="O94" s="2300"/>
      <c r="P94" s="2300"/>
      <c r="Q94" s="2300"/>
      <c r="R94" s="2300"/>
      <c r="S94" s="2300"/>
      <c r="T94" s="2300"/>
      <c r="U94" s="2300"/>
    </row>
    <row r="95" spans="1:21" s="2312" customFormat="1" ht="15" x14ac:dyDescent="0.25">
      <c r="A95" s="2591">
        <v>3123</v>
      </c>
      <c r="B95" s="2590">
        <v>6121</v>
      </c>
      <c r="C95" s="1281"/>
      <c r="D95" s="2309" t="s">
        <v>548</v>
      </c>
      <c r="E95" s="2293"/>
      <c r="F95" s="1284">
        <v>1287</v>
      </c>
      <c r="G95" s="1283">
        <v>1238</v>
      </c>
      <c r="H95" s="1282">
        <f t="shared" si="2"/>
        <v>96.192696192696189</v>
      </c>
      <c r="I95" s="2300"/>
      <c r="J95" s="2300"/>
      <c r="K95" s="2300"/>
      <c r="L95" s="2300"/>
      <c r="M95" s="2300"/>
      <c r="N95" s="2300"/>
      <c r="O95" s="2300"/>
      <c r="P95" s="2300"/>
      <c r="Q95" s="2300"/>
      <c r="R95" s="2300"/>
      <c r="S95" s="2300"/>
      <c r="T95" s="2300"/>
      <c r="U95" s="2300"/>
    </row>
    <row r="96" spans="1:21" s="2312" customFormat="1" ht="14.25" x14ac:dyDescent="0.2">
      <c r="A96" s="2591"/>
      <c r="B96" s="2590"/>
      <c r="C96" s="1281" t="s">
        <v>1951</v>
      </c>
      <c r="D96" s="1287" t="s">
        <v>645</v>
      </c>
      <c r="E96" s="2286"/>
      <c r="F96" s="1275">
        <v>1287</v>
      </c>
      <c r="G96" s="1274">
        <v>1238</v>
      </c>
      <c r="H96" s="1273">
        <f t="shared" si="2"/>
        <v>96.192696192696189</v>
      </c>
      <c r="I96" s="2300"/>
      <c r="J96" s="2300"/>
      <c r="K96" s="2300"/>
      <c r="L96" s="2300"/>
      <c r="M96" s="2300"/>
      <c r="N96" s="2300"/>
      <c r="O96" s="2300"/>
      <c r="P96" s="2300"/>
      <c r="Q96" s="2300"/>
      <c r="R96" s="2300"/>
      <c r="S96" s="2300"/>
      <c r="T96" s="2300"/>
      <c r="U96" s="2300"/>
    </row>
    <row r="97" spans="1:21" s="2312" customFormat="1" ht="15" x14ac:dyDescent="0.25">
      <c r="A97" s="2591">
        <v>3124</v>
      </c>
      <c r="B97" s="2590">
        <v>6121</v>
      </c>
      <c r="C97" s="1281"/>
      <c r="D97" s="2309" t="s">
        <v>548</v>
      </c>
      <c r="E97" s="2293"/>
      <c r="F97" s="1284">
        <v>1451</v>
      </c>
      <c r="G97" s="1283">
        <v>1451</v>
      </c>
      <c r="H97" s="1282">
        <f t="shared" si="2"/>
        <v>100</v>
      </c>
      <c r="I97" s="2300"/>
      <c r="J97" s="2300"/>
      <c r="K97" s="2300"/>
      <c r="L97" s="2300"/>
      <c r="M97" s="2300"/>
      <c r="N97" s="2300"/>
      <c r="O97" s="2300"/>
      <c r="P97" s="2300"/>
      <c r="Q97" s="2300"/>
      <c r="R97" s="2300"/>
      <c r="S97" s="2300"/>
      <c r="T97" s="2300"/>
      <c r="U97" s="2300"/>
    </row>
    <row r="98" spans="1:21" s="2312" customFormat="1" ht="14.25" x14ac:dyDescent="0.2">
      <c r="A98" s="2591"/>
      <c r="B98" s="2590"/>
      <c r="C98" s="1281" t="s">
        <v>1951</v>
      </c>
      <c r="D98" s="1287" t="s">
        <v>645</v>
      </c>
      <c r="E98" s="2286"/>
      <c r="F98" s="1275">
        <v>1451</v>
      </c>
      <c r="G98" s="1274">
        <v>1451</v>
      </c>
      <c r="H98" s="1273">
        <f t="shared" si="2"/>
        <v>100</v>
      </c>
      <c r="I98" s="2300"/>
      <c r="J98" s="2300"/>
      <c r="K98" s="2300"/>
      <c r="L98" s="2300"/>
      <c r="M98" s="2300"/>
      <c r="N98" s="2300"/>
      <c r="O98" s="2300"/>
      <c r="P98" s="2300"/>
      <c r="Q98" s="2300"/>
      <c r="R98" s="2300"/>
      <c r="S98" s="2300"/>
      <c r="T98" s="2300"/>
      <c r="U98" s="2300"/>
    </row>
    <row r="99" spans="1:21" s="2312" customFormat="1" ht="15" x14ac:dyDescent="0.25">
      <c r="A99" s="2591">
        <v>3314</v>
      </c>
      <c r="B99" s="2590">
        <v>6121</v>
      </c>
      <c r="C99" s="1281"/>
      <c r="D99" s="2309" t="s">
        <v>548</v>
      </c>
      <c r="E99" s="2293"/>
      <c r="F99" s="2293">
        <v>158</v>
      </c>
      <c r="G99" s="2293">
        <v>157</v>
      </c>
      <c r="H99" s="1282">
        <f t="shared" si="2"/>
        <v>99.367088607594937</v>
      </c>
      <c r="I99" s="2300"/>
      <c r="J99" s="2300"/>
      <c r="K99" s="2300"/>
      <c r="L99" s="2300"/>
      <c r="M99" s="2300"/>
      <c r="N99" s="2300"/>
      <c r="O99" s="2300"/>
      <c r="P99" s="2300"/>
      <c r="Q99" s="2300"/>
      <c r="R99" s="2300"/>
      <c r="S99" s="2300"/>
      <c r="T99" s="2300"/>
      <c r="U99" s="2300"/>
    </row>
    <row r="100" spans="1:21" s="2312" customFormat="1" ht="14.25" x14ac:dyDescent="0.2">
      <c r="A100" s="2591"/>
      <c r="B100" s="2590"/>
      <c r="C100" s="1281" t="s">
        <v>1908</v>
      </c>
      <c r="D100" s="1287" t="s">
        <v>804</v>
      </c>
      <c r="E100" s="2286"/>
      <c r="F100" s="1275">
        <v>158</v>
      </c>
      <c r="G100" s="1274">
        <v>157</v>
      </c>
      <c r="H100" s="1273">
        <f t="shared" si="2"/>
        <v>99.367088607594937</v>
      </c>
      <c r="I100" s="2300"/>
      <c r="J100" s="2300"/>
      <c r="K100" s="2300"/>
      <c r="L100" s="2300"/>
      <c r="M100" s="2300"/>
      <c r="N100" s="2300"/>
      <c r="O100" s="2300"/>
      <c r="P100" s="2300"/>
      <c r="Q100" s="2300"/>
      <c r="R100" s="2300"/>
      <c r="S100" s="2300"/>
      <c r="T100" s="2300"/>
      <c r="U100" s="2300"/>
    </row>
    <row r="101" spans="1:21" s="2312" customFormat="1" ht="15" x14ac:dyDescent="0.25">
      <c r="A101" s="2591">
        <v>3315</v>
      </c>
      <c r="B101" s="2590">
        <v>6121</v>
      </c>
      <c r="C101" s="1281"/>
      <c r="D101" s="2309" t="s">
        <v>548</v>
      </c>
      <c r="E101" s="2293">
        <v>4123</v>
      </c>
      <c r="F101" s="2293">
        <v>6694</v>
      </c>
      <c r="G101" s="2293">
        <v>6288</v>
      </c>
      <c r="H101" s="1282">
        <f t="shared" si="2"/>
        <v>93.934867045115027</v>
      </c>
      <c r="I101" s="2300"/>
      <c r="J101" s="2300"/>
      <c r="K101" s="2300"/>
      <c r="L101" s="2300"/>
      <c r="M101" s="2300"/>
      <c r="N101" s="2300"/>
      <c r="O101" s="2300"/>
      <c r="P101" s="2300"/>
      <c r="Q101" s="2300"/>
      <c r="R101" s="2300"/>
      <c r="S101" s="2300"/>
      <c r="T101" s="2300"/>
      <c r="U101" s="2300"/>
    </row>
    <row r="102" spans="1:21" s="2312" customFormat="1" ht="14.25" x14ac:dyDescent="0.2">
      <c r="A102" s="2591"/>
      <c r="B102" s="2590"/>
      <c r="C102" s="1281" t="s">
        <v>1908</v>
      </c>
      <c r="D102" s="1287" t="s">
        <v>804</v>
      </c>
      <c r="E102" s="2286">
        <v>4123</v>
      </c>
      <c r="F102" s="1275">
        <v>6694</v>
      </c>
      <c r="G102" s="1274">
        <v>6288</v>
      </c>
      <c r="H102" s="1273">
        <f t="shared" si="2"/>
        <v>93.934867045115027</v>
      </c>
      <c r="I102" s="2300"/>
      <c r="J102" s="2300"/>
      <c r="K102" s="2300"/>
      <c r="L102" s="2300"/>
      <c r="M102" s="2300"/>
      <c r="N102" s="2300"/>
      <c r="O102" s="2300"/>
      <c r="P102" s="2300"/>
      <c r="Q102" s="2300"/>
      <c r="R102" s="2300"/>
      <c r="S102" s="2300"/>
      <c r="T102" s="2300"/>
      <c r="U102" s="2300"/>
    </row>
    <row r="103" spans="1:21" s="2312" customFormat="1" ht="15" x14ac:dyDescent="0.25">
      <c r="A103" s="2591">
        <v>3522</v>
      </c>
      <c r="B103" s="2590">
        <v>6121</v>
      </c>
      <c r="C103" s="2595"/>
      <c r="D103" s="2309" t="s">
        <v>548</v>
      </c>
      <c r="E103" s="2293">
        <f>E104+E105</f>
        <v>43750</v>
      </c>
      <c r="F103" s="2293">
        <f>F104+F105</f>
        <v>39439</v>
      </c>
      <c r="G103" s="2293">
        <f>G104+G105</f>
        <v>38653</v>
      </c>
      <c r="H103" s="1282">
        <f t="shared" si="2"/>
        <v>98.007048860265229</v>
      </c>
      <c r="I103" s="2300"/>
      <c r="J103" s="2300"/>
      <c r="K103" s="2300"/>
      <c r="L103" s="2300"/>
      <c r="M103" s="2300"/>
      <c r="N103" s="2300"/>
      <c r="O103" s="2300"/>
      <c r="P103" s="2300"/>
      <c r="Q103" s="2300"/>
      <c r="R103" s="2300"/>
      <c r="S103" s="2300"/>
      <c r="T103" s="2300"/>
      <c r="U103" s="2300"/>
    </row>
    <row r="104" spans="1:21" s="2312" customFormat="1" ht="14.25" x14ac:dyDescent="0.2">
      <c r="A104" s="2591"/>
      <c r="B104" s="2590"/>
      <c r="C104" s="1281" t="s">
        <v>1931</v>
      </c>
      <c r="D104" s="1287" t="s">
        <v>704</v>
      </c>
      <c r="E104" s="2286"/>
      <c r="F104" s="1275">
        <v>5196</v>
      </c>
      <c r="G104" s="1274">
        <v>4410</v>
      </c>
      <c r="H104" s="1273">
        <f t="shared" si="2"/>
        <v>84.872979214780599</v>
      </c>
      <c r="I104" s="2300"/>
      <c r="J104" s="2300"/>
      <c r="K104" s="2300"/>
      <c r="L104" s="2300"/>
      <c r="M104" s="2300"/>
      <c r="N104" s="2300"/>
      <c r="O104" s="2300"/>
      <c r="P104" s="2300"/>
      <c r="Q104" s="2300"/>
      <c r="R104" s="2300"/>
      <c r="S104" s="2300"/>
      <c r="T104" s="2300"/>
      <c r="U104" s="2300"/>
    </row>
    <row r="105" spans="1:21" s="2312" customFormat="1" ht="14.25" x14ac:dyDescent="0.2">
      <c r="A105" s="2591"/>
      <c r="B105" s="2590"/>
      <c r="C105" s="1281" t="s">
        <v>1950</v>
      </c>
      <c r="D105" s="1287" t="s">
        <v>683</v>
      </c>
      <c r="E105" s="2286">
        <v>43750</v>
      </c>
      <c r="F105" s="1275">
        <v>34243</v>
      </c>
      <c r="G105" s="1274">
        <v>34243</v>
      </c>
      <c r="H105" s="1273">
        <f t="shared" si="2"/>
        <v>100</v>
      </c>
      <c r="I105" s="2300"/>
      <c r="J105" s="2300"/>
      <c r="K105" s="2300"/>
      <c r="L105" s="2300"/>
      <c r="M105" s="2300"/>
      <c r="N105" s="2300"/>
      <c r="O105" s="2300"/>
      <c r="P105" s="2300"/>
      <c r="Q105" s="2300"/>
      <c r="R105" s="2300"/>
      <c r="S105" s="2300"/>
      <c r="T105" s="2300"/>
      <c r="U105" s="2300"/>
    </row>
    <row r="106" spans="1:21" s="2312" customFormat="1" ht="15" x14ac:dyDescent="0.25">
      <c r="A106" s="2591">
        <v>3529</v>
      </c>
      <c r="B106" s="2590">
        <v>6121</v>
      </c>
      <c r="C106" s="1281"/>
      <c r="D106" s="2309" t="s">
        <v>548</v>
      </c>
      <c r="E106" s="2293">
        <v>8800</v>
      </c>
      <c r="F106" s="1284">
        <v>7111</v>
      </c>
      <c r="G106" s="1283">
        <v>7096</v>
      </c>
      <c r="H106" s="1282">
        <f t="shared" si="2"/>
        <v>99.789059204050062</v>
      </c>
      <c r="I106" s="2300"/>
      <c r="J106" s="2300"/>
      <c r="K106" s="2300"/>
      <c r="L106" s="2300"/>
      <c r="M106" s="2300"/>
      <c r="N106" s="2300"/>
      <c r="O106" s="2300"/>
      <c r="P106" s="2300"/>
      <c r="Q106" s="2300"/>
      <c r="R106" s="2300"/>
      <c r="S106" s="2300"/>
      <c r="T106" s="2300"/>
      <c r="U106" s="2300"/>
    </row>
    <row r="107" spans="1:21" s="2312" customFormat="1" ht="14.25" x14ac:dyDescent="0.2">
      <c r="A107" s="2591"/>
      <c r="B107" s="2590"/>
      <c r="C107" s="1281" t="s">
        <v>1931</v>
      </c>
      <c r="D107" s="1287" t="s">
        <v>704</v>
      </c>
      <c r="E107" s="2286">
        <v>8800</v>
      </c>
      <c r="F107" s="1275">
        <v>7111</v>
      </c>
      <c r="G107" s="1274">
        <v>7096</v>
      </c>
      <c r="H107" s="1273">
        <f t="shared" si="2"/>
        <v>99.789059204050062</v>
      </c>
      <c r="I107" s="2300"/>
      <c r="J107" s="2300"/>
      <c r="K107" s="2300"/>
      <c r="L107" s="2300"/>
      <c r="M107" s="2300"/>
      <c r="N107" s="2300"/>
      <c r="O107" s="2300"/>
      <c r="P107" s="2300"/>
      <c r="Q107" s="2300"/>
      <c r="R107" s="2300"/>
      <c r="S107" s="2300"/>
      <c r="T107" s="2300"/>
      <c r="U107" s="2300"/>
    </row>
    <row r="108" spans="1:21" s="2312" customFormat="1" ht="15" x14ac:dyDescent="0.25">
      <c r="A108" s="2591">
        <v>3533</v>
      </c>
      <c r="B108" s="2590">
        <v>6121</v>
      </c>
      <c r="C108" s="1281"/>
      <c r="D108" s="2309" t="s">
        <v>548</v>
      </c>
      <c r="E108" s="2293">
        <v>1323</v>
      </c>
      <c r="F108" s="2293">
        <v>1323</v>
      </c>
      <c r="G108" s="2293">
        <v>1157</v>
      </c>
      <c r="H108" s="2594">
        <f t="shared" si="2"/>
        <v>87.452758881330311</v>
      </c>
      <c r="I108" s="2300"/>
      <c r="J108" s="2300"/>
      <c r="K108" s="2300"/>
      <c r="L108" s="2300"/>
      <c r="M108" s="2300"/>
      <c r="N108" s="2300"/>
      <c r="O108" s="2300"/>
      <c r="P108" s="2300"/>
      <c r="Q108" s="2300"/>
      <c r="R108" s="2300"/>
      <c r="S108" s="2300"/>
      <c r="T108" s="2300"/>
      <c r="U108" s="2300"/>
    </row>
    <row r="109" spans="1:21" s="2312" customFormat="1" ht="14.25" x14ac:dyDescent="0.2">
      <c r="A109" s="2591"/>
      <c r="B109" s="2590"/>
      <c r="C109" s="1281" t="s">
        <v>1931</v>
      </c>
      <c r="D109" s="1287" t="s">
        <v>704</v>
      </c>
      <c r="E109" s="2286">
        <v>1323</v>
      </c>
      <c r="F109" s="1275">
        <v>1323</v>
      </c>
      <c r="G109" s="1274">
        <v>1157</v>
      </c>
      <c r="H109" s="1273">
        <f t="shared" si="2"/>
        <v>87.452758881330311</v>
      </c>
      <c r="I109" s="2300"/>
      <c r="J109" s="2300"/>
      <c r="K109" s="2300"/>
      <c r="L109" s="2300"/>
      <c r="M109" s="2300"/>
      <c r="N109" s="2300"/>
      <c r="O109" s="2300"/>
      <c r="P109" s="2300"/>
      <c r="Q109" s="2300"/>
      <c r="R109" s="2300"/>
      <c r="S109" s="2300"/>
      <c r="T109" s="2300"/>
      <c r="U109" s="2300"/>
    </row>
    <row r="110" spans="1:21" s="2312" customFormat="1" ht="15" x14ac:dyDescent="0.25">
      <c r="A110" s="2591">
        <v>3533</v>
      </c>
      <c r="B110" s="2590">
        <v>6123</v>
      </c>
      <c r="C110" s="1281"/>
      <c r="D110" s="2593" t="s">
        <v>1106</v>
      </c>
      <c r="E110" s="2286"/>
      <c r="F110" s="1284">
        <v>121</v>
      </c>
      <c r="G110" s="1283">
        <v>60</v>
      </c>
      <c r="H110" s="1282">
        <f t="shared" si="2"/>
        <v>49.586776859504134</v>
      </c>
      <c r="I110" s="2300"/>
      <c r="J110" s="2300"/>
      <c r="K110" s="2300"/>
      <c r="L110" s="2300"/>
      <c r="M110" s="2300"/>
      <c r="N110" s="2300"/>
      <c r="O110" s="2300"/>
      <c r="P110" s="2300"/>
      <c r="Q110" s="2300"/>
      <c r="R110" s="2300"/>
      <c r="S110" s="2300"/>
      <c r="T110" s="2300"/>
      <c r="U110" s="2300"/>
    </row>
    <row r="111" spans="1:21" s="2312" customFormat="1" ht="14.25" x14ac:dyDescent="0.2">
      <c r="A111" s="2591"/>
      <c r="B111" s="2590"/>
      <c r="C111" s="1281" t="s">
        <v>1931</v>
      </c>
      <c r="D111" s="1287" t="s">
        <v>704</v>
      </c>
      <c r="E111" s="2286"/>
      <c r="F111" s="1275">
        <v>121</v>
      </c>
      <c r="G111" s="1274">
        <v>60</v>
      </c>
      <c r="H111" s="1273">
        <f t="shared" si="2"/>
        <v>49.586776859504134</v>
      </c>
      <c r="I111" s="2300"/>
      <c r="J111" s="2300"/>
      <c r="K111" s="2300"/>
      <c r="L111" s="2300"/>
      <c r="M111" s="2300"/>
      <c r="N111" s="2300"/>
      <c r="O111" s="2300"/>
      <c r="P111" s="2300"/>
      <c r="Q111" s="2300"/>
      <c r="R111" s="2300"/>
      <c r="S111" s="2300"/>
      <c r="T111" s="2300"/>
      <c r="U111" s="2300"/>
    </row>
    <row r="112" spans="1:21" s="2312" customFormat="1" ht="15" x14ac:dyDescent="0.25">
      <c r="A112" s="2591">
        <v>4350</v>
      </c>
      <c r="B112" s="2590">
        <v>6121</v>
      </c>
      <c r="C112" s="1281"/>
      <c r="D112" s="2309" t="s">
        <v>548</v>
      </c>
      <c r="E112" s="2293">
        <v>18257</v>
      </c>
      <c r="F112" s="1284">
        <v>23187</v>
      </c>
      <c r="G112" s="1283">
        <v>22872</v>
      </c>
      <c r="H112" s="1282">
        <f t="shared" si="2"/>
        <v>98.641480139733474</v>
      </c>
      <c r="I112" s="2300"/>
      <c r="J112" s="2300"/>
      <c r="K112" s="2300"/>
      <c r="L112" s="2300"/>
      <c r="M112" s="2300"/>
      <c r="N112" s="2300"/>
      <c r="O112" s="2300"/>
      <c r="P112" s="2300"/>
      <c r="Q112" s="2300"/>
      <c r="R112" s="2300"/>
      <c r="S112" s="2300"/>
      <c r="T112" s="2300"/>
      <c r="U112" s="2300"/>
    </row>
    <row r="113" spans="1:21" s="2312" customFormat="1" ht="14.25" x14ac:dyDescent="0.2">
      <c r="A113" s="2591"/>
      <c r="B113" s="2590"/>
      <c r="C113" s="1281" t="s">
        <v>1949</v>
      </c>
      <c r="D113" s="1287" t="s">
        <v>645</v>
      </c>
      <c r="E113" s="2286">
        <v>18257</v>
      </c>
      <c r="F113" s="1275">
        <v>23187</v>
      </c>
      <c r="G113" s="1274">
        <v>22872</v>
      </c>
      <c r="H113" s="1273">
        <f t="shared" si="2"/>
        <v>98.641480139733474</v>
      </c>
      <c r="I113" s="2300"/>
      <c r="J113" s="2300"/>
      <c r="K113" s="2300"/>
      <c r="L113" s="2300"/>
      <c r="M113" s="2300"/>
      <c r="N113" s="2300"/>
      <c r="O113" s="2300"/>
      <c r="P113" s="2300"/>
      <c r="Q113" s="2300"/>
      <c r="R113" s="2300"/>
      <c r="S113" s="2300"/>
      <c r="T113" s="2300"/>
      <c r="U113" s="2300"/>
    </row>
    <row r="114" spans="1:21" s="2312" customFormat="1" ht="15" x14ac:dyDescent="0.25">
      <c r="A114" s="2591">
        <v>4350</v>
      </c>
      <c r="B114" s="2590">
        <v>6122</v>
      </c>
      <c r="C114" s="1281"/>
      <c r="D114" s="2309" t="s">
        <v>549</v>
      </c>
      <c r="E114" s="2286"/>
      <c r="F114" s="1284">
        <v>1453</v>
      </c>
      <c r="G114" s="1283">
        <v>1453</v>
      </c>
      <c r="H114" s="1282">
        <f t="shared" si="2"/>
        <v>100</v>
      </c>
      <c r="I114" s="2300"/>
      <c r="J114" s="2300"/>
      <c r="K114" s="2300"/>
      <c r="L114" s="2300"/>
      <c r="M114" s="2300"/>
      <c r="N114" s="2300"/>
      <c r="O114" s="2300"/>
      <c r="P114" s="2300"/>
      <c r="Q114" s="2300"/>
      <c r="R114" s="2300"/>
      <c r="S114" s="2300"/>
      <c r="T114" s="2300"/>
      <c r="U114" s="2300"/>
    </row>
    <row r="115" spans="1:21" s="2312" customFormat="1" ht="14.25" x14ac:dyDescent="0.2">
      <c r="A115" s="2591"/>
      <c r="B115" s="2590"/>
      <c r="C115" s="1281" t="s">
        <v>1949</v>
      </c>
      <c r="D115" s="1287" t="s">
        <v>645</v>
      </c>
      <c r="E115" s="2286"/>
      <c r="F115" s="1275">
        <v>1453</v>
      </c>
      <c r="G115" s="1274">
        <v>1453</v>
      </c>
      <c r="H115" s="1273">
        <f t="shared" si="2"/>
        <v>100</v>
      </c>
      <c r="I115" s="2300"/>
      <c r="J115" s="2300"/>
      <c r="K115" s="2300"/>
      <c r="L115" s="2300"/>
      <c r="M115" s="2300"/>
      <c r="N115" s="2300"/>
      <c r="O115" s="2300"/>
      <c r="P115" s="2300"/>
      <c r="Q115" s="2300"/>
      <c r="R115" s="2300"/>
      <c r="S115" s="2300"/>
      <c r="T115" s="2300"/>
      <c r="U115" s="2300"/>
    </row>
    <row r="116" spans="1:21" s="2312" customFormat="1" ht="15" x14ac:dyDescent="0.25">
      <c r="A116" s="2591">
        <v>4351</v>
      </c>
      <c r="B116" s="2590">
        <v>6121</v>
      </c>
      <c r="C116" s="1281"/>
      <c r="D116" s="2309" t="s">
        <v>548</v>
      </c>
      <c r="E116" s="2293"/>
      <c r="F116" s="2293">
        <v>1085</v>
      </c>
      <c r="G116" s="2293">
        <v>922</v>
      </c>
      <c r="H116" s="1282">
        <f t="shared" si="2"/>
        <v>84.976958525345623</v>
      </c>
      <c r="I116" s="2300"/>
      <c r="J116" s="2300"/>
      <c r="K116" s="2300"/>
      <c r="L116" s="2300"/>
      <c r="M116" s="2300"/>
      <c r="N116" s="2300"/>
      <c r="O116" s="2300"/>
      <c r="P116" s="2300"/>
      <c r="Q116" s="2300"/>
      <c r="R116" s="2300"/>
      <c r="S116" s="2300"/>
      <c r="T116" s="2300"/>
      <c r="U116" s="2300"/>
    </row>
    <row r="117" spans="1:21" s="2312" customFormat="1" ht="14.25" x14ac:dyDescent="0.2">
      <c r="A117" s="2591"/>
      <c r="B117" s="2590"/>
      <c r="C117" s="1281" t="s">
        <v>1949</v>
      </c>
      <c r="D117" s="1287" t="s">
        <v>645</v>
      </c>
      <c r="E117" s="2286"/>
      <c r="F117" s="2592">
        <v>1085</v>
      </c>
      <c r="G117" s="2286">
        <v>922</v>
      </c>
      <c r="H117" s="1273">
        <f t="shared" si="2"/>
        <v>84.976958525345623</v>
      </c>
      <c r="I117" s="2300"/>
      <c r="J117" s="2300"/>
      <c r="K117" s="2300"/>
      <c r="L117" s="2300"/>
      <c r="M117" s="2300"/>
      <c r="N117" s="2300"/>
      <c r="O117" s="2300"/>
      <c r="P117" s="2300"/>
      <c r="Q117" s="2300"/>
      <c r="R117" s="2300"/>
      <c r="S117" s="2300"/>
      <c r="T117" s="2300"/>
      <c r="U117" s="2300"/>
    </row>
    <row r="118" spans="1:21" s="2312" customFormat="1" ht="15" x14ac:dyDescent="0.25">
      <c r="A118" s="2591">
        <v>4357</v>
      </c>
      <c r="B118" s="2590">
        <v>6121</v>
      </c>
      <c r="C118" s="1281"/>
      <c r="D118" s="2309" t="s">
        <v>548</v>
      </c>
      <c r="E118" s="2293">
        <v>1644</v>
      </c>
      <c r="F118" s="1283">
        <v>881</v>
      </c>
      <c r="G118" s="1283">
        <v>881</v>
      </c>
      <c r="H118" s="1282">
        <f t="shared" si="2"/>
        <v>100</v>
      </c>
      <c r="I118" s="2300"/>
      <c r="J118" s="2300"/>
      <c r="K118" s="2300"/>
      <c r="L118" s="2300"/>
      <c r="M118" s="2300"/>
      <c r="N118" s="2300"/>
      <c r="O118" s="2300"/>
      <c r="P118" s="2300"/>
      <c r="Q118" s="2300"/>
      <c r="R118" s="2300"/>
      <c r="S118" s="2300"/>
      <c r="T118" s="2300"/>
      <c r="U118" s="2300"/>
    </row>
    <row r="119" spans="1:21" s="2312" customFormat="1" ht="14.25" x14ac:dyDescent="0.2">
      <c r="A119" s="2591"/>
      <c r="B119" s="2590"/>
      <c r="C119" s="1281" t="s">
        <v>1949</v>
      </c>
      <c r="D119" s="1287" t="s">
        <v>645</v>
      </c>
      <c r="E119" s="2286">
        <v>1644</v>
      </c>
      <c r="F119" s="1275">
        <v>881</v>
      </c>
      <c r="G119" s="1274">
        <v>881</v>
      </c>
      <c r="H119" s="1273">
        <f t="shared" si="2"/>
        <v>100</v>
      </c>
      <c r="I119" s="2300"/>
      <c r="J119" s="2300"/>
      <c r="K119" s="2300"/>
      <c r="L119" s="2300"/>
      <c r="M119" s="2300"/>
      <c r="N119" s="2300"/>
      <c r="O119" s="2300"/>
      <c r="P119" s="2300"/>
      <c r="Q119" s="2300"/>
      <c r="R119" s="2300"/>
      <c r="S119" s="2300"/>
      <c r="T119" s="2300"/>
      <c r="U119" s="2300"/>
    </row>
    <row r="120" spans="1:21" s="2312" customFormat="1" ht="15" x14ac:dyDescent="0.25">
      <c r="A120" s="2591">
        <v>4358</v>
      </c>
      <c r="B120" s="2590">
        <v>6121</v>
      </c>
      <c r="C120" s="1281"/>
      <c r="D120" s="2309" t="s">
        <v>548</v>
      </c>
      <c r="E120" s="2286"/>
      <c r="F120" s="1283">
        <v>2371</v>
      </c>
      <c r="G120" s="1283">
        <v>2286</v>
      </c>
      <c r="H120" s="1282">
        <f t="shared" si="2"/>
        <v>96.415014761703915</v>
      </c>
      <c r="I120" s="2300"/>
      <c r="J120" s="2300"/>
      <c r="K120" s="2300"/>
      <c r="L120" s="2300"/>
      <c r="M120" s="2300"/>
      <c r="N120" s="2300"/>
      <c r="O120" s="2300"/>
      <c r="P120" s="2300"/>
      <c r="Q120" s="2300"/>
      <c r="R120" s="2300"/>
      <c r="S120" s="2300"/>
      <c r="T120" s="2300"/>
      <c r="U120" s="2300"/>
    </row>
    <row r="121" spans="1:21" s="2312" customFormat="1" ht="14.25" x14ac:dyDescent="0.2">
      <c r="A121" s="2591"/>
      <c r="B121" s="2590"/>
      <c r="C121" s="1281" t="s">
        <v>1949</v>
      </c>
      <c r="D121" s="1287" t="s">
        <v>645</v>
      </c>
      <c r="E121" s="2286"/>
      <c r="F121" s="1275">
        <v>2371</v>
      </c>
      <c r="G121" s="1274">
        <v>2286</v>
      </c>
      <c r="H121" s="1273">
        <f t="shared" si="2"/>
        <v>96.415014761703915</v>
      </c>
      <c r="I121" s="2300"/>
      <c r="J121" s="2300"/>
      <c r="K121" s="2300"/>
      <c r="L121" s="2300"/>
      <c r="M121" s="2300"/>
      <c r="N121" s="2300"/>
      <c r="O121" s="2300"/>
      <c r="P121" s="2300"/>
      <c r="Q121" s="2300"/>
      <c r="R121" s="2300"/>
      <c r="S121" s="2300"/>
      <c r="T121" s="2300"/>
      <c r="U121" s="2300"/>
    </row>
    <row r="122" spans="1:21" s="2312" customFormat="1" ht="15" x14ac:dyDescent="0.25">
      <c r="A122" s="2591">
        <v>6172</v>
      </c>
      <c r="B122" s="2590">
        <v>6121</v>
      </c>
      <c r="C122" s="1281"/>
      <c r="D122" s="2309" t="s">
        <v>548</v>
      </c>
      <c r="E122" s="2293">
        <v>500</v>
      </c>
      <c r="F122" s="1283">
        <v>500</v>
      </c>
      <c r="G122" s="1283">
        <v>0</v>
      </c>
      <c r="H122" s="1282">
        <f t="shared" si="2"/>
        <v>0</v>
      </c>
      <c r="I122" s="2300"/>
      <c r="J122" s="2300"/>
      <c r="K122" s="2589"/>
      <c r="L122" s="2589"/>
      <c r="M122" s="2589"/>
      <c r="N122" s="2300"/>
      <c r="O122" s="2300"/>
      <c r="P122" s="2300"/>
      <c r="Q122" s="2300"/>
      <c r="R122" s="2300"/>
      <c r="S122" s="2300"/>
      <c r="T122" s="2300"/>
      <c r="U122" s="2300"/>
    </row>
    <row r="123" spans="1:21" s="2312" customFormat="1" ht="15" thickBot="1" x14ac:dyDescent="0.25">
      <c r="A123" s="2591"/>
      <c r="B123" s="2590"/>
      <c r="C123" s="1281" t="s">
        <v>1948</v>
      </c>
      <c r="D123" s="2300" t="s">
        <v>1309</v>
      </c>
      <c r="E123" s="2286">
        <v>500</v>
      </c>
      <c r="F123" s="1275">
        <v>500</v>
      </c>
      <c r="G123" s="1274">
        <v>0</v>
      </c>
      <c r="H123" s="1273">
        <f t="shared" si="2"/>
        <v>0</v>
      </c>
      <c r="I123" s="2300"/>
      <c r="J123" s="2300"/>
      <c r="K123" s="2589"/>
      <c r="L123" s="2589"/>
      <c r="M123" s="2589"/>
      <c r="N123" s="2300"/>
      <c r="O123" s="2300"/>
      <c r="P123" s="2300"/>
      <c r="Q123" s="2300"/>
      <c r="R123" s="2300"/>
      <c r="S123" s="2300"/>
      <c r="T123" s="2300"/>
      <c r="U123" s="2300"/>
    </row>
    <row r="124" spans="1:21" s="1266" customFormat="1" ht="23.25" customHeight="1" thickTop="1" thickBot="1" x14ac:dyDescent="0.35">
      <c r="A124" s="1272" t="s">
        <v>224</v>
      </c>
      <c r="B124" s="2588"/>
      <c r="C124" s="2587"/>
      <c r="D124" s="2586"/>
      <c r="E124" s="1268">
        <f>E80+E83+E101+E103+E106+E108+E112+E118+E122</f>
        <v>104173</v>
      </c>
      <c r="F124" s="1268">
        <f>F80+F83+F85+F87+F89+F91+F93+F95+F97+F99+F101+F103+F106+F108+F110+F112+F114+F116+F118+F120+F122</f>
        <v>236646</v>
      </c>
      <c r="G124" s="1268">
        <f>G80+G83+G85+G87+G89+G91+G93+G95+G97+G99+G101+G103+G106+G108+G110+G112+G114+G116+G118+G120+G122</f>
        <v>229923</v>
      </c>
      <c r="H124" s="2390">
        <f>G124/F124*100</f>
        <v>97.159047691488553</v>
      </c>
      <c r="J124" s="2585">
        <v>104173000</v>
      </c>
      <c r="K124" s="2585">
        <v>236645987.74000001</v>
      </c>
      <c r="L124" s="2523">
        <v>229923142.38999999</v>
      </c>
      <c r="M124" s="2584"/>
      <c r="N124" s="2583"/>
    </row>
    <row r="125" spans="1:21" ht="15.75" thickTop="1" x14ac:dyDescent="0.25">
      <c r="A125" s="2576"/>
      <c r="B125" s="2576"/>
      <c r="C125" s="2575"/>
      <c r="D125" s="2167"/>
      <c r="E125" s="2582"/>
      <c r="F125" s="2581"/>
      <c r="G125" s="2581"/>
      <c r="H125" s="2573"/>
      <c r="K125" s="1254"/>
      <c r="L125" s="1254"/>
      <c r="M125" s="1254"/>
    </row>
    <row r="126" spans="1:21" ht="15" customHeight="1" x14ac:dyDescent="0.25">
      <c r="A126" s="3183" t="s">
        <v>1947</v>
      </c>
      <c r="B126" s="3184"/>
      <c r="C126" s="3184"/>
      <c r="D126" s="3184"/>
      <c r="E126" s="2580">
        <f>E128+E129+E130+E131</f>
        <v>122940</v>
      </c>
      <c r="F126" s="2580">
        <f>F128+F129+F130+F131</f>
        <v>278676</v>
      </c>
      <c r="G126" s="2580">
        <f>G128+G129+G130+G131</f>
        <v>268805</v>
      </c>
      <c r="H126" s="2579">
        <f>G126/F126*100</f>
        <v>96.457893754754622</v>
      </c>
      <c r="I126" s="1249"/>
      <c r="J126" s="2132">
        <f>J128+J129+J130+J131</f>
        <v>122940000</v>
      </c>
      <c r="K126" s="2132">
        <f>K128+K129+K130+K131</f>
        <v>278676043.86000001</v>
      </c>
      <c r="L126" s="2132">
        <f>L128+L129+L130+L131</f>
        <v>268805503.31999999</v>
      </c>
    </row>
    <row r="127" spans="1:21" ht="15" customHeight="1" x14ac:dyDescent="0.25">
      <c r="A127" s="3184"/>
      <c r="B127" s="3184"/>
      <c r="C127" s="3184"/>
      <c r="D127" s="3184"/>
      <c r="E127" s="2580"/>
      <c r="F127" s="2580"/>
      <c r="G127" s="2580"/>
      <c r="H127" s="2579"/>
      <c r="I127" s="1249"/>
      <c r="J127" s="1249"/>
    </row>
    <row r="128" spans="1:21" ht="15" x14ac:dyDescent="0.2">
      <c r="A128" s="1263" t="s">
        <v>242</v>
      </c>
      <c r="B128" s="1265"/>
      <c r="C128" s="1261"/>
      <c r="D128" s="1261"/>
      <c r="E128" s="1260">
        <f>E53</f>
        <v>18767</v>
      </c>
      <c r="F128" s="1260">
        <f>F53-F130</f>
        <v>42030</v>
      </c>
      <c r="G128" s="1260">
        <f>G53-G130</f>
        <v>38882</v>
      </c>
      <c r="H128" s="2577">
        <f>G128/F128*100</f>
        <v>92.510111824886991</v>
      </c>
      <c r="I128" s="1249"/>
      <c r="J128" s="1533">
        <f>J53</f>
        <v>18767000</v>
      </c>
      <c r="K128" s="1533">
        <f>K53</f>
        <v>42030056.119999997</v>
      </c>
      <c r="L128" s="1533">
        <f>L53</f>
        <v>38882360.93</v>
      </c>
    </row>
    <row r="129" spans="1:12" ht="15" x14ac:dyDescent="0.2">
      <c r="A129" s="1263" t="s">
        <v>243</v>
      </c>
      <c r="B129" s="1262"/>
      <c r="C129" s="1261"/>
      <c r="D129" s="1261"/>
      <c r="E129" s="2578">
        <f>E124</f>
        <v>104173</v>
      </c>
      <c r="F129" s="2578">
        <f>F124-F131</f>
        <v>146032</v>
      </c>
      <c r="G129" s="2578">
        <f>G124-G131</f>
        <v>139309</v>
      </c>
      <c r="H129" s="2577">
        <f>G129/F129*100</f>
        <v>95.39621452832256</v>
      </c>
      <c r="I129" s="1249"/>
      <c r="J129" s="1533">
        <f>J124</f>
        <v>104173000</v>
      </c>
      <c r="K129" s="1533">
        <f>K124-K131</f>
        <v>146031897.38</v>
      </c>
      <c r="L129" s="1533">
        <f>L124-L131</f>
        <v>139309052.02999997</v>
      </c>
    </row>
    <row r="130" spans="1:12" ht="15" x14ac:dyDescent="0.2">
      <c r="A130" s="1263" t="s">
        <v>191</v>
      </c>
      <c r="B130" s="1262"/>
      <c r="C130" s="1261"/>
      <c r="D130" s="1261"/>
      <c r="E130" s="1260">
        <v>0</v>
      </c>
      <c r="F130" s="1264">
        <v>0</v>
      </c>
      <c r="G130" s="1264">
        <v>0</v>
      </c>
      <c r="H130" s="2577">
        <v>0</v>
      </c>
      <c r="I130" s="1249"/>
      <c r="J130" s="1533">
        <v>0</v>
      </c>
      <c r="K130" s="1533">
        <v>0</v>
      </c>
      <c r="L130" s="1533">
        <v>0</v>
      </c>
    </row>
    <row r="131" spans="1:12" ht="15" x14ac:dyDescent="0.2">
      <c r="A131" s="1263" t="s">
        <v>1034</v>
      </c>
      <c r="B131" s="1262"/>
      <c r="C131" s="1261"/>
      <c r="D131" s="1261"/>
      <c r="E131" s="1260">
        <f>E82</f>
        <v>0</v>
      </c>
      <c r="F131" s="1260">
        <f>F82</f>
        <v>90614</v>
      </c>
      <c r="G131" s="1260">
        <f>G82</f>
        <v>90614</v>
      </c>
      <c r="H131" s="2577">
        <f>G131/F131*100</f>
        <v>100</v>
      </c>
      <c r="I131" s="1249"/>
      <c r="J131" s="1533">
        <v>0</v>
      </c>
      <c r="K131" s="1533">
        <v>90614090.359999999</v>
      </c>
      <c r="L131" s="1533">
        <v>90614090.359999999</v>
      </c>
    </row>
    <row r="132" spans="1:12" ht="15" x14ac:dyDescent="0.25">
      <c r="A132" s="2576"/>
      <c r="B132" s="2576"/>
      <c r="C132" s="2575"/>
      <c r="D132" s="2167"/>
      <c r="E132" s="2574"/>
      <c r="F132" s="1275"/>
      <c r="G132" s="1275"/>
      <c r="H132" s="2573"/>
      <c r="J132" s="1533"/>
      <c r="K132" s="1533"/>
      <c r="L132" s="1533"/>
    </row>
    <row r="133" spans="1:12" ht="18" x14ac:dyDescent="0.25">
      <c r="A133" s="2572"/>
      <c r="B133" s="2572"/>
      <c r="C133" s="2571"/>
      <c r="D133" s="2570"/>
      <c r="E133" s="2569"/>
      <c r="F133" s="2568"/>
      <c r="G133" s="2567"/>
      <c r="H133" s="2566"/>
      <c r="J133" s="1533"/>
      <c r="K133" s="1533"/>
      <c r="L133" s="1533"/>
    </row>
    <row r="134" spans="1:12" s="2561" customFormat="1" ht="46.5" customHeight="1" thickBot="1" x14ac:dyDescent="0.4">
      <c r="A134" s="3181" t="s">
        <v>1946</v>
      </c>
      <c r="B134" s="3182"/>
      <c r="C134" s="3182"/>
      <c r="D134" s="3182"/>
      <c r="E134" s="2565">
        <f>E53+E124</f>
        <v>122940</v>
      </c>
      <c r="F134" s="2565">
        <f>F53+F124</f>
        <v>278676</v>
      </c>
      <c r="G134" s="2565">
        <f>G53+G124</f>
        <v>268805</v>
      </c>
      <c r="H134" s="2564">
        <f>(G134/F134)*100</f>
        <v>96.457893754754622</v>
      </c>
      <c r="I134" s="2563"/>
      <c r="J134" s="2562"/>
      <c r="K134" s="2562"/>
      <c r="L134" s="2562"/>
    </row>
    <row r="135" spans="1:12" ht="13.5" thickTop="1" x14ac:dyDescent="0.2"/>
    <row r="136" spans="1:12" x14ac:dyDescent="0.2">
      <c r="A136" s="3179"/>
      <c r="B136" s="3180"/>
      <c r="C136" s="3180"/>
      <c r="D136" s="3180"/>
      <c r="E136" s="3180"/>
      <c r="F136" s="3180"/>
      <c r="G136" s="3180"/>
      <c r="H136" s="3180"/>
      <c r="I136" s="2560"/>
    </row>
    <row r="137" spans="1:12" x14ac:dyDescent="0.2">
      <c r="A137" s="3180"/>
      <c r="B137" s="3180"/>
      <c r="C137" s="3180"/>
      <c r="D137" s="3180"/>
      <c r="E137" s="3180"/>
      <c r="F137" s="3180"/>
      <c r="G137" s="3180"/>
      <c r="H137" s="3180"/>
      <c r="I137" s="2560"/>
    </row>
  </sheetData>
  <mergeCells count="4">
    <mergeCell ref="A136:H137"/>
    <mergeCell ref="A134:D134"/>
    <mergeCell ref="A126:D127"/>
    <mergeCell ref="D51:D52"/>
  </mergeCells>
  <pageMargins left="0.98425196850393704" right="0.98425196850393704" top="0.98425196850393704" bottom="0.98425196850393704" header="0.51181102362204722" footer="0.51181102362204722"/>
  <pageSetup paperSize="9" scale="70" firstPageNumber="108" orientation="portrait" useFirstPageNumber="1" r:id="rId1"/>
  <headerFooter alignWithMargins="0">
    <oddHeader>&amp;L&amp;"Arial,Kurzíva"Rada Olomouckého kraje 2. 6. 2016
2.1. - Rozpočet Olomouckého kraje 2015 - závěrečný účet
Příloha č. 3: Plnění rozpočtu výdajů Olomouckého kraje k 31.12.2015&amp;R&amp;"Arial,Kurzíva"Strana &amp;P (Celkem 473)</oddHead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colBreaks count="1" manualBreakCount="1">
    <brk id="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50"/>
  <sheetViews>
    <sheetView showGridLines="0" view="pageBreakPreview" zoomScaleNormal="100" zoomScaleSheetLayoutView="100" workbookViewId="0">
      <selection activeCell="B1" sqref="B1"/>
    </sheetView>
  </sheetViews>
  <sheetFormatPr defaultColWidth="9.140625" defaultRowHeight="12.75" x14ac:dyDescent="0.2"/>
  <cols>
    <col min="1" max="1" width="5.7109375" style="1249" customWidth="1"/>
    <col min="2" max="2" width="5.5703125" style="1249" customWidth="1"/>
    <col min="3" max="3" width="9.28515625" style="1249" customWidth="1"/>
    <col min="4" max="4" width="47.42578125" style="1249" customWidth="1"/>
    <col min="5" max="5" width="13.85546875" style="1249" customWidth="1"/>
    <col min="6" max="6" width="12.7109375" style="1249" customWidth="1"/>
    <col min="7" max="7" width="12.140625" style="1249" customWidth="1"/>
    <col min="8" max="8" width="9.140625" style="2203" customWidth="1"/>
    <col min="9" max="9" width="9.140625" style="1249"/>
    <col min="10" max="10" width="13" style="1249" customWidth="1"/>
    <col min="11" max="11" width="13.28515625" style="1249" customWidth="1"/>
    <col min="12" max="12" width="12.28515625" style="1249" customWidth="1"/>
    <col min="13" max="16384" width="9.140625" style="1249"/>
  </cols>
  <sheetData>
    <row r="1" spans="1:9" ht="21.75" customHeight="1" thickBot="1" x14ac:dyDescent="0.3">
      <c r="A1" s="1342" t="s">
        <v>1438</v>
      </c>
      <c r="B1" s="1341"/>
      <c r="C1" s="1341"/>
      <c r="D1" s="1340"/>
      <c r="E1" s="1339"/>
      <c r="F1" s="1338" t="s">
        <v>1439</v>
      </c>
      <c r="G1" s="1254"/>
      <c r="I1" s="1307"/>
    </row>
    <row r="2" spans="1:9" ht="12.75" customHeight="1" x14ac:dyDescent="0.25">
      <c r="A2" s="1335"/>
      <c r="B2" s="1311"/>
      <c r="C2" s="1311"/>
      <c r="D2" s="1334"/>
      <c r="E2" s="1308"/>
      <c r="F2" s="1308"/>
      <c r="G2" s="2102"/>
      <c r="H2" s="2384"/>
      <c r="I2" s="1307"/>
    </row>
    <row r="3" spans="1:9" ht="12.75" customHeight="1" x14ac:dyDescent="0.25">
      <c r="A3" s="1337" t="s">
        <v>336</v>
      </c>
      <c r="B3" s="1311"/>
      <c r="C3" s="2141" t="s">
        <v>1884</v>
      </c>
      <c r="D3" s="1336"/>
      <c r="E3" s="1308"/>
      <c r="F3" s="2102"/>
      <c r="G3" s="1307"/>
      <c r="H3" s="2384"/>
    </row>
    <row r="4" spans="1:9" ht="16.5" customHeight="1" x14ac:dyDescent="0.25">
      <c r="A4" s="1335"/>
      <c r="B4" s="1311"/>
      <c r="C4" s="2141" t="s">
        <v>335</v>
      </c>
      <c r="D4" s="1254"/>
      <c r="E4" s="1308"/>
      <c r="F4" s="2102"/>
      <c r="G4" s="1307"/>
      <c r="H4" s="2384"/>
    </row>
    <row r="5" spans="1:9" ht="12.75" customHeight="1" x14ac:dyDescent="0.25">
      <c r="A5" s="1335"/>
      <c r="B5" s="1311"/>
      <c r="C5" s="1311"/>
      <c r="D5" s="1334"/>
      <c r="E5" s="1308"/>
      <c r="F5" s="1308"/>
      <c r="G5" s="2102"/>
      <c r="H5" s="2384"/>
      <c r="I5" s="1307"/>
    </row>
    <row r="6" spans="1:9" ht="18" x14ac:dyDescent="0.25">
      <c r="A6" s="1312" t="s">
        <v>799</v>
      </c>
      <c r="B6" s="1311"/>
      <c r="C6" s="1311"/>
      <c r="D6" s="1334"/>
      <c r="E6" s="1308"/>
      <c r="F6" s="1308"/>
      <c r="G6" s="2102"/>
      <c r="H6" s="2384"/>
      <c r="I6" s="1307"/>
    </row>
    <row r="7" spans="1:9" ht="13.5" thickBot="1" x14ac:dyDescent="0.25">
      <c r="A7" s="1305"/>
      <c r="B7" s="1305"/>
      <c r="C7" s="1305"/>
      <c r="D7" s="1325"/>
      <c r="E7" s="1254"/>
      <c r="F7" s="1254"/>
      <c r="G7" s="1303"/>
      <c r="H7" s="2465" t="s">
        <v>148</v>
      </c>
    </row>
    <row r="8" spans="1:9" s="1298" customFormat="1" ht="20.25" customHeight="1" thickTop="1" thickBot="1" x14ac:dyDescent="0.25">
      <c r="A8" s="1302" t="s">
        <v>149</v>
      </c>
      <c r="B8" s="1301" t="s">
        <v>150</v>
      </c>
      <c r="C8" s="2557" t="s">
        <v>639</v>
      </c>
      <c r="D8" s="1324" t="s">
        <v>151</v>
      </c>
      <c r="E8" s="1324" t="s">
        <v>569</v>
      </c>
      <c r="F8" s="1324" t="s">
        <v>570</v>
      </c>
      <c r="G8" s="2198" t="s">
        <v>797</v>
      </c>
      <c r="H8" s="2238" t="s">
        <v>798</v>
      </c>
    </row>
    <row r="9" spans="1:9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6">
        <v>5</v>
      </c>
      <c r="F9" s="1295">
        <v>6</v>
      </c>
      <c r="G9" s="1295">
        <v>7</v>
      </c>
      <c r="H9" s="1294" t="s">
        <v>54</v>
      </c>
      <c r="I9" s="1298"/>
    </row>
    <row r="10" spans="1:9" s="1292" customFormat="1" ht="15.75" thickTop="1" x14ac:dyDescent="0.25">
      <c r="A10" s="2288">
        <v>2143</v>
      </c>
      <c r="B10" s="2287">
        <v>5139</v>
      </c>
      <c r="C10" s="1281"/>
      <c r="D10" s="2309" t="s">
        <v>692</v>
      </c>
      <c r="E10" s="2293">
        <v>100</v>
      </c>
      <c r="F10" s="1283">
        <v>490</v>
      </c>
      <c r="G10" s="1283">
        <v>472</v>
      </c>
      <c r="H10" s="1282">
        <f t="shared" ref="H10:H18" si="0">(G10/F10)*100</f>
        <v>96.326530612244895</v>
      </c>
      <c r="I10" s="1298"/>
    </row>
    <row r="11" spans="1:9" s="1292" customFormat="1" ht="14.25" x14ac:dyDescent="0.2">
      <c r="A11" s="2288"/>
      <c r="B11" s="2287"/>
      <c r="C11" s="1281" t="s">
        <v>1956</v>
      </c>
      <c r="D11" s="1287" t="s">
        <v>1302</v>
      </c>
      <c r="E11" s="2286">
        <v>100</v>
      </c>
      <c r="F11" s="1275">
        <v>490</v>
      </c>
      <c r="G11" s="1274">
        <v>472</v>
      </c>
      <c r="H11" s="1273">
        <f t="shared" si="0"/>
        <v>96.326530612244895</v>
      </c>
      <c r="I11" s="1298"/>
    </row>
    <row r="12" spans="1:9" s="1292" customFormat="1" ht="15" x14ac:dyDescent="0.25">
      <c r="A12" s="2288">
        <v>2143</v>
      </c>
      <c r="B12" s="2287">
        <v>5162</v>
      </c>
      <c r="C12" s="1281"/>
      <c r="D12" s="2309" t="s">
        <v>780</v>
      </c>
      <c r="E12" s="2286"/>
      <c r="F12" s="1284">
        <v>8</v>
      </c>
      <c r="G12" s="1283">
        <v>8</v>
      </c>
      <c r="H12" s="1282">
        <f t="shared" si="0"/>
        <v>100</v>
      </c>
      <c r="I12" s="1298"/>
    </row>
    <row r="13" spans="1:9" s="1292" customFormat="1" ht="14.25" x14ac:dyDescent="0.2">
      <c r="A13" s="2288"/>
      <c r="B13" s="2287"/>
      <c r="C13" s="1281" t="s">
        <v>1760</v>
      </c>
      <c r="D13" s="2300" t="s">
        <v>1127</v>
      </c>
      <c r="E13" s="2286"/>
      <c r="F13" s="1275">
        <v>8</v>
      </c>
      <c r="G13" s="1274">
        <v>8</v>
      </c>
      <c r="H13" s="1273">
        <f t="shared" si="0"/>
        <v>100</v>
      </c>
      <c r="I13" s="1298"/>
    </row>
    <row r="14" spans="1:9" s="1292" customFormat="1" ht="15" x14ac:dyDescent="0.25">
      <c r="A14" s="2288">
        <v>2143</v>
      </c>
      <c r="B14" s="2287">
        <v>5164</v>
      </c>
      <c r="C14" s="1281"/>
      <c r="D14" s="2617" t="s">
        <v>157</v>
      </c>
      <c r="E14" s="2293"/>
      <c r="F14" s="1283">
        <f>F15+F16</f>
        <v>247</v>
      </c>
      <c r="G14" s="1283">
        <f>G15+G16</f>
        <v>244</v>
      </c>
      <c r="H14" s="1282">
        <f t="shared" si="0"/>
        <v>98.785425101214571</v>
      </c>
      <c r="I14" s="1298"/>
    </row>
    <row r="15" spans="1:9" s="1292" customFormat="1" ht="14.25" x14ac:dyDescent="0.2">
      <c r="A15" s="2288"/>
      <c r="B15" s="2287"/>
      <c r="C15" s="1281" t="s">
        <v>1760</v>
      </c>
      <c r="D15" s="2300" t="s">
        <v>1127</v>
      </c>
      <c r="E15" s="2286"/>
      <c r="F15" s="1275">
        <v>13</v>
      </c>
      <c r="G15" s="1274">
        <v>10</v>
      </c>
      <c r="H15" s="1273">
        <f t="shared" si="0"/>
        <v>76.923076923076934</v>
      </c>
      <c r="I15" s="1298"/>
    </row>
    <row r="16" spans="1:9" s="1292" customFormat="1" ht="14.25" x14ac:dyDescent="0.2">
      <c r="A16" s="2288"/>
      <c r="B16" s="2287"/>
      <c r="C16" s="1281" t="s">
        <v>1956</v>
      </c>
      <c r="D16" s="1287" t="s">
        <v>1302</v>
      </c>
      <c r="E16" s="2286"/>
      <c r="F16" s="1275">
        <v>234</v>
      </c>
      <c r="G16" s="1274">
        <v>234</v>
      </c>
      <c r="H16" s="1273">
        <f t="shared" si="0"/>
        <v>100</v>
      </c>
      <c r="I16" s="1298"/>
    </row>
    <row r="17" spans="1:9" s="1292" customFormat="1" ht="15" x14ac:dyDescent="0.25">
      <c r="A17" s="2288">
        <v>2143</v>
      </c>
      <c r="B17" s="2287">
        <v>5166</v>
      </c>
      <c r="C17" s="1281"/>
      <c r="D17" s="2617" t="s">
        <v>607</v>
      </c>
      <c r="E17" s="2293">
        <v>86</v>
      </c>
      <c r="F17" s="1284">
        <v>233</v>
      </c>
      <c r="G17" s="1283">
        <v>228</v>
      </c>
      <c r="H17" s="1282">
        <f t="shared" si="0"/>
        <v>97.85407725321889</v>
      </c>
      <c r="I17" s="1298"/>
    </row>
    <row r="18" spans="1:9" s="1292" customFormat="1" ht="14.25" x14ac:dyDescent="0.2">
      <c r="A18" s="2288"/>
      <c r="B18" s="2287"/>
      <c r="C18" s="1281" t="s">
        <v>1956</v>
      </c>
      <c r="D18" s="1287" t="s">
        <v>1302</v>
      </c>
      <c r="E18" s="2286">
        <v>86</v>
      </c>
      <c r="F18" s="1275">
        <v>233</v>
      </c>
      <c r="G18" s="1274">
        <v>228</v>
      </c>
      <c r="H18" s="1273">
        <f t="shared" si="0"/>
        <v>97.85407725321889</v>
      </c>
      <c r="I18" s="1298"/>
    </row>
    <row r="19" spans="1:9" s="1292" customFormat="1" ht="15" x14ac:dyDescent="0.25">
      <c r="A19" s="2288">
        <v>2143</v>
      </c>
      <c r="B19" s="2287">
        <v>5168</v>
      </c>
      <c r="C19" s="1281"/>
      <c r="D19" s="3188" t="s">
        <v>1650</v>
      </c>
      <c r="E19" s="2293"/>
      <c r="F19" s="1283"/>
      <c r="G19" s="1283"/>
      <c r="H19" s="1282"/>
      <c r="I19" s="1298"/>
    </row>
    <row r="20" spans="1:9" s="1292" customFormat="1" ht="15" x14ac:dyDescent="0.25">
      <c r="A20" s="2288"/>
      <c r="B20" s="2287"/>
      <c r="C20" s="1281"/>
      <c r="D20" s="3189"/>
      <c r="E20" s="2293">
        <v>400</v>
      </c>
      <c r="F20" s="1283">
        <f>F21+F22</f>
        <v>829</v>
      </c>
      <c r="G20" s="2311">
        <f>G21+G22</f>
        <v>824</v>
      </c>
      <c r="H20" s="1282">
        <f t="shared" ref="H20:H34" si="1">(G20/F20)*100</f>
        <v>99.396863691194213</v>
      </c>
      <c r="I20" s="1298"/>
    </row>
    <row r="21" spans="1:9" s="1292" customFormat="1" ht="14.25" x14ac:dyDescent="0.2">
      <c r="A21" s="2288"/>
      <c r="B21" s="2287"/>
      <c r="C21" s="1281" t="s">
        <v>1760</v>
      </c>
      <c r="D21" s="2300" t="s">
        <v>1127</v>
      </c>
      <c r="E21" s="2286">
        <v>400</v>
      </c>
      <c r="F21" s="1275">
        <v>392</v>
      </c>
      <c r="G21" s="1274">
        <v>387</v>
      </c>
      <c r="H21" s="1273">
        <f t="shared" si="1"/>
        <v>98.724489795918373</v>
      </c>
      <c r="I21" s="1298"/>
    </row>
    <row r="22" spans="1:9" s="1292" customFormat="1" ht="14.25" x14ac:dyDescent="0.2">
      <c r="A22" s="2288"/>
      <c r="B22" s="2287"/>
      <c r="C22" s="1281" t="s">
        <v>1956</v>
      </c>
      <c r="D22" s="1287" t="s">
        <v>1302</v>
      </c>
      <c r="E22" s="2286"/>
      <c r="F22" s="1275">
        <v>437</v>
      </c>
      <c r="G22" s="1274">
        <v>437</v>
      </c>
      <c r="H22" s="1273">
        <f t="shared" si="1"/>
        <v>100</v>
      </c>
      <c r="I22" s="1298"/>
    </row>
    <row r="23" spans="1:9" s="1292" customFormat="1" ht="15" x14ac:dyDescent="0.25">
      <c r="A23" s="2288">
        <v>2143</v>
      </c>
      <c r="B23" s="2287">
        <v>5169</v>
      </c>
      <c r="C23" s="1281"/>
      <c r="D23" s="2617" t="s">
        <v>769</v>
      </c>
      <c r="E23" s="2293">
        <f>E24+E25</f>
        <v>7459</v>
      </c>
      <c r="F23" s="2293">
        <f>F24+F25</f>
        <v>4322</v>
      </c>
      <c r="G23" s="2293">
        <f>G24+G25</f>
        <v>4233</v>
      </c>
      <c r="H23" s="1282">
        <f t="shared" si="1"/>
        <v>97.940768162887551</v>
      </c>
      <c r="I23" s="1298"/>
    </row>
    <row r="24" spans="1:9" s="1292" customFormat="1" ht="14.25" x14ac:dyDescent="0.2">
      <c r="A24" s="2288"/>
      <c r="B24" s="2287"/>
      <c r="C24" s="1281" t="s">
        <v>1760</v>
      </c>
      <c r="D24" s="2300" t="s">
        <v>1127</v>
      </c>
      <c r="E24" s="2286">
        <v>1200</v>
      </c>
      <c r="F24" s="1275">
        <v>794</v>
      </c>
      <c r="G24" s="1274">
        <v>754</v>
      </c>
      <c r="H24" s="1273">
        <f t="shared" si="1"/>
        <v>94.962216624685141</v>
      </c>
      <c r="I24" s="1298"/>
    </row>
    <row r="25" spans="1:9" s="1292" customFormat="1" ht="14.25" x14ac:dyDescent="0.2">
      <c r="A25" s="2288"/>
      <c r="B25" s="2287"/>
      <c r="C25" s="1281" t="s">
        <v>1956</v>
      </c>
      <c r="D25" s="1287" t="s">
        <v>1302</v>
      </c>
      <c r="E25" s="2286">
        <v>6259</v>
      </c>
      <c r="F25" s="1275">
        <v>3528</v>
      </c>
      <c r="G25" s="1274">
        <v>3479</v>
      </c>
      <c r="H25" s="1273">
        <f t="shared" si="1"/>
        <v>98.611111111111114</v>
      </c>
      <c r="I25" s="1298"/>
    </row>
    <row r="26" spans="1:9" s="1292" customFormat="1" ht="15" x14ac:dyDescent="0.25">
      <c r="A26" s="2288">
        <v>2143</v>
      </c>
      <c r="B26" s="2287">
        <v>5171</v>
      </c>
      <c r="C26" s="1281"/>
      <c r="D26" s="2309" t="s">
        <v>811</v>
      </c>
      <c r="E26" s="2286"/>
      <c r="F26" s="1284">
        <v>80</v>
      </c>
      <c r="G26" s="1283">
        <v>17</v>
      </c>
      <c r="H26" s="1282">
        <f t="shared" si="1"/>
        <v>21.25</v>
      </c>
      <c r="I26" s="1298"/>
    </row>
    <row r="27" spans="1:9" s="1292" customFormat="1" ht="14.25" x14ac:dyDescent="0.2">
      <c r="A27" s="2288"/>
      <c r="B27" s="2287"/>
      <c r="C27" s="1281" t="s">
        <v>1956</v>
      </c>
      <c r="D27" s="1287" t="s">
        <v>1302</v>
      </c>
      <c r="E27" s="2286"/>
      <c r="F27" s="1275">
        <v>80</v>
      </c>
      <c r="G27" s="1274">
        <v>17</v>
      </c>
      <c r="H27" s="1273">
        <f t="shared" si="1"/>
        <v>21.25</v>
      </c>
      <c r="I27" s="1298"/>
    </row>
    <row r="28" spans="1:9" s="1292" customFormat="1" ht="15" x14ac:dyDescent="0.25">
      <c r="A28" s="2288">
        <v>2143</v>
      </c>
      <c r="B28" s="2287">
        <v>5175</v>
      </c>
      <c r="C28" s="1281"/>
      <c r="D28" s="2309" t="s">
        <v>605</v>
      </c>
      <c r="E28" s="2293">
        <f>E29+E30</f>
        <v>10</v>
      </c>
      <c r="F28" s="2293">
        <f>F29+F30</f>
        <v>40</v>
      </c>
      <c r="G28" s="2293">
        <f>G29+G30</f>
        <v>38</v>
      </c>
      <c r="H28" s="1282">
        <f t="shared" si="1"/>
        <v>95</v>
      </c>
      <c r="I28" s="1298"/>
    </row>
    <row r="29" spans="1:9" s="1292" customFormat="1" ht="14.25" x14ac:dyDescent="0.2">
      <c r="A29" s="2288"/>
      <c r="B29" s="2287"/>
      <c r="C29" s="1281" t="s">
        <v>1760</v>
      </c>
      <c r="D29" s="2300" t="s">
        <v>1127</v>
      </c>
      <c r="E29" s="2286"/>
      <c r="F29" s="1275">
        <v>17</v>
      </c>
      <c r="G29" s="1274">
        <v>15</v>
      </c>
      <c r="H29" s="1273">
        <f t="shared" si="1"/>
        <v>88.235294117647058</v>
      </c>
      <c r="I29" s="1298"/>
    </row>
    <row r="30" spans="1:9" s="1292" customFormat="1" ht="14.25" x14ac:dyDescent="0.2">
      <c r="A30" s="2288"/>
      <c r="B30" s="2287"/>
      <c r="C30" s="1281" t="s">
        <v>1956</v>
      </c>
      <c r="D30" s="1287" t="s">
        <v>1302</v>
      </c>
      <c r="E30" s="2286">
        <v>10</v>
      </c>
      <c r="F30" s="1275">
        <v>23</v>
      </c>
      <c r="G30" s="1274">
        <v>23</v>
      </c>
      <c r="H30" s="1273">
        <f t="shared" si="1"/>
        <v>100</v>
      </c>
      <c r="I30" s="1298"/>
    </row>
    <row r="31" spans="1:9" s="1292" customFormat="1" ht="15" x14ac:dyDescent="0.25">
      <c r="A31" s="2288">
        <v>2143</v>
      </c>
      <c r="B31" s="2287">
        <v>5212</v>
      </c>
      <c r="C31" s="1281"/>
      <c r="D31" s="1285" t="s">
        <v>1980</v>
      </c>
      <c r="E31" s="2293">
        <f>E32+E33+E34+E35</f>
        <v>400</v>
      </c>
      <c r="F31" s="2293">
        <f>F32+F33+F34+F35</f>
        <v>668</v>
      </c>
      <c r="G31" s="2293">
        <f>G32+G33+G34+G35</f>
        <v>610</v>
      </c>
      <c r="H31" s="1282">
        <f t="shared" si="1"/>
        <v>91.317365269461078</v>
      </c>
      <c r="I31" s="1298"/>
    </row>
    <row r="32" spans="1:9" s="1292" customFormat="1" ht="14.25" x14ac:dyDescent="0.2">
      <c r="A32" s="2288"/>
      <c r="B32" s="2287"/>
      <c r="C32" s="1281" t="s">
        <v>1787</v>
      </c>
      <c r="D32" s="2360" t="s">
        <v>1955</v>
      </c>
      <c r="E32" s="2286"/>
      <c r="F32" s="1275">
        <v>100</v>
      </c>
      <c r="G32" s="1274">
        <v>100</v>
      </c>
      <c r="H32" s="1273">
        <f t="shared" si="1"/>
        <v>100</v>
      </c>
      <c r="I32" s="1298"/>
    </row>
    <row r="33" spans="1:9" s="1292" customFormat="1" ht="14.25" x14ac:dyDescent="0.2">
      <c r="A33" s="2288"/>
      <c r="B33" s="2287"/>
      <c r="C33" s="1281" t="s">
        <v>1979</v>
      </c>
      <c r="D33" s="1287" t="s">
        <v>1978</v>
      </c>
      <c r="E33" s="2286">
        <v>400</v>
      </c>
      <c r="F33" s="1275">
        <v>400</v>
      </c>
      <c r="G33" s="1274">
        <v>372</v>
      </c>
      <c r="H33" s="1273">
        <f t="shared" si="1"/>
        <v>93</v>
      </c>
      <c r="I33" s="1298"/>
    </row>
    <row r="34" spans="1:9" s="1292" customFormat="1" ht="14.25" x14ac:dyDescent="0.2">
      <c r="A34" s="2288"/>
      <c r="B34" s="2287"/>
      <c r="C34" s="1281" t="s">
        <v>1965</v>
      </c>
      <c r="D34" s="1287" t="s">
        <v>1964</v>
      </c>
      <c r="E34" s="2286"/>
      <c r="F34" s="1275">
        <v>138</v>
      </c>
      <c r="G34" s="1274">
        <v>138</v>
      </c>
      <c r="H34" s="1273">
        <f t="shared" si="1"/>
        <v>100</v>
      </c>
      <c r="I34" s="1298"/>
    </row>
    <row r="35" spans="1:9" s="1292" customFormat="1" ht="14.25" x14ac:dyDescent="0.2">
      <c r="A35" s="2288"/>
      <c r="B35" s="2287"/>
      <c r="C35" s="1281" t="s">
        <v>1967</v>
      </c>
      <c r="D35" s="1287" t="s">
        <v>1966</v>
      </c>
      <c r="E35" s="2286"/>
      <c r="F35" s="1275">
        <v>30</v>
      </c>
      <c r="G35" s="1274">
        <v>0</v>
      </c>
      <c r="H35" s="1273">
        <v>0</v>
      </c>
      <c r="I35" s="1298"/>
    </row>
    <row r="36" spans="1:9" s="1292" customFormat="1" ht="15" x14ac:dyDescent="0.25">
      <c r="A36" s="2288">
        <v>2143</v>
      </c>
      <c r="B36" s="2287">
        <v>5213</v>
      </c>
      <c r="C36" s="1281"/>
      <c r="D36" s="1285" t="s">
        <v>1977</v>
      </c>
      <c r="E36" s="2286"/>
      <c r="F36" s="1283">
        <f>F37+F38+F39</f>
        <v>590</v>
      </c>
      <c r="G36" s="2311">
        <f>G37+G38+G39</f>
        <v>590</v>
      </c>
      <c r="H36" s="1282">
        <f t="shared" ref="H36:H52" si="2">(G36/F36)*100</f>
        <v>100</v>
      </c>
      <c r="I36" s="1298"/>
    </row>
    <row r="37" spans="1:9" s="1292" customFormat="1" ht="14.25" x14ac:dyDescent="0.2">
      <c r="A37" s="2288"/>
      <c r="B37" s="2287"/>
      <c r="C37" s="1281" t="s">
        <v>1956</v>
      </c>
      <c r="D37" s="1287" t="s">
        <v>1302</v>
      </c>
      <c r="E37" s="2286"/>
      <c r="F37" s="1275">
        <v>300</v>
      </c>
      <c r="G37" s="1274">
        <v>300</v>
      </c>
      <c r="H37" s="1273">
        <f t="shared" si="2"/>
        <v>100</v>
      </c>
      <c r="I37" s="1298"/>
    </row>
    <row r="38" spans="1:9" s="1292" customFormat="1" ht="14.25" x14ac:dyDescent="0.2">
      <c r="A38" s="2288"/>
      <c r="B38" s="2287"/>
      <c r="C38" s="1281" t="s">
        <v>1965</v>
      </c>
      <c r="D38" s="1287" t="s">
        <v>1964</v>
      </c>
      <c r="E38" s="2286"/>
      <c r="F38" s="1275">
        <v>180</v>
      </c>
      <c r="G38" s="1274">
        <v>180</v>
      </c>
      <c r="H38" s="1273">
        <f t="shared" si="2"/>
        <v>100</v>
      </c>
      <c r="I38" s="1298"/>
    </row>
    <row r="39" spans="1:9" s="1292" customFormat="1" ht="14.25" x14ac:dyDescent="0.2">
      <c r="A39" s="2288"/>
      <c r="B39" s="2287"/>
      <c r="C39" s="1281" t="s">
        <v>1967</v>
      </c>
      <c r="D39" s="1287" t="s">
        <v>1966</v>
      </c>
      <c r="E39" s="2286"/>
      <c r="F39" s="1275">
        <v>110</v>
      </c>
      <c r="G39" s="1274">
        <v>110</v>
      </c>
      <c r="H39" s="1273">
        <f t="shared" si="2"/>
        <v>100</v>
      </c>
      <c r="I39" s="1298"/>
    </row>
    <row r="40" spans="1:9" s="1292" customFormat="1" ht="15" x14ac:dyDescent="0.25">
      <c r="A40" s="2288">
        <v>2143</v>
      </c>
      <c r="B40" s="2287">
        <v>5221</v>
      </c>
      <c r="C40" s="1281"/>
      <c r="D40" s="1285" t="s">
        <v>1976</v>
      </c>
      <c r="E40" s="2286"/>
      <c r="F40" s="1284">
        <v>90</v>
      </c>
      <c r="G40" s="1283">
        <v>90</v>
      </c>
      <c r="H40" s="1282">
        <f t="shared" si="2"/>
        <v>100</v>
      </c>
      <c r="I40" s="1298"/>
    </row>
    <row r="41" spans="1:9" s="1292" customFormat="1" ht="14.25" x14ac:dyDescent="0.2">
      <c r="A41" s="2288"/>
      <c r="B41" s="2287"/>
      <c r="C41" s="1281" t="s">
        <v>1967</v>
      </c>
      <c r="D41" s="1287" t="s">
        <v>1966</v>
      </c>
      <c r="E41" s="2286"/>
      <c r="F41" s="1275">
        <v>90</v>
      </c>
      <c r="G41" s="1274">
        <v>90</v>
      </c>
      <c r="H41" s="1273">
        <f t="shared" si="2"/>
        <v>100</v>
      </c>
      <c r="I41" s="1298"/>
    </row>
    <row r="42" spans="1:9" s="1292" customFormat="1" ht="15" x14ac:dyDescent="0.25">
      <c r="A42" s="2288">
        <v>2143</v>
      </c>
      <c r="B42" s="2287">
        <v>5222</v>
      </c>
      <c r="C42" s="1281"/>
      <c r="D42" s="1285" t="s">
        <v>1513</v>
      </c>
      <c r="E42" s="2293">
        <v>400</v>
      </c>
      <c r="F42" s="1283">
        <f>F43+F44+F45+F46+F47</f>
        <v>1103</v>
      </c>
      <c r="G42" s="1283">
        <f>G43+G44+G45+G46+G47</f>
        <v>1103</v>
      </c>
      <c r="H42" s="1282">
        <f t="shared" si="2"/>
        <v>100</v>
      </c>
      <c r="I42" s="1298"/>
    </row>
    <row r="43" spans="1:9" s="1292" customFormat="1" ht="14.25" x14ac:dyDescent="0.2">
      <c r="A43" s="2288"/>
      <c r="B43" s="2287"/>
      <c r="C43" s="1281" t="s">
        <v>1787</v>
      </c>
      <c r="D43" s="2360" t="s">
        <v>1955</v>
      </c>
      <c r="E43" s="2286"/>
      <c r="F43" s="1275">
        <v>50</v>
      </c>
      <c r="G43" s="1274">
        <v>50</v>
      </c>
      <c r="H43" s="1273">
        <f t="shared" si="2"/>
        <v>100</v>
      </c>
      <c r="I43" s="1298"/>
    </row>
    <row r="44" spans="1:9" s="1292" customFormat="1" ht="14.25" x14ac:dyDescent="0.2">
      <c r="A44" s="2288"/>
      <c r="B44" s="2287"/>
      <c r="C44" s="1281" t="s">
        <v>1788</v>
      </c>
      <c r="D44" s="1287" t="s">
        <v>1975</v>
      </c>
      <c r="E44" s="2286"/>
      <c r="F44" s="1275">
        <v>30</v>
      </c>
      <c r="G44" s="1274">
        <v>30</v>
      </c>
      <c r="H44" s="1273">
        <f t="shared" si="2"/>
        <v>100</v>
      </c>
      <c r="I44" s="1298"/>
    </row>
    <row r="45" spans="1:9" s="1292" customFormat="1" ht="14.25" x14ac:dyDescent="0.2">
      <c r="A45" s="2288"/>
      <c r="B45" s="2287"/>
      <c r="C45" s="1281" t="s">
        <v>1974</v>
      </c>
      <c r="D45" s="1287" t="s">
        <v>1973</v>
      </c>
      <c r="E45" s="2286">
        <v>400</v>
      </c>
      <c r="F45" s="1275">
        <v>400</v>
      </c>
      <c r="G45" s="1274">
        <v>400</v>
      </c>
      <c r="H45" s="1273">
        <f t="shared" si="2"/>
        <v>100</v>
      </c>
      <c r="I45" s="1298"/>
    </row>
    <row r="46" spans="1:9" s="1292" customFormat="1" ht="14.25" x14ac:dyDescent="0.2">
      <c r="A46" s="2288"/>
      <c r="B46" s="2287"/>
      <c r="C46" s="1281" t="s">
        <v>1965</v>
      </c>
      <c r="D46" s="1287" t="s">
        <v>1964</v>
      </c>
      <c r="E46" s="2286"/>
      <c r="F46" s="1275">
        <v>425</v>
      </c>
      <c r="G46" s="1274">
        <v>425</v>
      </c>
      <c r="H46" s="1273">
        <f t="shared" si="2"/>
        <v>100</v>
      </c>
      <c r="I46" s="1298"/>
    </row>
    <row r="47" spans="1:9" s="1292" customFormat="1" ht="14.25" x14ac:dyDescent="0.2">
      <c r="A47" s="2288"/>
      <c r="B47" s="2287"/>
      <c r="C47" s="1281" t="s">
        <v>1963</v>
      </c>
      <c r="D47" s="1287" t="s">
        <v>1962</v>
      </c>
      <c r="E47" s="2286"/>
      <c r="F47" s="1275">
        <v>198</v>
      </c>
      <c r="G47" s="1274">
        <v>198</v>
      </c>
      <c r="H47" s="1273">
        <f t="shared" si="2"/>
        <v>100</v>
      </c>
      <c r="I47" s="1298"/>
    </row>
    <row r="48" spans="1:9" s="1292" customFormat="1" ht="15" x14ac:dyDescent="0.25">
      <c r="A48" s="2288">
        <v>2143</v>
      </c>
      <c r="B48" s="2287">
        <v>5223</v>
      </c>
      <c r="C48" s="1281"/>
      <c r="D48" s="1285" t="s">
        <v>1972</v>
      </c>
      <c r="E48" s="2286"/>
      <c r="F48" s="1284">
        <v>30</v>
      </c>
      <c r="G48" s="1283">
        <v>30</v>
      </c>
      <c r="H48" s="1282">
        <f t="shared" si="2"/>
        <v>100</v>
      </c>
      <c r="I48" s="1298"/>
    </row>
    <row r="49" spans="1:9" s="1292" customFormat="1" ht="14.25" x14ac:dyDescent="0.2">
      <c r="A49" s="2288"/>
      <c r="B49" s="2287"/>
      <c r="C49" s="1281" t="s">
        <v>1963</v>
      </c>
      <c r="D49" s="1287" t="s">
        <v>1962</v>
      </c>
      <c r="E49" s="2286"/>
      <c r="F49" s="1275">
        <v>30</v>
      </c>
      <c r="G49" s="1274">
        <v>30</v>
      </c>
      <c r="H49" s="1273">
        <f t="shared" si="2"/>
        <v>100</v>
      </c>
      <c r="I49" s="1298"/>
    </row>
    <row r="50" spans="1:9" s="1292" customFormat="1" ht="15" x14ac:dyDescent="0.25">
      <c r="A50" s="2288">
        <v>2143</v>
      </c>
      <c r="B50" s="2287">
        <v>5229</v>
      </c>
      <c r="C50" s="1281"/>
      <c r="D50" s="2631" t="s">
        <v>1019</v>
      </c>
      <c r="E50" s="2293">
        <f>E51+E52</f>
        <v>4300</v>
      </c>
      <c r="F50" s="1283">
        <f>F51+F52+F55+F56</f>
        <v>4629</v>
      </c>
      <c r="G50" s="1283">
        <f>G51+G52+G55+G56</f>
        <v>4629</v>
      </c>
      <c r="H50" s="1282">
        <f t="shared" si="2"/>
        <v>100</v>
      </c>
      <c r="I50" s="1298"/>
    </row>
    <row r="51" spans="1:9" s="1292" customFormat="1" ht="14.25" x14ac:dyDescent="0.2">
      <c r="A51" s="2288"/>
      <c r="B51" s="2287"/>
      <c r="C51" s="1281" t="s">
        <v>1787</v>
      </c>
      <c r="D51" s="2360" t="s">
        <v>1955</v>
      </c>
      <c r="E51" s="2286">
        <v>800</v>
      </c>
      <c r="F51" s="1275">
        <v>800</v>
      </c>
      <c r="G51" s="1274">
        <v>800</v>
      </c>
      <c r="H51" s="1273">
        <f t="shared" si="2"/>
        <v>100</v>
      </c>
      <c r="I51" s="1298"/>
    </row>
    <row r="52" spans="1:9" s="1292" customFormat="1" ht="14.25" x14ac:dyDescent="0.2">
      <c r="A52" s="2288"/>
      <c r="B52" s="2287"/>
      <c r="C52" s="1281" t="s">
        <v>1971</v>
      </c>
      <c r="D52" s="3190" t="s">
        <v>1970</v>
      </c>
      <c r="E52" s="2286">
        <v>3500</v>
      </c>
      <c r="F52" s="1275">
        <v>3500</v>
      </c>
      <c r="G52" s="1274">
        <v>3500</v>
      </c>
      <c r="H52" s="1273">
        <f t="shared" si="2"/>
        <v>100</v>
      </c>
      <c r="I52" s="1298"/>
    </row>
    <row r="53" spans="1:9" s="1292" customFormat="1" ht="14.25" x14ac:dyDescent="0.2">
      <c r="A53" s="2288"/>
      <c r="B53" s="2287"/>
      <c r="C53" s="1281"/>
      <c r="D53" s="3191"/>
      <c r="E53" s="2286"/>
      <c r="F53" s="1275"/>
      <c r="G53" s="1274"/>
      <c r="H53" s="1273"/>
      <c r="I53" s="1298"/>
    </row>
    <row r="54" spans="1:9" s="1292" customFormat="1" ht="14.25" x14ac:dyDescent="0.2">
      <c r="A54" s="2288"/>
      <c r="B54" s="2287"/>
      <c r="C54" s="1281"/>
      <c r="D54" s="3160"/>
      <c r="E54" s="2286"/>
      <c r="F54" s="1275"/>
      <c r="G54" s="1274"/>
      <c r="H54" s="1273"/>
      <c r="I54" s="1298"/>
    </row>
    <row r="55" spans="1:9" s="1292" customFormat="1" ht="14.25" x14ac:dyDescent="0.2">
      <c r="A55" s="2288"/>
      <c r="B55" s="2287"/>
      <c r="C55" s="1281" t="s">
        <v>1965</v>
      </c>
      <c r="D55" s="1287" t="s">
        <v>1964</v>
      </c>
      <c r="E55" s="2286"/>
      <c r="F55" s="1275">
        <v>299</v>
      </c>
      <c r="G55" s="1274">
        <v>299</v>
      </c>
      <c r="H55" s="1273">
        <f t="shared" ref="H55:H61" si="3">(G55/F55)*100</f>
        <v>100</v>
      </c>
      <c r="I55" s="1298"/>
    </row>
    <row r="56" spans="1:9" s="1292" customFormat="1" ht="14.25" x14ac:dyDescent="0.2">
      <c r="A56" s="2288"/>
      <c r="B56" s="2287"/>
      <c r="C56" s="1281" t="s">
        <v>1963</v>
      </c>
      <c r="D56" s="1287" t="s">
        <v>1962</v>
      </c>
      <c r="E56" s="2286"/>
      <c r="F56" s="1275">
        <v>30</v>
      </c>
      <c r="G56" s="1274">
        <v>30</v>
      </c>
      <c r="H56" s="1273">
        <f t="shared" si="3"/>
        <v>100</v>
      </c>
      <c r="I56" s="1298"/>
    </row>
    <row r="57" spans="1:9" s="1292" customFormat="1" ht="15" x14ac:dyDescent="0.25">
      <c r="A57" s="2288">
        <v>2143</v>
      </c>
      <c r="B57" s="2287">
        <v>5321</v>
      </c>
      <c r="C57" s="1281"/>
      <c r="D57" s="1285" t="s">
        <v>1078</v>
      </c>
      <c r="E57" s="2293">
        <f>E58+E59+E60+E61</f>
        <v>1150</v>
      </c>
      <c r="F57" s="2293">
        <f>F58+F59+F60+F61</f>
        <v>1263</v>
      </c>
      <c r="G57" s="2293">
        <f>G58+G59+G60+G61</f>
        <v>1233</v>
      </c>
      <c r="H57" s="1282">
        <f t="shared" si="3"/>
        <v>97.62470308788599</v>
      </c>
      <c r="I57" s="1298"/>
    </row>
    <row r="58" spans="1:9" s="1292" customFormat="1" ht="14.25" x14ac:dyDescent="0.2">
      <c r="A58" s="2288"/>
      <c r="B58" s="2287"/>
      <c r="C58" s="1281" t="s">
        <v>1969</v>
      </c>
      <c r="D58" s="1287" t="s">
        <v>1968</v>
      </c>
      <c r="E58" s="2286">
        <v>350</v>
      </c>
      <c r="F58" s="1275">
        <v>350</v>
      </c>
      <c r="G58" s="1274">
        <v>350</v>
      </c>
      <c r="H58" s="1273">
        <f t="shared" si="3"/>
        <v>100</v>
      </c>
      <c r="I58" s="1298"/>
    </row>
    <row r="59" spans="1:9" s="1292" customFormat="1" ht="14.25" x14ac:dyDescent="0.2">
      <c r="A59" s="2288"/>
      <c r="B59" s="2287"/>
      <c r="C59" s="1281" t="s">
        <v>1965</v>
      </c>
      <c r="D59" s="1287" t="s">
        <v>1964</v>
      </c>
      <c r="E59" s="2286"/>
      <c r="F59" s="1275">
        <v>337</v>
      </c>
      <c r="G59" s="1274">
        <v>337</v>
      </c>
      <c r="H59" s="1273">
        <f t="shared" si="3"/>
        <v>100</v>
      </c>
      <c r="I59" s="1298"/>
    </row>
    <row r="60" spans="1:9" s="1292" customFormat="1" ht="14.25" x14ac:dyDescent="0.2">
      <c r="A60" s="2288"/>
      <c r="B60" s="2287"/>
      <c r="C60" s="1281" t="s">
        <v>1967</v>
      </c>
      <c r="D60" s="1287" t="s">
        <v>1966</v>
      </c>
      <c r="E60" s="2286">
        <v>800</v>
      </c>
      <c r="F60" s="1275">
        <v>540</v>
      </c>
      <c r="G60" s="1274">
        <v>515</v>
      </c>
      <c r="H60" s="1273">
        <f t="shared" si="3"/>
        <v>95.370370370370367</v>
      </c>
      <c r="I60" s="1298"/>
    </row>
    <row r="61" spans="1:9" s="1292" customFormat="1" ht="14.25" x14ac:dyDescent="0.2">
      <c r="A61" s="2288"/>
      <c r="B61" s="2287"/>
      <c r="C61" s="1281" t="s">
        <v>1963</v>
      </c>
      <c r="D61" s="1287" t="s">
        <v>1962</v>
      </c>
      <c r="E61" s="2286"/>
      <c r="F61" s="1275">
        <v>36</v>
      </c>
      <c r="G61" s="1274">
        <v>31</v>
      </c>
      <c r="H61" s="1273">
        <f t="shared" si="3"/>
        <v>86.111111111111114</v>
      </c>
      <c r="I61" s="1298"/>
    </row>
    <row r="62" spans="1:9" s="1292" customFormat="1" ht="15" x14ac:dyDescent="0.25">
      <c r="A62" s="2288">
        <v>2143</v>
      </c>
      <c r="B62" s="2287">
        <v>5323</v>
      </c>
      <c r="C62" s="1281"/>
      <c r="D62" s="2309" t="s">
        <v>1299</v>
      </c>
      <c r="E62" s="2293">
        <v>300</v>
      </c>
      <c r="F62" s="2293">
        <v>0</v>
      </c>
      <c r="G62" s="2293">
        <v>0</v>
      </c>
      <c r="H62" s="2632">
        <v>0</v>
      </c>
      <c r="I62" s="1298"/>
    </row>
    <row r="63" spans="1:9" s="1292" customFormat="1" ht="14.25" x14ac:dyDescent="0.2">
      <c r="A63" s="2288"/>
      <c r="B63" s="2287"/>
      <c r="C63" s="1281" t="s">
        <v>1956</v>
      </c>
      <c r="D63" s="1287" t="s">
        <v>1302</v>
      </c>
      <c r="E63" s="2286"/>
      <c r="F63" s="1275">
        <v>0</v>
      </c>
      <c r="G63" s="1274">
        <v>0</v>
      </c>
      <c r="H63" s="1273">
        <v>0</v>
      </c>
      <c r="I63" s="1298"/>
    </row>
    <row r="64" spans="1:9" s="1292" customFormat="1" ht="15" x14ac:dyDescent="0.25">
      <c r="A64" s="2288">
        <v>2143</v>
      </c>
      <c r="B64" s="2287">
        <v>5329</v>
      </c>
      <c r="C64" s="1281"/>
      <c r="D64" s="3192" t="s">
        <v>879</v>
      </c>
      <c r="E64" s="2286"/>
      <c r="F64" s="1284">
        <v>30</v>
      </c>
      <c r="G64" s="1283">
        <v>30</v>
      </c>
      <c r="H64" s="1282">
        <f>(G64/F64)*100</f>
        <v>100</v>
      </c>
      <c r="I64" s="1298"/>
    </row>
    <row r="65" spans="1:9" s="1292" customFormat="1" ht="15" x14ac:dyDescent="0.25">
      <c r="A65" s="2288"/>
      <c r="B65" s="2287"/>
      <c r="C65" s="1281"/>
      <c r="D65" s="3160"/>
      <c r="E65" s="2286"/>
      <c r="F65" s="1284"/>
      <c r="G65" s="1283"/>
      <c r="H65" s="1282"/>
      <c r="I65" s="1298"/>
    </row>
    <row r="66" spans="1:9" s="1292" customFormat="1" ht="14.25" x14ac:dyDescent="0.2">
      <c r="A66" s="2288"/>
      <c r="B66" s="2287"/>
      <c r="C66" s="1281" t="s">
        <v>1967</v>
      </c>
      <c r="D66" s="1287" t="s">
        <v>1966</v>
      </c>
      <c r="E66" s="2286"/>
      <c r="F66" s="1275">
        <v>30</v>
      </c>
      <c r="G66" s="1274">
        <v>30</v>
      </c>
      <c r="H66" s="1273">
        <f t="shared" ref="H66:H92" si="4">(G66/F66)*100</f>
        <v>100</v>
      </c>
      <c r="I66" s="1298"/>
    </row>
    <row r="67" spans="1:9" s="1292" customFormat="1" ht="15" x14ac:dyDescent="0.25">
      <c r="A67" s="2288">
        <v>2143</v>
      </c>
      <c r="B67" s="2287">
        <v>5331</v>
      </c>
      <c r="C67" s="1281"/>
      <c r="D67" s="1454" t="s">
        <v>216</v>
      </c>
      <c r="E67" s="2286"/>
      <c r="F67" s="1283">
        <f>F68+F69</f>
        <v>192</v>
      </c>
      <c r="G67" s="1283">
        <f>G68+G69</f>
        <v>192</v>
      </c>
      <c r="H67" s="1282">
        <f t="shared" si="4"/>
        <v>100</v>
      </c>
      <c r="I67" s="1298"/>
    </row>
    <row r="68" spans="1:9" s="1292" customFormat="1" ht="14.25" x14ac:dyDescent="0.2">
      <c r="A68" s="2288"/>
      <c r="B68" s="2287"/>
      <c r="C68" s="1281" t="s">
        <v>1965</v>
      </c>
      <c r="D68" s="1287" t="s">
        <v>1964</v>
      </c>
      <c r="E68" s="2286"/>
      <c r="F68" s="1275">
        <v>120</v>
      </c>
      <c r="G68" s="1274">
        <v>120</v>
      </c>
      <c r="H68" s="1273">
        <f t="shared" si="4"/>
        <v>100</v>
      </c>
      <c r="I68" s="1298"/>
    </row>
    <row r="69" spans="1:9" s="1292" customFormat="1" ht="15" thickBot="1" x14ac:dyDescent="0.25">
      <c r="A69" s="2308"/>
      <c r="B69" s="2307"/>
      <c r="C69" s="3026" t="s">
        <v>1963</v>
      </c>
      <c r="D69" s="3027" t="s">
        <v>1962</v>
      </c>
      <c r="E69" s="2305"/>
      <c r="F69" s="2304">
        <v>72</v>
      </c>
      <c r="G69" s="2303">
        <v>72</v>
      </c>
      <c r="H69" s="2433">
        <f t="shared" si="4"/>
        <v>100</v>
      </c>
      <c r="I69" s="1298"/>
    </row>
    <row r="70" spans="1:9" s="1462" customFormat="1" ht="15" thickTop="1" x14ac:dyDescent="0.2">
      <c r="A70" s="2287"/>
      <c r="B70" s="2287"/>
      <c r="C70" s="2420"/>
      <c r="D70" s="1287"/>
      <c r="E70" s="2592"/>
      <c r="F70" s="1275"/>
      <c r="G70" s="1275"/>
      <c r="H70" s="3025"/>
      <c r="I70" s="1293"/>
    </row>
    <row r="71" spans="1:9" ht="13.5" thickBot="1" x14ac:dyDescent="0.25">
      <c r="A71" s="1305"/>
      <c r="B71" s="1305"/>
      <c r="C71" s="1305"/>
      <c r="D71" s="1325"/>
      <c r="E71" s="1254"/>
      <c r="F71" s="1254"/>
      <c r="G71" s="1303"/>
      <c r="H71" s="2465" t="s">
        <v>148</v>
      </c>
    </row>
    <row r="72" spans="1:9" s="1298" customFormat="1" ht="20.25" customHeight="1" thickTop="1" thickBot="1" x14ac:dyDescent="0.25">
      <c r="A72" s="1302" t="s">
        <v>149</v>
      </c>
      <c r="B72" s="1301" t="s">
        <v>150</v>
      </c>
      <c r="C72" s="2557" t="s">
        <v>639</v>
      </c>
      <c r="D72" s="1324" t="s">
        <v>151</v>
      </c>
      <c r="E72" s="1324" t="s">
        <v>569</v>
      </c>
      <c r="F72" s="1324" t="s">
        <v>570</v>
      </c>
      <c r="G72" s="2198" t="s">
        <v>797</v>
      </c>
      <c r="H72" s="2238" t="s">
        <v>798</v>
      </c>
    </row>
    <row r="73" spans="1:9" s="1292" customFormat="1" ht="13.5" thickTop="1" thickBot="1" x14ac:dyDescent="0.25">
      <c r="A73" s="1297">
        <v>1</v>
      </c>
      <c r="B73" s="1296">
        <v>2</v>
      </c>
      <c r="C73" s="1296">
        <v>3</v>
      </c>
      <c r="D73" s="1296">
        <v>4</v>
      </c>
      <c r="E73" s="1296">
        <v>5</v>
      </c>
      <c r="F73" s="1295">
        <v>6</v>
      </c>
      <c r="G73" s="1295">
        <v>7</v>
      </c>
      <c r="H73" s="1294" t="s">
        <v>54</v>
      </c>
      <c r="I73" s="1298"/>
    </row>
    <row r="74" spans="1:9" s="1292" customFormat="1" ht="15.75" thickTop="1" x14ac:dyDescent="0.25">
      <c r="A74" s="2288">
        <v>2143</v>
      </c>
      <c r="B74" s="2287">
        <v>5332</v>
      </c>
      <c r="C74" s="1281"/>
      <c r="D74" s="1285" t="s">
        <v>1927</v>
      </c>
      <c r="E74" s="2286"/>
      <c r="F74" s="1284">
        <v>30</v>
      </c>
      <c r="G74" s="1283">
        <v>30</v>
      </c>
      <c r="H74" s="1282">
        <f t="shared" si="4"/>
        <v>100</v>
      </c>
      <c r="I74" s="1298"/>
    </row>
    <row r="75" spans="1:9" s="1292" customFormat="1" ht="14.25" x14ac:dyDescent="0.2">
      <c r="A75" s="2288"/>
      <c r="B75" s="2287"/>
      <c r="C75" s="1281" t="s">
        <v>1963</v>
      </c>
      <c r="D75" s="1287" t="s">
        <v>1962</v>
      </c>
      <c r="E75" s="2286"/>
      <c r="F75" s="1275">
        <v>30</v>
      </c>
      <c r="G75" s="1274">
        <v>30</v>
      </c>
      <c r="H75" s="1273">
        <f t="shared" si="4"/>
        <v>100</v>
      </c>
      <c r="I75" s="1298"/>
    </row>
    <row r="76" spans="1:9" s="1292" customFormat="1" ht="15" x14ac:dyDescent="0.25">
      <c r="A76" s="2288">
        <v>3341</v>
      </c>
      <c r="B76" s="2287">
        <v>5169</v>
      </c>
      <c r="C76" s="1281"/>
      <c r="D76" s="2617" t="s">
        <v>769</v>
      </c>
      <c r="E76" s="2293">
        <f>E77+E78</f>
        <v>3560</v>
      </c>
      <c r="F76" s="2293">
        <f>F77+F78</f>
        <v>4291</v>
      </c>
      <c r="G76" s="2293">
        <f>G77+G78</f>
        <v>4137</v>
      </c>
      <c r="H76" s="1282">
        <f t="shared" si="4"/>
        <v>96.411092985318106</v>
      </c>
      <c r="I76" s="1298"/>
    </row>
    <row r="77" spans="1:9" s="1292" customFormat="1" ht="14.25" x14ac:dyDescent="0.2">
      <c r="A77" s="2288"/>
      <c r="B77" s="2287"/>
      <c r="C77" s="1281" t="s">
        <v>1956</v>
      </c>
      <c r="D77" s="1287" t="s">
        <v>1302</v>
      </c>
      <c r="E77" s="2286"/>
      <c r="F77" s="1275">
        <v>61</v>
      </c>
      <c r="G77" s="1274">
        <v>61</v>
      </c>
      <c r="H77" s="1273">
        <f t="shared" si="4"/>
        <v>100</v>
      </c>
      <c r="I77" s="1298"/>
    </row>
    <row r="78" spans="1:9" s="1292" customFormat="1" ht="14.25" x14ac:dyDescent="0.2">
      <c r="A78" s="2288"/>
      <c r="B78" s="2287"/>
      <c r="C78" s="1281" t="s">
        <v>1957</v>
      </c>
      <c r="D78" s="1287" t="s">
        <v>1440</v>
      </c>
      <c r="E78" s="2286">
        <v>3560</v>
      </c>
      <c r="F78" s="1275">
        <v>4230</v>
      </c>
      <c r="G78" s="1274">
        <v>4076</v>
      </c>
      <c r="H78" s="1273">
        <f t="shared" si="4"/>
        <v>96.359338061465721</v>
      </c>
      <c r="I78" s="1298"/>
    </row>
    <row r="79" spans="1:9" s="1292" customFormat="1" ht="15" x14ac:dyDescent="0.25">
      <c r="A79" s="2288">
        <v>3349</v>
      </c>
      <c r="B79" s="2287">
        <v>5139</v>
      </c>
      <c r="C79" s="1281"/>
      <c r="D79" s="1285" t="s">
        <v>1614</v>
      </c>
      <c r="E79" s="2293">
        <v>2120</v>
      </c>
      <c r="F79" s="1284">
        <v>2120</v>
      </c>
      <c r="G79" s="1283">
        <v>1424</v>
      </c>
      <c r="H79" s="1282">
        <f t="shared" si="4"/>
        <v>67.169811320754718</v>
      </c>
      <c r="I79" s="1298"/>
    </row>
    <row r="80" spans="1:9" s="1292" customFormat="1" ht="14.25" x14ac:dyDescent="0.2">
      <c r="A80" s="2288"/>
      <c r="B80" s="2287"/>
      <c r="C80" s="1281" t="s">
        <v>1957</v>
      </c>
      <c r="D80" s="1287" t="s">
        <v>1440</v>
      </c>
      <c r="E80" s="2286">
        <v>2120</v>
      </c>
      <c r="F80" s="1275">
        <v>2120</v>
      </c>
      <c r="G80" s="1274">
        <v>1424</v>
      </c>
      <c r="H80" s="1273">
        <f t="shared" si="4"/>
        <v>67.169811320754718</v>
      </c>
      <c r="I80" s="1298"/>
    </row>
    <row r="81" spans="1:21" s="1292" customFormat="1" ht="15" x14ac:dyDescent="0.25">
      <c r="A81" s="2288">
        <v>3349</v>
      </c>
      <c r="B81" s="2287">
        <v>5169</v>
      </c>
      <c r="C81" s="1281"/>
      <c r="D81" s="2617" t="s">
        <v>769</v>
      </c>
      <c r="E81" s="2293">
        <v>2250</v>
      </c>
      <c r="F81" s="1284">
        <v>2150</v>
      </c>
      <c r="G81" s="1283">
        <v>1775</v>
      </c>
      <c r="H81" s="1282">
        <f t="shared" si="4"/>
        <v>82.558139534883722</v>
      </c>
      <c r="I81" s="1298"/>
    </row>
    <row r="82" spans="1:21" s="1292" customFormat="1" ht="14.25" x14ac:dyDescent="0.2">
      <c r="A82" s="2288"/>
      <c r="B82" s="2287"/>
      <c r="C82" s="1281" t="s">
        <v>1957</v>
      </c>
      <c r="D82" s="1287" t="s">
        <v>1440</v>
      </c>
      <c r="E82" s="2286">
        <v>2250</v>
      </c>
      <c r="F82" s="1275">
        <v>2150</v>
      </c>
      <c r="G82" s="1274">
        <v>1775</v>
      </c>
      <c r="H82" s="1273">
        <f t="shared" si="4"/>
        <v>82.558139534883722</v>
      </c>
      <c r="I82" s="1298"/>
    </row>
    <row r="83" spans="1:21" s="1292" customFormat="1" ht="15" x14ac:dyDescent="0.25">
      <c r="A83" s="2288">
        <v>6113</v>
      </c>
      <c r="B83" s="2287">
        <v>5137</v>
      </c>
      <c r="C83" s="1281"/>
      <c r="D83" s="2309" t="s">
        <v>142</v>
      </c>
      <c r="E83" s="2293">
        <v>100</v>
      </c>
      <c r="F83" s="2293">
        <v>60</v>
      </c>
      <c r="G83" s="2293">
        <v>51</v>
      </c>
      <c r="H83" s="1282">
        <f t="shared" si="4"/>
        <v>85</v>
      </c>
      <c r="I83" s="1298"/>
    </row>
    <row r="84" spans="1:21" s="1292" customFormat="1" ht="15" x14ac:dyDescent="0.25">
      <c r="A84" s="2288">
        <v>6113</v>
      </c>
      <c r="B84" s="2287">
        <v>5139</v>
      </c>
      <c r="C84" s="1281"/>
      <c r="D84" s="2309" t="s">
        <v>692</v>
      </c>
      <c r="E84" s="2293">
        <f>E85+E86</f>
        <v>2800</v>
      </c>
      <c r="F84" s="2293">
        <f>F85+F86</f>
        <v>3738</v>
      </c>
      <c r="G84" s="2293">
        <f>G85+G86</f>
        <v>3349</v>
      </c>
      <c r="H84" s="1282">
        <f t="shared" si="4"/>
        <v>89.593365436062072</v>
      </c>
      <c r="I84" s="1298"/>
    </row>
    <row r="85" spans="1:21" ht="14.25" x14ac:dyDescent="0.2">
      <c r="A85" s="2288"/>
      <c r="B85" s="2287"/>
      <c r="C85" s="1281" t="s">
        <v>1958</v>
      </c>
      <c r="D85" s="2300" t="s">
        <v>1441</v>
      </c>
      <c r="E85" s="2286"/>
      <c r="F85" s="1275">
        <v>20</v>
      </c>
      <c r="G85" s="1274">
        <v>0</v>
      </c>
      <c r="H85" s="1273">
        <f t="shared" si="4"/>
        <v>0</v>
      </c>
    </row>
    <row r="86" spans="1:21" s="1292" customFormat="1" ht="14.25" x14ac:dyDescent="0.2">
      <c r="A86" s="2288"/>
      <c r="B86" s="2287"/>
      <c r="C86" s="1281" t="s">
        <v>1959</v>
      </c>
      <c r="D86" s="2300" t="s">
        <v>1442</v>
      </c>
      <c r="E86" s="2286">
        <v>2800</v>
      </c>
      <c r="F86" s="1275">
        <v>3718</v>
      </c>
      <c r="G86" s="1274">
        <v>3349</v>
      </c>
      <c r="H86" s="1273">
        <f t="shared" si="4"/>
        <v>90.075309306078537</v>
      </c>
      <c r="I86" s="1298"/>
    </row>
    <row r="87" spans="1:21" s="1292" customFormat="1" ht="15" x14ac:dyDescent="0.25">
      <c r="A87" s="2288">
        <v>6113</v>
      </c>
      <c r="B87" s="2287">
        <v>5161</v>
      </c>
      <c r="C87" s="1281"/>
      <c r="D87" s="1315" t="s">
        <v>1961</v>
      </c>
      <c r="E87" s="2293">
        <v>1</v>
      </c>
      <c r="F87" s="1284">
        <v>1</v>
      </c>
      <c r="G87" s="1283">
        <v>0</v>
      </c>
      <c r="H87" s="1282">
        <f t="shared" si="4"/>
        <v>0</v>
      </c>
      <c r="I87" s="1298"/>
    </row>
    <row r="88" spans="1:21" s="1292" customFormat="1" ht="15" x14ac:dyDescent="0.25">
      <c r="A88" s="2288">
        <v>6113</v>
      </c>
      <c r="B88" s="2287">
        <v>5164</v>
      </c>
      <c r="C88" s="1281"/>
      <c r="D88" s="2617" t="s">
        <v>157</v>
      </c>
      <c r="E88" s="2293">
        <f>E89+E90+E91</f>
        <v>200</v>
      </c>
      <c r="F88" s="2293">
        <f>F89+F90+F91</f>
        <v>191</v>
      </c>
      <c r="G88" s="2293">
        <f>G89+G90+G91</f>
        <v>149</v>
      </c>
      <c r="H88" s="1282">
        <f t="shared" si="4"/>
        <v>78.010471204188477</v>
      </c>
      <c r="I88" s="1298"/>
    </row>
    <row r="89" spans="1:21" ht="14.25" x14ac:dyDescent="0.2">
      <c r="A89" s="2288"/>
      <c r="B89" s="2287"/>
      <c r="C89" s="1281" t="s">
        <v>1958</v>
      </c>
      <c r="D89" s="2300" t="s">
        <v>1441</v>
      </c>
      <c r="E89" s="2286"/>
      <c r="F89" s="1275">
        <v>41</v>
      </c>
      <c r="G89" s="1274">
        <v>34</v>
      </c>
      <c r="H89" s="1273">
        <f t="shared" si="4"/>
        <v>82.926829268292678</v>
      </c>
    </row>
    <row r="90" spans="1:21" s="1292" customFormat="1" ht="14.25" x14ac:dyDescent="0.2">
      <c r="A90" s="2288"/>
      <c r="B90" s="2287"/>
      <c r="C90" s="1281" t="s">
        <v>1959</v>
      </c>
      <c r="D90" s="2300" t="s">
        <v>1442</v>
      </c>
      <c r="E90" s="2286">
        <v>100</v>
      </c>
      <c r="F90" s="1275">
        <v>135</v>
      </c>
      <c r="G90" s="1274">
        <v>101</v>
      </c>
      <c r="H90" s="1273">
        <f t="shared" si="4"/>
        <v>74.81481481481481</v>
      </c>
      <c r="I90" s="1298"/>
    </row>
    <row r="91" spans="1:21" ht="14.25" x14ac:dyDescent="0.2">
      <c r="A91" s="2288"/>
      <c r="B91" s="2287"/>
      <c r="C91" s="1281" t="s">
        <v>1960</v>
      </c>
      <c r="D91" s="1287" t="s">
        <v>1621</v>
      </c>
      <c r="E91" s="2286">
        <v>100</v>
      </c>
      <c r="F91" s="1275">
        <v>15</v>
      </c>
      <c r="G91" s="1274">
        <v>14</v>
      </c>
      <c r="H91" s="1273">
        <f t="shared" si="4"/>
        <v>93.333333333333329</v>
      </c>
    </row>
    <row r="92" spans="1:21" s="2312" customFormat="1" ht="15" x14ac:dyDescent="0.25">
      <c r="A92" s="2288">
        <v>6113</v>
      </c>
      <c r="B92" s="2287">
        <v>5166</v>
      </c>
      <c r="C92" s="1281"/>
      <c r="D92" s="2617" t="s">
        <v>607</v>
      </c>
      <c r="E92" s="2293">
        <v>1700</v>
      </c>
      <c r="F92" s="1284">
        <v>1700</v>
      </c>
      <c r="G92" s="1283">
        <v>1657</v>
      </c>
      <c r="H92" s="1282">
        <f t="shared" si="4"/>
        <v>97.470588235294116</v>
      </c>
      <c r="I92" s="2300"/>
      <c r="J92" s="2300"/>
      <c r="K92" s="2300"/>
      <c r="L92" s="2300"/>
      <c r="M92" s="2300"/>
      <c r="N92" s="2300"/>
      <c r="O92" s="2300"/>
      <c r="P92" s="2300"/>
      <c r="Q92" s="2300"/>
      <c r="R92" s="2300"/>
      <c r="S92" s="2300"/>
      <c r="T92" s="2300"/>
      <c r="U92" s="2300"/>
    </row>
    <row r="93" spans="1:21" s="2312" customFormat="1" ht="15" x14ac:dyDescent="0.25">
      <c r="A93" s="2288">
        <v>6113</v>
      </c>
      <c r="B93" s="2287">
        <v>5168</v>
      </c>
      <c r="C93" s="1281"/>
      <c r="D93" s="3067" t="s">
        <v>1606</v>
      </c>
      <c r="E93" s="2293"/>
      <c r="F93" s="1284"/>
      <c r="G93" s="1283"/>
      <c r="H93" s="1282"/>
      <c r="I93" s="2300"/>
      <c r="J93" s="2300"/>
      <c r="K93" s="2300"/>
      <c r="L93" s="2300"/>
      <c r="M93" s="2300"/>
      <c r="N93" s="2300"/>
      <c r="O93" s="2300"/>
      <c r="P93" s="2300"/>
      <c r="Q93" s="2300"/>
      <c r="R93" s="2300"/>
      <c r="S93" s="2300"/>
      <c r="T93" s="2300"/>
      <c r="U93" s="2300"/>
    </row>
    <row r="94" spans="1:21" s="2312" customFormat="1" ht="15" x14ac:dyDescent="0.25">
      <c r="A94" s="2288"/>
      <c r="B94" s="2287"/>
      <c r="C94" s="1281"/>
      <c r="D94" s="3147"/>
      <c r="E94" s="2293"/>
      <c r="F94" s="1283">
        <f>F95+F96</f>
        <v>16</v>
      </c>
      <c r="G94" s="1283">
        <f>G95+G96</f>
        <v>16</v>
      </c>
      <c r="H94" s="1282">
        <f t="shared" ref="H94:H119" si="5">(G94/F94)*100</f>
        <v>100</v>
      </c>
      <c r="I94" s="2300"/>
      <c r="J94" s="2300"/>
      <c r="K94" s="2300"/>
      <c r="L94" s="2300"/>
      <c r="M94" s="2300"/>
      <c r="N94" s="2300"/>
      <c r="O94" s="2300"/>
      <c r="P94" s="2300"/>
      <c r="Q94" s="2300"/>
      <c r="R94" s="2300"/>
      <c r="S94" s="2300"/>
      <c r="T94" s="2300"/>
      <c r="U94" s="2300"/>
    </row>
    <row r="95" spans="1:21" ht="14.25" x14ac:dyDescent="0.2">
      <c r="A95" s="2288"/>
      <c r="B95" s="2287"/>
      <c r="C95" s="1281" t="s">
        <v>1958</v>
      </c>
      <c r="D95" s="2300" t="s">
        <v>1441</v>
      </c>
      <c r="E95" s="2286"/>
      <c r="F95" s="1275">
        <v>3</v>
      </c>
      <c r="G95" s="1274">
        <v>3</v>
      </c>
      <c r="H95" s="1273">
        <f t="shared" si="5"/>
        <v>100</v>
      </c>
    </row>
    <row r="96" spans="1:21" s="1292" customFormat="1" ht="14.25" x14ac:dyDescent="0.2">
      <c r="A96" s="2288"/>
      <c r="B96" s="2287"/>
      <c r="C96" s="1281" t="s">
        <v>1959</v>
      </c>
      <c r="D96" s="2300" t="s">
        <v>1442</v>
      </c>
      <c r="E96" s="2286"/>
      <c r="F96" s="1275">
        <v>13</v>
      </c>
      <c r="G96" s="1274">
        <v>13</v>
      </c>
      <c r="H96" s="1273">
        <f t="shared" si="5"/>
        <v>100</v>
      </c>
      <c r="I96" s="1298"/>
    </row>
    <row r="97" spans="1:8" ht="15" x14ac:dyDescent="0.25">
      <c r="A97" s="2288">
        <v>6113</v>
      </c>
      <c r="B97" s="2287">
        <v>5169</v>
      </c>
      <c r="C97" s="1281"/>
      <c r="D97" s="2617" t="s">
        <v>769</v>
      </c>
      <c r="E97" s="2293">
        <f>E98+E99+E100+E101</f>
        <v>3094</v>
      </c>
      <c r="F97" s="2293">
        <f>F98+F99+F100+F101</f>
        <v>2432</v>
      </c>
      <c r="G97" s="2293">
        <f>G98+G99+G100+G101</f>
        <v>1891</v>
      </c>
      <c r="H97" s="1282">
        <f t="shared" si="5"/>
        <v>77.754934210526315</v>
      </c>
    </row>
    <row r="98" spans="1:8" ht="14.25" x14ac:dyDescent="0.2">
      <c r="A98" s="2288"/>
      <c r="B98" s="2287"/>
      <c r="C98" s="1281" t="s">
        <v>1760</v>
      </c>
      <c r="D98" s="1287" t="s">
        <v>1127</v>
      </c>
      <c r="E98" s="2286">
        <v>77</v>
      </c>
      <c r="F98" s="1275">
        <v>142</v>
      </c>
      <c r="G98" s="1274">
        <v>120</v>
      </c>
      <c r="H98" s="1273">
        <f t="shared" si="5"/>
        <v>84.507042253521121</v>
      </c>
    </row>
    <row r="99" spans="1:8" ht="14.25" x14ac:dyDescent="0.2">
      <c r="A99" s="2288"/>
      <c r="B99" s="2287"/>
      <c r="C99" s="1281" t="s">
        <v>1958</v>
      </c>
      <c r="D99" s="2300" t="s">
        <v>1441</v>
      </c>
      <c r="E99" s="2286">
        <v>330</v>
      </c>
      <c r="F99" s="1275">
        <v>266</v>
      </c>
      <c r="G99" s="1274">
        <v>26</v>
      </c>
      <c r="H99" s="1273">
        <f t="shared" si="5"/>
        <v>9.7744360902255636</v>
      </c>
    </row>
    <row r="100" spans="1:8" ht="14.25" x14ac:dyDescent="0.2">
      <c r="A100" s="2288"/>
      <c r="B100" s="2287"/>
      <c r="C100" s="1281" t="s">
        <v>1959</v>
      </c>
      <c r="D100" s="2300" t="s">
        <v>1442</v>
      </c>
      <c r="E100" s="2286">
        <v>2575</v>
      </c>
      <c r="F100" s="1275">
        <v>1823</v>
      </c>
      <c r="G100" s="1274">
        <v>1620</v>
      </c>
      <c r="H100" s="1273">
        <f t="shared" si="5"/>
        <v>88.864509051014807</v>
      </c>
    </row>
    <row r="101" spans="1:8" ht="14.25" x14ac:dyDescent="0.2">
      <c r="A101" s="2288"/>
      <c r="B101" s="2287"/>
      <c r="C101" s="1281" t="s">
        <v>1960</v>
      </c>
      <c r="D101" s="1287" t="s">
        <v>1621</v>
      </c>
      <c r="E101" s="2286">
        <v>112</v>
      </c>
      <c r="F101" s="1275">
        <v>201</v>
      </c>
      <c r="G101" s="1274">
        <v>125</v>
      </c>
      <c r="H101" s="1273">
        <f t="shared" si="5"/>
        <v>62.189054726368155</v>
      </c>
    </row>
    <row r="102" spans="1:8" ht="15" x14ac:dyDescent="0.25">
      <c r="A102" s="2288">
        <v>6113</v>
      </c>
      <c r="B102" s="2287">
        <v>5171</v>
      </c>
      <c r="C102" s="1281"/>
      <c r="D102" s="2309" t="s">
        <v>811</v>
      </c>
      <c r="E102" s="2293">
        <v>10</v>
      </c>
      <c r="F102" s="1284">
        <v>10</v>
      </c>
      <c r="G102" s="1283">
        <v>1</v>
      </c>
      <c r="H102" s="1282">
        <f t="shared" si="5"/>
        <v>10</v>
      </c>
    </row>
    <row r="103" spans="1:8" ht="14.25" x14ac:dyDescent="0.2">
      <c r="A103" s="2288"/>
      <c r="B103" s="2287"/>
      <c r="C103" s="1281" t="s">
        <v>1959</v>
      </c>
      <c r="D103" s="2300" t="s">
        <v>1442</v>
      </c>
      <c r="E103" s="2286">
        <v>10</v>
      </c>
      <c r="F103" s="1275">
        <v>10</v>
      </c>
      <c r="G103" s="1274">
        <v>1</v>
      </c>
      <c r="H103" s="1273">
        <f t="shared" si="5"/>
        <v>10</v>
      </c>
    </row>
    <row r="104" spans="1:8" ht="15" x14ac:dyDescent="0.25">
      <c r="A104" s="2288">
        <v>6113</v>
      </c>
      <c r="B104" s="2287">
        <v>5175</v>
      </c>
      <c r="C104" s="1281"/>
      <c r="D104" s="2309" t="s">
        <v>605</v>
      </c>
      <c r="E104" s="2293">
        <f>E105+E106+E107</f>
        <v>738</v>
      </c>
      <c r="F104" s="2293">
        <f>F105+F106+F107</f>
        <v>1165</v>
      </c>
      <c r="G104" s="2293">
        <f>G105+G106+G107</f>
        <v>882</v>
      </c>
      <c r="H104" s="1282">
        <f t="shared" si="5"/>
        <v>75.708154506437765</v>
      </c>
    </row>
    <row r="105" spans="1:8" s="1256" customFormat="1" ht="17.25" customHeight="1" x14ac:dyDescent="0.35">
      <c r="A105" s="2288"/>
      <c r="B105" s="2287"/>
      <c r="C105" s="1281" t="s">
        <v>1958</v>
      </c>
      <c r="D105" s="2300" t="s">
        <v>1441</v>
      </c>
      <c r="E105" s="2286">
        <v>100</v>
      </c>
      <c r="F105" s="2286">
        <v>230</v>
      </c>
      <c r="G105" s="2286">
        <v>143</v>
      </c>
      <c r="H105" s="1273">
        <f t="shared" si="5"/>
        <v>62.173913043478258</v>
      </c>
    </row>
    <row r="106" spans="1:8" ht="14.25" x14ac:dyDescent="0.2">
      <c r="A106" s="2288"/>
      <c r="B106" s="2287"/>
      <c r="C106" s="1281" t="s">
        <v>1959</v>
      </c>
      <c r="D106" s="2300" t="s">
        <v>1442</v>
      </c>
      <c r="E106" s="2286">
        <v>600</v>
      </c>
      <c r="F106" s="1275">
        <v>900</v>
      </c>
      <c r="G106" s="1274">
        <v>718</v>
      </c>
      <c r="H106" s="2630">
        <f t="shared" si="5"/>
        <v>79.777777777777786</v>
      </c>
    </row>
    <row r="107" spans="1:8" ht="14.25" x14ac:dyDescent="0.2">
      <c r="A107" s="2288"/>
      <c r="B107" s="2287"/>
      <c r="C107" s="1281" t="s">
        <v>1960</v>
      </c>
      <c r="D107" s="1287" t="s">
        <v>1621</v>
      </c>
      <c r="E107" s="2286">
        <v>38</v>
      </c>
      <c r="F107" s="1275">
        <v>35</v>
      </c>
      <c r="G107" s="1274">
        <v>21</v>
      </c>
      <c r="H107" s="2630">
        <f t="shared" si="5"/>
        <v>60</v>
      </c>
    </row>
    <row r="108" spans="1:8" ht="15" x14ac:dyDescent="0.25">
      <c r="A108" s="2288">
        <v>6113</v>
      </c>
      <c r="B108" s="2287">
        <v>5189</v>
      </c>
      <c r="C108" s="1281"/>
      <c r="D108" s="1285" t="s">
        <v>782</v>
      </c>
      <c r="E108" s="2293">
        <v>70</v>
      </c>
      <c r="F108" s="1284">
        <v>70</v>
      </c>
      <c r="G108" s="1283">
        <v>0</v>
      </c>
      <c r="H108" s="2616">
        <f t="shared" si="5"/>
        <v>0</v>
      </c>
    </row>
    <row r="109" spans="1:8" ht="15" x14ac:dyDescent="0.25">
      <c r="A109" s="2288">
        <v>6113</v>
      </c>
      <c r="B109" s="2287">
        <v>5194</v>
      </c>
      <c r="C109" s="1281"/>
      <c r="D109" s="1285" t="s">
        <v>544</v>
      </c>
      <c r="E109" s="2293">
        <v>140</v>
      </c>
      <c r="F109" s="1284">
        <v>140</v>
      </c>
      <c r="G109" s="1283">
        <v>140</v>
      </c>
      <c r="H109" s="1282">
        <f t="shared" si="5"/>
        <v>100</v>
      </c>
    </row>
    <row r="110" spans="1:8" ht="14.25" x14ac:dyDescent="0.2">
      <c r="A110" s="2288"/>
      <c r="B110" s="2287"/>
      <c r="C110" s="1281" t="s">
        <v>1959</v>
      </c>
      <c r="D110" s="2300" t="s">
        <v>1442</v>
      </c>
      <c r="E110" s="2286">
        <v>140</v>
      </c>
      <c r="F110" s="1275">
        <v>140</v>
      </c>
      <c r="G110" s="1274">
        <v>140</v>
      </c>
      <c r="H110" s="2630">
        <f t="shared" si="5"/>
        <v>100</v>
      </c>
    </row>
    <row r="111" spans="1:8" ht="15" x14ac:dyDescent="0.25">
      <c r="A111" s="2591">
        <v>6113</v>
      </c>
      <c r="B111" s="2590">
        <v>5229</v>
      </c>
      <c r="C111" s="1281"/>
      <c r="D111" s="2631" t="s">
        <v>1019</v>
      </c>
      <c r="E111" s="2293">
        <v>800</v>
      </c>
      <c r="F111" s="1283">
        <v>800</v>
      </c>
      <c r="G111" s="1283">
        <v>800</v>
      </c>
      <c r="H111" s="2616">
        <f t="shared" si="5"/>
        <v>100</v>
      </c>
    </row>
    <row r="112" spans="1:8" ht="14.25" x14ac:dyDescent="0.2">
      <c r="A112" s="2591"/>
      <c r="B112" s="2590"/>
      <c r="C112" s="1281" t="s">
        <v>1958</v>
      </c>
      <c r="D112" s="2300" t="s">
        <v>1441</v>
      </c>
      <c r="E112" s="2286">
        <v>800</v>
      </c>
      <c r="F112" s="1274">
        <v>800</v>
      </c>
      <c r="G112" s="1274">
        <v>800</v>
      </c>
      <c r="H112" s="2630">
        <f t="shared" si="5"/>
        <v>100</v>
      </c>
    </row>
    <row r="113" spans="1:9" ht="15" x14ac:dyDescent="0.25">
      <c r="A113" s="2591">
        <v>6172</v>
      </c>
      <c r="B113" s="2590">
        <v>5139</v>
      </c>
      <c r="C113" s="1281"/>
      <c r="D113" s="2309" t="s">
        <v>692</v>
      </c>
      <c r="E113" s="2293">
        <v>1050</v>
      </c>
      <c r="F113" s="1283">
        <v>959</v>
      </c>
      <c r="G113" s="1283">
        <v>589</v>
      </c>
      <c r="H113" s="2616">
        <f t="shared" si="5"/>
        <v>61.418143899895725</v>
      </c>
    </row>
    <row r="114" spans="1:9" ht="14.25" x14ac:dyDescent="0.2">
      <c r="A114" s="2591"/>
      <c r="B114" s="2590"/>
      <c r="C114" s="1281" t="s">
        <v>1957</v>
      </c>
      <c r="D114" s="1287" t="s">
        <v>1440</v>
      </c>
      <c r="E114" s="2286">
        <v>1050</v>
      </c>
      <c r="F114" s="1274">
        <v>959</v>
      </c>
      <c r="G114" s="1274">
        <v>589</v>
      </c>
      <c r="H114" s="2630">
        <f t="shared" si="5"/>
        <v>61.418143899895725</v>
      </c>
    </row>
    <row r="115" spans="1:9" ht="15" x14ac:dyDescent="0.25">
      <c r="A115" s="2591">
        <v>6172</v>
      </c>
      <c r="B115" s="2590">
        <v>5169</v>
      </c>
      <c r="C115" s="1281"/>
      <c r="D115" s="2617" t="s">
        <v>769</v>
      </c>
      <c r="E115" s="2293">
        <v>265</v>
      </c>
      <c r="F115" s="2293">
        <v>265</v>
      </c>
      <c r="G115" s="2293">
        <v>241</v>
      </c>
      <c r="H115" s="2616">
        <f t="shared" si="5"/>
        <v>90.943396226415103</v>
      </c>
    </row>
    <row r="116" spans="1:9" ht="14.25" x14ac:dyDescent="0.2">
      <c r="A116" s="2591"/>
      <c r="B116" s="2590"/>
      <c r="C116" s="1281" t="s">
        <v>1957</v>
      </c>
      <c r="D116" s="1287" t="s">
        <v>1440</v>
      </c>
      <c r="E116" s="2286">
        <v>265</v>
      </c>
      <c r="F116" s="1274">
        <v>265</v>
      </c>
      <c r="G116" s="1274">
        <v>241</v>
      </c>
      <c r="H116" s="2630">
        <f t="shared" si="5"/>
        <v>90.943396226415103</v>
      </c>
    </row>
    <row r="117" spans="1:9" ht="15" x14ac:dyDescent="0.25">
      <c r="A117" s="2591">
        <v>6172</v>
      </c>
      <c r="B117" s="2590">
        <v>5175</v>
      </c>
      <c r="C117" s="1281"/>
      <c r="D117" s="2309" t="s">
        <v>605</v>
      </c>
      <c r="E117" s="2293">
        <v>100</v>
      </c>
      <c r="F117" s="2293">
        <v>20</v>
      </c>
      <c r="G117" s="2293">
        <v>2</v>
      </c>
      <c r="H117" s="2616">
        <f t="shared" si="5"/>
        <v>10</v>
      </c>
    </row>
    <row r="118" spans="1:9" ht="14.25" x14ac:dyDescent="0.2">
      <c r="A118" s="2591"/>
      <c r="B118" s="2590"/>
      <c r="C118" s="1281" t="s">
        <v>1957</v>
      </c>
      <c r="D118" s="1287" t="s">
        <v>1440</v>
      </c>
      <c r="E118" s="2286">
        <v>100</v>
      </c>
      <c r="F118" s="1274">
        <v>20</v>
      </c>
      <c r="G118" s="1274">
        <v>2</v>
      </c>
      <c r="H118" s="2630">
        <f t="shared" si="5"/>
        <v>10</v>
      </c>
    </row>
    <row r="119" spans="1:9" ht="15.75" thickBot="1" x14ac:dyDescent="0.3">
      <c r="A119" s="2591">
        <v>6409</v>
      </c>
      <c r="B119" s="2590">
        <v>5169</v>
      </c>
      <c r="C119" s="1281"/>
      <c r="D119" s="2617" t="s">
        <v>769</v>
      </c>
      <c r="E119" s="2293">
        <v>5500</v>
      </c>
      <c r="F119" s="1283">
        <v>5500</v>
      </c>
      <c r="G119" s="1283">
        <v>5445</v>
      </c>
      <c r="H119" s="2616">
        <f t="shared" si="5"/>
        <v>99</v>
      </c>
    </row>
    <row r="120" spans="1:9" ht="32.25" customHeight="1" thickTop="1" thickBot="1" x14ac:dyDescent="0.35">
      <c r="A120" s="2270" t="s">
        <v>225</v>
      </c>
      <c r="B120" s="2588"/>
      <c r="C120" s="2611"/>
      <c r="D120" s="2586"/>
      <c r="E120" s="1268">
        <f>E10+E17+E20+E23+E28+E31+E42+E50+E57+E62+E76+E79+E83+E84+E87+E88+E92+E97+E102+E104+E108+E109+E111+E113+E115+E117+E119+E81</f>
        <v>39103</v>
      </c>
      <c r="F120" s="1268">
        <f>F10+F12+F14+F17+F20+F23+F26+F28+F31+F36+F40+F42+F48+F50+F57+F62+F64+F67+F74+F76+F79+F83+F84+F87+F88+F92+F94+F97+F102+F104+F108+F109+F111+F113+F115+F117+F119+F81</f>
        <v>40502</v>
      </c>
      <c r="G120" s="1268">
        <f>G10+G12+G14+G17+G20+G23+G26+G28+G31+G36+G40+G42+G48+G50+G57+G62+G64+G67+G74+G76+G79+G83+G84+G87+G88+G92+G94+G97+G102+G104+G108+G109+G111+G113+G115+G117+G119+G81</f>
        <v>37150</v>
      </c>
      <c r="H120" s="2390">
        <f>G120/F120*100</f>
        <v>91.723865488124048</v>
      </c>
    </row>
    <row r="121" spans="1:9" ht="13.5" thickTop="1" x14ac:dyDescent="0.2"/>
    <row r="127" spans="1:9" ht="18" x14ac:dyDescent="0.25">
      <c r="A127" s="1312" t="s">
        <v>1120</v>
      </c>
      <c r="B127" s="1311"/>
      <c r="C127" s="1310"/>
      <c r="D127" s="1309"/>
      <c r="E127" s="1308"/>
      <c r="F127" s="2102"/>
      <c r="G127" s="1307"/>
      <c r="H127" s="1306"/>
    </row>
    <row r="128" spans="1:9" ht="13.5" thickBot="1" x14ac:dyDescent="0.25">
      <c r="A128" s="1305"/>
      <c r="B128" s="1305"/>
      <c r="C128" s="1304"/>
      <c r="E128" s="1254"/>
      <c r="F128" s="1303"/>
      <c r="G128" s="1254"/>
      <c r="H128" s="1253" t="s">
        <v>148</v>
      </c>
      <c r="I128" s="1298"/>
    </row>
    <row r="129" spans="1:12" s="1298" customFormat="1" ht="20.25" customHeight="1" thickTop="1" thickBot="1" x14ac:dyDescent="0.25">
      <c r="A129" s="1302" t="s">
        <v>149</v>
      </c>
      <c r="B129" s="1301" t="s">
        <v>150</v>
      </c>
      <c r="C129" s="1300" t="s">
        <v>639</v>
      </c>
      <c r="D129" s="1299" t="s">
        <v>151</v>
      </c>
      <c r="E129" s="1324" t="s">
        <v>569</v>
      </c>
      <c r="F129" s="1324" t="s">
        <v>570</v>
      </c>
      <c r="G129" s="2198" t="s">
        <v>797</v>
      </c>
      <c r="H129" s="2238" t="s">
        <v>798</v>
      </c>
      <c r="I129" s="1249"/>
    </row>
    <row r="130" spans="1:12" s="1292" customFormat="1" ht="13.5" thickTop="1" thickBot="1" x14ac:dyDescent="0.25">
      <c r="A130" s="1297">
        <v>1</v>
      </c>
      <c r="B130" s="1296">
        <v>2</v>
      </c>
      <c r="C130" s="1296">
        <v>3</v>
      </c>
      <c r="D130" s="1296">
        <v>4</v>
      </c>
      <c r="E130" s="1296">
        <v>5</v>
      </c>
      <c r="F130" s="1295">
        <v>6</v>
      </c>
      <c r="G130" s="1295">
        <v>7</v>
      </c>
      <c r="H130" s="1294" t="s">
        <v>54</v>
      </c>
      <c r="I130" s="1293"/>
    </row>
    <row r="131" spans="1:12" s="1292" customFormat="1" ht="15.75" thickTop="1" x14ac:dyDescent="0.25">
      <c r="A131" s="2288">
        <v>2143</v>
      </c>
      <c r="B131" s="2287">
        <v>6111</v>
      </c>
      <c r="C131" s="1281"/>
      <c r="D131" s="2309" t="s">
        <v>812</v>
      </c>
      <c r="E131" s="2286"/>
      <c r="F131" s="1284">
        <v>400</v>
      </c>
      <c r="G131" s="1283">
        <v>0</v>
      </c>
      <c r="H131" s="1282">
        <f>(G131/F131)*100</f>
        <v>0</v>
      </c>
      <c r="I131" s="1293"/>
    </row>
    <row r="132" spans="1:12" s="1292" customFormat="1" ht="14.25" x14ac:dyDescent="0.2">
      <c r="A132" s="2288"/>
      <c r="B132" s="2287"/>
      <c r="C132" s="1281" t="s">
        <v>1956</v>
      </c>
      <c r="D132" s="1287" t="s">
        <v>1302</v>
      </c>
      <c r="E132" s="2286"/>
      <c r="F132" s="1275">
        <v>400</v>
      </c>
      <c r="G132" s="1274">
        <v>0</v>
      </c>
      <c r="H132" s="1273">
        <f>(G132/F132)*100</f>
        <v>0</v>
      </c>
      <c r="I132" s="1293"/>
    </row>
    <row r="133" spans="1:12" s="1292" customFormat="1" ht="15" x14ac:dyDescent="0.25">
      <c r="A133" s="2288">
        <v>2143</v>
      </c>
      <c r="B133" s="2287">
        <v>6322</v>
      </c>
      <c r="C133" s="1281"/>
      <c r="D133" s="2617" t="s">
        <v>1616</v>
      </c>
      <c r="E133" s="2293"/>
      <c r="F133" s="1284">
        <v>200</v>
      </c>
      <c r="G133" s="1283">
        <v>200</v>
      </c>
      <c r="H133" s="1282">
        <f>(G133/F133)*100</f>
        <v>100</v>
      </c>
      <c r="I133" s="1293"/>
    </row>
    <row r="134" spans="1:12" s="1292" customFormat="1" ht="15" thickBot="1" x14ac:dyDescent="0.25">
      <c r="A134" s="2288"/>
      <c r="B134" s="2287"/>
      <c r="C134" s="1281" t="s">
        <v>1787</v>
      </c>
      <c r="D134" s="2629" t="s">
        <v>1955</v>
      </c>
      <c r="E134" s="2286"/>
      <c r="F134" s="1275">
        <v>200</v>
      </c>
      <c r="G134" s="1274">
        <v>200</v>
      </c>
      <c r="H134" s="1273">
        <f>(G134/F134)*100</f>
        <v>100</v>
      </c>
      <c r="I134" s="1293"/>
    </row>
    <row r="135" spans="1:12" s="1266" customFormat="1" ht="35.25" customHeight="1" thickTop="1" thickBot="1" x14ac:dyDescent="0.3">
      <c r="A135" s="1272" t="s">
        <v>224</v>
      </c>
      <c r="B135" s="1271"/>
      <c r="C135" s="1270"/>
      <c r="D135" s="1269"/>
      <c r="E135" s="1268">
        <v>0</v>
      </c>
      <c r="F135" s="1268">
        <f>F131+F133</f>
        <v>600</v>
      </c>
      <c r="G135" s="1268">
        <f>G131+G133</f>
        <v>200</v>
      </c>
      <c r="H135" s="1267">
        <f>(G135/F135)*100</f>
        <v>33.333333333333329</v>
      </c>
      <c r="I135" s="1249"/>
    </row>
    <row r="136" spans="1:12" ht="13.5" thickTop="1" x14ac:dyDescent="0.2"/>
    <row r="141" spans="1:12" ht="15" customHeight="1" x14ac:dyDescent="0.25">
      <c r="A141" s="3183" t="s">
        <v>1443</v>
      </c>
      <c r="B141" s="3184"/>
      <c r="C141" s="3184"/>
      <c r="D141" s="3184"/>
      <c r="E141" s="2580">
        <f>E143+E144+E145+E146</f>
        <v>39103</v>
      </c>
      <c r="F141" s="2580">
        <f>F143+F144+F145+F146</f>
        <v>41102</v>
      </c>
      <c r="G141" s="2580">
        <f>G143+G144+G145+G146</f>
        <v>37350</v>
      </c>
      <c r="H141" s="2579">
        <f>G141/F141*100</f>
        <v>90.871490438421489</v>
      </c>
      <c r="J141" s="2164">
        <f>J143+J144+J145+J146</f>
        <v>39103000</v>
      </c>
      <c r="K141" s="2164">
        <f>K143+K144+K145+K146</f>
        <v>41102000</v>
      </c>
      <c r="L141" s="2164">
        <f>L143+L144+L145+L146</f>
        <v>37349652.700000003</v>
      </c>
    </row>
    <row r="142" spans="1:12" ht="15" customHeight="1" x14ac:dyDescent="0.25">
      <c r="A142" s="3184"/>
      <c r="B142" s="3184"/>
      <c r="C142" s="3184"/>
      <c r="D142" s="3184"/>
      <c r="E142" s="2580"/>
      <c r="F142" s="2580"/>
      <c r="G142" s="2580"/>
      <c r="H142" s="2579"/>
      <c r="J142" s="2333"/>
      <c r="K142" s="2333"/>
      <c r="L142" s="2333"/>
    </row>
    <row r="143" spans="1:12" ht="15" x14ac:dyDescent="0.2">
      <c r="A143" s="1263" t="s">
        <v>242</v>
      </c>
      <c r="B143" s="1265"/>
      <c r="C143" s="1261"/>
      <c r="D143" s="1261"/>
      <c r="E143" s="1260">
        <f>E120</f>
        <v>39103</v>
      </c>
      <c r="F143" s="1260">
        <f>F120</f>
        <v>40502</v>
      </c>
      <c r="G143" s="1260">
        <f>G120</f>
        <v>37150</v>
      </c>
      <c r="H143" s="2577">
        <f>G143/F143*100</f>
        <v>91.723865488124048</v>
      </c>
      <c r="J143" s="2333">
        <v>39103000</v>
      </c>
      <c r="K143" s="2333">
        <v>40502000</v>
      </c>
      <c r="L143" s="2333">
        <v>37149652.700000003</v>
      </c>
    </row>
    <row r="144" spans="1:12" ht="15" x14ac:dyDescent="0.2">
      <c r="A144" s="1263" t="s">
        <v>243</v>
      </c>
      <c r="B144" s="1262"/>
      <c r="C144" s="1261"/>
      <c r="D144" s="1261"/>
      <c r="E144" s="2578">
        <f>E135</f>
        <v>0</v>
      </c>
      <c r="F144" s="2578">
        <f>F135</f>
        <v>600</v>
      </c>
      <c r="G144" s="2578">
        <f>G135</f>
        <v>200</v>
      </c>
      <c r="H144" s="2577">
        <f>G144/F144*100</f>
        <v>33.333333333333329</v>
      </c>
      <c r="J144" s="2333">
        <v>0</v>
      </c>
      <c r="K144" s="2333">
        <v>600000</v>
      </c>
      <c r="L144" s="2333">
        <v>200000</v>
      </c>
    </row>
    <row r="145" spans="1:12" ht="15" x14ac:dyDescent="0.2">
      <c r="A145" s="1263" t="s">
        <v>191</v>
      </c>
      <c r="B145" s="1262"/>
      <c r="C145" s="1261"/>
      <c r="D145" s="1261"/>
      <c r="E145" s="1260">
        <v>0</v>
      </c>
      <c r="F145" s="1264">
        <v>0</v>
      </c>
      <c r="G145" s="1264">
        <v>0</v>
      </c>
      <c r="H145" s="2577">
        <v>0</v>
      </c>
      <c r="J145" s="2333">
        <v>0</v>
      </c>
      <c r="K145" s="2333">
        <v>0</v>
      </c>
      <c r="L145" s="2333">
        <v>0</v>
      </c>
    </row>
    <row r="146" spans="1:12" ht="15" x14ac:dyDescent="0.2">
      <c r="A146" s="1263" t="s">
        <v>1034</v>
      </c>
      <c r="B146" s="1262"/>
      <c r="C146" s="1261"/>
      <c r="D146" s="1261"/>
      <c r="E146" s="1260">
        <v>0</v>
      </c>
      <c r="F146" s="1260">
        <v>0</v>
      </c>
      <c r="G146" s="1260">
        <v>0</v>
      </c>
      <c r="H146" s="2577">
        <v>0</v>
      </c>
      <c r="J146" s="2333">
        <v>0</v>
      </c>
      <c r="K146" s="2333">
        <v>0</v>
      </c>
      <c r="L146" s="2333">
        <v>0</v>
      </c>
    </row>
    <row r="147" spans="1:12" ht="15" x14ac:dyDescent="0.25">
      <c r="A147" s="2576"/>
      <c r="B147" s="2576"/>
      <c r="C147" s="2575"/>
      <c r="D147" s="2167"/>
      <c r="E147" s="2574"/>
      <c r="F147" s="1275"/>
      <c r="G147" s="1275"/>
      <c r="H147" s="2573"/>
      <c r="I147" s="1254"/>
      <c r="J147" s="2333"/>
      <c r="K147" s="2333"/>
      <c r="L147" s="2333"/>
    </row>
    <row r="148" spans="1:12" ht="18" x14ac:dyDescent="0.25">
      <c r="A148" s="2572"/>
      <c r="B148" s="2572"/>
      <c r="C148" s="2571"/>
      <c r="D148" s="2570"/>
      <c r="E148" s="2569"/>
      <c r="F148" s="2568"/>
      <c r="G148" s="2567"/>
      <c r="H148" s="2566"/>
      <c r="I148" s="1254"/>
      <c r="J148" s="2333"/>
      <c r="K148" s="2333"/>
      <c r="L148" s="2333"/>
    </row>
    <row r="149" spans="1:12" s="2561" customFormat="1" ht="37.5" customHeight="1" thickBot="1" x14ac:dyDescent="0.4">
      <c r="A149" s="3186" t="s">
        <v>1444</v>
      </c>
      <c r="B149" s="3187"/>
      <c r="C149" s="3187"/>
      <c r="D149" s="3187"/>
      <c r="E149" s="2565">
        <f>E141</f>
        <v>39103</v>
      </c>
      <c r="F149" s="2565">
        <f>F141</f>
        <v>41102</v>
      </c>
      <c r="G149" s="2565">
        <f>G141</f>
        <v>37350</v>
      </c>
      <c r="H149" s="2564">
        <f>(G149/F149)*100</f>
        <v>90.871490438421489</v>
      </c>
      <c r="I149" s="2563"/>
      <c r="J149" s="2628">
        <f>J141</f>
        <v>39103000</v>
      </c>
      <c r="K149" s="2628">
        <f>K141</f>
        <v>41102000</v>
      </c>
      <c r="L149" s="2628">
        <f>L141</f>
        <v>37349652.700000003</v>
      </c>
    </row>
    <row r="150" spans="1:12" ht="13.5" thickTop="1" x14ac:dyDescent="0.2"/>
  </sheetData>
  <mergeCells count="6">
    <mergeCell ref="A141:D142"/>
    <mergeCell ref="A149:D149"/>
    <mergeCell ref="D19:D20"/>
    <mergeCell ref="D52:D54"/>
    <mergeCell ref="D64:D65"/>
    <mergeCell ref="D93:D94"/>
  </mergeCells>
  <pageMargins left="0.98425196850393704" right="0.98425196850393704" top="0.98425196850393704" bottom="0.98425196850393704" header="0.51181102362204722" footer="0.51181102362204722"/>
  <pageSetup paperSize="9" scale="70" firstPageNumber="110" orientation="portrait" useFirstPageNumber="1" r:id="rId1"/>
  <headerFooter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473)&amp;"Arial,Obyčejné"
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63"/>
  <sheetViews>
    <sheetView showGridLines="0" view="pageBreakPreview" zoomScaleNormal="100" zoomScaleSheetLayoutView="100" workbookViewId="0">
      <selection activeCell="A55" sqref="A55"/>
    </sheetView>
  </sheetViews>
  <sheetFormatPr defaultColWidth="9.140625" defaultRowHeight="12.75" x14ac:dyDescent="0.2"/>
  <cols>
    <col min="1" max="1" width="5.7109375" style="1249" customWidth="1"/>
    <col min="2" max="2" width="5.5703125" style="1249" customWidth="1"/>
    <col min="3" max="3" width="9.85546875" style="1249" customWidth="1"/>
    <col min="4" max="4" width="47.42578125" style="1249" customWidth="1"/>
    <col min="5" max="5" width="14.85546875" style="1249" customWidth="1"/>
    <col min="6" max="6" width="14" style="1249" customWidth="1"/>
    <col min="7" max="7" width="13.28515625" style="1249" customWidth="1"/>
    <col min="8" max="8" width="9.140625" style="2203" customWidth="1"/>
    <col min="9" max="9" width="9.140625" style="1249"/>
    <col min="10" max="10" width="13.7109375" style="1249" bestFit="1" customWidth="1"/>
    <col min="11" max="11" width="15.140625" style="1249" customWidth="1"/>
    <col min="12" max="12" width="13.7109375" style="1249" customWidth="1"/>
    <col min="13" max="16384" width="9.140625" style="1249"/>
  </cols>
  <sheetData>
    <row r="1" spans="1:12" ht="21.75" customHeight="1" thickBot="1" x14ac:dyDescent="0.3">
      <c r="A1" s="1342" t="s">
        <v>1993</v>
      </c>
      <c r="B1" s="1341"/>
      <c r="C1" s="1341"/>
      <c r="D1" s="1340"/>
      <c r="E1" s="1339"/>
      <c r="F1" s="1338" t="s">
        <v>1992</v>
      </c>
      <c r="G1" s="1254"/>
      <c r="I1" s="1307"/>
    </row>
    <row r="2" spans="1:12" ht="12.75" customHeight="1" x14ac:dyDescent="0.25">
      <c r="A2" s="1335"/>
      <c r="B2" s="1311"/>
      <c r="C2" s="1311"/>
      <c r="D2" s="1334"/>
      <c r="E2" s="1308"/>
      <c r="F2" s="1308"/>
      <c r="G2" s="2102"/>
      <c r="H2" s="2384"/>
      <c r="I2" s="1307"/>
    </row>
    <row r="3" spans="1:12" ht="12.75" customHeight="1" x14ac:dyDescent="0.25">
      <c r="A3" s="1337" t="s">
        <v>336</v>
      </c>
      <c r="B3" s="1311"/>
      <c r="C3" s="2619" t="s">
        <v>1884</v>
      </c>
      <c r="D3" s="1336"/>
      <c r="E3" s="1308"/>
      <c r="F3" s="2102"/>
      <c r="G3" s="1307"/>
      <c r="H3" s="2384"/>
    </row>
    <row r="4" spans="1:12" ht="16.5" customHeight="1" x14ac:dyDescent="0.25">
      <c r="A4" s="1335"/>
      <c r="B4" s="1311"/>
      <c r="C4" s="2141" t="s">
        <v>1991</v>
      </c>
      <c r="D4" s="1254"/>
      <c r="E4" s="1308"/>
      <c r="F4" s="2102"/>
      <c r="G4" s="1307"/>
      <c r="H4" s="2384"/>
    </row>
    <row r="5" spans="1:12" ht="12.75" customHeight="1" x14ac:dyDescent="0.25">
      <c r="A5" s="1335"/>
      <c r="B5" s="1311"/>
      <c r="C5" s="1311"/>
      <c r="D5" s="1334"/>
      <c r="E5" s="1308"/>
      <c r="F5" s="1308"/>
      <c r="G5" s="2102"/>
      <c r="H5" s="2384"/>
      <c r="I5" s="1307"/>
    </row>
    <row r="6" spans="1:12" ht="18" x14ac:dyDescent="0.25">
      <c r="A6" s="1312" t="s">
        <v>799</v>
      </c>
      <c r="B6" s="1311"/>
      <c r="C6" s="1311"/>
      <c r="D6" s="1334"/>
      <c r="E6" s="1308"/>
      <c r="F6" s="1308"/>
      <c r="G6" s="2102"/>
      <c r="H6" s="2384"/>
      <c r="I6" s="1307"/>
    </row>
    <row r="7" spans="1:12" ht="13.5" thickBot="1" x14ac:dyDescent="0.25">
      <c r="A7" s="1305"/>
      <c r="B7" s="1305"/>
      <c r="C7" s="1305"/>
      <c r="D7" s="1325"/>
      <c r="E7" s="1254"/>
      <c r="F7" s="1254"/>
      <c r="G7" s="1303"/>
      <c r="H7" s="2465" t="s">
        <v>148</v>
      </c>
    </row>
    <row r="8" spans="1:12" s="1298" customFormat="1" ht="20.25" customHeight="1" thickTop="1" thickBot="1" x14ac:dyDescent="0.25">
      <c r="A8" s="1302" t="s">
        <v>149</v>
      </c>
      <c r="B8" s="1301" t="s">
        <v>150</v>
      </c>
      <c r="C8" s="2557" t="s">
        <v>639</v>
      </c>
      <c r="D8" s="1324" t="s">
        <v>151</v>
      </c>
      <c r="E8" s="1324" t="s">
        <v>569</v>
      </c>
      <c r="F8" s="1324" t="s">
        <v>570</v>
      </c>
      <c r="G8" s="2198" t="s">
        <v>797</v>
      </c>
      <c r="H8" s="2238" t="s">
        <v>798</v>
      </c>
    </row>
    <row r="9" spans="1:12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6">
        <v>5</v>
      </c>
      <c r="F9" s="1295">
        <v>6</v>
      </c>
      <c r="G9" s="1295">
        <v>7</v>
      </c>
      <c r="H9" s="1294" t="s">
        <v>54</v>
      </c>
      <c r="I9" s="1298"/>
    </row>
    <row r="10" spans="1:12" s="1292" customFormat="1" ht="15.75" thickTop="1" x14ac:dyDescent="0.25">
      <c r="A10" s="2288">
        <v>6172</v>
      </c>
      <c r="B10" s="2287">
        <v>5164</v>
      </c>
      <c r="C10" s="1281"/>
      <c r="D10" s="2617" t="s">
        <v>157</v>
      </c>
      <c r="E10" s="2293"/>
      <c r="F10" s="1283">
        <v>55</v>
      </c>
      <c r="G10" s="1283">
        <v>55</v>
      </c>
      <c r="H10" s="1282">
        <f>(G10/F10)*100</f>
        <v>100</v>
      </c>
      <c r="I10" s="1298"/>
    </row>
    <row r="11" spans="1:12" s="1292" customFormat="1" ht="15" x14ac:dyDescent="0.25">
      <c r="A11" s="2288">
        <v>6172</v>
      </c>
      <c r="B11" s="2287">
        <v>5166</v>
      </c>
      <c r="C11" s="1281"/>
      <c r="D11" s="2617" t="s">
        <v>607</v>
      </c>
      <c r="E11" s="2293"/>
      <c r="F11" s="1284">
        <v>406</v>
      </c>
      <c r="G11" s="1283">
        <v>406</v>
      </c>
      <c r="H11" s="1282">
        <f>(G11/F11)*100</f>
        <v>100</v>
      </c>
      <c r="I11" s="1298"/>
    </row>
    <row r="12" spans="1:12" s="1292" customFormat="1" ht="15" x14ac:dyDescent="0.25">
      <c r="A12" s="2288">
        <v>6172</v>
      </c>
      <c r="B12" s="2287">
        <v>5169</v>
      </c>
      <c r="C12" s="1281"/>
      <c r="D12" s="2617" t="s">
        <v>769</v>
      </c>
      <c r="E12" s="2293"/>
      <c r="F12" s="1284">
        <v>1</v>
      </c>
      <c r="G12" s="1283">
        <v>0</v>
      </c>
      <c r="H12" s="1282"/>
      <c r="I12" s="1298"/>
    </row>
    <row r="13" spans="1:12" s="1292" customFormat="1" ht="15.75" thickBot="1" x14ac:dyDescent="0.3">
      <c r="A13" s="2288">
        <v>6172</v>
      </c>
      <c r="B13" s="2287">
        <v>5175</v>
      </c>
      <c r="C13" s="1281"/>
      <c r="D13" s="2309" t="s">
        <v>605</v>
      </c>
      <c r="E13" s="2293"/>
      <c r="F13" s="2293">
        <v>118</v>
      </c>
      <c r="G13" s="2293">
        <v>105</v>
      </c>
      <c r="H13" s="1282">
        <f>(G13/F13)*100</f>
        <v>88.983050847457619</v>
      </c>
      <c r="I13" s="1298"/>
    </row>
    <row r="14" spans="1:12" ht="32.25" customHeight="1" thickTop="1" thickBot="1" x14ac:dyDescent="0.35">
      <c r="A14" s="2270" t="s">
        <v>225</v>
      </c>
      <c r="B14" s="2588"/>
      <c r="C14" s="2611"/>
      <c r="D14" s="2586"/>
      <c r="E14" s="1268">
        <v>0</v>
      </c>
      <c r="F14" s="1268">
        <f>F10+F11+F13+F12</f>
        <v>580</v>
      </c>
      <c r="G14" s="1268">
        <f>G10+G11+G13</f>
        <v>566</v>
      </c>
      <c r="H14" s="2390">
        <f>G14/F14*100</f>
        <v>97.586206896551715</v>
      </c>
      <c r="J14" s="2333">
        <v>0</v>
      </c>
      <c r="K14" s="2333">
        <v>580190</v>
      </c>
      <c r="L14" s="2333">
        <v>565924</v>
      </c>
    </row>
    <row r="15" spans="1:12" ht="13.5" thickTop="1" x14ac:dyDescent="0.2"/>
    <row r="18" spans="1:12" ht="15.75" x14ac:dyDescent="0.25">
      <c r="A18" s="2372" t="s">
        <v>1990</v>
      </c>
      <c r="C18" s="2641"/>
      <c r="D18" s="2237"/>
      <c r="E18" s="2368"/>
      <c r="F18" s="2369"/>
      <c r="G18" s="2368"/>
      <c r="H18" s="2118"/>
    </row>
    <row r="19" spans="1:12" ht="16.5" thickBot="1" x14ac:dyDescent="0.3">
      <c r="A19" s="2372"/>
      <c r="C19" s="2641"/>
      <c r="D19" s="2237"/>
      <c r="E19" s="2368"/>
      <c r="F19" s="2369"/>
      <c r="G19" s="2368"/>
      <c r="H19" s="2203" t="s">
        <v>148</v>
      </c>
    </row>
    <row r="20" spans="1:12" ht="14.25" thickTop="1" thickBot="1" x14ac:dyDescent="0.25">
      <c r="A20" s="1302" t="s">
        <v>149</v>
      </c>
      <c r="B20" s="1301" t="s">
        <v>150</v>
      </c>
      <c r="C20" s="2263" t="s">
        <v>639</v>
      </c>
      <c r="D20" s="1299" t="s">
        <v>151</v>
      </c>
      <c r="E20" s="1324" t="s">
        <v>569</v>
      </c>
      <c r="F20" s="1324" t="s">
        <v>570</v>
      </c>
      <c r="G20" s="2198" t="s">
        <v>797</v>
      </c>
      <c r="H20" s="2238" t="s">
        <v>798</v>
      </c>
    </row>
    <row r="21" spans="1:12" ht="14.25" thickTop="1" thickBot="1" x14ac:dyDescent="0.25">
      <c r="A21" s="1297">
        <v>1</v>
      </c>
      <c r="B21" s="1296">
        <v>2</v>
      </c>
      <c r="C21" s="1296">
        <v>3</v>
      </c>
      <c r="D21" s="1296">
        <v>4</v>
      </c>
      <c r="E21" s="1296">
        <v>5</v>
      </c>
      <c r="F21" s="1295">
        <v>6</v>
      </c>
      <c r="G21" s="1295">
        <v>7</v>
      </c>
      <c r="H21" s="1294" t="s">
        <v>54</v>
      </c>
    </row>
    <row r="22" spans="1:12" ht="15.75" thickTop="1" x14ac:dyDescent="0.25">
      <c r="A22" s="1279" t="s">
        <v>473</v>
      </c>
      <c r="B22" s="1278">
        <v>5331</v>
      </c>
      <c r="C22" s="2420"/>
      <c r="D22" s="2380" t="s">
        <v>829</v>
      </c>
      <c r="E22" s="1321"/>
      <c r="F22" s="1321">
        <f>F23+F24+F25+F26+F27+F28+F29+F30</f>
        <v>306280</v>
      </c>
      <c r="G22" s="1321">
        <f>SUM(G23:G30)</f>
        <v>306280</v>
      </c>
      <c r="H22" s="1313">
        <f t="shared" ref="H22:H31" si="0">(G22/F22)*100</f>
        <v>100</v>
      </c>
    </row>
    <row r="23" spans="1:12" ht="15" x14ac:dyDescent="0.25">
      <c r="A23" s="1279"/>
      <c r="B23" s="2353"/>
      <c r="C23" s="2420" t="s">
        <v>1811</v>
      </c>
      <c r="D23" s="2261" t="s">
        <v>630</v>
      </c>
      <c r="E23" s="2647"/>
      <c r="F23" s="1317">
        <v>62871</v>
      </c>
      <c r="G23" s="1317">
        <v>62871</v>
      </c>
      <c r="H23" s="1316">
        <f t="shared" si="0"/>
        <v>100</v>
      </c>
    </row>
    <row r="24" spans="1:12" ht="15" x14ac:dyDescent="0.25">
      <c r="A24" s="1279"/>
      <c r="B24" s="2353"/>
      <c r="C24" s="2420" t="s">
        <v>1951</v>
      </c>
      <c r="D24" s="2360" t="s">
        <v>645</v>
      </c>
      <c r="E24" s="2647"/>
      <c r="F24" s="1317">
        <v>13302</v>
      </c>
      <c r="G24" s="1317">
        <v>13302</v>
      </c>
      <c r="H24" s="1316">
        <f t="shared" si="0"/>
        <v>100</v>
      </c>
    </row>
    <row r="25" spans="1:12" ht="15" x14ac:dyDescent="0.25">
      <c r="A25" s="1279"/>
      <c r="B25" s="2353"/>
      <c r="C25" s="2420" t="s">
        <v>1812</v>
      </c>
      <c r="D25" s="2261" t="s">
        <v>63</v>
      </c>
      <c r="E25" s="2647"/>
      <c r="F25" s="1317">
        <v>227677</v>
      </c>
      <c r="G25" s="1317">
        <v>227677</v>
      </c>
      <c r="H25" s="1316">
        <f t="shared" si="0"/>
        <v>100</v>
      </c>
    </row>
    <row r="26" spans="1:12" ht="15" x14ac:dyDescent="0.25">
      <c r="A26" s="1279"/>
      <c r="B26" s="2353"/>
      <c r="C26" s="2420" t="s">
        <v>1892</v>
      </c>
      <c r="D26" s="2261" t="s">
        <v>1020</v>
      </c>
      <c r="E26" s="2647"/>
      <c r="F26" s="1317">
        <v>323</v>
      </c>
      <c r="G26" s="1317">
        <v>323</v>
      </c>
      <c r="H26" s="1316">
        <f t="shared" si="0"/>
        <v>100</v>
      </c>
    </row>
    <row r="27" spans="1:12" ht="15" x14ac:dyDescent="0.25">
      <c r="A27" s="1279"/>
      <c r="B27" s="2353"/>
      <c r="C27" s="2420" t="s">
        <v>1841</v>
      </c>
      <c r="D27" s="2261" t="s">
        <v>23</v>
      </c>
      <c r="E27" s="2647"/>
      <c r="F27" s="1317">
        <v>108</v>
      </c>
      <c r="G27" s="1274">
        <v>108</v>
      </c>
      <c r="H27" s="1316">
        <f t="shared" si="0"/>
        <v>100</v>
      </c>
    </row>
    <row r="28" spans="1:12" ht="15" x14ac:dyDescent="0.25">
      <c r="A28" s="1279"/>
      <c r="B28" s="2353"/>
      <c r="C28" s="2186" t="s">
        <v>1914</v>
      </c>
      <c r="D28" s="2360" t="s">
        <v>1080</v>
      </c>
      <c r="E28" s="2647"/>
      <c r="F28" s="1317">
        <v>222</v>
      </c>
      <c r="G28" s="1274">
        <v>222</v>
      </c>
      <c r="H28" s="1316">
        <f t="shared" si="0"/>
        <v>100</v>
      </c>
    </row>
    <row r="29" spans="1:12" ht="15" x14ac:dyDescent="0.25">
      <c r="A29" s="1279"/>
      <c r="B29" s="2353"/>
      <c r="C29" s="2420" t="s">
        <v>1817</v>
      </c>
      <c r="D29" s="2261" t="s">
        <v>1160</v>
      </c>
      <c r="E29" s="2647"/>
      <c r="F29" s="1317">
        <v>1227</v>
      </c>
      <c r="G29" s="1274">
        <v>1227</v>
      </c>
      <c r="H29" s="1316">
        <f t="shared" si="0"/>
        <v>100</v>
      </c>
    </row>
    <row r="30" spans="1:12" ht="15" thickBot="1" x14ac:dyDescent="0.25">
      <c r="A30" s="2646"/>
      <c r="B30" s="2645"/>
      <c r="C30" s="2644" t="s">
        <v>1901</v>
      </c>
      <c r="D30" s="2643" t="s">
        <v>1876</v>
      </c>
      <c r="E30" s="2304"/>
      <c r="F30" s="2303">
        <v>550</v>
      </c>
      <c r="G30" s="2303">
        <v>550</v>
      </c>
      <c r="H30" s="2497">
        <f t="shared" si="0"/>
        <v>100</v>
      </c>
    </row>
    <row r="31" spans="1:12" ht="19.5" thickTop="1" thickBot="1" x14ac:dyDescent="0.3">
      <c r="A31" s="1272" t="s">
        <v>169</v>
      </c>
      <c r="B31" s="2535"/>
      <c r="C31" s="2249"/>
      <c r="D31" s="1271"/>
      <c r="E31" s="1268">
        <f>E22</f>
        <v>0</v>
      </c>
      <c r="F31" s="1268">
        <f>F22</f>
        <v>306280</v>
      </c>
      <c r="G31" s="1268">
        <f>G22</f>
        <v>306280</v>
      </c>
      <c r="H31" s="2636">
        <f t="shared" si="0"/>
        <v>100</v>
      </c>
      <c r="J31" s="2333">
        <v>0</v>
      </c>
      <c r="K31" s="2333">
        <v>306280604</v>
      </c>
      <c r="L31" s="2333">
        <v>306280604</v>
      </c>
    </row>
    <row r="32" spans="1:12" ht="18.75" thickTop="1" x14ac:dyDescent="0.25">
      <c r="A32" s="2386"/>
      <c r="B32" s="2385"/>
      <c r="C32" s="1368"/>
      <c r="D32" s="2385"/>
      <c r="E32" s="1307"/>
      <c r="F32" s="1307"/>
      <c r="G32" s="1307"/>
      <c r="H32" s="2642"/>
    </row>
    <row r="33" spans="1:14" ht="18" x14ac:dyDescent="0.25">
      <c r="A33" s="2386"/>
      <c r="B33" s="2385"/>
      <c r="C33" s="1368"/>
      <c r="D33" s="2385"/>
      <c r="E33" s="1307"/>
      <c r="F33" s="1307"/>
      <c r="G33" s="1307"/>
      <c r="H33" s="2642"/>
    </row>
    <row r="34" spans="1:14" ht="18" x14ac:dyDescent="0.25">
      <c r="A34" s="2386"/>
      <c r="B34" s="2385"/>
      <c r="C34" s="1368"/>
      <c r="D34" s="2385"/>
      <c r="E34" s="1307"/>
      <c r="F34" s="1307"/>
      <c r="G34" s="1307"/>
      <c r="H34" s="2642"/>
    </row>
    <row r="35" spans="1:14" ht="15.75" x14ac:dyDescent="0.25">
      <c r="A35" s="2372" t="s">
        <v>1989</v>
      </c>
      <c r="C35" s="2120"/>
      <c r="E35" s="2400"/>
      <c r="F35" s="2400"/>
      <c r="G35" s="2400"/>
      <c r="H35" s="2118"/>
    </row>
    <row r="36" spans="1:14" ht="16.5" thickBot="1" x14ac:dyDescent="0.3">
      <c r="A36" s="1312"/>
      <c r="C36" s="2641"/>
      <c r="D36" s="2237"/>
      <c r="E36" s="2368"/>
      <c r="F36" s="2369"/>
      <c r="G36" s="2368"/>
      <c r="H36" s="2203" t="s">
        <v>148</v>
      </c>
    </row>
    <row r="37" spans="1:14" ht="14.25" thickTop="1" thickBot="1" x14ac:dyDescent="0.25">
      <c r="A37" s="1302" t="s">
        <v>149</v>
      </c>
      <c r="B37" s="1301" t="s">
        <v>150</v>
      </c>
      <c r="C37" s="2263" t="s">
        <v>639</v>
      </c>
      <c r="D37" s="1299" t="s">
        <v>151</v>
      </c>
      <c r="E37" s="1324" t="s">
        <v>569</v>
      </c>
      <c r="F37" s="1324" t="s">
        <v>570</v>
      </c>
      <c r="G37" s="2198" t="s">
        <v>797</v>
      </c>
      <c r="H37" s="2238" t="s">
        <v>798</v>
      </c>
    </row>
    <row r="38" spans="1:14" ht="14.25" thickTop="1" thickBot="1" x14ac:dyDescent="0.25">
      <c r="A38" s="1297">
        <v>1</v>
      </c>
      <c r="B38" s="1296">
        <v>2</v>
      </c>
      <c r="C38" s="1296">
        <v>3</v>
      </c>
      <c r="D38" s="1296">
        <v>4</v>
      </c>
      <c r="E38" s="1296">
        <v>5</v>
      </c>
      <c r="F38" s="1295">
        <v>6</v>
      </c>
      <c r="G38" s="1295">
        <v>7</v>
      </c>
      <c r="H38" s="1294" t="s">
        <v>54</v>
      </c>
    </row>
    <row r="39" spans="1:14" ht="15.75" thickTop="1" x14ac:dyDescent="0.25">
      <c r="A39" s="2460"/>
      <c r="B39" s="2517">
        <v>6351</v>
      </c>
      <c r="C39" s="2640"/>
      <c r="D39" s="2260" t="s">
        <v>561</v>
      </c>
      <c r="E39" s="2639"/>
      <c r="F39" s="2302">
        <f>SUM(F40:F41)</f>
        <v>10707</v>
      </c>
      <c r="G39" s="2302">
        <f>SUM(G40:G41)</f>
        <v>10707</v>
      </c>
      <c r="H39" s="2596">
        <f>(G39/F39)*100</f>
        <v>100</v>
      </c>
    </row>
    <row r="40" spans="1:14" ht="15" x14ac:dyDescent="0.25">
      <c r="A40" s="1279"/>
      <c r="B40" s="2638"/>
      <c r="C40" s="2420" t="s">
        <v>1951</v>
      </c>
      <c r="D40" s="2360" t="s">
        <v>645</v>
      </c>
      <c r="E40" s="2352"/>
      <c r="F40" s="1274">
        <v>9707</v>
      </c>
      <c r="G40" s="1274">
        <v>9707</v>
      </c>
      <c r="H40" s="1273">
        <f>(G40/F40)*100</f>
        <v>100</v>
      </c>
    </row>
    <row r="41" spans="1:14" ht="15.75" thickBot="1" x14ac:dyDescent="0.3">
      <c r="A41" s="1279"/>
      <c r="B41" s="2638"/>
      <c r="C41" s="1281" t="s">
        <v>1914</v>
      </c>
      <c r="D41" s="2419" t="s">
        <v>1080</v>
      </c>
      <c r="E41" s="2352"/>
      <c r="F41" s="1274">
        <v>1000</v>
      </c>
      <c r="G41" s="1274">
        <v>1000</v>
      </c>
      <c r="H41" s="1273">
        <f>(G41/F41)*100</f>
        <v>100</v>
      </c>
    </row>
    <row r="42" spans="1:14" ht="19.5" thickTop="1" thickBot="1" x14ac:dyDescent="0.3">
      <c r="A42" s="1272" t="s">
        <v>1988</v>
      </c>
      <c r="B42" s="2535"/>
      <c r="C42" s="2249"/>
      <c r="D42" s="1271"/>
      <c r="E42" s="1268">
        <f>E39</f>
        <v>0</v>
      </c>
      <c r="F42" s="2637">
        <f>F39</f>
        <v>10707</v>
      </c>
      <c r="G42" s="2637">
        <f>G39</f>
        <v>10707</v>
      </c>
      <c r="H42" s="2636">
        <f>(G42/F42)*100</f>
        <v>100</v>
      </c>
      <c r="J42" s="2333">
        <v>0</v>
      </c>
      <c r="K42" s="2333">
        <v>10706878</v>
      </c>
      <c r="L42" s="2333">
        <v>10706878</v>
      </c>
    </row>
    <row r="43" spans="1:14" ht="13.5" thickTop="1" x14ac:dyDescent="0.2"/>
    <row r="46" spans="1:14" ht="16.5" x14ac:dyDescent="0.25">
      <c r="A46" s="2145" t="s">
        <v>1987</v>
      </c>
      <c r="B46" s="2144"/>
      <c r="C46" s="2143"/>
      <c r="D46" s="2142"/>
      <c r="E46" s="1433">
        <f>SUM(E47:E50)</f>
        <v>0</v>
      </c>
      <c r="F46" s="1433">
        <f>SUM(F47:F50)</f>
        <v>580</v>
      </c>
      <c r="G46" s="1433">
        <f>SUM(G47:G50)</f>
        <v>566</v>
      </c>
      <c r="H46" s="2331">
        <f>(G46/F46)*100</f>
        <v>97.586206896551715</v>
      </c>
      <c r="J46" s="2132">
        <f>J47+J48+J49+J50</f>
        <v>0</v>
      </c>
      <c r="K46" s="2132">
        <f>K47+K48+K49+K50</f>
        <v>580190</v>
      </c>
      <c r="L46" s="2132">
        <f>L47+L48+L49+L50</f>
        <v>565924</v>
      </c>
      <c r="M46" s="1254"/>
      <c r="N46" s="1254"/>
    </row>
    <row r="47" spans="1:14" ht="15" x14ac:dyDescent="0.2">
      <c r="A47" s="1263" t="s">
        <v>242</v>
      </c>
      <c r="B47" s="1265"/>
      <c r="C47" s="1261"/>
      <c r="D47" s="1436"/>
      <c r="E47" s="1264">
        <f>E14</f>
        <v>0</v>
      </c>
      <c r="F47" s="1264">
        <f>F14</f>
        <v>580</v>
      </c>
      <c r="G47" s="1264">
        <f>G14</f>
        <v>566</v>
      </c>
      <c r="H47" s="2635">
        <f>(G47/F47)*100</f>
        <v>97.586206896551715</v>
      </c>
      <c r="J47" s="1533">
        <f>J14</f>
        <v>0</v>
      </c>
      <c r="K47" s="1533">
        <f>K14</f>
        <v>580190</v>
      </c>
      <c r="L47" s="1533">
        <f>L14</f>
        <v>565924</v>
      </c>
      <c r="M47" s="1254"/>
      <c r="N47" s="1254"/>
    </row>
    <row r="48" spans="1:14" ht="15" x14ac:dyDescent="0.2">
      <c r="A48" s="1263" t="s">
        <v>243</v>
      </c>
      <c r="B48" s="1262"/>
      <c r="C48" s="1261"/>
      <c r="D48" s="1438"/>
      <c r="E48" s="1264">
        <f>E14</f>
        <v>0</v>
      </c>
      <c r="F48" s="1264">
        <v>0</v>
      </c>
      <c r="G48" s="1264">
        <v>0</v>
      </c>
      <c r="H48" s="2635">
        <v>0</v>
      </c>
      <c r="I48" s="1254"/>
      <c r="J48" s="1533">
        <v>0</v>
      </c>
      <c r="K48" s="1533">
        <v>0</v>
      </c>
      <c r="L48" s="1533">
        <v>0</v>
      </c>
      <c r="M48" s="1254"/>
      <c r="N48" s="1254"/>
    </row>
    <row r="49" spans="1:14" ht="15" x14ac:dyDescent="0.2">
      <c r="A49" s="1263" t="s">
        <v>191</v>
      </c>
      <c r="B49" s="1262"/>
      <c r="C49" s="1261"/>
      <c r="D49" s="1438"/>
      <c r="E49" s="1264">
        <v>0</v>
      </c>
      <c r="F49" s="1264">
        <v>0</v>
      </c>
      <c r="G49" s="1264">
        <v>0</v>
      </c>
      <c r="H49" s="2635">
        <v>0</v>
      </c>
      <c r="J49" s="1533">
        <v>0</v>
      </c>
      <c r="K49" s="1533">
        <v>0</v>
      </c>
      <c r="L49" s="1533">
        <v>0</v>
      </c>
      <c r="M49" s="1254"/>
      <c r="N49" s="1254"/>
    </row>
    <row r="50" spans="1:14" ht="15" x14ac:dyDescent="0.2">
      <c r="A50" s="1263" t="s">
        <v>1034</v>
      </c>
      <c r="B50" s="1262"/>
      <c r="C50" s="1261"/>
      <c r="D50" s="1438"/>
      <c r="E50" s="1264">
        <v>0</v>
      </c>
      <c r="F50" s="1264">
        <v>0</v>
      </c>
      <c r="G50" s="1264">
        <v>0</v>
      </c>
      <c r="H50" s="2635">
        <v>0</v>
      </c>
      <c r="J50" s="1533">
        <v>0</v>
      </c>
      <c r="K50" s="1533">
        <v>0</v>
      </c>
      <c r="L50" s="1533">
        <v>0</v>
      </c>
      <c r="M50" s="2171"/>
      <c r="N50" s="2171"/>
    </row>
    <row r="51" spans="1:14" x14ac:dyDescent="0.2">
      <c r="J51" s="1533"/>
      <c r="K51" s="1533"/>
      <c r="L51" s="1533"/>
    </row>
    <row r="52" spans="1:14" x14ac:dyDescent="0.2">
      <c r="J52" s="1533"/>
      <c r="K52" s="1533"/>
      <c r="L52" s="1533"/>
    </row>
    <row r="53" spans="1:14" ht="16.5" x14ac:dyDescent="0.25">
      <c r="A53" s="2138" t="s">
        <v>244</v>
      </c>
      <c r="B53" s="1262"/>
      <c r="C53" s="1261"/>
      <c r="D53" s="1438"/>
      <c r="E53" s="1433">
        <f>SUM(E54:E57)</f>
        <v>0</v>
      </c>
      <c r="F53" s="1433">
        <f>SUM(F54:F57)</f>
        <v>316987</v>
      </c>
      <c r="G53" s="1433">
        <f>SUM(G54:G57)</f>
        <v>316987</v>
      </c>
      <c r="H53" s="2331">
        <f>(G53/F53)*100</f>
        <v>100</v>
      </c>
      <c r="J53" s="2132">
        <f>J54+J55+J56+J57</f>
        <v>0</v>
      </c>
      <c r="K53" s="2132">
        <f>K54+K55+K56+K57</f>
        <v>316987482</v>
      </c>
      <c r="L53" s="2132">
        <f>L54+L55+L56+L57</f>
        <v>316987482</v>
      </c>
    </row>
    <row r="54" spans="1:14" ht="15" x14ac:dyDescent="0.2">
      <c r="A54" s="1263" t="s">
        <v>1873</v>
      </c>
      <c r="B54" s="1262"/>
      <c r="C54" s="1261"/>
      <c r="D54" s="1438"/>
      <c r="E54" s="1264">
        <f>E31</f>
        <v>0</v>
      </c>
      <c r="F54" s="1264">
        <f>F31</f>
        <v>306280</v>
      </c>
      <c r="G54" s="1264">
        <f>G31</f>
        <v>306280</v>
      </c>
      <c r="H54" s="2635">
        <f>(G54/F54)*100</f>
        <v>100</v>
      </c>
      <c r="J54" s="1533">
        <f>J31</f>
        <v>0</v>
      </c>
      <c r="K54" s="1533">
        <f>K31</f>
        <v>306280604</v>
      </c>
      <c r="L54" s="1533">
        <f>L31</f>
        <v>306280604</v>
      </c>
      <c r="M54" s="1254"/>
      <c r="N54" s="1254"/>
    </row>
    <row r="55" spans="1:14" ht="15" x14ac:dyDescent="0.2">
      <c r="A55" s="1263" t="s">
        <v>1872</v>
      </c>
      <c r="B55" s="1262"/>
      <c r="C55" s="1261"/>
      <c r="D55" s="1438"/>
      <c r="E55" s="1264">
        <f>E42</f>
        <v>0</v>
      </c>
      <c r="F55" s="1264">
        <f>F42</f>
        <v>10707</v>
      </c>
      <c r="G55" s="1264">
        <f>G42</f>
        <v>10707</v>
      </c>
      <c r="H55" s="2635">
        <f>(G55/F55)*100</f>
        <v>100</v>
      </c>
      <c r="J55" s="1533">
        <f>J42</f>
        <v>0</v>
      </c>
      <c r="K55" s="1533">
        <f>K42</f>
        <v>10706878</v>
      </c>
      <c r="L55" s="1533">
        <f>L42</f>
        <v>10706878</v>
      </c>
    </row>
    <row r="56" spans="1:14" ht="15" x14ac:dyDescent="0.2">
      <c r="A56" s="1263" t="s">
        <v>2149</v>
      </c>
      <c r="B56" s="2121"/>
      <c r="C56" s="2120"/>
      <c r="E56" s="1264">
        <v>0</v>
      </c>
      <c r="F56" s="1264">
        <v>0</v>
      </c>
      <c r="G56" s="1264">
        <v>0</v>
      </c>
      <c r="H56" s="2635">
        <v>0</v>
      </c>
      <c r="I56" s="1254"/>
      <c r="J56" s="1533">
        <v>0</v>
      </c>
      <c r="K56" s="1533">
        <v>0</v>
      </c>
      <c r="L56" s="1533">
        <v>0</v>
      </c>
    </row>
    <row r="57" spans="1:14" ht="15" x14ac:dyDescent="0.2">
      <c r="A57" s="1263" t="s">
        <v>2150</v>
      </c>
      <c r="B57" s="2121"/>
      <c r="C57" s="2120"/>
      <c r="E57" s="1264">
        <v>0</v>
      </c>
      <c r="F57" s="1264">
        <v>0</v>
      </c>
      <c r="G57" s="1264">
        <v>0</v>
      </c>
      <c r="H57" s="2635">
        <v>0</v>
      </c>
      <c r="J57" s="1533">
        <v>0</v>
      </c>
      <c r="K57" s="1533">
        <v>0</v>
      </c>
      <c r="L57" s="1533">
        <v>0</v>
      </c>
      <c r="M57" s="1254"/>
      <c r="N57" s="1254"/>
    </row>
    <row r="58" spans="1:14" x14ac:dyDescent="0.2">
      <c r="J58" s="1533"/>
      <c r="K58" s="1533"/>
      <c r="L58" s="1533"/>
    </row>
    <row r="59" spans="1:14" x14ac:dyDescent="0.2">
      <c r="J59" s="1533"/>
      <c r="K59" s="1533"/>
      <c r="L59" s="1533"/>
    </row>
    <row r="60" spans="1:14" x14ac:dyDescent="0.2">
      <c r="J60" s="1533"/>
      <c r="K60" s="1533"/>
      <c r="L60" s="1533"/>
    </row>
    <row r="61" spans="1:14" ht="18" x14ac:dyDescent="0.25">
      <c r="A61" s="2572"/>
      <c r="B61" s="2572"/>
      <c r="C61" s="2571"/>
      <c r="D61" s="2570"/>
      <c r="E61" s="2569"/>
      <c r="F61" s="2568"/>
      <c r="G61" s="2567"/>
      <c r="H61" s="2566"/>
      <c r="I61" s="1254"/>
      <c r="J61" s="2333"/>
      <c r="K61" s="2333"/>
      <c r="L61" s="2333"/>
    </row>
    <row r="62" spans="1:14" s="2561" customFormat="1" ht="40.9" customHeight="1" thickBot="1" x14ac:dyDescent="0.4">
      <c r="A62" s="3193" t="s">
        <v>1981</v>
      </c>
      <c r="B62" s="3194"/>
      <c r="C62" s="3194"/>
      <c r="D62" s="3194"/>
      <c r="E62" s="2565">
        <f>E46+E53</f>
        <v>0</v>
      </c>
      <c r="F62" s="2565">
        <f>F46+F53</f>
        <v>317567</v>
      </c>
      <c r="G62" s="2565">
        <f>G46+G53</f>
        <v>317553</v>
      </c>
      <c r="H62" s="2564">
        <f>(G62/F62)*100</f>
        <v>99.995591481482649</v>
      </c>
      <c r="I62" s="2563"/>
      <c r="J62" s="2628">
        <f>J46+J53</f>
        <v>0</v>
      </c>
      <c r="K62" s="2628">
        <f>K46+K53</f>
        <v>317567672</v>
      </c>
      <c r="L62" s="2628">
        <f>L46+L53</f>
        <v>317553406</v>
      </c>
    </row>
    <row r="63" spans="1:14" ht="13.5" thickTop="1" x14ac:dyDescent="0.2"/>
  </sheetData>
  <mergeCells count="1">
    <mergeCell ref="A62:D62"/>
  </mergeCells>
  <pageMargins left="0.98425196850393704" right="0.98425196850393704" top="0.98425196850393704" bottom="0.98425196850393704" header="0.31496062992125984" footer="0.31496062992125984"/>
  <pageSetup paperSize="9" scale="68" firstPageNumber="113" orientation="portrait" useFirstPageNumber="1" r:id="rId1"/>
  <headerFooter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A1106"/>
  <sheetViews>
    <sheetView showGridLines="0" view="pageBreakPreview" zoomScaleNormal="100" zoomScaleSheetLayoutView="100" workbookViewId="0">
      <selection activeCell="E1066" sqref="E1066"/>
    </sheetView>
  </sheetViews>
  <sheetFormatPr defaultRowHeight="12.75" x14ac:dyDescent="0.2"/>
  <cols>
    <col min="1" max="1" width="5.7109375" style="1249" customWidth="1"/>
    <col min="2" max="2" width="5.5703125" style="2326" customWidth="1"/>
    <col min="3" max="3" width="5.28515625" style="1249" customWidth="1"/>
    <col min="4" max="4" width="9.5703125" style="2344" customWidth="1"/>
    <col min="5" max="5" width="47.28515625" style="1249" customWidth="1"/>
    <col min="6" max="6" width="14.5703125" style="1254" customWidth="1"/>
    <col min="7" max="7" width="14.28515625" style="1254" customWidth="1"/>
    <col min="8" max="8" width="11.85546875" style="1254" customWidth="1"/>
    <col min="9" max="9" width="7.42578125" style="2699" customWidth="1"/>
    <col min="10" max="15" width="0" style="1249" hidden="1" customWidth="1"/>
    <col min="16" max="16" width="2.28515625" style="1249" customWidth="1"/>
    <col min="17" max="17" width="9.140625" style="1249"/>
    <col min="18" max="18" width="9.7109375" style="1249" customWidth="1"/>
    <col min="19" max="19" width="9.5703125" style="1249" customWidth="1"/>
    <col min="20" max="20" width="15.85546875" style="1249" customWidth="1"/>
    <col min="21" max="21" width="13.7109375" style="1249" bestFit="1" customWidth="1"/>
    <col min="22" max="256" width="9.140625" style="1249"/>
    <col min="257" max="259" width="4.7109375" style="1249" customWidth="1"/>
    <col min="260" max="260" width="9" style="1249" customWidth="1"/>
    <col min="261" max="261" width="47.28515625" style="1249" customWidth="1"/>
    <col min="262" max="262" width="11.5703125" style="1249" customWidth="1"/>
    <col min="263" max="264" width="13.5703125" style="1249" customWidth="1"/>
    <col min="265" max="265" width="7.42578125" style="1249" customWidth="1"/>
    <col min="266" max="271" width="0" style="1249" hidden="1" customWidth="1"/>
    <col min="272" max="272" width="2.28515625" style="1249" customWidth="1"/>
    <col min="273" max="273" width="9.140625" style="1249"/>
    <col min="274" max="274" width="9.7109375" style="1249" customWidth="1"/>
    <col min="275" max="275" width="9.5703125" style="1249" customWidth="1"/>
    <col min="276" max="276" width="10.140625" style="1249" customWidth="1"/>
    <col min="277" max="512" width="9.140625" style="1249"/>
    <col min="513" max="515" width="4.7109375" style="1249" customWidth="1"/>
    <col min="516" max="516" width="9" style="1249" customWidth="1"/>
    <col min="517" max="517" width="47.28515625" style="1249" customWidth="1"/>
    <col min="518" max="518" width="11.5703125" style="1249" customWidth="1"/>
    <col min="519" max="520" width="13.5703125" style="1249" customWidth="1"/>
    <col min="521" max="521" width="7.42578125" style="1249" customWidth="1"/>
    <col min="522" max="527" width="0" style="1249" hidden="1" customWidth="1"/>
    <col min="528" max="528" width="2.28515625" style="1249" customWidth="1"/>
    <col min="529" max="529" width="9.140625" style="1249"/>
    <col min="530" max="530" width="9.7109375" style="1249" customWidth="1"/>
    <col min="531" max="531" width="9.5703125" style="1249" customWidth="1"/>
    <col min="532" max="532" width="10.140625" style="1249" customWidth="1"/>
    <col min="533" max="768" width="9.140625" style="1249"/>
    <col min="769" max="771" width="4.7109375" style="1249" customWidth="1"/>
    <col min="772" max="772" width="9" style="1249" customWidth="1"/>
    <col min="773" max="773" width="47.28515625" style="1249" customWidth="1"/>
    <col min="774" max="774" width="11.5703125" style="1249" customWidth="1"/>
    <col min="775" max="776" width="13.5703125" style="1249" customWidth="1"/>
    <col min="777" max="777" width="7.42578125" style="1249" customWidth="1"/>
    <col min="778" max="783" width="0" style="1249" hidden="1" customWidth="1"/>
    <col min="784" max="784" width="2.28515625" style="1249" customWidth="1"/>
    <col min="785" max="785" width="9.140625" style="1249"/>
    <col min="786" max="786" width="9.7109375" style="1249" customWidth="1"/>
    <col min="787" max="787" width="9.5703125" style="1249" customWidth="1"/>
    <col min="788" max="788" width="10.140625" style="1249" customWidth="1"/>
    <col min="789" max="1024" width="9.140625" style="1249"/>
    <col min="1025" max="1027" width="4.7109375" style="1249" customWidth="1"/>
    <col min="1028" max="1028" width="9" style="1249" customWidth="1"/>
    <col min="1029" max="1029" width="47.28515625" style="1249" customWidth="1"/>
    <col min="1030" max="1030" width="11.5703125" style="1249" customWidth="1"/>
    <col min="1031" max="1032" width="13.5703125" style="1249" customWidth="1"/>
    <col min="1033" max="1033" width="7.42578125" style="1249" customWidth="1"/>
    <col min="1034" max="1039" width="0" style="1249" hidden="1" customWidth="1"/>
    <col min="1040" max="1040" width="2.28515625" style="1249" customWidth="1"/>
    <col min="1041" max="1041" width="9.140625" style="1249"/>
    <col min="1042" max="1042" width="9.7109375" style="1249" customWidth="1"/>
    <col min="1043" max="1043" width="9.5703125" style="1249" customWidth="1"/>
    <col min="1044" max="1044" width="10.140625" style="1249" customWidth="1"/>
    <col min="1045" max="1280" width="9.140625" style="1249"/>
    <col min="1281" max="1283" width="4.7109375" style="1249" customWidth="1"/>
    <col min="1284" max="1284" width="9" style="1249" customWidth="1"/>
    <col min="1285" max="1285" width="47.28515625" style="1249" customWidth="1"/>
    <col min="1286" max="1286" width="11.5703125" style="1249" customWidth="1"/>
    <col min="1287" max="1288" width="13.5703125" style="1249" customWidth="1"/>
    <col min="1289" max="1289" width="7.42578125" style="1249" customWidth="1"/>
    <col min="1290" max="1295" width="0" style="1249" hidden="1" customWidth="1"/>
    <col min="1296" max="1296" width="2.28515625" style="1249" customWidth="1"/>
    <col min="1297" max="1297" width="9.140625" style="1249"/>
    <col min="1298" max="1298" width="9.7109375" style="1249" customWidth="1"/>
    <col min="1299" max="1299" width="9.5703125" style="1249" customWidth="1"/>
    <col min="1300" max="1300" width="10.140625" style="1249" customWidth="1"/>
    <col min="1301" max="1536" width="9.140625" style="1249"/>
    <col min="1537" max="1539" width="4.7109375" style="1249" customWidth="1"/>
    <col min="1540" max="1540" width="9" style="1249" customWidth="1"/>
    <col min="1541" max="1541" width="47.28515625" style="1249" customWidth="1"/>
    <col min="1542" max="1542" width="11.5703125" style="1249" customWidth="1"/>
    <col min="1543" max="1544" width="13.5703125" style="1249" customWidth="1"/>
    <col min="1545" max="1545" width="7.42578125" style="1249" customWidth="1"/>
    <col min="1546" max="1551" width="0" style="1249" hidden="1" customWidth="1"/>
    <col min="1552" max="1552" width="2.28515625" style="1249" customWidth="1"/>
    <col min="1553" max="1553" width="9.140625" style="1249"/>
    <col min="1554" max="1554" width="9.7109375" style="1249" customWidth="1"/>
    <col min="1555" max="1555" width="9.5703125" style="1249" customWidth="1"/>
    <col min="1556" max="1556" width="10.140625" style="1249" customWidth="1"/>
    <col min="1557" max="1792" width="9.140625" style="1249"/>
    <col min="1793" max="1795" width="4.7109375" style="1249" customWidth="1"/>
    <col min="1796" max="1796" width="9" style="1249" customWidth="1"/>
    <col min="1797" max="1797" width="47.28515625" style="1249" customWidth="1"/>
    <col min="1798" max="1798" width="11.5703125" style="1249" customWidth="1"/>
    <col min="1799" max="1800" width="13.5703125" style="1249" customWidth="1"/>
    <col min="1801" max="1801" width="7.42578125" style="1249" customWidth="1"/>
    <col min="1802" max="1807" width="0" style="1249" hidden="1" customWidth="1"/>
    <col min="1808" max="1808" width="2.28515625" style="1249" customWidth="1"/>
    <col min="1809" max="1809" width="9.140625" style="1249"/>
    <col min="1810" max="1810" width="9.7109375" style="1249" customWidth="1"/>
    <col min="1811" max="1811" width="9.5703125" style="1249" customWidth="1"/>
    <col min="1812" max="1812" width="10.140625" style="1249" customWidth="1"/>
    <col min="1813" max="2048" width="9.140625" style="1249"/>
    <col min="2049" max="2051" width="4.7109375" style="1249" customWidth="1"/>
    <col min="2052" max="2052" width="9" style="1249" customWidth="1"/>
    <col min="2053" max="2053" width="47.28515625" style="1249" customWidth="1"/>
    <col min="2054" max="2054" width="11.5703125" style="1249" customWidth="1"/>
    <col min="2055" max="2056" width="13.5703125" style="1249" customWidth="1"/>
    <col min="2057" max="2057" width="7.42578125" style="1249" customWidth="1"/>
    <col min="2058" max="2063" width="0" style="1249" hidden="1" customWidth="1"/>
    <col min="2064" max="2064" width="2.28515625" style="1249" customWidth="1"/>
    <col min="2065" max="2065" width="9.140625" style="1249"/>
    <col min="2066" max="2066" width="9.7109375" style="1249" customWidth="1"/>
    <col min="2067" max="2067" width="9.5703125" style="1249" customWidth="1"/>
    <col min="2068" max="2068" width="10.140625" style="1249" customWidth="1"/>
    <col min="2069" max="2304" width="9.140625" style="1249"/>
    <col min="2305" max="2307" width="4.7109375" style="1249" customWidth="1"/>
    <col min="2308" max="2308" width="9" style="1249" customWidth="1"/>
    <col min="2309" max="2309" width="47.28515625" style="1249" customWidth="1"/>
    <col min="2310" max="2310" width="11.5703125" style="1249" customWidth="1"/>
    <col min="2311" max="2312" width="13.5703125" style="1249" customWidth="1"/>
    <col min="2313" max="2313" width="7.42578125" style="1249" customWidth="1"/>
    <col min="2314" max="2319" width="0" style="1249" hidden="1" customWidth="1"/>
    <col min="2320" max="2320" width="2.28515625" style="1249" customWidth="1"/>
    <col min="2321" max="2321" width="9.140625" style="1249"/>
    <col min="2322" max="2322" width="9.7109375" style="1249" customWidth="1"/>
    <col min="2323" max="2323" width="9.5703125" style="1249" customWidth="1"/>
    <col min="2324" max="2324" width="10.140625" style="1249" customWidth="1"/>
    <col min="2325" max="2560" width="9.140625" style="1249"/>
    <col min="2561" max="2563" width="4.7109375" style="1249" customWidth="1"/>
    <col min="2564" max="2564" width="9" style="1249" customWidth="1"/>
    <col min="2565" max="2565" width="47.28515625" style="1249" customWidth="1"/>
    <col min="2566" max="2566" width="11.5703125" style="1249" customWidth="1"/>
    <col min="2567" max="2568" width="13.5703125" style="1249" customWidth="1"/>
    <col min="2569" max="2569" width="7.42578125" style="1249" customWidth="1"/>
    <col min="2570" max="2575" width="0" style="1249" hidden="1" customWidth="1"/>
    <col min="2576" max="2576" width="2.28515625" style="1249" customWidth="1"/>
    <col min="2577" max="2577" width="9.140625" style="1249"/>
    <col min="2578" max="2578" width="9.7109375" style="1249" customWidth="1"/>
    <col min="2579" max="2579" width="9.5703125" style="1249" customWidth="1"/>
    <col min="2580" max="2580" width="10.140625" style="1249" customWidth="1"/>
    <col min="2581" max="2816" width="9.140625" style="1249"/>
    <col min="2817" max="2819" width="4.7109375" style="1249" customWidth="1"/>
    <col min="2820" max="2820" width="9" style="1249" customWidth="1"/>
    <col min="2821" max="2821" width="47.28515625" style="1249" customWidth="1"/>
    <col min="2822" max="2822" width="11.5703125" style="1249" customWidth="1"/>
    <col min="2823" max="2824" width="13.5703125" style="1249" customWidth="1"/>
    <col min="2825" max="2825" width="7.42578125" style="1249" customWidth="1"/>
    <col min="2826" max="2831" width="0" style="1249" hidden="1" customWidth="1"/>
    <col min="2832" max="2832" width="2.28515625" style="1249" customWidth="1"/>
    <col min="2833" max="2833" width="9.140625" style="1249"/>
    <col min="2834" max="2834" width="9.7109375" style="1249" customWidth="1"/>
    <col min="2835" max="2835" width="9.5703125" style="1249" customWidth="1"/>
    <col min="2836" max="2836" width="10.140625" style="1249" customWidth="1"/>
    <col min="2837" max="3072" width="9.140625" style="1249"/>
    <col min="3073" max="3075" width="4.7109375" style="1249" customWidth="1"/>
    <col min="3076" max="3076" width="9" style="1249" customWidth="1"/>
    <col min="3077" max="3077" width="47.28515625" style="1249" customWidth="1"/>
    <col min="3078" max="3078" width="11.5703125" style="1249" customWidth="1"/>
    <col min="3079" max="3080" width="13.5703125" style="1249" customWidth="1"/>
    <col min="3081" max="3081" width="7.42578125" style="1249" customWidth="1"/>
    <col min="3082" max="3087" width="0" style="1249" hidden="1" customWidth="1"/>
    <col min="3088" max="3088" width="2.28515625" style="1249" customWidth="1"/>
    <col min="3089" max="3089" width="9.140625" style="1249"/>
    <col min="3090" max="3090" width="9.7109375" style="1249" customWidth="1"/>
    <col min="3091" max="3091" width="9.5703125" style="1249" customWidth="1"/>
    <col min="3092" max="3092" width="10.140625" style="1249" customWidth="1"/>
    <col min="3093" max="3328" width="9.140625" style="1249"/>
    <col min="3329" max="3331" width="4.7109375" style="1249" customWidth="1"/>
    <col min="3332" max="3332" width="9" style="1249" customWidth="1"/>
    <col min="3333" max="3333" width="47.28515625" style="1249" customWidth="1"/>
    <col min="3334" max="3334" width="11.5703125" style="1249" customWidth="1"/>
    <col min="3335" max="3336" width="13.5703125" style="1249" customWidth="1"/>
    <col min="3337" max="3337" width="7.42578125" style="1249" customWidth="1"/>
    <col min="3338" max="3343" width="0" style="1249" hidden="1" customWidth="1"/>
    <col min="3344" max="3344" width="2.28515625" style="1249" customWidth="1"/>
    <col min="3345" max="3345" width="9.140625" style="1249"/>
    <col min="3346" max="3346" width="9.7109375" style="1249" customWidth="1"/>
    <col min="3347" max="3347" width="9.5703125" style="1249" customWidth="1"/>
    <col min="3348" max="3348" width="10.140625" style="1249" customWidth="1"/>
    <col min="3349" max="3584" width="9.140625" style="1249"/>
    <col min="3585" max="3587" width="4.7109375" style="1249" customWidth="1"/>
    <col min="3588" max="3588" width="9" style="1249" customWidth="1"/>
    <col min="3589" max="3589" width="47.28515625" style="1249" customWidth="1"/>
    <col min="3590" max="3590" width="11.5703125" style="1249" customWidth="1"/>
    <col min="3591" max="3592" width="13.5703125" style="1249" customWidth="1"/>
    <col min="3593" max="3593" width="7.42578125" style="1249" customWidth="1"/>
    <col min="3594" max="3599" width="0" style="1249" hidden="1" customWidth="1"/>
    <col min="3600" max="3600" width="2.28515625" style="1249" customWidth="1"/>
    <col min="3601" max="3601" width="9.140625" style="1249"/>
    <col min="3602" max="3602" width="9.7109375" style="1249" customWidth="1"/>
    <col min="3603" max="3603" width="9.5703125" style="1249" customWidth="1"/>
    <col min="3604" max="3604" width="10.140625" style="1249" customWidth="1"/>
    <col min="3605" max="3840" width="9.140625" style="1249"/>
    <col min="3841" max="3843" width="4.7109375" style="1249" customWidth="1"/>
    <col min="3844" max="3844" width="9" style="1249" customWidth="1"/>
    <col min="3845" max="3845" width="47.28515625" style="1249" customWidth="1"/>
    <col min="3846" max="3846" width="11.5703125" style="1249" customWidth="1"/>
    <col min="3847" max="3848" width="13.5703125" style="1249" customWidth="1"/>
    <col min="3849" max="3849" width="7.42578125" style="1249" customWidth="1"/>
    <col min="3850" max="3855" width="0" style="1249" hidden="1" customWidth="1"/>
    <col min="3856" max="3856" width="2.28515625" style="1249" customWidth="1"/>
    <col min="3857" max="3857" width="9.140625" style="1249"/>
    <col min="3858" max="3858" width="9.7109375" style="1249" customWidth="1"/>
    <col min="3859" max="3859" width="9.5703125" style="1249" customWidth="1"/>
    <col min="3860" max="3860" width="10.140625" style="1249" customWidth="1"/>
    <col min="3861" max="4096" width="9.140625" style="1249"/>
    <col min="4097" max="4099" width="4.7109375" style="1249" customWidth="1"/>
    <col min="4100" max="4100" width="9" style="1249" customWidth="1"/>
    <col min="4101" max="4101" width="47.28515625" style="1249" customWidth="1"/>
    <col min="4102" max="4102" width="11.5703125" style="1249" customWidth="1"/>
    <col min="4103" max="4104" width="13.5703125" style="1249" customWidth="1"/>
    <col min="4105" max="4105" width="7.42578125" style="1249" customWidth="1"/>
    <col min="4106" max="4111" width="0" style="1249" hidden="1" customWidth="1"/>
    <col min="4112" max="4112" width="2.28515625" style="1249" customWidth="1"/>
    <col min="4113" max="4113" width="9.140625" style="1249"/>
    <col min="4114" max="4114" width="9.7109375" style="1249" customWidth="1"/>
    <col min="4115" max="4115" width="9.5703125" style="1249" customWidth="1"/>
    <col min="4116" max="4116" width="10.140625" style="1249" customWidth="1"/>
    <col min="4117" max="4352" width="9.140625" style="1249"/>
    <col min="4353" max="4355" width="4.7109375" style="1249" customWidth="1"/>
    <col min="4356" max="4356" width="9" style="1249" customWidth="1"/>
    <col min="4357" max="4357" width="47.28515625" style="1249" customWidth="1"/>
    <col min="4358" max="4358" width="11.5703125" style="1249" customWidth="1"/>
    <col min="4359" max="4360" width="13.5703125" style="1249" customWidth="1"/>
    <col min="4361" max="4361" width="7.42578125" style="1249" customWidth="1"/>
    <col min="4362" max="4367" width="0" style="1249" hidden="1" customWidth="1"/>
    <col min="4368" max="4368" width="2.28515625" style="1249" customWidth="1"/>
    <col min="4369" max="4369" width="9.140625" style="1249"/>
    <col min="4370" max="4370" width="9.7109375" style="1249" customWidth="1"/>
    <col min="4371" max="4371" width="9.5703125" style="1249" customWidth="1"/>
    <col min="4372" max="4372" width="10.140625" style="1249" customWidth="1"/>
    <col min="4373" max="4608" width="9.140625" style="1249"/>
    <col min="4609" max="4611" width="4.7109375" style="1249" customWidth="1"/>
    <col min="4612" max="4612" width="9" style="1249" customWidth="1"/>
    <col min="4613" max="4613" width="47.28515625" style="1249" customWidth="1"/>
    <col min="4614" max="4614" width="11.5703125" style="1249" customWidth="1"/>
    <col min="4615" max="4616" width="13.5703125" style="1249" customWidth="1"/>
    <col min="4617" max="4617" width="7.42578125" style="1249" customWidth="1"/>
    <col min="4618" max="4623" width="0" style="1249" hidden="1" customWidth="1"/>
    <col min="4624" max="4624" width="2.28515625" style="1249" customWidth="1"/>
    <col min="4625" max="4625" width="9.140625" style="1249"/>
    <col min="4626" max="4626" width="9.7109375" style="1249" customWidth="1"/>
    <col min="4627" max="4627" width="9.5703125" style="1249" customWidth="1"/>
    <col min="4628" max="4628" width="10.140625" style="1249" customWidth="1"/>
    <col min="4629" max="4864" width="9.140625" style="1249"/>
    <col min="4865" max="4867" width="4.7109375" style="1249" customWidth="1"/>
    <col min="4868" max="4868" width="9" style="1249" customWidth="1"/>
    <col min="4869" max="4869" width="47.28515625" style="1249" customWidth="1"/>
    <col min="4870" max="4870" width="11.5703125" style="1249" customWidth="1"/>
    <col min="4871" max="4872" width="13.5703125" style="1249" customWidth="1"/>
    <col min="4873" max="4873" width="7.42578125" style="1249" customWidth="1"/>
    <col min="4874" max="4879" width="0" style="1249" hidden="1" customWidth="1"/>
    <col min="4880" max="4880" width="2.28515625" style="1249" customWidth="1"/>
    <col min="4881" max="4881" width="9.140625" style="1249"/>
    <col min="4882" max="4882" width="9.7109375" style="1249" customWidth="1"/>
    <col min="4883" max="4883" width="9.5703125" style="1249" customWidth="1"/>
    <col min="4884" max="4884" width="10.140625" style="1249" customWidth="1"/>
    <col min="4885" max="5120" width="9.140625" style="1249"/>
    <col min="5121" max="5123" width="4.7109375" style="1249" customWidth="1"/>
    <col min="5124" max="5124" width="9" style="1249" customWidth="1"/>
    <col min="5125" max="5125" width="47.28515625" style="1249" customWidth="1"/>
    <col min="5126" max="5126" width="11.5703125" style="1249" customWidth="1"/>
    <col min="5127" max="5128" width="13.5703125" style="1249" customWidth="1"/>
    <col min="5129" max="5129" width="7.42578125" style="1249" customWidth="1"/>
    <col min="5130" max="5135" width="0" style="1249" hidden="1" customWidth="1"/>
    <col min="5136" max="5136" width="2.28515625" style="1249" customWidth="1"/>
    <col min="5137" max="5137" width="9.140625" style="1249"/>
    <col min="5138" max="5138" width="9.7109375" style="1249" customWidth="1"/>
    <col min="5139" max="5139" width="9.5703125" style="1249" customWidth="1"/>
    <col min="5140" max="5140" width="10.140625" style="1249" customWidth="1"/>
    <col min="5141" max="5376" width="9.140625" style="1249"/>
    <col min="5377" max="5379" width="4.7109375" style="1249" customWidth="1"/>
    <col min="5380" max="5380" width="9" style="1249" customWidth="1"/>
    <col min="5381" max="5381" width="47.28515625" style="1249" customWidth="1"/>
    <col min="5382" max="5382" width="11.5703125" style="1249" customWidth="1"/>
    <col min="5383" max="5384" width="13.5703125" style="1249" customWidth="1"/>
    <col min="5385" max="5385" width="7.42578125" style="1249" customWidth="1"/>
    <col min="5386" max="5391" width="0" style="1249" hidden="1" customWidth="1"/>
    <col min="5392" max="5392" width="2.28515625" style="1249" customWidth="1"/>
    <col min="5393" max="5393" width="9.140625" style="1249"/>
    <col min="5394" max="5394" width="9.7109375" style="1249" customWidth="1"/>
    <col min="5395" max="5395" width="9.5703125" style="1249" customWidth="1"/>
    <col min="5396" max="5396" width="10.140625" style="1249" customWidth="1"/>
    <col min="5397" max="5632" width="9.140625" style="1249"/>
    <col min="5633" max="5635" width="4.7109375" style="1249" customWidth="1"/>
    <col min="5636" max="5636" width="9" style="1249" customWidth="1"/>
    <col min="5637" max="5637" width="47.28515625" style="1249" customWidth="1"/>
    <col min="5638" max="5638" width="11.5703125" style="1249" customWidth="1"/>
    <col min="5639" max="5640" width="13.5703125" style="1249" customWidth="1"/>
    <col min="5641" max="5641" width="7.42578125" style="1249" customWidth="1"/>
    <col min="5642" max="5647" width="0" style="1249" hidden="1" customWidth="1"/>
    <col min="5648" max="5648" width="2.28515625" style="1249" customWidth="1"/>
    <col min="5649" max="5649" width="9.140625" style="1249"/>
    <col min="5650" max="5650" width="9.7109375" style="1249" customWidth="1"/>
    <col min="5651" max="5651" width="9.5703125" style="1249" customWidth="1"/>
    <col min="5652" max="5652" width="10.140625" style="1249" customWidth="1"/>
    <col min="5653" max="5888" width="9.140625" style="1249"/>
    <col min="5889" max="5891" width="4.7109375" style="1249" customWidth="1"/>
    <col min="5892" max="5892" width="9" style="1249" customWidth="1"/>
    <col min="5893" max="5893" width="47.28515625" style="1249" customWidth="1"/>
    <col min="5894" max="5894" width="11.5703125" style="1249" customWidth="1"/>
    <col min="5895" max="5896" width="13.5703125" style="1249" customWidth="1"/>
    <col min="5897" max="5897" width="7.42578125" style="1249" customWidth="1"/>
    <col min="5898" max="5903" width="0" style="1249" hidden="1" customWidth="1"/>
    <col min="5904" max="5904" width="2.28515625" style="1249" customWidth="1"/>
    <col min="5905" max="5905" width="9.140625" style="1249"/>
    <col min="5906" max="5906" width="9.7109375" style="1249" customWidth="1"/>
    <col min="5907" max="5907" width="9.5703125" style="1249" customWidth="1"/>
    <col min="5908" max="5908" width="10.140625" style="1249" customWidth="1"/>
    <col min="5909" max="6144" width="9.140625" style="1249"/>
    <col min="6145" max="6147" width="4.7109375" style="1249" customWidth="1"/>
    <col min="6148" max="6148" width="9" style="1249" customWidth="1"/>
    <col min="6149" max="6149" width="47.28515625" style="1249" customWidth="1"/>
    <col min="6150" max="6150" width="11.5703125" style="1249" customWidth="1"/>
    <col min="6151" max="6152" width="13.5703125" style="1249" customWidth="1"/>
    <col min="6153" max="6153" width="7.42578125" style="1249" customWidth="1"/>
    <col min="6154" max="6159" width="0" style="1249" hidden="1" customWidth="1"/>
    <col min="6160" max="6160" width="2.28515625" style="1249" customWidth="1"/>
    <col min="6161" max="6161" width="9.140625" style="1249"/>
    <col min="6162" max="6162" width="9.7109375" style="1249" customWidth="1"/>
    <col min="6163" max="6163" width="9.5703125" style="1249" customWidth="1"/>
    <col min="6164" max="6164" width="10.140625" style="1249" customWidth="1"/>
    <col min="6165" max="6400" width="9.140625" style="1249"/>
    <col min="6401" max="6403" width="4.7109375" style="1249" customWidth="1"/>
    <col min="6404" max="6404" width="9" style="1249" customWidth="1"/>
    <col min="6405" max="6405" width="47.28515625" style="1249" customWidth="1"/>
    <col min="6406" max="6406" width="11.5703125" style="1249" customWidth="1"/>
    <col min="6407" max="6408" width="13.5703125" style="1249" customWidth="1"/>
    <col min="6409" max="6409" width="7.42578125" style="1249" customWidth="1"/>
    <col min="6410" max="6415" width="0" style="1249" hidden="1" customWidth="1"/>
    <col min="6416" max="6416" width="2.28515625" style="1249" customWidth="1"/>
    <col min="6417" max="6417" width="9.140625" style="1249"/>
    <col min="6418" max="6418" width="9.7109375" style="1249" customWidth="1"/>
    <col min="6419" max="6419" width="9.5703125" style="1249" customWidth="1"/>
    <col min="6420" max="6420" width="10.140625" style="1249" customWidth="1"/>
    <col min="6421" max="6656" width="9.140625" style="1249"/>
    <col min="6657" max="6659" width="4.7109375" style="1249" customWidth="1"/>
    <col min="6660" max="6660" width="9" style="1249" customWidth="1"/>
    <col min="6661" max="6661" width="47.28515625" style="1249" customWidth="1"/>
    <col min="6662" max="6662" width="11.5703125" style="1249" customWidth="1"/>
    <col min="6663" max="6664" width="13.5703125" style="1249" customWidth="1"/>
    <col min="6665" max="6665" width="7.42578125" style="1249" customWidth="1"/>
    <col min="6666" max="6671" width="0" style="1249" hidden="1" customWidth="1"/>
    <col min="6672" max="6672" width="2.28515625" style="1249" customWidth="1"/>
    <col min="6673" max="6673" width="9.140625" style="1249"/>
    <col min="6674" max="6674" width="9.7109375" style="1249" customWidth="1"/>
    <col min="6675" max="6675" width="9.5703125" style="1249" customWidth="1"/>
    <col min="6676" max="6676" width="10.140625" style="1249" customWidth="1"/>
    <col min="6677" max="6912" width="9.140625" style="1249"/>
    <col min="6913" max="6915" width="4.7109375" style="1249" customWidth="1"/>
    <col min="6916" max="6916" width="9" style="1249" customWidth="1"/>
    <col min="6917" max="6917" width="47.28515625" style="1249" customWidth="1"/>
    <col min="6918" max="6918" width="11.5703125" style="1249" customWidth="1"/>
    <col min="6919" max="6920" width="13.5703125" style="1249" customWidth="1"/>
    <col min="6921" max="6921" width="7.42578125" style="1249" customWidth="1"/>
    <col min="6922" max="6927" width="0" style="1249" hidden="1" customWidth="1"/>
    <col min="6928" max="6928" width="2.28515625" style="1249" customWidth="1"/>
    <col min="6929" max="6929" width="9.140625" style="1249"/>
    <col min="6930" max="6930" width="9.7109375" style="1249" customWidth="1"/>
    <col min="6931" max="6931" width="9.5703125" style="1249" customWidth="1"/>
    <col min="6932" max="6932" width="10.140625" style="1249" customWidth="1"/>
    <col min="6933" max="7168" width="9.140625" style="1249"/>
    <col min="7169" max="7171" width="4.7109375" style="1249" customWidth="1"/>
    <col min="7172" max="7172" width="9" style="1249" customWidth="1"/>
    <col min="7173" max="7173" width="47.28515625" style="1249" customWidth="1"/>
    <col min="7174" max="7174" width="11.5703125" style="1249" customWidth="1"/>
    <col min="7175" max="7176" width="13.5703125" style="1249" customWidth="1"/>
    <col min="7177" max="7177" width="7.42578125" style="1249" customWidth="1"/>
    <col min="7178" max="7183" width="0" style="1249" hidden="1" customWidth="1"/>
    <col min="7184" max="7184" width="2.28515625" style="1249" customWidth="1"/>
    <col min="7185" max="7185" width="9.140625" style="1249"/>
    <col min="7186" max="7186" width="9.7109375" style="1249" customWidth="1"/>
    <col min="7187" max="7187" width="9.5703125" style="1249" customWidth="1"/>
    <col min="7188" max="7188" width="10.140625" style="1249" customWidth="1"/>
    <col min="7189" max="7424" width="9.140625" style="1249"/>
    <col min="7425" max="7427" width="4.7109375" style="1249" customWidth="1"/>
    <col min="7428" max="7428" width="9" style="1249" customWidth="1"/>
    <col min="7429" max="7429" width="47.28515625" style="1249" customWidth="1"/>
    <col min="7430" max="7430" width="11.5703125" style="1249" customWidth="1"/>
    <col min="7431" max="7432" width="13.5703125" style="1249" customWidth="1"/>
    <col min="7433" max="7433" width="7.42578125" style="1249" customWidth="1"/>
    <col min="7434" max="7439" width="0" style="1249" hidden="1" customWidth="1"/>
    <col min="7440" max="7440" width="2.28515625" style="1249" customWidth="1"/>
    <col min="7441" max="7441" width="9.140625" style="1249"/>
    <col min="7442" max="7442" width="9.7109375" style="1249" customWidth="1"/>
    <col min="7443" max="7443" width="9.5703125" style="1249" customWidth="1"/>
    <col min="7444" max="7444" width="10.140625" style="1249" customWidth="1"/>
    <col min="7445" max="7680" width="9.140625" style="1249"/>
    <col min="7681" max="7683" width="4.7109375" style="1249" customWidth="1"/>
    <col min="7684" max="7684" width="9" style="1249" customWidth="1"/>
    <col min="7685" max="7685" width="47.28515625" style="1249" customWidth="1"/>
    <col min="7686" max="7686" width="11.5703125" style="1249" customWidth="1"/>
    <col min="7687" max="7688" width="13.5703125" style="1249" customWidth="1"/>
    <col min="7689" max="7689" width="7.42578125" style="1249" customWidth="1"/>
    <col min="7690" max="7695" width="0" style="1249" hidden="1" customWidth="1"/>
    <col min="7696" max="7696" width="2.28515625" style="1249" customWidth="1"/>
    <col min="7697" max="7697" width="9.140625" style="1249"/>
    <col min="7698" max="7698" width="9.7109375" style="1249" customWidth="1"/>
    <col min="7699" max="7699" width="9.5703125" style="1249" customWidth="1"/>
    <col min="7700" max="7700" width="10.140625" style="1249" customWidth="1"/>
    <col min="7701" max="7936" width="9.140625" style="1249"/>
    <col min="7937" max="7939" width="4.7109375" style="1249" customWidth="1"/>
    <col min="7940" max="7940" width="9" style="1249" customWidth="1"/>
    <col min="7941" max="7941" width="47.28515625" style="1249" customWidth="1"/>
    <col min="7942" max="7942" width="11.5703125" style="1249" customWidth="1"/>
    <col min="7943" max="7944" width="13.5703125" style="1249" customWidth="1"/>
    <col min="7945" max="7945" width="7.42578125" style="1249" customWidth="1"/>
    <col min="7946" max="7951" width="0" style="1249" hidden="1" customWidth="1"/>
    <col min="7952" max="7952" width="2.28515625" style="1249" customWidth="1"/>
    <col min="7953" max="7953" width="9.140625" style="1249"/>
    <col min="7954" max="7954" width="9.7109375" style="1249" customWidth="1"/>
    <col min="7955" max="7955" width="9.5703125" style="1249" customWidth="1"/>
    <col min="7956" max="7956" width="10.140625" style="1249" customWidth="1"/>
    <col min="7957" max="8192" width="9.140625" style="1249"/>
    <col min="8193" max="8195" width="4.7109375" style="1249" customWidth="1"/>
    <col min="8196" max="8196" width="9" style="1249" customWidth="1"/>
    <col min="8197" max="8197" width="47.28515625" style="1249" customWidth="1"/>
    <col min="8198" max="8198" width="11.5703125" style="1249" customWidth="1"/>
    <col min="8199" max="8200" width="13.5703125" style="1249" customWidth="1"/>
    <col min="8201" max="8201" width="7.42578125" style="1249" customWidth="1"/>
    <col min="8202" max="8207" width="0" style="1249" hidden="1" customWidth="1"/>
    <col min="8208" max="8208" width="2.28515625" style="1249" customWidth="1"/>
    <col min="8209" max="8209" width="9.140625" style="1249"/>
    <col min="8210" max="8210" width="9.7109375" style="1249" customWidth="1"/>
    <col min="8211" max="8211" width="9.5703125" style="1249" customWidth="1"/>
    <col min="8212" max="8212" width="10.140625" style="1249" customWidth="1"/>
    <col min="8213" max="8448" width="9.140625" style="1249"/>
    <col min="8449" max="8451" width="4.7109375" style="1249" customWidth="1"/>
    <col min="8452" max="8452" width="9" style="1249" customWidth="1"/>
    <col min="8453" max="8453" width="47.28515625" style="1249" customWidth="1"/>
    <col min="8454" max="8454" width="11.5703125" style="1249" customWidth="1"/>
    <col min="8455" max="8456" width="13.5703125" style="1249" customWidth="1"/>
    <col min="8457" max="8457" width="7.42578125" style="1249" customWidth="1"/>
    <col min="8458" max="8463" width="0" style="1249" hidden="1" customWidth="1"/>
    <col min="8464" max="8464" width="2.28515625" style="1249" customWidth="1"/>
    <col min="8465" max="8465" width="9.140625" style="1249"/>
    <col min="8466" max="8466" width="9.7109375" style="1249" customWidth="1"/>
    <col min="8467" max="8467" width="9.5703125" style="1249" customWidth="1"/>
    <col min="8468" max="8468" width="10.140625" style="1249" customWidth="1"/>
    <col min="8469" max="8704" width="9.140625" style="1249"/>
    <col min="8705" max="8707" width="4.7109375" style="1249" customWidth="1"/>
    <col min="8708" max="8708" width="9" style="1249" customWidth="1"/>
    <col min="8709" max="8709" width="47.28515625" style="1249" customWidth="1"/>
    <col min="8710" max="8710" width="11.5703125" style="1249" customWidth="1"/>
    <col min="8711" max="8712" width="13.5703125" style="1249" customWidth="1"/>
    <col min="8713" max="8713" width="7.42578125" style="1249" customWidth="1"/>
    <col min="8714" max="8719" width="0" style="1249" hidden="1" customWidth="1"/>
    <col min="8720" max="8720" width="2.28515625" style="1249" customWidth="1"/>
    <col min="8721" max="8721" width="9.140625" style="1249"/>
    <col min="8722" max="8722" width="9.7109375" style="1249" customWidth="1"/>
    <col min="8723" max="8723" width="9.5703125" style="1249" customWidth="1"/>
    <col min="8724" max="8724" width="10.140625" style="1249" customWidth="1"/>
    <col min="8725" max="8960" width="9.140625" style="1249"/>
    <col min="8961" max="8963" width="4.7109375" style="1249" customWidth="1"/>
    <col min="8964" max="8964" width="9" style="1249" customWidth="1"/>
    <col min="8965" max="8965" width="47.28515625" style="1249" customWidth="1"/>
    <col min="8966" max="8966" width="11.5703125" style="1249" customWidth="1"/>
    <col min="8967" max="8968" width="13.5703125" style="1249" customWidth="1"/>
    <col min="8969" max="8969" width="7.42578125" style="1249" customWidth="1"/>
    <col min="8970" max="8975" width="0" style="1249" hidden="1" customWidth="1"/>
    <col min="8976" max="8976" width="2.28515625" style="1249" customWidth="1"/>
    <col min="8977" max="8977" width="9.140625" style="1249"/>
    <col min="8978" max="8978" width="9.7109375" style="1249" customWidth="1"/>
    <col min="8979" max="8979" width="9.5703125" style="1249" customWidth="1"/>
    <col min="8980" max="8980" width="10.140625" style="1249" customWidth="1"/>
    <col min="8981" max="9216" width="9.140625" style="1249"/>
    <col min="9217" max="9219" width="4.7109375" style="1249" customWidth="1"/>
    <col min="9220" max="9220" width="9" style="1249" customWidth="1"/>
    <col min="9221" max="9221" width="47.28515625" style="1249" customWidth="1"/>
    <col min="9222" max="9222" width="11.5703125" style="1249" customWidth="1"/>
    <col min="9223" max="9224" width="13.5703125" style="1249" customWidth="1"/>
    <col min="9225" max="9225" width="7.42578125" style="1249" customWidth="1"/>
    <col min="9226" max="9231" width="0" style="1249" hidden="1" customWidth="1"/>
    <col min="9232" max="9232" width="2.28515625" style="1249" customWidth="1"/>
    <col min="9233" max="9233" width="9.140625" style="1249"/>
    <col min="9234" max="9234" width="9.7109375" style="1249" customWidth="1"/>
    <col min="9235" max="9235" width="9.5703125" style="1249" customWidth="1"/>
    <col min="9236" max="9236" width="10.140625" style="1249" customWidth="1"/>
    <col min="9237" max="9472" width="9.140625" style="1249"/>
    <col min="9473" max="9475" width="4.7109375" style="1249" customWidth="1"/>
    <col min="9476" max="9476" width="9" style="1249" customWidth="1"/>
    <col min="9477" max="9477" width="47.28515625" style="1249" customWidth="1"/>
    <col min="9478" max="9478" width="11.5703125" style="1249" customWidth="1"/>
    <col min="9479" max="9480" width="13.5703125" style="1249" customWidth="1"/>
    <col min="9481" max="9481" width="7.42578125" style="1249" customWidth="1"/>
    <col min="9482" max="9487" width="0" style="1249" hidden="1" customWidth="1"/>
    <col min="9488" max="9488" width="2.28515625" style="1249" customWidth="1"/>
    <col min="9489" max="9489" width="9.140625" style="1249"/>
    <col min="9490" max="9490" width="9.7109375" style="1249" customWidth="1"/>
    <col min="9491" max="9491" width="9.5703125" style="1249" customWidth="1"/>
    <col min="9492" max="9492" width="10.140625" style="1249" customWidth="1"/>
    <col min="9493" max="9728" width="9.140625" style="1249"/>
    <col min="9729" max="9731" width="4.7109375" style="1249" customWidth="1"/>
    <col min="9732" max="9732" width="9" style="1249" customWidth="1"/>
    <col min="9733" max="9733" width="47.28515625" style="1249" customWidth="1"/>
    <col min="9734" max="9734" width="11.5703125" style="1249" customWidth="1"/>
    <col min="9735" max="9736" width="13.5703125" style="1249" customWidth="1"/>
    <col min="9737" max="9737" width="7.42578125" style="1249" customWidth="1"/>
    <col min="9738" max="9743" width="0" style="1249" hidden="1" customWidth="1"/>
    <col min="9744" max="9744" width="2.28515625" style="1249" customWidth="1"/>
    <col min="9745" max="9745" width="9.140625" style="1249"/>
    <col min="9746" max="9746" width="9.7109375" style="1249" customWidth="1"/>
    <col min="9747" max="9747" width="9.5703125" style="1249" customWidth="1"/>
    <col min="9748" max="9748" width="10.140625" style="1249" customWidth="1"/>
    <col min="9749" max="9984" width="9.140625" style="1249"/>
    <col min="9985" max="9987" width="4.7109375" style="1249" customWidth="1"/>
    <col min="9988" max="9988" width="9" style="1249" customWidth="1"/>
    <col min="9989" max="9989" width="47.28515625" style="1249" customWidth="1"/>
    <col min="9990" max="9990" width="11.5703125" style="1249" customWidth="1"/>
    <col min="9991" max="9992" width="13.5703125" style="1249" customWidth="1"/>
    <col min="9993" max="9993" width="7.42578125" style="1249" customWidth="1"/>
    <col min="9994" max="9999" width="0" style="1249" hidden="1" customWidth="1"/>
    <col min="10000" max="10000" width="2.28515625" style="1249" customWidth="1"/>
    <col min="10001" max="10001" width="9.140625" style="1249"/>
    <col min="10002" max="10002" width="9.7109375" style="1249" customWidth="1"/>
    <col min="10003" max="10003" width="9.5703125" style="1249" customWidth="1"/>
    <col min="10004" max="10004" width="10.140625" style="1249" customWidth="1"/>
    <col min="10005" max="10240" width="9.140625" style="1249"/>
    <col min="10241" max="10243" width="4.7109375" style="1249" customWidth="1"/>
    <col min="10244" max="10244" width="9" style="1249" customWidth="1"/>
    <col min="10245" max="10245" width="47.28515625" style="1249" customWidth="1"/>
    <col min="10246" max="10246" width="11.5703125" style="1249" customWidth="1"/>
    <col min="10247" max="10248" width="13.5703125" style="1249" customWidth="1"/>
    <col min="10249" max="10249" width="7.42578125" style="1249" customWidth="1"/>
    <col min="10250" max="10255" width="0" style="1249" hidden="1" customWidth="1"/>
    <col min="10256" max="10256" width="2.28515625" style="1249" customWidth="1"/>
    <col min="10257" max="10257" width="9.140625" style="1249"/>
    <col min="10258" max="10258" width="9.7109375" style="1249" customWidth="1"/>
    <col min="10259" max="10259" width="9.5703125" style="1249" customWidth="1"/>
    <col min="10260" max="10260" width="10.140625" style="1249" customWidth="1"/>
    <col min="10261" max="10496" width="9.140625" style="1249"/>
    <col min="10497" max="10499" width="4.7109375" style="1249" customWidth="1"/>
    <col min="10500" max="10500" width="9" style="1249" customWidth="1"/>
    <col min="10501" max="10501" width="47.28515625" style="1249" customWidth="1"/>
    <col min="10502" max="10502" width="11.5703125" style="1249" customWidth="1"/>
    <col min="10503" max="10504" width="13.5703125" style="1249" customWidth="1"/>
    <col min="10505" max="10505" width="7.42578125" style="1249" customWidth="1"/>
    <col min="10506" max="10511" width="0" style="1249" hidden="1" customWidth="1"/>
    <col min="10512" max="10512" width="2.28515625" style="1249" customWidth="1"/>
    <col min="10513" max="10513" width="9.140625" style="1249"/>
    <col min="10514" max="10514" width="9.7109375" style="1249" customWidth="1"/>
    <col min="10515" max="10515" width="9.5703125" style="1249" customWidth="1"/>
    <col min="10516" max="10516" width="10.140625" style="1249" customWidth="1"/>
    <col min="10517" max="10752" width="9.140625" style="1249"/>
    <col min="10753" max="10755" width="4.7109375" style="1249" customWidth="1"/>
    <col min="10756" max="10756" width="9" style="1249" customWidth="1"/>
    <col min="10757" max="10757" width="47.28515625" style="1249" customWidth="1"/>
    <col min="10758" max="10758" width="11.5703125" style="1249" customWidth="1"/>
    <col min="10759" max="10760" width="13.5703125" style="1249" customWidth="1"/>
    <col min="10761" max="10761" width="7.42578125" style="1249" customWidth="1"/>
    <col min="10762" max="10767" width="0" style="1249" hidden="1" customWidth="1"/>
    <col min="10768" max="10768" width="2.28515625" style="1249" customWidth="1"/>
    <col min="10769" max="10769" width="9.140625" style="1249"/>
    <col min="10770" max="10770" width="9.7109375" style="1249" customWidth="1"/>
    <col min="10771" max="10771" width="9.5703125" style="1249" customWidth="1"/>
    <col min="10772" max="10772" width="10.140625" style="1249" customWidth="1"/>
    <col min="10773" max="11008" width="9.140625" style="1249"/>
    <col min="11009" max="11011" width="4.7109375" style="1249" customWidth="1"/>
    <col min="11012" max="11012" width="9" style="1249" customWidth="1"/>
    <col min="11013" max="11013" width="47.28515625" style="1249" customWidth="1"/>
    <col min="11014" max="11014" width="11.5703125" style="1249" customWidth="1"/>
    <col min="11015" max="11016" width="13.5703125" style="1249" customWidth="1"/>
    <col min="11017" max="11017" width="7.42578125" style="1249" customWidth="1"/>
    <col min="11018" max="11023" width="0" style="1249" hidden="1" customWidth="1"/>
    <col min="11024" max="11024" width="2.28515625" style="1249" customWidth="1"/>
    <col min="11025" max="11025" width="9.140625" style="1249"/>
    <col min="11026" max="11026" width="9.7109375" style="1249" customWidth="1"/>
    <col min="11027" max="11027" width="9.5703125" style="1249" customWidth="1"/>
    <col min="11028" max="11028" width="10.140625" style="1249" customWidth="1"/>
    <col min="11029" max="11264" width="9.140625" style="1249"/>
    <col min="11265" max="11267" width="4.7109375" style="1249" customWidth="1"/>
    <col min="11268" max="11268" width="9" style="1249" customWidth="1"/>
    <col min="11269" max="11269" width="47.28515625" style="1249" customWidth="1"/>
    <col min="11270" max="11270" width="11.5703125" style="1249" customWidth="1"/>
    <col min="11271" max="11272" width="13.5703125" style="1249" customWidth="1"/>
    <col min="11273" max="11273" width="7.42578125" style="1249" customWidth="1"/>
    <col min="11274" max="11279" width="0" style="1249" hidden="1" customWidth="1"/>
    <col min="11280" max="11280" width="2.28515625" style="1249" customWidth="1"/>
    <col min="11281" max="11281" width="9.140625" style="1249"/>
    <col min="11282" max="11282" width="9.7109375" style="1249" customWidth="1"/>
    <col min="11283" max="11283" width="9.5703125" style="1249" customWidth="1"/>
    <col min="11284" max="11284" width="10.140625" style="1249" customWidth="1"/>
    <col min="11285" max="11520" width="9.140625" style="1249"/>
    <col min="11521" max="11523" width="4.7109375" style="1249" customWidth="1"/>
    <col min="11524" max="11524" width="9" style="1249" customWidth="1"/>
    <col min="11525" max="11525" width="47.28515625" style="1249" customWidth="1"/>
    <col min="11526" max="11526" width="11.5703125" style="1249" customWidth="1"/>
    <col min="11527" max="11528" width="13.5703125" style="1249" customWidth="1"/>
    <col min="11529" max="11529" width="7.42578125" style="1249" customWidth="1"/>
    <col min="11530" max="11535" width="0" style="1249" hidden="1" customWidth="1"/>
    <col min="11536" max="11536" width="2.28515625" style="1249" customWidth="1"/>
    <col min="11537" max="11537" width="9.140625" style="1249"/>
    <col min="11538" max="11538" width="9.7109375" style="1249" customWidth="1"/>
    <col min="11539" max="11539" width="9.5703125" style="1249" customWidth="1"/>
    <col min="11540" max="11540" width="10.140625" style="1249" customWidth="1"/>
    <col min="11541" max="11776" width="9.140625" style="1249"/>
    <col min="11777" max="11779" width="4.7109375" style="1249" customWidth="1"/>
    <col min="11780" max="11780" width="9" style="1249" customWidth="1"/>
    <col min="11781" max="11781" width="47.28515625" style="1249" customWidth="1"/>
    <col min="11782" max="11782" width="11.5703125" style="1249" customWidth="1"/>
    <col min="11783" max="11784" width="13.5703125" style="1249" customWidth="1"/>
    <col min="11785" max="11785" width="7.42578125" style="1249" customWidth="1"/>
    <col min="11786" max="11791" width="0" style="1249" hidden="1" customWidth="1"/>
    <col min="11792" max="11792" width="2.28515625" style="1249" customWidth="1"/>
    <col min="11793" max="11793" width="9.140625" style="1249"/>
    <col min="11794" max="11794" width="9.7109375" style="1249" customWidth="1"/>
    <col min="11795" max="11795" width="9.5703125" style="1249" customWidth="1"/>
    <col min="11796" max="11796" width="10.140625" style="1249" customWidth="1"/>
    <col min="11797" max="12032" width="9.140625" style="1249"/>
    <col min="12033" max="12035" width="4.7109375" style="1249" customWidth="1"/>
    <col min="12036" max="12036" width="9" style="1249" customWidth="1"/>
    <col min="12037" max="12037" width="47.28515625" style="1249" customWidth="1"/>
    <col min="12038" max="12038" width="11.5703125" style="1249" customWidth="1"/>
    <col min="12039" max="12040" width="13.5703125" style="1249" customWidth="1"/>
    <col min="12041" max="12041" width="7.42578125" style="1249" customWidth="1"/>
    <col min="12042" max="12047" width="0" style="1249" hidden="1" customWidth="1"/>
    <col min="12048" max="12048" width="2.28515625" style="1249" customWidth="1"/>
    <col min="12049" max="12049" width="9.140625" style="1249"/>
    <col min="12050" max="12050" width="9.7109375" style="1249" customWidth="1"/>
    <col min="12051" max="12051" width="9.5703125" style="1249" customWidth="1"/>
    <col min="12052" max="12052" width="10.140625" style="1249" customWidth="1"/>
    <col min="12053" max="12288" width="9.140625" style="1249"/>
    <col min="12289" max="12291" width="4.7109375" style="1249" customWidth="1"/>
    <col min="12292" max="12292" width="9" style="1249" customWidth="1"/>
    <col min="12293" max="12293" width="47.28515625" style="1249" customWidth="1"/>
    <col min="12294" max="12294" width="11.5703125" style="1249" customWidth="1"/>
    <col min="12295" max="12296" width="13.5703125" style="1249" customWidth="1"/>
    <col min="12297" max="12297" width="7.42578125" style="1249" customWidth="1"/>
    <col min="12298" max="12303" width="0" style="1249" hidden="1" customWidth="1"/>
    <col min="12304" max="12304" width="2.28515625" style="1249" customWidth="1"/>
    <col min="12305" max="12305" width="9.140625" style="1249"/>
    <col min="12306" max="12306" width="9.7109375" style="1249" customWidth="1"/>
    <col min="12307" max="12307" width="9.5703125" style="1249" customWidth="1"/>
    <col min="12308" max="12308" width="10.140625" style="1249" customWidth="1"/>
    <col min="12309" max="12544" width="9.140625" style="1249"/>
    <col min="12545" max="12547" width="4.7109375" style="1249" customWidth="1"/>
    <col min="12548" max="12548" width="9" style="1249" customWidth="1"/>
    <col min="12549" max="12549" width="47.28515625" style="1249" customWidth="1"/>
    <col min="12550" max="12550" width="11.5703125" style="1249" customWidth="1"/>
    <col min="12551" max="12552" width="13.5703125" style="1249" customWidth="1"/>
    <col min="12553" max="12553" width="7.42578125" style="1249" customWidth="1"/>
    <col min="12554" max="12559" width="0" style="1249" hidden="1" customWidth="1"/>
    <col min="12560" max="12560" width="2.28515625" style="1249" customWidth="1"/>
    <col min="12561" max="12561" width="9.140625" style="1249"/>
    <col min="12562" max="12562" width="9.7109375" style="1249" customWidth="1"/>
    <col min="12563" max="12563" width="9.5703125" style="1249" customWidth="1"/>
    <col min="12564" max="12564" width="10.140625" style="1249" customWidth="1"/>
    <col min="12565" max="12800" width="9.140625" style="1249"/>
    <col min="12801" max="12803" width="4.7109375" style="1249" customWidth="1"/>
    <col min="12804" max="12804" width="9" style="1249" customWidth="1"/>
    <col min="12805" max="12805" width="47.28515625" style="1249" customWidth="1"/>
    <col min="12806" max="12806" width="11.5703125" style="1249" customWidth="1"/>
    <col min="12807" max="12808" width="13.5703125" style="1249" customWidth="1"/>
    <col min="12809" max="12809" width="7.42578125" style="1249" customWidth="1"/>
    <col min="12810" max="12815" width="0" style="1249" hidden="1" customWidth="1"/>
    <col min="12816" max="12816" width="2.28515625" style="1249" customWidth="1"/>
    <col min="12817" max="12817" width="9.140625" style="1249"/>
    <col min="12818" max="12818" width="9.7109375" style="1249" customWidth="1"/>
    <col min="12819" max="12819" width="9.5703125" style="1249" customWidth="1"/>
    <col min="12820" max="12820" width="10.140625" style="1249" customWidth="1"/>
    <col min="12821" max="13056" width="9.140625" style="1249"/>
    <col min="13057" max="13059" width="4.7109375" style="1249" customWidth="1"/>
    <col min="13060" max="13060" width="9" style="1249" customWidth="1"/>
    <col min="13061" max="13061" width="47.28515625" style="1249" customWidth="1"/>
    <col min="13062" max="13062" width="11.5703125" style="1249" customWidth="1"/>
    <col min="13063" max="13064" width="13.5703125" style="1249" customWidth="1"/>
    <col min="13065" max="13065" width="7.42578125" style="1249" customWidth="1"/>
    <col min="13066" max="13071" width="0" style="1249" hidden="1" customWidth="1"/>
    <col min="13072" max="13072" width="2.28515625" style="1249" customWidth="1"/>
    <col min="13073" max="13073" width="9.140625" style="1249"/>
    <col min="13074" max="13074" width="9.7109375" style="1249" customWidth="1"/>
    <col min="13075" max="13075" width="9.5703125" style="1249" customWidth="1"/>
    <col min="13076" max="13076" width="10.140625" style="1249" customWidth="1"/>
    <col min="13077" max="13312" width="9.140625" style="1249"/>
    <col min="13313" max="13315" width="4.7109375" style="1249" customWidth="1"/>
    <col min="13316" max="13316" width="9" style="1249" customWidth="1"/>
    <col min="13317" max="13317" width="47.28515625" style="1249" customWidth="1"/>
    <col min="13318" max="13318" width="11.5703125" style="1249" customWidth="1"/>
    <col min="13319" max="13320" width="13.5703125" style="1249" customWidth="1"/>
    <col min="13321" max="13321" width="7.42578125" style="1249" customWidth="1"/>
    <col min="13322" max="13327" width="0" style="1249" hidden="1" customWidth="1"/>
    <col min="13328" max="13328" width="2.28515625" style="1249" customWidth="1"/>
    <col min="13329" max="13329" width="9.140625" style="1249"/>
    <col min="13330" max="13330" width="9.7109375" style="1249" customWidth="1"/>
    <col min="13331" max="13331" width="9.5703125" style="1249" customWidth="1"/>
    <col min="13332" max="13332" width="10.140625" style="1249" customWidth="1"/>
    <col min="13333" max="13568" width="9.140625" style="1249"/>
    <col min="13569" max="13571" width="4.7109375" style="1249" customWidth="1"/>
    <col min="13572" max="13572" width="9" style="1249" customWidth="1"/>
    <col min="13573" max="13573" width="47.28515625" style="1249" customWidth="1"/>
    <col min="13574" max="13574" width="11.5703125" style="1249" customWidth="1"/>
    <col min="13575" max="13576" width="13.5703125" style="1249" customWidth="1"/>
    <col min="13577" max="13577" width="7.42578125" style="1249" customWidth="1"/>
    <col min="13578" max="13583" width="0" style="1249" hidden="1" customWidth="1"/>
    <col min="13584" max="13584" width="2.28515625" style="1249" customWidth="1"/>
    <col min="13585" max="13585" width="9.140625" style="1249"/>
    <col min="13586" max="13586" width="9.7109375" style="1249" customWidth="1"/>
    <col min="13587" max="13587" width="9.5703125" style="1249" customWidth="1"/>
    <col min="13588" max="13588" width="10.140625" style="1249" customWidth="1"/>
    <col min="13589" max="13824" width="9.140625" style="1249"/>
    <col min="13825" max="13827" width="4.7109375" style="1249" customWidth="1"/>
    <col min="13828" max="13828" width="9" style="1249" customWidth="1"/>
    <col min="13829" max="13829" width="47.28515625" style="1249" customWidth="1"/>
    <col min="13830" max="13830" width="11.5703125" style="1249" customWidth="1"/>
    <col min="13831" max="13832" width="13.5703125" style="1249" customWidth="1"/>
    <col min="13833" max="13833" width="7.42578125" style="1249" customWidth="1"/>
    <col min="13834" max="13839" width="0" style="1249" hidden="1" customWidth="1"/>
    <col min="13840" max="13840" width="2.28515625" style="1249" customWidth="1"/>
    <col min="13841" max="13841" width="9.140625" style="1249"/>
    <col min="13842" max="13842" width="9.7109375" style="1249" customWidth="1"/>
    <col min="13843" max="13843" width="9.5703125" style="1249" customWidth="1"/>
    <col min="13844" max="13844" width="10.140625" style="1249" customWidth="1"/>
    <col min="13845" max="14080" width="9.140625" style="1249"/>
    <col min="14081" max="14083" width="4.7109375" style="1249" customWidth="1"/>
    <col min="14084" max="14084" width="9" style="1249" customWidth="1"/>
    <col min="14085" max="14085" width="47.28515625" style="1249" customWidth="1"/>
    <col min="14086" max="14086" width="11.5703125" style="1249" customWidth="1"/>
    <col min="14087" max="14088" width="13.5703125" style="1249" customWidth="1"/>
    <col min="14089" max="14089" width="7.42578125" style="1249" customWidth="1"/>
    <col min="14090" max="14095" width="0" style="1249" hidden="1" customWidth="1"/>
    <col min="14096" max="14096" width="2.28515625" style="1249" customWidth="1"/>
    <col min="14097" max="14097" width="9.140625" style="1249"/>
    <col min="14098" max="14098" width="9.7109375" style="1249" customWidth="1"/>
    <col min="14099" max="14099" width="9.5703125" style="1249" customWidth="1"/>
    <col min="14100" max="14100" width="10.140625" style="1249" customWidth="1"/>
    <col min="14101" max="14336" width="9.140625" style="1249"/>
    <col min="14337" max="14339" width="4.7109375" style="1249" customWidth="1"/>
    <col min="14340" max="14340" width="9" style="1249" customWidth="1"/>
    <col min="14341" max="14341" width="47.28515625" style="1249" customWidth="1"/>
    <col min="14342" max="14342" width="11.5703125" style="1249" customWidth="1"/>
    <col min="14343" max="14344" width="13.5703125" style="1249" customWidth="1"/>
    <col min="14345" max="14345" width="7.42578125" style="1249" customWidth="1"/>
    <col min="14346" max="14351" width="0" style="1249" hidden="1" customWidth="1"/>
    <col min="14352" max="14352" width="2.28515625" style="1249" customWidth="1"/>
    <col min="14353" max="14353" width="9.140625" style="1249"/>
    <col min="14354" max="14354" width="9.7109375" style="1249" customWidth="1"/>
    <col min="14355" max="14355" width="9.5703125" style="1249" customWidth="1"/>
    <col min="14356" max="14356" width="10.140625" style="1249" customWidth="1"/>
    <col min="14357" max="14592" width="9.140625" style="1249"/>
    <col min="14593" max="14595" width="4.7109375" style="1249" customWidth="1"/>
    <col min="14596" max="14596" width="9" style="1249" customWidth="1"/>
    <col min="14597" max="14597" width="47.28515625" style="1249" customWidth="1"/>
    <col min="14598" max="14598" width="11.5703125" style="1249" customWidth="1"/>
    <col min="14599" max="14600" width="13.5703125" style="1249" customWidth="1"/>
    <col min="14601" max="14601" width="7.42578125" style="1249" customWidth="1"/>
    <col min="14602" max="14607" width="0" style="1249" hidden="1" customWidth="1"/>
    <col min="14608" max="14608" width="2.28515625" style="1249" customWidth="1"/>
    <col min="14609" max="14609" width="9.140625" style="1249"/>
    <col min="14610" max="14610" width="9.7109375" style="1249" customWidth="1"/>
    <col min="14611" max="14611" width="9.5703125" style="1249" customWidth="1"/>
    <col min="14612" max="14612" width="10.140625" style="1249" customWidth="1"/>
    <col min="14613" max="14848" width="9.140625" style="1249"/>
    <col min="14849" max="14851" width="4.7109375" style="1249" customWidth="1"/>
    <col min="14852" max="14852" width="9" style="1249" customWidth="1"/>
    <col min="14853" max="14853" width="47.28515625" style="1249" customWidth="1"/>
    <col min="14854" max="14854" width="11.5703125" style="1249" customWidth="1"/>
    <col min="14855" max="14856" width="13.5703125" style="1249" customWidth="1"/>
    <col min="14857" max="14857" width="7.42578125" style="1249" customWidth="1"/>
    <col min="14858" max="14863" width="0" style="1249" hidden="1" customWidth="1"/>
    <col min="14864" max="14864" width="2.28515625" style="1249" customWidth="1"/>
    <col min="14865" max="14865" width="9.140625" style="1249"/>
    <col min="14866" max="14866" width="9.7109375" style="1249" customWidth="1"/>
    <col min="14867" max="14867" width="9.5703125" style="1249" customWidth="1"/>
    <col min="14868" max="14868" width="10.140625" style="1249" customWidth="1"/>
    <col min="14869" max="15104" width="9.140625" style="1249"/>
    <col min="15105" max="15107" width="4.7109375" style="1249" customWidth="1"/>
    <col min="15108" max="15108" width="9" style="1249" customWidth="1"/>
    <col min="15109" max="15109" width="47.28515625" style="1249" customWidth="1"/>
    <col min="15110" max="15110" width="11.5703125" style="1249" customWidth="1"/>
    <col min="15111" max="15112" width="13.5703125" style="1249" customWidth="1"/>
    <col min="15113" max="15113" width="7.42578125" style="1249" customWidth="1"/>
    <col min="15114" max="15119" width="0" style="1249" hidden="1" customWidth="1"/>
    <col min="15120" max="15120" width="2.28515625" style="1249" customWidth="1"/>
    <col min="15121" max="15121" width="9.140625" style="1249"/>
    <col min="15122" max="15122" width="9.7109375" style="1249" customWidth="1"/>
    <col min="15123" max="15123" width="9.5703125" style="1249" customWidth="1"/>
    <col min="15124" max="15124" width="10.140625" style="1249" customWidth="1"/>
    <col min="15125" max="15360" width="9.140625" style="1249"/>
    <col min="15361" max="15363" width="4.7109375" style="1249" customWidth="1"/>
    <col min="15364" max="15364" width="9" style="1249" customWidth="1"/>
    <col min="15365" max="15365" width="47.28515625" style="1249" customWidth="1"/>
    <col min="15366" max="15366" width="11.5703125" style="1249" customWidth="1"/>
    <col min="15367" max="15368" width="13.5703125" style="1249" customWidth="1"/>
    <col min="15369" max="15369" width="7.42578125" style="1249" customWidth="1"/>
    <col min="15370" max="15375" width="0" style="1249" hidden="1" customWidth="1"/>
    <col min="15376" max="15376" width="2.28515625" style="1249" customWidth="1"/>
    <col min="15377" max="15377" width="9.140625" style="1249"/>
    <col min="15378" max="15378" width="9.7109375" style="1249" customWidth="1"/>
    <col min="15379" max="15379" width="9.5703125" style="1249" customWidth="1"/>
    <col min="15380" max="15380" width="10.140625" style="1249" customWidth="1"/>
    <col min="15381" max="15616" width="9.140625" style="1249"/>
    <col min="15617" max="15619" width="4.7109375" style="1249" customWidth="1"/>
    <col min="15620" max="15620" width="9" style="1249" customWidth="1"/>
    <col min="15621" max="15621" width="47.28515625" style="1249" customWidth="1"/>
    <col min="15622" max="15622" width="11.5703125" style="1249" customWidth="1"/>
    <col min="15623" max="15624" width="13.5703125" style="1249" customWidth="1"/>
    <col min="15625" max="15625" width="7.42578125" style="1249" customWidth="1"/>
    <col min="15626" max="15631" width="0" style="1249" hidden="1" customWidth="1"/>
    <col min="15632" max="15632" width="2.28515625" style="1249" customWidth="1"/>
    <col min="15633" max="15633" width="9.140625" style="1249"/>
    <col min="15634" max="15634" width="9.7109375" style="1249" customWidth="1"/>
    <col min="15635" max="15635" width="9.5703125" style="1249" customWidth="1"/>
    <col min="15636" max="15636" width="10.140625" style="1249" customWidth="1"/>
    <col min="15637" max="15872" width="9.140625" style="1249"/>
    <col min="15873" max="15875" width="4.7109375" style="1249" customWidth="1"/>
    <col min="15876" max="15876" width="9" style="1249" customWidth="1"/>
    <col min="15877" max="15877" width="47.28515625" style="1249" customWidth="1"/>
    <col min="15878" max="15878" width="11.5703125" style="1249" customWidth="1"/>
    <col min="15879" max="15880" width="13.5703125" style="1249" customWidth="1"/>
    <col min="15881" max="15881" width="7.42578125" style="1249" customWidth="1"/>
    <col min="15882" max="15887" width="0" style="1249" hidden="1" customWidth="1"/>
    <col min="15888" max="15888" width="2.28515625" style="1249" customWidth="1"/>
    <col min="15889" max="15889" width="9.140625" style="1249"/>
    <col min="15890" max="15890" width="9.7109375" style="1249" customWidth="1"/>
    <col min="15891" max="15891" width="9.5703125" style="1249" customWidth="1"/>
    <col min="15892" max="15892" width="10.140625" style="1249" customWidth="1"/>
    <col min="15893" max="16128" width="9.140625" style="1249"/>
    <col min="16129" max="16131" width="4.7109375" style="1249" customWidth="1"/>
    <col min="16132" max="16132" width="9" style="1249" customWidth="1"/>
    <col min="16133" max="16133" width="47.28515625" style="1249" customWidth="1"/>
    <col min="16134" max="16134" width="11.5703125" style="1249" customWidth="1"/>
    <col min="16135" max="16136" width="13.5703125" style="1249" customWidth="1"/>
    <col min="16137" max="16137" width="7.42578125" style="1249" customWidth="1"/>
    <col min="16138" max="16143" width="0" style="1249" hidden="1" customWidth="1"/>
    <col min="16144" max="16144" width="2.28515625" style="1249" customWidth="1"/>
    <col min="16145" max="16145" width="9.140625" style="1249"/>
    <col min="16146" max="16146" width="9.7109375" style="1249" customWidth="1"/>
    <col min="16147" max="16147" width="9.5703125" style="1249" customWidth="1"/>
    <col min="16148" max="16148" width="10.140625" style="1249" customWidth="1"/>
    <col min="16149" max="16384" width="9.140625" style="1249"/>
  </cols>
  <sheetData>
    <row r="1" spans="1:10" ht="18.75" thickBot="1" x14ac:dyDescent="0.3">
      <c r="A1" s="1342" t="s">
        <v>1993</v>
      </c>
      <c r="B1" s="1341"/>
      <c r="C1" s="2823"/>
      <c r="D1" s="2822"/>
      <c r="E1" s="2624"/>
      <c r="F1" s="1339"/>
      <c r="G1" s="1338" t="s">
        <v>1992</v>
      </c>
      <c r="J1" s="1307"/>
    </row>
    <row r="2" spans="1:10" ht="12.75" customHeight="1" x14ac:dyDescent="0.25">
      <c r="B2" s="1335"/>
      <c r="C2" s="1311"/>
      <c r="D2" s="2821"/>
      <c r="E2" s="1334"/>
      <c r="F2" s="1308"/>
      <c r="G2" s="1308"/>
      <c r="H2" s="2820"/>
      <c r="I2" s="2763"/>
      <c r="J2" s="1307"/>
    </row>
    <row r="3" spans="1:10" ht="12.75" customHeight="1" x14ac:dyDescent="0.2">
      <c r="A3" s="1337" t="s">
        <v>336</v>
      </c>
      <c r="B3" s="1311"/>
      <c r="C3" s="2619" t="s">
        <v>1884</v>
      </c>
      <c r="D3" s="1336"/>
      <c r="E3" s="1308"/>
      <c r="F3" s="2820"/>
      <c r="G3" s="2764"/>
      <c r="H3" s="2764"/>
    </row>
    <row r="4" spans="1:10" ht="12.75" customHeight="1" x14ac:dyDescent="0.25">
      <c r="A4" s="1335"/>
      <c r="B4" s="1311"/>
      <c r="C4" s="2141" t="s">
        <v>1991</v>
      </c>
      <c r="D4" s="1254"/>
      <c r="E4" s="1308"/>
      <c r="F4" s="2820"/>
      <c r="G4" s="2764"/>
      <c r="H4" s="2764"/>
    </row>
    <row r="5" spans="1:10" ht="12.75" customHeight="1" x14ac:dyDescent="0.25">
      <c r="A5" s="1335"/>
      <c r="B5" s="1311"/>
      <c r="C5" s="2520"/>
      <c r="D5" s="1254"/>
      <c r="E5" s="1308"/>
      <c r="F5" s="2820"/>
      <c r="G5" s="2764"/>
      <c r="H5" s="2764"/>
    </row>
    <row r="6" spans="1:10" ht="12.75" customHeight="1" x14ac:dyDescent="0.25">
      <c r="B6" s="1335"/>
      <c r="C6" s="1311"/>
      <c r="D6" s="2821"/>
      <c r="E6" s="1334"/>
      <c r="F6" s="1308"/>
      <c r="G6" s="1308"/>
      <c r="H6" s="2820"/>
      <c r="I6" s="2763"/>
      <c r="J6" s="1307"/>
    </row>
    <row r="7" spans="1:10" ht="18" x14ac:dyDescent="0.25">
      <c r="A7" s="1312" t="s">
        <v>564</v>
      </c>
      <c r="B7" s="1312"/>
      <c r="C7" s="1311"/>
      <c r="D7" s="2821"/>
      <c r="E7" s="1334"/>
      <c r="F7" s="1308"/>
      <c r="G7" s="1308"/>
      <c r="H7" s="2820"/>
      <c r="I7" s="2763"/>
      <c r="J7" s="1307"/>
    </row>
    <row r="8" spans="1:10" ht="18" x14ac:dyDescent="0.25">
      <c r="A8" s="1312"/>
      <c r="B8" s="1312"/>
      <c r="C8" s="1311"/>
      <c r="D8" s="2821"/>
      <c r="E8" s="1334"/>
      <c r="F8" s="1308"/>
      <c r="G8" s="1308"/>
      <c r="H8" s="2820"/>
      <c r="I8" s="2763"/>
      <c r="J8" s="1307"/>
    </row>
    <row r="9" spans="1:10" ht="18" x14ac:dyDescent="0.25">
      <c r="A9" s="1312"/>
      <c r="B9" s="1312"/>
      <c r="C9" s="1311"/>
      <c r="D9" s="2821"/>
      <c r="E9" s="1334"/>
      <c r="F9" s="1308"/>
      <c r="G9" s="1308"/>
      <c r="H9" s="2820"/>
      <c r="I9" s="2763"/>
      <c r="J9" s="1307"/>
    </row>
    <row r="10" spans="1:10" ht="13.5" thickBot="1" x14ac:dyDescent="0.25">
      <c r="A10" s="2163" t="s">
        <v>852</v>
      </c>
      <c r="B10" s="1305"/>
      <c r="C10" s="1305"/>
      <c r="D10" s="2819"/>
      <c r="E10" s="1325"/>
      <c r="H10" s="1303"/>
      <c r="I10" s="2699" t="s">
        <v>148</v>
      </c>
    </row>
    <row r="11" spans="1:10" s="1298" customFormat="1" ht="14.25" customHeight="1" thickTop="1" thickBot="1" x14ac:dyDescent="0.25">
      <c r="A11" s="1302" t="s">
        <v>565</v>
      </c>
      <c r="B11" s="1299" t="s">
        <v>149</v>
      </c>
      <c r="C11" s="1301" t="s">
        <v>150</v>
      </c>
      <c r="D11" s="1324" t="s">
        <v>639</v>
      </c>
      <c r="E11" s="1324" t="s">
        <v>151</v>
      </c>
      <c r="F11" s="1324" t="s">
        <v>569</v>
      </c>
      <c r="G11" s="1324" t="s">
        <v>570</v>
      </c>
      <c r="H11" s="2198" t="s">
        <v>797</v>
      </c>
      <c r="I11" s="2238" t="s">
        <v>798</v>
      </c>
    </row>
    <row r="12" spans="1:10" s="1292" customFormat="1" ht="13.5" thickTop="1" thickBot="1" x14ac:dyDescent="0.25">
      <c r="A12" s="1297">
        <v>1</v>
      </c>
      <c r="B12" s="1296">
        <v>2</v>
      </c>
      <c r="C12" s="1296">
        <v>3</v>
      </c>
      <c r="D12" s="1296">
        <v>4</v>
      </c>
      <c r="E12" s="1296">
        <v>5</v>
      </c>
      <c r="F12" s="1295">
        <v>6</v>
      </c>
      <c r="G12" s="1295">
        <v>7</v>
      </c>
      <c r="H12" s="1446">
        <v>8</v>
      </c>
      <c r="I12" s="1294" t="s">
        <v>689</v>
      </c>
    </row>
    <row r="13" spans="1:10" ht="20.25" customHeight="1" thickTop="1" x14ac:dyDescent="0.25">
      <c r="A13" s="2772">
        <v>1001</v>
      </c>
      <c r="B13" s="2771">
        <v>3112</v>
      </c>
      <c r="C13" s="2771">
        <v>5331</v>
      </c>
      <c r="D13" s="2770"/>
      <c r="E13" s="2769" t="s">
        <v>858</v>
      </c>
      <c r="F13" s="2768"/>
      <c r="G13" s="2768">
        <f>G14+G15+G16</f>
        <v>682</v>
      </c>
      <c r="H13" s="2768">
        <f>H14+H15+H16</f>
        <v>682</v>
      </c>
      <c r="I13" s="2767">
        <f>(H13/G13)*100</f>
        <v>100</v>
      </c>
    </row>
    <row r="14" spans="1:10" ht="14.25" x14ac:dyDescent="0.2">
      <c r="A14" s="2714"/>
      <c r="B14" s="2713"/>
      <c r="C14" s="2713"/>
      <c r="D14" s="2191" t="s">
        <v>1811</v>
      </c>
      <c r="E14" s="2716" t="s">
        <v>717</v>
      </c>
      <c r="F14" s="2711"/>
      <c r="G14" s="2711">
        <v>39</v>
      </c>
      <c r="H14" s="2711">
        <v>39</v>
      </c>
      <c r="I14" s="2710">
        <f>(H14/G14)*100</f>
        <v>100</v>
      </c>
    </row>
    <row r="15" spans="1:10" ht="14.25" x14ac:dyDescent="0.2">
      <c r="A15" s="2714"/>
      <c r="B15" s="2713"/>
      <c r="C15" s="2713"/>
      <c r="D15" s="2182" t="s">
        <v>1812</v>
      </c>
      <c r="E15" s="2712" t="s">
        <v>63</v>
      </c>
      <c r="F15" s="2711"/>
      <c r="G15" s="2711">
        <v>424</v>
      </c>
      <c r="H15" s="2711">
        <v>424</v>
      </c>
      <c r="I15" s="2710">
        <f>(H15/G15)*100</f>
        <v>100</v>
      </c>
    </row>
    <row r="16" spans="1:10" ht="15" thickBot="1" x14ac:dyDescent="0.25">
      <c r="A16" s="2714"/>
      <c r="B16" s="2727"/>
      <c r="C16" s="2727"/>
      <c r="D16" s="2182" t="s">
        <v>1892</v>
      </c>
      <c r="E16" s="2775" t="s">
        <v>2005</v>
      </c>
      <c r="F16" s="2725"/>
      <c r="G16" s="2725">
        <v>219</v>
      </c>
      <c r="H16" s="2725">
        <v>219</v>
      </c>
      <c r="I16" s="2710">
        <f>(H16/G16)*100</f>
        <v>100</v>
      </c>
    </row>
    <row r="17" spans="1:20" ht="17.25" thickTop="1" thickBot="1" x14ac:dyDescent="0.3">
      <c r="A17" s="3195" t="s">
        <v>1000</v>
      </c>
      <c r="B17" s="3196"/>
      <c r="C17" s="3196"/>
      <c r="D17" s="3196"/>
      <c r="E17" s="3196"/>
      <c r="F17" s="2818">
        <f>SUM(F13)</f>
        <v>0</v>
      </c>
      <c r="G17" s="2818">
        <f>G13</f>
        <v>682</v>
      </c>
      <c r="H17" s="2818">
        <f>H13</f>
        <v>682</v>
      </c>
      <c r="I17" s="2817">
        <f>(H17/G17)*100</f>
        <v>100</v>
      </c>
      <c r="R17" s="1254">
        <f>F17</f>
        <v>0</v>
      </c>
      <c r="S17" s="1254">
        <f>G17</f>
        <v>682</v>
      </c>
      <c r="T17" s="1254">
        <f>H17</f>
        <v>682</v>
      </c>
    </row>
    <row r="18" spans="1:20" ht="13.5" thickTop="1" x14ac:dyDescent="0.2"/>
    <row r="21" spans="1:20" ht="13.5" thickBot="1" x14ac:dyDescent="0.25">
      <c r="A21" s="2163" t="s">
        <v>666</v>
      </c>
      <c r="I21" s="2699" t="s">
        <v>148</v>
      </c>
    </row>
    <row r="22" spans="1:20" s="1298" customFormat="1" thickTop="1" thickBot="1" x14ac:dyDescent="0.25">
      <c r="A22" s="1302" t="s">
        <v>565</v>
      </c>
      <c r="B22" s="1299" t="s">
        <v>149</v>
      </c>
      <c r="C22" s="1301" t="s">
        <v>150</v>
      </c>
      <c r="D22" s="1324" t="s">
        <v>639</v>
      </c>
      <c r="E22" s="1324" t="s">
        <v>151</v>
      </c>
      <c r="F22" s="1324" t="s">
        <v>569</v>
      </c>
      <c r="G22" s="1324" t="s">
        <v>570</v>
      </c>
      <c r="H22" s="2198" t="s">
        <v>797</v>
      </c>
      <c r="I22" s="2238" t="s">
        <v>798</v>
      </c>
    </row>
    <row r="23" spans="1:20" s="1292" customFormat="1" ht="13.5" thickTop="1" thickBot="1" x14ac:dyDescent="0.25">
      <c r="A23" s="1297">
        <v>1</v>
      </c>
      <c r="B23" s="1296">
        <v>2</v>
      </c>
      <c r="C23" s="1296">
        <v>3</v>
      </c>
      <c r="D23" s="1296">
        <v>4</v>
      </c>
      <c r="E23" s="1296">
        <v>5</v>
      </c>
      <c r="F23" s="1295">
        <v>6</v>
      </c>
      <c r="G23" s="1295">
        <v>7</v>
      </c>
      <c r="H23" s="1446">
        <v>8</v>
      </c>
      <c r="I23" s="1294" t="s">
        <v>689</v>
      </c>
    </row>
    <row r="24" spans="1:20" ht="15.75" thickTop="1" x14ac:dyDescent="0.25">
      <c r="A24" s="2714">
        <v>1010</v>
      </c>
      <c r="B24" s="2727">
        <v>3114</v>
      </c>
      <c r="C24" s="2726">
        <v>5331</v>
      </c>
      <c r="D24" s="2745"/>
      <c r="E24" s="2183" t="s">
        <v>858</v>
      </c>
      <c r="F24" s="2740"/>
      <c r="G24" s="2740">
        <v>385</v>
      </c>
      <c r="H24" s="2740">
        <v>385</v>
      </c>
      <c r="I24" s="2739">
        <f>(H24/G24)*100</f>
        <v>100</v>
      </c>
    </row>
    <row r="25" spans="1:20" ht="15" thickBot="1" x14ac:dyDescent="0.25">
      <c r="A25" s="2714"/>
      <c r="B25" s="2713"/>
      <c r="C25" s="2190"/>
      <c r="D25" s="2182" t="s">
        <v>1812</v>
      </c>
      <c r="E25" s="2712" t="s">
        <v>63</v>
      </c>
      <c r="F25" s="2711"/>
      <c r="G25" s="2711">
        <v>385</v>
      </c>
      <c r="H25" s="2711">
        <v>385</v>
      </c>
      <c r="I25" s="2710">
        <f>(H25/G25)*100</f>
        <v>100</v>
      </c>
    </row>
    <row r="26" spans="1:20" ht="15.75" customHeight="1" thickTop="1" thickBot="1" x14ac:dyDescent="0.3">
      <c r="A26" s="3195" t="s">
        <v>1000</v>
      </c>
      <c r="B26" s="3196"/>
      <c r="C26" s="3196"/>
      <c r="D26" s="3196"/>
      <c r="E26" s="3196"/>
      <c r="F26" s="2709">
        <v>0</v>
      </c>
      <c r="G26" s="2709">
        <f>G24</f>
        <v>385</v>
      </c>
      <c r="H26" s="2709">
        <f>H24</f>
        <v>385</v>
      </c>
      <c r="I26" s="2708">
        <f>(H26/G26)*100</f>
        <v>100</v>
      </c>
      <c r="R26" s="1254">
        <f>F26</f>
        <v>0</v>
      </c>
      <c r="S26" s="1254">
        <f>G26</f>
        <v>385</v>
      </c>
      <c r="T26" s="1254">
        <f>H26</f>
        <v>385</v>
      </c>
    </row>
    <row r="27" spans="1:20" ht="15.75" customHeight="1" thickTop="1" x14ac:dyDescent="0.25">
      <c r="A27" s="1417"/>
      <c r="B27" s="1417"/>
      <c r="C27" s="1417"/>
      <c r="D27" s="1417"/>
      <c r="E27" s="1417"/>
      <c r="F27" s="2701"/>
      <c r="G27" s="2701"/>
      <c r="H27" s="2701"/>
      <c r="I27" s="2700"/>
      <c r="R27" s="1254"/>
      <c r="S27" s="1254"/>
      <c r="T27" s="1254"/>
    </row>
    <row r="28" spans="1:20" ht="15.75" customHeight="1" x14ac:dyDescent="0.25">
      <c r="A28" s="1417"/>
      <c r="B28" s="1417"/>
      <c r="C28" s="1417"/>
      <c r="D28" s="1417"/>
      <c r="E28" s="1417"/>
      <c r="F28" s="2701"/>
      <c r="G28" s="2701"/>
      <c r="H28" s="2701"/>
      <c r="I28" s="2700"/>
      <c r="R28" s="1254"/>
      <c r="S28" s="1254"/>
      <c r="T28" s="1254"/>
    </row>
    <row r="29" spans="1:20" ht="15.75" customHeight="1" x14ac:dyDescent="0.25">
      <c r="A29" s="1417"/>
      <c r="B29" s="1417"/>
      <c r="C29" s="1417"/>
      <c r="D29" s="1417"/>
      <c r="E29" s="1417"/>
      <c r="F29" s="2701"/>
      <c r="G29" s="2701"/>
      <c r="H29" s="2701"/>
      <c r="I29" s="2700"/>
      <c r="R29" s="1254"/>
      <c r="S29" s="1254"/>
      <c r="T29" s="1254"/>
    </row>
    <row r="30" spans="1:20" ht="13.5" thickBot="1" x14ac:dyDescent="0.25">
      <c r="A30" s="2163" t="s">
        <v>718</v>
      </c>
      <c r="I30" s="2699" t="s">
        <v>148</v>
      </c>
    </row>
    <row r="31" spans="1:20" s="1298" customFormat="1" ht="20.25" customHeight="1" thickTop="1" thickBot="1" x14ac:dyDescent="0.25">
      <c r="A31" s="1302" t="s">
        <v>565</v>
      </c>
      <c r="B31" s="1299" t="s">
        <v>149</v>
      </c>
      <c r="C31" s="1301" t="s">
        <v>150</v>
      </c>
      <c r="D31" s="1324" t="s">
        <v>639</v>
      </c>
      <c r="E31" s="1324" t="s">
        <v>151</v>
      </c>
      <c r="F31" s="1324" t="s">
        <v>569</v>
      </c>
      <c r="G31" s="1324" t="s">
        <v>570</v>
      </c>
      <c r="H31" s="2198" t="s">
        <v>797</v>
      </c>
      <c r="I31" s="2238" t="s">
        <v>798</v>
      </c>
    </row>
    <row r="32" spans="1:20" s="1292" customFormat="1" ht="13.5" thickTop="1" thickBot="1" x14ac:dyDescent="0.25">
      <c r="A32" s="1297">
        <v>1</v>
      </c>
      <c r="B32" s="1296">
        <v>2</v>
      </c>
      <c r="C32" s="1296">
        <v>3</v>
      </c>
      <c r="D32" s="1296">
        <v>4</v>
      </c>
      <c r="E32" s="1296">
        <v>5</v>
      </c>
      <c r="F32" s="1295">
        <v>6</v>
      </c>
      <c r="G32" s="1295">
        <v>7</v>
      </c>
      <c r="H32" s="1446">
        <v>8</v>
      </c>
      <c r="I32" s="1294" t="s">
        <v>689</v>
      </c>
    </row>
    <row r="33" spans="1:20" ht="15.75" thickTop="1" x14ac:dyDescent="0.25">
      <c r="A33" s="2714">
        <v>1012</v>
      </c>
      <c r="B33" s="2713">
        <v>3114</v>
      </c>
      <c r="C33" s="2713">
        <v>5331</v>
      </c>
      <c r="D33" s="2733"/>
      <c r="E33" s="2183" t="s">
        <v>858</v>
      </c>
      <c r="F33" s="2740"/>
      <c r="G33" s="2740">
        <f>G34+G35+G36+G37+G38</f>
        <v>4314</v>
      </c>
      <c r="H33" s="2740">
        <f>H34+H35+H36+H37+H38</f>
        <v>4314</v>
      </c>
      <c r="I33" s="2732">
        <f t="shared" ref="I33:I39" si="0">(H33/G33)*100</f>
        <v>100</v>
      </c>
    </row>
    <row r="34" spans="1:20" ht="14.25" x14ac:dyDescent="0.2">
      <c r="A34" s="2714"/>
      <c r="B34" s="2713"/>
      <c r="C34" s="2713"/>
      <c r="D34" s="2191" t="s">
        <v>1811</v>
      </c>
      <c r="E34" s="2716" t="s">
        <v>717</v>
      </c>
      <c r="F34" s="2711"/>
      <c r="G34" s="2711">
        <v>628</v>
      </c>
      <c r="H34" s="2711">
        <v>628</v>
      </c>
      <c r="I34" s="2710">
        <f t="shared" si="0"/>
        <v>100</v>
      </c>
    </row>
    <row r="35" spans="1:20" ht="14.25" x14ac:dyDescent="0.2">
      <c r="A35" s="2714"/>
      <c r="B35" s="2713"/>
      <c r="C35" s="2713"/>
      <c r="D35" s="2191" t="s">
        <v>1951</v>
      </c>
      <c r="E35" s="2734" t="s">
        <v>645</v>
      </c>
      <c r="F35" s="2711"/>
      <c r="G35" s="2711">
        <v>964</v>
      </c>
      <c r="H35" s="2711">
        <v>964</v>
      </c>
      <c r="I35" s="2710">
        <f t="shared" si="0"/>
        <v>100</v>
      </c>
    </row>
    <row r="36" spans="1:20" ht="14.25" x14ac:dyDescent="0.2">
      <c r="A36" s="2714"/>
      <c r="B36" s="2713"/>
      <c r="C36" s="2190"/>
      <c r="D36" s="2182" t="s">
        <v>1812</v>
      </c>
      <c r="E36" s="2712" t="s">
        <v>63</v>
      </c>
      <c r="F36" s="2711"/>
      <c r="G36" s="2711">
        <v>2400</v>
      </c>
      <c r="H36" s="2711">
        <v>2400</v>
      </c>
      <c r="I36" s="2710">
        <f t="shared" si="0"/>
        <v>100</v>
      </c>
    </row>
    <row r="37" spans="1:20" ht="14.25" x14ac:dyDescent="0.2">
      <c r="A37" s="2714"/>
      <c r="B37" s="2727"/>
      <c r="C37" s="2726"/>
      <c r="D37" s="2758" t="s">
        <v>1914</v>
      </c>
      <c r="E37" s="2712" t="s">
        <v>1080</v>
      </c>
      <c r="F37" s="2725"/>
      <c r="G37" s="2725">
        <v>222</v>
      </c>
      <c r="H37" s="2725">
        <v>222</v>
      </c>
      <c r="I37" s="2724">
        <f t="shared" si="0"/>
        <v>100</v>
      </c>
    </row>
    <row r="38" spans="1:20" ht="15" thickBot="1" x14ac:dyDescent="0.25">
      <c r="A38" s="2714"/>
      <c r="B38" s="2727"/>
      <c r="C38" s="2726"/>
      <c r="D38" s="2306" t="s">
        <v>1901</v>
      </c>
      <c r="E38" s="2746" t="s">
        <v>2000</v>
      </c>
      <c r="F38" s="2766"/>
      <c r="G38" s="2766">
        <v>100</v>
      </c>
      <c r="H38" s="2766">
        <v>100</v>
      </c>
      <c r="I38" s="2765">
        <f t="shared" si="0"/>
        <v>100</v>
      </c>
    </row>
    <row r="39" spans="1:20" ht="16.5" thickTop="1" thickBot="1" x14ac:dyDescent="0.3">
      <c r="A39" s="3195" t="s">
        <v>1000</v>
      </c>
      <c r="B39" s="3196"/>
      <c r="C39" s="3196"/>
      <c r="D39" s="3197"/>
      <c r="E39" s="3197"/>
      <c r="F39" s="2816">
        <v>0</v>
      </c>
      <c r="G39" s="2816">
        <f>G33</f>
        <v>4314</v>
      </c>
      <c r="H39" s="2816">
        <f>H33</f>
        <v>4314</v>
      </c>
      <c r="I39" s="2815">
        <f t="shared" si="0"/>
        <v>100</v>
      </c>
      <c r="R39" s="1254">
        <f>F39</f>
        <v>0</v>
      </c>
      <c r="S39" s="1254">
        <f>G39</f>
        <v>4314</v>
      </c>
      <c r="T39" s="1254">
        <f>H39</f>
        <v>4314</v>
      </c>
    </row>
    <row r="40" spans="1:20" ht="13.5" thickTop="1" x14ac:dyDescent="0.2"/>
    <row r="42" spans="1:20" s="2402" customFormat="1" ht="18" customHeight="1" x14ac:dyDescent="0.2">
      <c r="A42" s="2814"/>
      <c r="B42" s="2814"/>
      <c r="C42" s="2814"/>
      <c r="D42" s="2814"/>
      <c r="E42" s="2814"/>
      <c r="F42" s="2813"/>
      <c r="G42" s="2813"/>
      <c r="H42" s="2813"/>
      <c r="I42" s="2812"/>
    </row>
    <row r="43" spans="1:20" ht="13.5" thickBot="1" x14ac:dyDescent="0.25">
      <c r="A43" s="2163" t="s">
        <v>2007</v>
      </c>
      <c r="I43" s="2699" t="s">
        <v>148</v>
      </c>
    </row>
    <row r="44" spans="1:20" s="1298" customFormat="1" ht="20.25" customHeight="1" thickTop="1" thickBot="1" x14ac:dyDescent="0.25">
      <c r="A44" s="1302" t="s">
        <v>565</v>
      </c>
      <c r="B44" s="1299" t="s">
        <v>149</v>
      </c>
      <c r="C44" s="1301" t="s">
        <v>150</v>
      </c>
      <c r="D44" s="1324" t="s">
        <v>639</v>
      </c>
      <c r="E44" s="1324" t="s">
        <v>151</v>
      </c>
      <c r="F44" s="1324" t="s">
        <v>569</v>
      </c>
      <c r="G44" s="1324" t="s">
        <v>570</v>
      </c>
      <c r="H44" s="2198" t="s">
        <v>797</v>
      </c>
      <c r="I44" s="2238" t="s">
        <v>798</v>
      </c>
    </row>
    <row r="45" spans="1:20" s="1292" customFormat="1" ht="13.5" thickTop="1" thickBot="1" x14ac:dyDescent="0.25">
      <c r="A45" s="1297">
        <v>1</v>
      </c>
      <c r="B45" s="1296">
        <v>2</v>
      </c>
      <c r="C45" s="1296">
        <v>3</v>
      </c>
      <c r="D45" s="1296">
        <v>4</v>
      </c>
      <c r="E45" s="1296">
        <v>5</v>
      </c>
      <c r="F45" s="1295">
        <v>6</v>
      </c>
      <c r="G45" s="1295">
        <v>7</v>
      </c>
      <c r="H45" s="1446">
        <v>8</v>
      </c>
      <c r="I45" s="1294" t="s">
        <v>689</v>
      </c>
    </row>
    <row r="46" spans="1:20" s="2402" customFormat="1" ht="15.75" thickTop="1" x14ac:dyDescent="0.2">
      <c r="A46" s="2794">
        <v>1014</v>
      </c>
      <c r="B46" s="2793">
        <v>3114</v>
      </c>
      <c r="C46" s="2793">
        <v>5331</v>
      </c>
      <c r="D46" s="2792"/>
      <c r="E46" s="2791" t="s">
        <v>858</v>
      </c>
      <c r="F46" s="2790"/>
      <c r="G46" s="2790">
        <f>SUM(G47:G49)</f>
        <v>2473</v>
      </c>
      <c r="H46" s="2790">
        <f>SUM(H47:H49)</f>
        <v>2473</v>
      </c>
      <c r="I46" s="2789">
        <f>(H46/G46)*100</f>
        <v>100</v>
      </c>
    </row>
    <row r="47" spans="1:20" ht="14.25" x14ac:dyDescent="0.2">
      <c r="A47" s="2714"/>
      <c r="B47" s="2713"/>
      <c r="C47" s="2713"/>
      <c r="D47" s="2194" t="s">
        <v>1811</v>
      </c>
      <c r="E47" s="2716" t="s">
        <v>717</v>
      </c>
      <c r="F47" s="2811"/>
      <c r="G47" s="2811">
        <v>23</v>
      </c>
      <c r="H47" s="2810">
        <v>23</v>
      </c>
      <c r="I47" s="2710">
        <f>(H47/G47)*100</f>
        <v>100</v>
      </c>
    </row>
    <row r="48" spans="1:20" ht="14.25" x14ac:dyDescent="0.2">
      <c r="A48" s="2714"/>
      <c r="B48" s="2713"/>
      <c r="C48" s="2713"/>
      <c r="D48" s="2191" t="s">
        <v>1951</v>
      </c>
      <c r="E48" s="2734" t="s">
        <v>645</v>
      </c>
      <c r="F48" s="2711"/>
      <c r="G48" s="2711">
        <v>288</v>
      </c>
      <c r="H48" s="2711">
        <v>288</v>
      </c>
      <c r="I48" s="2710">
        <f>(H48/G48)*100</f>
        <v>100</v>
      </c>
    </row>
    <row r="49" spans="1:20" ht="15" thickBot="1" x14ac:dyDescent="0.25">
      <c r="A49" s="2714"/>
      <c r="B49" s="2713"/>
      <c r="C49" s="2713"/>
      <c r="D49" s="2182" t="s">
        <v>1812</v>
      </c>
      <c r="E49" s="2712" t="s">
        <v>63</v>
      </c>
      <c r="F49" s="2711"/>
      <c r="G49" s="2711">
        <v>2162</v>
      </c>
      <c r="H49" s="2711">
        <v>2162</v>
      </c>
      <c r="I49" s="2710">
        <f>(H49/G49)*100</f>
        <v>100</v>
      </c>
    </row>
    <row r="50" spans="1:20" ht="16.5" thickTop="1" thickBot="1" x14ac:dyDescent="0.3">
      <c r="A50" s="3195" t="s">
        <v>1000</v>
      </c>
      <c r="B50" s="3196"/>
      <c r="C50" s="3196"/>
      <c r="D50" s="3196"/>
      <c r="E50" s="3196"/>
      <c r="F50" s="2709">
        <v>0</v>
      </c>
      <c r="G50" s="2709">
        <f>G46</f>
        <v>2473</v>
      </c>
      <c r="H50" s="2709">
        <f>H46</f>
        <v>2473</v>
      </c>
      <c r="I50" s="2708">
        <f>(H50/G50)*100</f>
        <v>100</v>
      </c>
      <c r="R50" s="1254">
        <f>F50</f>
        <v>0</v>
      </c>
      <c r="S50" s="1254">
        <f>G50</f>
        <v>2473</v>
      </c>
      <c r="T50" s="1254">
        <f>H50</f>
        <v>2473</v>
      </c>
    </row>
    <row r="51" spans="1:20" ht="13.5" thickTop="1" x14ac:dyDescent="0.2"/>
    <row r="54" spans="1:20" ht="14.25" customHeight="1" thickBot="1" x14ac:dyDescent="0.25">
      <c r="A54" s="2163" t="s">
        <v>1820</v>
      </c>
      <c r="I54" s="2699" t="s">
        <v>148</v>
      </c>
    </row>
    <row r="55" spans="1:20" s="1298" customFormat="1" thickTop="1" thickBot="1" x14ac:dyDescent="0.25">
      <c r="A55" s="1302" t="s">
        <v>565</v>
      </c>
      <c r="B55" s="1299" t="s">
        <v>149</v>
      </c>
      <c r="C55" s="1301" t="s">
        <v>150</v>
      </c>
      <c r="D55" s="1324" t="s">
        <v>639</v>
      </c>
      <c r="E55" s="1324" t="s">
        <v>151</v>
      </c>
      <c r="F55" s="1324" t="s">
        <v>569</v>
      </c>
      <c r="G55" s="1324" t="s">
        <v>570</v>
      </c>
      <c r="H55" s="2198" t="s">
        <v>797</v>
      </c>
      <c r="I55" s="2238" t="s">
        <v>798</v>
      </c>
    </row>
    <row r="56" spans="1:20" s="1292" customFormat="1" ht="13.5" thickTop="1" thickBot="1" x14ac:dyDescent="0.25">
      <c r="A56" s="1297">
        <v>1</v>
      </c>
      <c r="B56" s="1296">
        <v>2</v>
      </c>
      <c r="C56" s="1296">
        <v>3</v>
      </c>
      <c r="D56" s="1296">
        <v>4</v>
      </c>
      <c r="E56" s="1296">
        <v>5</v>
      </c>
      <c r="F56" s="1295">
        <v>6</v>
      </c>
      <c r="G56" s="1295">
        <v>7</v>
      </c>
      <c r="H56" s="1446">
        <v>8</v>
      </c>
      <c r="I56" s="1294" t="s">
        <v>689</v>
      </c>
    </row>
    <row r="57" spans="1:20" s="1292" customFormat="1" ht="15.75" thickTop="1" x14ac:dyDescent="0.25">
      <c r="A57" s="2772">
        <v>1015</v>
      </c>
      <c r="B57" s="2771">
        <v>3124</v>
      </c>
      <c r="C57" s="2771">
        <v>5331</v>
      </c>
      <c r="D57" s="2770"/>
      <c r="E57" s="2769" t="s">
        <v>858</v>
      </c>
      <c r="F57" s="2258"/>
      <c r="G57" s="2258">
        <f>G58+G59+G60+G61+G62</f>
        <v>8095</v>
      </c>
      <c r="H57" s="2258">
        <f>H58+H59+H60+H61+H62</f>
        <v>8095</v>
      </c>
      <c r="I57" s="2732">
        <f t="shared" ref="I57:I63" si="1">(H57/G57)*100</f>
        <v>100</v>
      </c>
    </row>
    <row r="58" spans="1:20" s="1292" customFormat="1" ht="14.25" x14ac:dyDescent="0.2">
      <c r="A58" s="2714"/>
      <c r="B58" s="2713"/>
      <c r="C58" s="2713"/>
      <c r="D58" s="2194" t="s">
        <v>1811</v>
      </c>
      <c r="E58" s="2716" t="s">
        <v>717</v>
      </c>
      <c r="F58" s="2250"/>
      <c r="G58" s="2250">
        <v>3357</v>
      </c>
      <c r="H58" s="2809">
        <v>3357</v>
      </c>
      <c r="I58" s="2710">
        <f t="shared" si="1"/>
        <v>100</v>
      </c>
    </row>
    <row r="59" spans="1:20" s="1292" customFormat="1" ht="14.25" x14ac:dyDescent="0.2">
      <c r="A59" s="2714"/>
      <c r="B59" s="2713"/>
      <c r="C59" s="2713"/>
      <c r="D59" s="2191" t="s">
        <v>1951</v>
      </c>
      <c r="E59" s="2734" t="s">
        <v>645</v>
      </c>
      <c r="F59" s="2711"/>
      <c r="G59" s="2711">
        <v>30</v>
      </c>
      <c r="H59" s="2711">
        <v>30</v>
      </c>
      <c r="I59" s="2710">
        <f t="shared" si="1"/>
        <v>100</v>
      </c>
    </row>
    <row r="60" spans="1:20" s="1292" customFormat="1" ht="14.25" x14ac:dyDescent="0.2">
      <c r="A60" s="2714"/>
      <c r="B60" s="2713"/>
      <c r="C60" s="2713"/>
      <c r="D60" s="2182" t="s">
        <v>1812</v>
      </c>
      <c r="E60" s="2712" t="s">
        <v>63</v>
      </c>
      <c r="F60" s="2250"/>
      <c r="G60" s="2250">
        <v>4588</v>
      </c>
      <c r="H60" s="2809">
        <v>4588</v>
      </c>
      <c r="I60" s="2710">
        <f t="shared" si="1"/>
        <v>100</v>
      </c>
    </row>
    <row r="61" spans="1:20" s="1292" customFormat="1" ht="14.25" x14ac:dyDescent="0.2">
      <c r="A61" s="2714"/>
      <c r="B61" s="2713"/>
      <c r="C61" s="2713"/>
      <c r="D61" s="2182" t="s">
        <v>1817</v>
      </c>
      <c r="E61" s="2712" t="s">
        <v>66</v>
      </c>
      <c r="F61" s="2725"/>
      <c r="G61" s="2725">
        <v>20</v>
      </c>
      <c r="H61" s="2725">
        <v>20</v>
      </c>
      <c r="I61" s="2710">
        <f t="shared" si="1"/>
        <v>100</v>
      </c>
    </row>
    <row r="62" spans="1:20" s="1292" customFormat="1" ht="15" thickBot="1" x14ac:dyDescent="0.25">
      <c r="A62" s="2714"/>
      <c r="B62" s="2713"/>
      <c r="C62" s="2713"/>
      <c r="D62" s="2306" t="s">
        <v>1901</v>
      </c>
      <c r="E62" s="2746" t="s">
        <v>2000</v>
      </c>
      <c r="F62" s="2766"/>
      <c r="G62" s="2766">
        <v>100</v>
      </c>
      <c r="H62" s="2766">
        <v>100</v>
      </c>
      <c r="I62" s="2765">
        <f t="shared" si="1"/>
        <v>100</v>
      </c>
    </row>
    <row r="63" spans="1:20" ht="13.5" customHeight="1" thickTop="1" thickBot="1" x14ac:dyDescent="0.3">
      <c r="A63" s="3195" t="s">
        <v>1000</v>
      </c>
      <c r="B63" s="3196"/>
      <c r="C63" s="3196"/>
      <c r="D63" s="3196"/>
      <c r="E63" s="3196"/>
      <c r="F63" s="2709">
        <v>0</v>
      </c>
      <c r="G63" s="2709">
        <f>G57</f>
        <v>8095</v>
      </c>
      <c r="H63" s="2709">
        <f>H57</f>
        <v>8095</v>
      </c>
      <c r="I63" s="2708">
        <f t="shared" si="1"/>
        <v>100</v>
      </c>
      <c r="R63" s="1254">
        <f>F63</f>
        <v>0</v>
      </c>
      <c r="S63" s="1254">
        <f>G63</f>
        <v>8095</v>
      </c>
      <c r="T63" s="1254">
        <f>H63</f>
        <v>8095</v>
      </c>
    </row>
    <row r="64" spans="1:20" ht="13.5" customHeight="1" thickTop="1" x14ac:dyDescent="0.25">
      <c r="A64" s="1417"/>
      <c r="B64" s="1417"/>
      <c r="C64" s="1417"/>
      <c r="D64" s="1417"/>
      <c r="E64" s="1417"/>
      <c r="F64" s="2701"/>
      <c r="G64" s="2701"/>
      <c r="H64" s="2701"/>
      <c r="I64" s="2700"/>
      <c r="R64" s="1254"/>
      <c r="S64" s="1254"/>
      <c r="T64" s="1254"/>
    </row>
    <row r="65" spans="1:20" ht="13.5" customHeight="1" x14ac:dyDescent="0.25">
      <c r="A65" s="1417"/>
      <c r="B65" s="1417"/>
      <c r="C65" s="1417"/>
      <c r="D65" s="1417"/>
      <c r="E65" s="1417"/>
      <c r="F65" s="2701"/>
      <c r="G65" s="2701"/>
      <c r="H65" s="2701"/>
      <c r="I65" s="2700"/>
      <c r="R65" s="1254"/>
      <c r="S65" s="1254"/>
      <c r="T65" s="1254"/>
    </row>
    <row r="66" spans="1:20" ht="13.5" customHeight="1" x14ac:dyDescent="0.25">
      <c r="A66" s="1417"/>
      <c r="B66" s="1417"/>
      <c r="C66" s="1417"/>
      <c r="D66" s="1417"/>
      <c r="E66" s="1417"/>
      <c r="F66" s="2701"/>
      <c r="G66" s="2701"/>
      <c r="H66" s="2701"/>
      <c r="I66" s="2700"/>
      <c r="R66" s="1254"/>
      <c r="S66" s="1254"/>
      <c r="T66" s="1254"/>
    </row>
    <row r="67" spans="1:20" ht="13.5" thickBot="1" x14ac:dyDescent="0.25">
      <c r="A67" s="2163" t="s">
        <v>668</v>
      </c>
      <c r="I67" s="2699" t="s">
        <v>148</v>
      </c>
    </row>
    <row r="68" spans="1:20" s="1298" customFormat="1" thickTop="1" thickBot="1" x14ac:dyDescent="0.25">
      <c r="A68" s="2444" t="s">
        <v>565</v>
      </c>
      <c r="B68" s="2441" t="s">
        <v>149</v>
      </c>
      <c r="C68" s="2443" t="s">
        <v>150</v>
      </c>
      <c r="D68" s="2778" t="s">
        <v>639</v>
      </c>
      <c r="E68" s="1324" t="s">
        <v>151</v>
      </c>
      <c r="F68" s="1324" t="s">
        <v>569</v>
      </c>
      <c r="G68" s="1324" t="s">
        <v>570</v>
      </c>
      <c r="H68" s="2198" t="s">
        <v>797</v>
      </c>
      <c r="I68" s="2238" t="s">
        <v>798</v>
      </c>
    </row>
    <row r="69" spans="1:20" s="1292" customFormat="1" ht="13.5" thickTop="1" thickBot="1" x14ac:dyDescent="0.25">
      <c r="A69" s="1297">
        <v>1</v>
      </c>
      <c r="B69" s="1296">
        <v>2</v>
      </c>
      <c r="C69" s="1296">
        <v>3</v>
      </c>
      <c r="D69" s="1296">
        <v>4</v>
      </c>
      <c r="E69" s="1296">
        <v>5</v>
      </c>
      <c r="F69" s="1295">
        <v>6</v>
      </c>
      <c r="G69" s="1295">
        <v>7</v>
      </c>
      <c r="H69" s="1446">
        <v>8</v>
      </c>
      <c r="I69" s="1294" t="s">
        <v>689</v>
      </c>
    </row>
    <row r="70" spans="1:20" ht="15.75" thickTop="1" x14ac:dyDescent="0.25">
      <c r="A70" s="2714">
        <v>1016</v>
      </c>
      <c r="B70" s="2727">
        <v>3114</v>
      </c>
      <c r="C70" s="2727">
        <v>5331</v>
      </c>
      <c r="D70" s="2741"/>
      <c r="E70" s="2183" t="s">
        <v>858</v>
      </c>
      <c r="F70" s="2757"/>
      <c r="G70" s="2757">
        <f>SUM(G71:G73)</f>
        <v>2794</v>
      </c>
      <c r="H70" s="2757">
        <f>SUM(H71:H73)</f>
        <v>2794</v>
      </c>
      <c r="I70" s="2762">
        <f>(H70/G70)*100</f>
        <v>100</v>
      </c>
    </row>
    <row r="71" spans="1:20" ht="14.25" x14ac:dyDescent="0.2">
      <c r="A71" s="2714"/>
      <c r="B71" s="2727"/>
      <c r="C71" s="2727"/>
      <c r="D71" s="2191" t="s">
        <v>1811</v>
      </c>
      <c r="E71" s="2716" t="s">
        <v>717</v>
      </c>
      <c r="F71" s="2756"/>
      <c r="G71" s="2756">
        <v>370</v>
      </c>
      <c r="H71" s="2756">
        <v>370</v>
      </c>
      <c r="I71" s="2761">
        <f>(H71/G71)*100</f>
        <v>100</v>
      </c>
    </row>
    <row r="72" spans="1:20" ht="14.25" x14ac:dyDescent="0.2">
      <c r="A72" s="2714"/>
      <c r="B72" s="2727"/>
      <c r="C72" s="2727"/>
      <c r="D72" s="2191" t="s">
        <v>1951</v>
      </c>
      <c r="E72" s="2734" t="s">
        <v>645</v>
      </c>
      <c r="F72" s="2711"/>
      <c r="G72" s="2711">
        <v>180</v>
      </c>
      <c r="H72" s="2711">
        <v>180</v>
      </c>
      <c r="I72" s="2710">
        <f>(H72/G72)*100</f>
        <v>100</v>
      </c>
    </row>
    <row r="73" spans="1:20" ht="15" thickBot="1" x14ac:dyDescent="0.25">
      <c r="A73" s="2782"/>
      <c r="B73" s="2808"/>
      <c r="C73" s="2808"/>
      <c r="D73" s="2306" t="s">
        <v>1812</v>
      </c>
      <c r="E73" s="2746" t="s">
        <v>63</v>
      </c>
      <c r="F73" s="2807"/>
      <c r="G73" s="2807">
        <v>2244</v>
      </c>
      <c r="H73" s="2807">
        <v>2244</v>
      </c>
      <c r="I73" s="2806">
        <f>(H73/G73)*100</f>
        <v>100</v>
      </c>
    </row>
    <row r="74" spans="1:20" ht="16.5" thickTop="1" thickBot="1" x14ac:dyDescent="0.3">
      <c r="A74" s="3200" t="s">
        <v>1000</v>
      </c>
      <c r="B74" s="3197"/>
      <c r="C74" s="3197"/>
      <c r="D74" s="3197"/>
      <c r="E74" s="3197"/>
      <c r="F74" s="2805">
        <v>0</v>
      </c>
      <c r="G74" s="2805">
        <f>G70</f>
        <v>2794</v>
      </c>
      <c r="H74" s="2805">
        <f>H70</f>
        <v>2794</v>
      </c>
      <c r="I74" s="2804">
        <f>(H74/G74)*100</f>
        <v>100</v>
      </c>
      <c r="R74" s="1254">
        <f>F74</f>
        <v>0</v>
      </c>
      <c r="S74" s="1254">
        <f>G74</f>
        <v>2794</v>
      </c>
      <c r="T74" s="1254">
        <f>H74</f>
        <v>2794</v>
      </c>
    </row>
    <row r="75" spans="1:20" ht="15.75" thickTop="1" x14ac:dyDescent="0.25">
      <c r="A75" s="1417"/>
      <c r="B75" s="1417"/>
      <c r="C75" s="1417"/>
      <c r="D75" s="1417"/>
      <c r="E75" s="1417"/>
      <c r="F75" s="2760"/>
      <c r="G75" s="2760"/>
      <c r="H75" s="2760"/>
      <c r="I75" s="2759"/>
      <c r="R75" s="1254"/>
      <c r="S75" s="1254"/>
      <c r="T75" s="1254"/>
    </row>
    <row r="76" spans="1:20" ht="15" x14ac:dyDescent="0.25">
      <c r="A76" s="1417"/>
      <c r="B76" s="1417"/>
      <c r="C76" s="1417"/>
      <c r="D76" s="1417"/>
      <c r="E76" s="1417"/>
      <c r="F76" s="2760"/>
      <c r="G76" s="2760"/>
      <c r="H76" s="2760"/>
      <c r="I76" s="2759"/>
      <c r="R76" s="1254"/>
      <c r="S76" s="1254"/>
      <c r="T76" s="1254"/>
    </row>
    <row r="77" spans="1:20" ht="15" x14ac:dyDescent="0.25">
      <c r="A77" s="1417"/>
      <c r="B77" s="1417"/>
      <c r="C77" s="1417"/>
      <c r="D77" s="1417"/>
      <c r="E77" s="1417"/>
      <c r="F77" s="2760"/>
      <c r="G77" s="2760"/>
      <c r="H77" s="2760"/>
      <c r="I77" s="2759"/>
      <c r="R77" s="1254"/>
      <c r="S77" s="1254"/>
      <c r="T77" s="1254"/>
    </row>
    <row r="78" spans="1:20" ht="15" x14ac:dyDescent="0.25">
      <c r="A78" s="1417"/>
      <c r="B78" s="1417"/>
      <c r="C78" s="1417"/>
      <c r="D78" s="1417"/>
      <c r="E78" s="1417"/>
      <c r="F78" s="2760"/>
      <c r="G78" s="2760"/>
      <c r="H78" s="2760"/>
      <c r="I78" s="2759"/>
      <c r="R78" s="1254"/>
      <c r="S78" s="1254"/>
      <c r="T78" s="1254"/>
    </row>
    <row r="79" spans="1:20" ht="13.5" thickBot="1" x14ac:dyDescent="0.25">
      <c r="A79" s="2163" t="s">
        <v>2006</v>
      </c>
      <c r="I79" s="2699" t="s">
        <v>148</v>
      </c>
    </row>
    <row r="80" spans="1:20" s="1298" customFormat="1" thickTop="1" thickBot="1" x14ac:dyDescent="0.25">
      <c r="A80" s="1302" t="s">
        <v>565</v>
      </c>
      <c r="B80" s="1299" t="s">
        <v>149</v>
      </c>
      <c r="C80" s="1301" t="s">
        <v>150</v>
      </c>
      <c r="D80" s="1324" t="s">
        <v>639</v>
      </c>
      <c r="E80" s="1324" t="s">
        <v>151</v>
      </c>
      <c r="F80" s="1324" t="s">
        <v>569</v>
      </c>
      <c r="G80" s="1324" t="s">
        <v>570</v>
      </c>
      <c r="H80" s="2198" t="s">
        <v>797</v>
      </c>
      <c r="I80" s="2238" t="s">
        <v>798</v>
      </c>
    </row>
    <row r="81" spans="1:20" s="1292" customFormat="1" ht="15.75" customHeight="1" thickTop="1" thickBot="1" x14ac:dyDescent="0.25">
      <c r="A81" s="1297">
        <v>1</v>
      </c>
      <c r="B81" s="1296">
        <v>2</v>
      </c>
      <c r="C81" s="1296">
        <v>3</v>
      </c>
      <c r="D81" s="1296">
        <v>4</v>
      </c>
      <c r="E81" s="1296">
        <v>5</v>
      </c>
      <c r="F81" s="1295">
        <v>6</v>
      </c>
      <c r="G81" s="1295">
        <v>7</v>
      </c>
      <c r="H81" s="1446">
        <v>8</v>
      </c>
      <c r="I81" s="1294" t="s">
        <v>689</v>
      </c>
    </row>
    <row r="82" spans="1:20" ht="15.75" customHeight="1" thickTop="1" x14ac:dyDescent="0.25">
      <c r="A82" s="2772">
        <v>1017</v>
      </c>
      <c r="B82" s="2771">
        <v>3133</v>
      </c>
      <c r="C82" s="2771">
        <v>5331</v>
      </c>
      <c r="D82" s="2770"/>
      <c r="E82" s="2719" t="s">
        <v>858</v>
      </c>
      <c r="F82" s="2768"/>
      <c r="G82" s="2768">
        <f>G83+G84+G85</f>
        <v>3699</v>
      </c>
      <c r="H82" s="2768">
        <f>H83+H84+H85</f>
        <v>3699</v>
      </c>
      <c r="I82" s="2767">
        <f>(H82/G82)*100</f>
        <v>100</v>
      </c>
    </row>
    <row r="83" spans="1:20" ht="15.75" customHeight="1" x14ac:dyDescent="0.2">
      <c r="A83" s="2714"/>
      <c r="B83" s="2713"/>
      <c r="C83" s="2713"/>
      <c r="D83" s="2191" t="s">
        <v>1811</v>
      </c>
      <c r="E83" s="2716" t="s">
        <v>717</v>
      </c>
      <c r="F83" s="2756"/>
      <c r="G83" s="2756">
        <v>709</v>
      </c>
      <c r="H83" s="2756">
        <v>709</v>
      </c>
      <c r="I83" s="2761">
        <f>(H83/G83)*100</f>
        <v>100</v>
      </c>
    </row>
    <row r="84" spans="1:20" ht="15.75" customHeight="1" x14ac:dyDescent="0.2">
      <c r="A84" s="2714"/>
      <c r="B84" s="2713"/>
      <c r="C84" s="2713"/>
      <c r="D84" s="2182" t="s">
        <v>1812</v>
      </c>
      <c r="E84" s="2712" t="s">
        <v>63</v>
      </c>
      <c r="F84" s="2711"/>
      <c r="G84" s="2711">
        <v>2938</v>
      </c>
      <c r="H84" s="2711">
        <v>2938</v>
      </c>
      <c r="I84" s="2710">
        <f>(H84/G84)*100</f>
        <v>100</v>
      </c>
    </row>
    <row r="85" spans="1:20" ht="15.75" customHeight="1" thickBot="1" x14ac:dyDescent="0.25">
      <c r="A85" s="2714"/>
      <c r="B85" s="2727"/>
      <c r="C85" s="2727"/>
      <c r="D85" s="2182" t="s">
        <v>1817</v>
      </c>
      <c r="E85" s="2712" t="s">
        <v>66</v>
      </c>
      <c r="F85" s="2725"/>
      <c r="G85" s="2725">
        <v>52</v>
      </c>
      <c r="H85" s="2725">
        <v>52</v>
      </c>
      <c r="I85" s="2710">
        <f>(H85/G85)*100</f>
        <v>100</v>
      </c>
    </row>
    <row r="86" spans="1:20" s="2402" customFormat="1" ht="15.75" customHeight="1" thickTop="1" thickBot="1" x14ac:dyDescent="0.25">
      <c r="A86" s="3198" t="s">
        <v>1000</v>
      </c>
      <c r="B86" s="3199"/>
      <c r="C86" s="3199"/>
      <c r="D86" s="3199"/>
      <c r="E86" s="3199"/>
      <c r="F86" s="2777">
        <v>0</v>
      </c>
      <c r="G86" s="2777">
        <f>G82</f>
        <v>3699</v>
      </c>
      <c r="H86" s="2777">
        <f>H82</f>
        <v>3699</v>
      </c>
      <c r="I86" s="2776">
        <f>(H86/G86)*100</f>
        <v>100</v>
      </c>
      <c r="R86" s="2753">
        <f>F86</f>
        <v>0</v>
      </c>
      <c r="S86" s="2753">
        <f>G86</f>
        <v>3699</v>
      </c>
      <c r="T86" s="2753">
        <f>H86</f>
        <v>3699</v>
      </c>
    </row>
    <row r="87" spans="1:20" s="2402" customFormat="1" ht="15.75" customHeight="1" thickTop="1" x14ac:dyDescent="0.2">
      <c r="B87" s="2755"/>
      <c r="D87" s="2754"/>
      <c r="F87" s="2753"/>
      <c r="G87" s="2753"/>
      <c r="H87" s="2753"/>
      <c r="I87" s="2752"/>
    </row>
    <row r="88" spans="1:20" s="2402" customFormat="1" ht="15.75" customHeight="1" x14ac:dyDescent="0.2">
      <c r="B88" s="2755"/>
      <c r="D88" s="2754"/>
      <c r="F88" s="2753"/>
      <c r="G88" s="2753"/>
      <c r="H88" s="2753"/>
      <c r="I88" s="2752"/>
    </row>
    <row r="89" spans="1:20" s="2402" customFormat="1" ht="15.75" customHeight="1" x14ac:dyDescent="0.2">
      <c r="B89" s="2755"/>
      <c r="D89" s="2754"/>
      <c r="F89" s="2753"/>
      <c r="G89" s="2753"/>
      <c r="H89" s="2753"/>
      <c r="I89" s="2752"/>
    </row>
    <row r="90" spans="1:20" ht="18" customHeight="1" thickBot="1" x14ac:dyDescent="0.25">
      <c r="A90" s="2163" t="s">
        <v>478</v>
      </c>
      <c r="I90" s="2699" t="s">
        <v>148</v>
      </c>
    </row>
    <row r="91" spans="1:20" s="1298" customFormat="1" thickTop="1" thickBot="1" x14ac:dyDescent="0.25">
      <c r="A91" s="1302" t="s">
        <v>565</v>
      </c>
      <c r="B91" s="1299" t="s">
        <v>149</v>
      </c>
      <c r="C91" s="1301" t="s">
        <v>150</v>
      </c>
      <c r="D91" s="1324" t="s">
        <v>639</v>
      </c>
      <c r="E91" s="1324" t="s">
        <v>151</v>
      </c>
      <c r="F91" s="1324" t="s">
        <v>569</v>
      </c>
      <c r="G91" s="1324" t="s">
        <v>570</v>
      </c>
      <c r="H91" s="2198" t="s">
        <v>797</v>
      </c>
      <c r="I91" s="2238" t="s">
        <v>798</v>
      </c>
    </row>
    <row r="92" spans="1:20" s="1292" customFormat="1" ht="13.5" thickTop="1" thickBot="1" x14ac:dyDescent="0.25">
      <c r="A92" s="1297">
        <v>1</v>
      </c>
      <c r="B92" s="1296">
        <v>2</v>
      </c>
      <c r="C92" s="1296">
        <v>3</v>
      </c>
      <c r="D92" s="1296">
        <v>4</v>
      </c>
      <c r="E92" s="1296">
        <v>5</v>
      </c>
      <c r="F92" s="1295">
        <v>6</v>
      </c>
      <c r="G92" s="1295">
        <v>7</v>
      </c>
      <c r="H92" s="1446">
        <v>8</v>
      </c>
      <c r="I92" s="1294" t="s">
        <v>689</v>
      </c>
    </row>
    <row r="93" spans="1:20" ht="15" customHeight="1" thickTop="1" x14ac:dyDescent="0.25">
      <c r="A93" s="2714">
        <v>1021</v>
      </c>
      <c r="B93" s="2713">
        <v>3114</v>
      </c>
      <c r="C93" s="2190">
        <v>5331</v>
      </c>
      <c r="D93" s="2803"/>
      <c r="E93" s="2183" t="s">
        <v>858</v>
      </c>
      <c r="F93" s="2729"/>
      <c r="G93" s="2729">
        <v>333</v>
      </c>
      <c r="H93" s="2729">
        <v>333</v>
      </c>
      <c r="I93" s="2728">
        <f>(H93/G93)*100</f>
        <v>100</v>
      </c>
    </row>
    <row r="94" spans="1:20" ht="15" customHeight="1" thickBot="1" x14ac:dyDescent="0.25">
      <c r="A94" s="2714"/>
      <c r="B94" s="2713"/>
      <c r="C94" s="2190"/>
      <c r="D94" s="2182" t="s">
        <v>1812</v>
      </c>
      <c r="E94" s="2712" t="s">
        <v>63</v>
      </c>
      <c r="F94" s="2711"/>
      <c r="G94" s="2711">
        <v>333</v>
      </c>
      <c r="H94" s="2711">
        <v>333</v>
      </c>
      <c r="I94" s="2710">
        <f>(H94/G94)*100</f>
        <v>100</v>
      </c>
    </row>
    <row r="95" spans="1:20" s="2402" customFormat="1" ht="16.5" thickTop="1" thickBot="1" x14ac:dyDescent="0.25">
      <c r="A95" s="3198" t="s">
        <v>1000</v>
      </c>
      <c r="B95" s="3199"/>
      <c r="C95" s="3199"/>
      <c r="D95" s="3199"/>
      <c r="E95" s="3199"/>
      <c r="F95" s="2777">
        <f>SUM(F93)</f>
        <v>0</v>
      </c>
      <c r="G95" s="2777">
        <f>G93</f>
        <v>333</v>
      </c>
      <c r="H95" s="2777">
        <f>H93</f>
        <v>333</v>
      </c>
      <c r="I95" s="2776">
        <f>(H95/G95)*100</f>
        <v>100</v>
      </c>
      <c r="R95" s="2753">
        <f>F95</f>
        <v>0</v>
      </c>
      <c r="S95" s="2753">
        <f>G95</f>
        <v>333</v>
      </c>
      <c r="T95" s="2753">
        <f>H95</f>
        <v>333</v>
      </c>
    </row>
    <row r="96" spans="1:20" s="2402" customFormat="1" ht="13.5" thickTop="1" x14ac:dyDescent="0.2">
      <c r="B96" s="2755"/>
      <c r="D96" s="2754"/>
      <c r="F96" s="2753"/>
      <c r="G96" s="2753"/>
      <c r="H96" s="2753"/>
      <c r="I96" s="2752"/>
    </row>
    <row r="97" spans="1:20" s="2402" customFormat="1" x14ac:dyDescent="0.2">
      <c r="B97" s="2755"/>
      <c r="D97" s="2754"/>
      <c r="F97" s="2753"/>
      <c r="G97" s="2753"/>
      <c r="H97" s="2753"/>
      <c r="I97" s="2752"/>
    </row>
    <row r="98" spans="1:20" s="2402" customFormat="1" x14ac:dyDescent="0.2">
      <c r="B98" s="2755"/>
      <c r="D98" s="2754"/>
      <c r="F98" s="2753"/>
      <c r="G98" s="2753"/>
      <c r="H98" s="2753"/>
      <c r="I98" s="2752"/>
    </row>
    <row r="99" spans="1:20" ht="13.5" thickBot="1" x14ac:dyDescent="0.25">
      <c r="A99" s="2163" t="s">
        <v>409</v>
      </c>
      <c r="I99" s="2699" t="s">
        <v>148</v>
      </c>
    </row>
    <row r="100" spans="1:20" s="1298" customFormat="1" thickTop="1" thickBot="1" x14ac:dyDescent="0.25">
      <c r="A100" s="1302" t="s">
        <v>565</v>
      </c>
      <c r="B100" s="1299" t="s">
        <v>149</v>
      </c>
      <c r="C100" s="1301" t="s">
        <v>150</v>
      </c>
      <c r="D100" s="1324" t="s">
        <v>639</v>
      </c>
      <c r="E100" s="1324" t="s">
        <v>151</v>
      </c>
      <c r="F100" s="1324" t="s">
        <v>569</v>
      </c>
      <c r="G100" s="1324" t="s">
        <v>570</v>
      </c>
      <c r="H100" s="2198" t="s">
        <v>797</v>
      </c>
      <c r="I100" s="2238" t="s">
        <v>798</v>
      </c>
    </row>
    <row r="101" spans="1:20" s="1292" customFormat="1" ht="18" customHeight="1" thickTop="1" thickBot="1" x14ac:dyDescent="0.25">
      <c r="A101" s="1297">
        <v>1</v>
      </c>
      <c r="B101" s="1296">
        <v>2</v>
      </c>
      <c r="C101" s="1296">
        <v>3</v>
      </c>
      <c r="D101" s="1296">
        <v>4</v>
      </c>
      <c r="E101" s="1296">
        <v>5</v>
      </c>
      <c r="F101" s="1295">
        <v>6</v>
      </c>
      <c r="G101" s="1295">
        <v>7</v>
      </c>
      <c r="H101" s="1446">
        <v>8</v>
      </c>
      <c r="I101" s="1294" t="s">
        <v>689</v>
      </c>
    </row>
    <row r="102" spans="1:20" ht="15.75" thickTop="1" x14ac:dyDescent="0.25">
      <c r="A102" s="2714">
        <v>1022</v>
      </c>
      <c r="B102" s="2727">
        <v>3114</v>
      </c>
      <c r="C102" s="2727">
        <v>5331</v>
      </c>
      <c r="D102" s="2741"/>
      <c r="E102" s="2183" t="s">
        <v>858</v>
      </c>
      <c r="F102" s="2757"/>
      <c r="G102" s="2757">
        <v>235</v>
      </c>
      <c r="H102" s="2757">
        <v>235</v>
      </c>
      <c r="I102" s="2762">
        <f>(H102/G102)*100</f>
        <v>100</v>
      </c>
    </row>
    <row r="103" spans="1:20" ht="15" thickBot="1" x14ac:dyDescent="0.25">
      <c r="A103" s="2714"/>
      <c r="B103" s="2727"/>
      <c r="C103" s="2727"/>
      <c r="D103" s="2182" t="s">
        <v>1812</v>
      </c>
      <c r="E103" s="2712" t="s">
        <v>63</v>
      </c>
      <c r="F103" s="2756"/>
      <c r="G103" s="2756">
        <v>235</v>
      </c>
      <c r="H103" s="2756">
        <v>235</v>
      </c>
      <c r="I103" s="2761">
        <f>(H103/G103)*100</f>
        <v>100</v>
      </c>
    </row>
    <row r="104" spans="1:20" ht="15.75" customHeight="1" thickTop="1" thickBot="1" x14ac:dyDescent="0.3">
      <c r="A104" s="3195" t="s">
        <v>1000</v>
      </c>
      <c r="B104" s="3196"/>
      <c r="C104" s="3196"/>
      <c r="D104" s="3196"/>
      <c r="E104" s="3196"/>
      <c r="F104" s="2748">
        <v>0</v>
      </c>
      <c r="G104" s="2748">
        <f>G102</f>
        <v>235</v>
      </c>
      <c r="H104" s="2748">
        <f>H102</f>
        <v>235</v>
      </c>
      <c r="I104" s="2747">
        <f>(H104/G104)*100</f>
        <v>100</v>
      </c>
      <c r="R104" s="1254">
        <f>F104</f>
        <v>0</v>
      </c>
      <c r="S104" s="1254">
        <f>G104</f>
        <v>235</v>
      </c>
      <c r="T104" s="1254">
        <f>H104</f>
        <v>235</v>
      </c>
    </row>
    <row r="105" spans="1:20" ht="15.75" customHeight="1" thickTop="1" x14ac:dyDescent="0.2"/>
    <row r="106" spans="1:20" ht="15.75" customHeight="1" x14ac:dyDescent="0.2"/>
    <row r="107" spans="1:20" ht="15.75" customHeight="1" x14ac:dyDescent="0.2"/>
    <row r="108" spans="1:20" ht="15.75" customHeight="1" thickBot="1" x14ac:dyDescent="0.25">
      <c r="A108" s="2163" t="s">
        <v>410</v>
      </c>
      <c r="I108" s="2699" t="s">
        <v>148</v>
      </c>
    </row>
    <row r="109" spans="1:20" s="1298" customFormat="1" ht="15.75" customHeight="1" thickTop="1" thickBot="1" x14ac:dyDescent="0.25">
      <c r="A109" s="1302" t="s">
        <v>565</v>
      </c>
      <c r="B109" s="1299" t="s">
        <v>149</v>
      </c>
      <c r="C109" s="1301" t="s">
        <v>150</v>
      </c>
      <c r="D109" s="1324" t="s">
        <v>639</v>
      </c>
      <c r="E109" s="1324" t="s">
        <v>151</v>
      </c>
      <c r="F109" s="1324" t="s">
        <v>569</v>
      </c>
      <c r="G109" s="1324" t="s">
        <v>570</v>
      </c>
      <c r="H109" s="2198" t="s">
        <v>797</v>
      </c>
      <c r="I109" s="2238" t="s">
        <v>798</v>
      </c>
    </row>
    <row r="110" spans="1:20" s="1292" customFormat="1" ht="15.75" customHeight="1" thickTop="1" thickBot="1" x14ac:dyDescent="0.25">
      <c r="A110" s="1297">
        <v>1</v>
      </c>
      <c r="B110" s="1296">
        <v>2</v>
      </c>
      <c r="C110" s="1296">
        <v>3</v>
      </c>
      <c r="D110" s="1296">
        <v>4</v>
      </c>
      <c r="E110" s="1296">
        <v>5</v>
      </c>
      <c r="F110" s="1295">
        <v>6</v>
      </c>
      <c r="G110" s="1295">
        <v>7</v>
      </c>
      <c r="H110" s="1446">
        <v>8</v>
      </c>
      <c r="I110" s="1294" t="s">
        <v>689</v>
      </c>
    </row>
    <row r="111" spans="1:20" ht="12" customHeight="1" thickTop="1" x14ac:dyDescent="0.25">
      <c r="A111" s="2714">
        <v>1024</v>
      </c>
      <c r="B111" s="2727">
        <v>3114</v>
      </c>
      <c r="C111" s="2726">
        <v>5331</v>
      </c>
      <c r="D111" s="2745"/>
      <c r="E111" s="2183" t="s">
        <v>858</v>
      </c>
      <c r="F111" s="2740"/>
      <c r="G111" s="2740">
        <f>G112+G113</f>
        <v>1186</v>
      </c>
      <c r="H111" s="2740">
        <f>H112+H113</f>
        <v>1186</v>
      </c>
      <c r="I111" s="2739">
        <f>(H111/G111)*100</f>
        <v>100</v>
      </c>
    </row>
    <row r="112" spans="1:20" ht="15.75" customHeight="1" x14ac:dyDescent="0.2">
      <c r="A112" s="2714"/>
      <c r="B112" s="2727"/>
      <c r="C112" s="2726"/>
      <c r="D112" s="2191" t="s">
        <v>1811</v>
      </c>
      <c r="E112" s="2716" t="s">
        <v>717</v>
      </c>
      <c r="F112" s="2725"/>
      <c r="G112" s="2725">
        <v>118</v>
      </c>
      <c r="H112" s="2725">
        <v>118</v>
      </c>
      <c r="I112" s="2724">
        <f>(H112/G112)*100</f>
        <v>100</v>
      </c>
    </row>
    <row r="113" spans="1:27" ht="13.5" customHeight="1" thickBot="1" x14ac:dyDescent="0.25">
      <c r="A113" s="2714"/>
      <c r="B113" s="2727"/>
      <c r="C113" s="2726"/>
      <c r="D113" s="2182" t="s">
        <v>1812</v>
      </c>
      <c r="E113" s="2712" t="s">
        <v>63</v>
      </c>
      <c r="F113" s="2725"/>
      <c r="G113" s="2725">
        <v>1068</v>
      </c>
      <c r="H113" s="2725">
        <v>1068</v>
      </c>
      <c r="I113" s="2724">
        <f>(H113/G113)*100</f>
        <v>100</v>
      </c>
    </row>
    <row r="114" spans="1:27" s="2402" customFormat="1" ht="15.75" customHeight="1" thickTop="1" thickBot="1" x14ac:dyDescent="0.25">
      <c r="A114" s="3198" t="s">
        <v>1000</v>
      </c>
      <c r="B114" s="3199"/>
      <c r="C114" s="3199"/>
      <c r="D114" s="3199"/>
      <c r="E114" s="3199"/>
      <c r="F114" s="2777">
        <v>0</v>
      </c>
      <c r="G114" s="2777">
        <f>G111</f>
        <v>1186</v>
      </c>
      <c r="H114" s="2777">
        <f>H111</f>
        <v>1186</v>
      </c>
      <c r="I114" s="2776">
        <f>(H114/G114)*100</f>
        <v>100</v>
      </c>
      <c r="R114" s="2753">
        <f>F114</f>
        <v>0</v>
      </c>
      <c r="S114" s="2753">
        <f>G114</f>
        <v>1186</v>
      </c>
      <c r="T114" s="2753">
        <f>H114</f>
        <v>1186</v>
      </c>
    </row>
    <row r="115" spans="1:27" s="2402" customFormat="1" ht="15.75" customHeight="1" thickTop="1" x14ac:dyDescent="0.2">
      <c r="B115" s="2755"/>
      <c r="D115" s="2754"/>
      <c r="F115" s="2753"/>
      <c r="G115" s="2753"/>
      <c r="H115" s="2753"/>
      <c r="I115" s="2752"/>
    </row>
    <row r="116" spans="1:27" s="2402" customFormat="1" ht="15.75" customHeight="1" x14ac:dyDescent="0.2">
      <c r="B116" s="2755"/>
      <c r="D116" s="2754"/>
      <c r="F116" s="2753"/>
      <c r="G116" s="2753"/>
      <c r="H116" s="2753"/>
      <c r="I116" s="2752"/>
    </row>
    <row r="117" spans="1:27" ht="15.75" customHeight="1" thickBot="1" x14ac:dyDescent="0.25">
      <c r="A117" s="2163" t="s">
        <v>1125</v>
      </c>
      <c r="I117" s="2699" t="s">
        <v>148</v>
      </c>
    </row>
    <row r="118" spans="1:27" s="1298" customFormat="1" thickTop="1" thickBot="1" x14ac:dyDescent="0.25">
      <c r="A118" s="1302" t="s">
        <v>565</v>
      </c>
      <c r="B118" s="1299" t="s">
        <v>149</v>
      </c>
      <c r="C118" s="1301" t="s">
        <v>150</v>
      </c>
      <c r="D118" s="1324" t="s">
        <v>639</v>
      </c>
      <c r="E118" s="1324" t="s">
        <v>151</v>
      </c>
      <c r="F118" s="1324" t="s">
        <v>569</v>
      </c>
      <c r="G118" s="1324" t="s">
        <v>570</v>
      </c>
      <c r="H118" s="2198" t="s">
        <v>797</v>
      </c>
      <c r="I118" s="2238" t="s">
        <v>798</v>
      </c>
    </row>
    <row r="119" spans="1:27" s="1292" customFormat="1" ht="20.25" customHeight="1" thickTop="1" thickBot="1" x14ac:dyDescent="0.25">
      <c r="A119" s="1297">
        <v>1</v>
      </c>
      <c r="B119" s="1296">
        <v>2</v>
      </c>
      <c r="C119" s="1296">
        <v>3</v>
      </c>
      <c r="D119" s="1296">
        <v>4</v>
      </c>
      <c r="E119" s="1296">
        <v>5</v>
      </c>
      <c r="F119" s="1295">
        <v>6</v>
      </c>
      <c r="G119" s="1295">
        <v>7</v>
      </c>
      <c r="H119" s="1446">
        <v>8</v>
      </c>
      <c r="I119" s="1294" t="s">
        <v>689</v>
      </c>
    </row>
    <row r="120" spans="1:27" ht="15.75" customHeight="1" thickTop="1" x14ac:dyDescent="0.25">
      <c r="A120" s="2742">
        <v>1025</v>
      </c>
      <c r="B120" s="2713">
        <v>3114</v>
      </c>
      <c r="C120" s="2726">
        <v>5331</v>
      </c>
      <c r="D120" s="2745"/>
      <c r="E120" s="2183" t="s">
        <v>858</v>
      </c>
      <c r="F120" s="2740"/>
      <c r="G120" s="2740">
        <f>SUM(G121:G122)</f>
        <v>415</v>
      </c>
      <c r="H120" s="2740">
        <f>SUM(H121:H122)</f>
        <v>415</v>
      </c>
      <c r="I120" s="2739">
        <f>(H120/G120)*100</f>
        <v>100</v>
      </c>
    </row>
    <row r="121" spans="1:27" ht="15.75" customHeight="1" x14ac:dyDescent="0.2">
      <c r="A121" s="2742"/>
      <c r="B121" s="2713"/>
      <c r="C121" s="2726"/>
      <c r="D121" s="2191" t="s">
        <v>1811</v>
      </c>
      <c r="E121" s="2716" t="s">
        <v>717</v>
      </c>
      <c r="F121" s="2725"/>
      <c r="G121" s="2725">
        <v>3</v>
      </c>
      <c r="H121" s="2725">
        <v>3</v>
      </c>
      <c r="I121" s="2724">
        <f>(H121/G121)*100</f>
        <v>100</v>
      </c>
    </row>
    <row r="122" spans="1:27" ht="15.75" customHeight="1" thickBot="1" x14ac:dyDescent="0.25">
      <c r="A122" s="2742"/>
      <c r="B122" s="2713"/>
      <c r="C122" s="2726"/>
      <c r="D122" s="2182" t="s">
        <v>1812</v>
      </c>
      <c r="E122" s="2712" t="s">
        <v>63</v>
      </c>
      <c r="F122" s="2725"/>
      <c r="G122" s="2725">
        <v>412</v>
      </c>
      <c r="H122" s="2725">
        <v>412</v>
      </c>
      <c r="I122" s="2724">
        <f>(H122/G122)*100</f>
        <v>100</v>
      </c>
    </row>
    <row r="123" spans="1:27" s="2402" customFormat="1" ht="16.5" thickTop="1" thickBot="1" x14ac:dyDescent="0.25">
      <c r="A123" s="3198" t="s">
        <v>1000</v>
      </c>
      <c r="B123" s="3199"/>
      <c r="C123" s="3199"/>
      <c r="D123" s="3199"/>
      <c r="E123" s="3199"/>
      <c r="F123" s="2777">
        <v>0</v>
      </c>
      <c r="G123" s="2777">
        <f>G120</f>
        <v>415</v>
      </c>
      <c r="H123" s="2777">
        <f>H120</f>
        <v>415</v>
      </c>
      <c r="I123" s="2776">
        <f>(H123/G123)*100</f>
        <v>100</v>
      </c>
      <c r="J123" s="2753" t="e">
        <f>F123+#REF!</f>
        <v>#REF!</v>
      </c>
      <c r="K123" s="2753" t="e">
        <f>G123+#REF!</f>
        <v>#REF!</v>
      </c>
      <c r="L123" s="2753" t="e">
        <f>H123+#REF!</f>
        <v>#REF!</v>
      </c>
      <c r="R123" s="2753">
        <f>F123</f>
        <v>0</v>
      </c>
      <c r="S123" s="2753">
        <f>G123</f>
        <v>415</v>
      </c>
      <c r="T123" s="2753">
        <f>H123</f>
        <v>415</v>
      </c>
      <c r="V123" s="2753"/>
      <c r="W123" s="2753"/>
      <c r="Y123" s="2753"/>
      <c r="Z123" s="2753"/>
      <c r="AA123" s="2753"/>
    </row>
    <row r="124" spans="1:27" ht="20.25" customHeight="1" thickTop="1" x14ac:dyDescent="0.2"/>
    <row r="125" spans="1:27" ht="16.899999999999999" customHeight="1" x14ac:dyDescent="0.2"/>
    <row r="126" spans="1:27" ht="15" customHeight="1" x14ac:dyDescent="0.2"/>
    <row r="127" spans="1:27" ht="13.5" thickBot="1" x14ac:dyDescent="0.25">
      <c r="A127" s="2163" t="s">
        <v>289</v>
      </c>
      <c r="I127" s="2699" t="s">
        <v>148</v>
      </c>
    </row>
    <row r="128" spans="1:27" s="1298" customFormat="1" thickTop="1" thickBot="1" x14ac:dyDescent="0.25">
      <c r="A128" s="1302" t="s">
        <v>565</v>
      </c>
      <c r="B128" s="1299" t="s">
        <v>149</v>
      </c>
      <c r="C128" s="1301" t="s">
        <v>150</v>
      </c>
      <c r="D128" s="1324" t="s">
        <v>639</v>
      </c>
      <c r="E128" s="1324" t="s">
        <v>151</v>
      </c>
      <c r="F128" s="1324" t="s">
        <v>569</v>
      </c>
      <c r="G128" s="1324" t="s">
        <v>570</v>
      </c>
      <c r="H128" s="2198" t="s">
        <v>797</v>
      </c>
      <c r="I128" s="2238" t="s">
        <v>798</v>
      </c>
    </row>
    <row r="129" spans="1:20" s="1292" customFormat="1" ht="13.5" thickTop="1" thickBot="1" x14ac:dyDescent="0.25">
      <c r="A129" s="1297">
        <v>1</v>
      </c>
      <c r="B129" s="1296">
        <v>2</v>
      </c>
      <c r="C129" s="1296">
        <v>3</v>
      </c>
      <c r="D129" s="1296">
        <v>4</v>
      </c>
      <c r="E129" s="1296">
        <v>5</v>
      </c>
      <c r="F129" s="1295">
        <v>6</v>
      </c>
      <c r="G129" s="1295">
        <v>7</v>
      </c>
      <c r="H129" s="1446">
        <v>8</v>
      </c>
      <c r="I129" s="1294" t="s">
        <v>689</v>
      </c>
    </row>
    <row r="130" spans="1:20" ht="15.75" customHeight="1" thickTop="1" x14ac:dyDescent="0.25">
      <c r="A130" s="2714">
        <v>1026</v>
      </c>
      <c r="B130" s="2727">
        <v>3114</v>
      </c>
      <c r="C130" s="2726">
        <v>5331</v>
      </c>
      <c r="D130" s="2745"/>
      <c r="E130" s="2183" t="s">
        <v>858</v>
      </c>
      <c r="F130" s="2740"/>
      <c r="G130" s="2740">
        <v>352</v>
      </c>
      <c r="H130" s="2740">
        <v>352</v>
      </c>
      <c r="I130" s="2739">
        <f>(H130/G130)*100</f>
        <v>100</v>
      </c>
    </row>
    <row r="131" spans="1:20" ht="15.75" customHeight="1" thickBot="1" x14ac:dyDescent="0.25">
      <c r="A131" s="2714"/>
      <c r="B131" s="2727"/>
      <c r="C131" s="2726"/>
      <c r="D131" s="2182" t="s">
        <v>1812</v>
      </c>
      <c r="E131" s="2712" t="s">
        <v>63</v>
      </c>
      <c r="F131" s="2725"/>
      <c r="G131" s="2725">
        <v>352</v>
      </c>
      <c r="H131" s="2725">
        <v>352</v>
      </c>
      <c r="I131" s="2724">
        <f>(H131/G131)*100</f>
        <v>100</v>
      </c>
    </row>
    <row r="132" spans="1:20" s="2402" customFormat="1" ht="18" customHeight="1" thickTop="1" thickBot="1" x14ac:dyDescent="0.25">
      <c r="A132" s="3198" t="s">
        <v>1000</v>
      </c>
      <c r="B132" s="3199"/>
      <c r="C132" s="3199"/>
      <c r="D132" s="3199"/>
      <c r="E132" s="3199"/>
      <c r="F132" s="2777">
        <v>0</v>
      </c>
      <c r="G132" s="2777">
        <f>G130</f>
        <v>352</v>
      </c>
      <c r="H132" s="2777">
        <f>H130</f>
        <v>352</v>
      </c>
      <c r="I132" s="2776">
        <f>(H132/G132)*100</f>
        <v>100</v>
      </c>
      <c r="R132" s="2753">
        <f>F132</f>
        <v>0</v>
      </c>
      <c r="S132" s="2753">
        <f>G132</f>
        <v>352</v>
      </c>
      <c r="T132" s="2753">
        <f>H132</f>
        <v>352</v>
      </c>
    </row>
    <row r="133" spans="1:20" ht="13.5" thickTop="1" x14ac:dyDescent="0.2"/>
    <row r="136" spans="1:20" ht="20.25" customHeight="1" thickBot="1" x14ac:dyDescent="0.25">
      <c r="A136" s="2163" t="s">
        <v>290</v>
      </c>
      <c r="I136" s="2699" t="s">
        <v>148</v>
      </c>
    </row>
    <row r="137" spans="1:20" s="1298" customFormat="1" thickTop="1" thickBot="1" x14ac:dyDescent="0.25">
      <c r="A137" s="1302" t="s">
        <v>565</v>
      </c>
      <c r="B137" s="1299" t="s">
        <v>149</v>
      </c>
      <c r="C137" s="1301" t="s">
        <v>150</v>
      </c>
      <c r="D137" s="1324" t="s">
        <v>639</v>
      </c>
      <c r="E137" s="1324" t="s">
        <v>151</v>
      </c>
      <c r="F137" s="1324" t="s">
        <v>569</v>
      </c>
      <c r="G137" s="1324" t="s">
        <v>570</v>
      </c>
      <c r="H137" s="2198" t="s">
        <v>797</v>
      </c>
      <c r="I137" s="2238" t="s">
        <v>798</v>
      </c>
    </row>
    <row r="138" spans="1:20" s="1292" customFormat="1" ht="13.5" thickTop="1" thickBot="1" x14ac:dyDescent="0.25">
      <c r="A138" s="1297">
        <v>1</v>
      </c>
      <c r="B138" s="1296">
        <v>2</v>
      </c>
      <c r="C138" s="1296">
        <v>3</v>
      </c>
      <c r="D138" s="1296">
        <v>4</v>
      </c>
      <c r="E138" s="1296">
        <v>5</v>
      </c>
      <c r="F138" s="1295">
        <v>6</v>
      </c>
      <c r="G138" s="1295">
        <v>7</v>
      </c>
      <c r="H138" s="1446">
        <v>8</v>
      </c>
      <c r="I138" s="1294" t="s">
        <v>689</v>
      </c>
    </row>
    <row r="139" spans="1:20" ht="15.75" thickTop="1" x14ac:dyDescent="0.25">
      <c r="A139" s="2772">
        <v>1032</v>
      </c>
      <c r="B139" s="2771">
        <v>3114</v>
      </c>
      <c r="C139" s="2771">
        <v>5331</v>
      </c>
      <c r="D139" s="2770"/>
      <c r="E139" s="2769" t="s">
        <v>858</v>
      </c>
      <c r="F139" s="2768"/>
      <c r="G139" s="2768">
        <f>G140+G141</f>
        <v>846</v>
      </c>
      <c r="H139" s="2768">
        <f>H140+H141</f>
        <v>846</v>
      </c>
      <c r="I139" s="2767">
        <f>(H139/G139)*100</f>
        <v>100</v>
      </c>
    </row>
    <row r="140" spans="1:20" ht="14.25" x14ac:dyDescent="0.2">
      <c r="A140" s="2714"/>
      <c r="B140" s="2713"/>
      <c r="C140" s="2713"/>
      <c r="D140" s="2191" t="s">
        <v>1811</v>
      </c>
      <c r="E140" s="2716" t="s">
        <v>717</v>
      </c>
      <c r="F140" s="2711"/>
      <c r="G140" s="2711">
        <v>127</v>
      </c>
      <c r="H140" s="2711">
        <v>127</v>
      </c>
      <c r="I140" s="2710">
        <f>(H140/G140)*100</f>
        <v>100</v>
      </c>
    </row>
    <row r="141" spans="1:20" ht="15" thickBot="1" x14ac:dyDescent="0.25">
      <c r="A141" s="2714"/>
      <c r="B141" s="2713"/>
      <c r="C141" s="2713"/>
      <c r="D141" s="2182" t="s">
        <v>1812</v>
      </c>
      <c r="E141" s="2712" t="s">
        <v>63</v>
      </c>
      <c r="F141" s="2711"/>
      <c r="G141" s="2711">
        <v>719</v>
      </c>
      <c r="H141" s="2711">
        <v>719</v>
      </c>
      <c r="I141" s="2710">
        <f>(H141/G141)*100</f>
        <v>100</v>
      </c>
    </row>
    <row r="142" spans="1:20" s="2402" customFormat="1" ht="16.5" thickTop="1" thickBot="1" x14ac:dyDescent="0.25">
      <c r="A142" s="3198" t="s">
        <v>1000</v>
      </c>
      <c r="B142" s="3199"/>
      <c r="C142" s="3199"/>
      <c r="D142" s="3199"/>
      <c r="E142" s="3199"/>
      <c r="F142" s="2777">
        <v>0</v>
      </c>
      <c r="G142" s="2777">
        <f>G139</f>
        <v>846</v>
      </c>
      <c r="H142" s="2777">
        <f>H139</f>
        <v>846</v>
      </c>
      <c r="I142" s="2776">
        <f>(H142/G142)*100</f>
        <v>100</v>
      </c>
      <c r="R142" s="2753">
        <f>F142</f>
        <v>0</v>
      </c>
      <c r="S142" s="2753">
        <f>G142</f>
        <v>846</v>
      </c>
      <c r="T142" s="2753">
        <f>H142</f>
        <v>846</v>
      </c>
    </row>
    <row r="143" spans="1:20" ht="13.5" thickTop="1" x14ac:dyDescent="0.2">
      <c r="S143" s="1254"/>
      <c r="T143" s="1254"/>
    </row>
    <row r="147" spans="1:20" ht="13.5" thickBot="1" x14ac:dyDescent="0.25">
      <c r="A147" s="2163" t="s">
        <v>291</v>
      </c>
      <c r="I147" s="2699" t="s">
        <v>148</v>
      </c>
    </row>
    <row r="148" spans="1:20" s="1298" customFormat="1" ht="20.25" customHeight="1" thickTop="1" thickBot="1" x14ac:dyDescent="0.25">
      <c r="A148" s="1302" t="s">
        <v>565</v>
      </c>
      <c r="B148" s="1299" t="s">
        <v>149</v>
      </c>
      <c r="C148" s="1301" t="s">
        <v>150</v>
      </c>
      <c r="D148" s="1324" t="s">
        <v>639</v>
      </c>
      <c r="E148" s="1324" t="s">
        <v>151</v>
      </c>
      <c r="F148" s="1324" t="s">
        <v>569</v>
      </c>
      <c r="G148" s="1324" t="s">
        <v>570</v>
      </c>
      <c r="H148" s="2198" t="s">
        <v>797</v>
      </c>
      <c r="I148" s="2238" t="s">
        <v>798</v>
      </c>
    </row>
    <row r="149" spans="1:20" s="1292" customFormat="1" ht="13.5" thickTop="1" thickBot="1" x14ac:dyDescent="0.25">
      <c r="A149" s="1297">
        <v>1</v>
      </c>
      <c r="B149" s="1296">
        <v>2</v>
      </c>
      <c r="C149" s="1296">
        <v>3</v>
      </c>
      <c r="D149" s="1296">
        <v>4</v>
      </c>
      <c r="E149" s="1296">
        <v>5</v>
      </c>
      <c r="F149" s="1295">
        <v>6</v>
      </c>
      <c r="G149" s="1295">
        <v>7</v>
      </c>
      <c r="H149" s="1446">
        <v>8</v>
      </c>
      <c r="I149" s="1294" t="s">
        <v>689</v>
      </c>
    </row>
    <row r="150" spans="1:20" ht="15.75" thickTop="1" x14ac:dyDescent="0.25">
      <c r="A150" s="2772">
        <v>1033</v>
      </c>
      <c r="B150" s="2771">
        <v>3114</v>
      </c>
      <c r="C150" s="2771">
        <v>5331</v>
      </c>
      <c r="D150" s="2770"/>
      <c r="E150" s="2769" t="s">
        <v>858</v>
      </c>
      <c r="F150" s="2768"/>
      <c r="G150" s="2768">
        <f>G151+G152+G153</f>
        <v>972</v>
      </c>
      <c r="H150" s="2768">
        <f>H151+H152+H153</f>
        <v>972</v>
      </c>
      <c r="I150" s="2767">
        <f>(H150/G150)*100</f>
        <v>100</v>
      </c>
    </row>
    <row r="151" spans="1:20" ht="14.25" x14ac:dyDescent="0.2">
      <c r="A151" s="2714"/>
      <c r="B151" s="2713"/>
      <c r="C151" s="2713"/>
      <c r="D151" s="2191" t="s">
        <v>1811</v>
      </c>
      <c r="E151" s="2716" t="s">
        <v>717</v>
      </c>
      <c r="F151" s="2711"/>
      <c r="G151" s="2711">
        <v>27</v>
      </c>
      <c r="H151" s="2711">
        <v>27</v>
      </c>
      <c r="I151" s="2710">
        <f>(H151/G151)*100</f>
        <v>100</v>
      </c>
    </row>
    <row r="152" spans="1:20" ht="14.25" x14ac:dyDescent="0.2">
      <c r="A152" s="2714"/>
      <c r="B152" s="2713"/>
      <c r="C152" s="2713"/>
      <c r="D152" s="2191" t="s">
        <v>1951</v>
      </c>
      <c r="E152" s="2734" t="s">
        <v>645</v>
      </c>
      <c r="F152" s="2711"/>
      <c r="G152" s="2711">
        <v>160</v>
      </c>
      <c r="H152" s="2711">
        <v>160</v>
      </c>
      <c r="I152" s="2710">
        <f>(H152/G152)*100</f>
        <v>100</v>
      </c>
    </row>
    <row r="153" spans="1:20" ht="15" thickBot="1" x14ac:dyDescent="0.25">
      <c r="A153" s="2714"/>
      <c r="B153" s="2713"/>
      <c r="C153" s="2713"/>
      <c r="D153" s="2182" t="s">
        <v>1812</v>
      </c>
      <c r="E153" s="2712" t="s">
        <v>63</v>
      </c>
      <c r="F153" s="2711"/>
      <c r="G153" s="2711">
        <v>785</v>
      </c>
      <c r="H153" s="2711">
        <v>785</v>
      </c>
      <c r="I153" s="2710">
        <f>(H153/G153)*100</f>
        <v>100</v>
      </c>
    </row>
    <row r="154" spans="1:20" s="2402" customFormat="1" ht="16.5" thickTop="1" thickBot="1" x14ac:dyDescent="0.25">
      <c r="A154" s="3198" t="s">
        <v>1000</v>
      </c>
      <c r="B154" s="3199"/>
      <c r="C154" s="3199"/>
      <c r="D154" s="3199"/>
      <c r="E154" s="3199"/>
      <c r="F154" s="2777">
        <v>0</v>
      </c>
      <c r="G154" s="2777">
        <f>G150</f>
        <v>972</v>
      </c>
      <c r="H154" s="2777">
        <f>H150</f>
        <v>972</v>
      </c>
      <c r="I154" s="2776">
        <f>(H154/G154)*100</f>
        <v>100</v>
      </c>
      <c r="R154" s="2753">
        <f>F154</f>
        <v>0</v>
      </c>
      <c r="S154" s="2753">
        <f>G154</f>
        <v>972</v>
      </c>
      <c r="T154" s="2753">
        <f>H154</f>
        <v>972</v>
      </c>
    </row>
    <row r="155" spans="1:20" ht="13.5" thickTop="1" x14ac:dyDescent="0.2"/>
    <row r="156" spans="1:20" ht="13.5" thickBot="1" x14ac:dyDescent="0.25">
      <c r="A156" s="2163" t="s">
        <v>469</v>
      </c>
      <c r="I156" s="2699" t="s">
        <v>148</v>
      </c>
    </row>
    <row r="157" spans="1:20" s="1298" customFormat="1" thickTop="1" thickBot="1" x14ac:dyDescent="0.25">
      <c r="A157" s="1302" t="s">
        <v>565</v>
      </c>
      <c r="B157" s="1299" t="s">
        <v>149</v>
      </c>
      <c r="C157" s="1301" t="s">
        <v>150</v>
      </c>
      <c r="D157" s="1324" t="s">
        <v>639</v>
      </c>
      <c r="E157" s="1324" t="s">
        <v>151</v>
      </c>
      <c r="F157" s="1324" t="s">
        <v>569</v>
      </c>
      <c r="G157" s="1324" t="s">
        <v>570</v>
      </c>
      <c r="H157" s="2198" t="s">
        <v>797</v>
      </c>
      <c r="I157" s="2238" t="s">
        <v>798</v>
      </c>
    </row>
    <row r="158" spans="1:20" s="1292" customFormat="1" ht="20.25" customHeight="1" thickTop="1" thickBot="1" x14ac:dyDescent="0.25">
      <c r="A158" s="1297">
        <v>1</v>
      </c>
      <c r="B158" s="1296">
        <v>2</v>
      </c>
      <c r="C158" s="1296">
        <v>3</v>
      </c>
      <c r="D158" s="1296">
        <v>4</v>
      </c>
      <c r="E158" s="1296">
        <v>5</v>
      </c>
      <c r="F158" s="1295">
        <v>6</v>
      </c>
      <c r="G158" s="1295">
        <v>7</v>
      </c>
      <c r="H158" s="1446">
        <v>8</v>
      </c>
      <c r="I158" s="1294" t="s">
        <v>689</v>
      </c>
    </row>
    <row r="159" spans="1:20" ht="15.75" thickTop="1" x14ac:dyDescent="0.25">
      <c r="A159" s="2772">
        <v>1034</v>
      </c>
      <c r="B159" s="2771">
        <v>3133</v>
      </c>
      <c r="C159" s="2771">
        <v>5331</v>
      </c>
      <c r="D159" s="2770"/>
      <c r="E159" s="2769" t="s">
        <v>858</v>
      </c>
      <c r="F159" s="2768"/>
      <c r="G159" s="2768">
        <f>G160+G161</f>
        <v>1515</v>
      </c>
      <c r="H159" s="2768">
        <f>H160+H161</f>
        <v>1515</v>
      </c>
      <c r="I159" s="2767">
        <f>(H159/G159)*100</f>
        <v>100</v>
      </c>
    </row>
    <row r="160" spans="1:20" ht="14.25" x14ac:dyDescent="0.2">
      <c r="A160" s="2714"/>
      <c r="B160" s="2713"/>
      <c r="C160" s="2713"/>
      <c r="D160" s="2191" t="s">
        <v>1811</v>
      </c>
      <c r="E160" s="2716" t="s">
        <v>717</v>
      </c>
      <c r="F160" s="2711"/>
      <c r="G160" s="2711">
        <v>142</v>
      </c>
      <c r="H160" s="2711">
        <v>142</v>
      </c>
      <c r="I160" s="2710">
        <f>(H160/G160)*100</f>
        <v>100</v>
      </c>
    </row>
    <row r="161" spans="1:20" ht="15" thickBot="1" x14ac:dyDescent="0.25">
      <c r="A161" s="2714"/>
      <c r="B161" s="2713"/>
      <c r="C161" s="2713"/>
      <c r="D161" s="2182" t="s">
        <v>1812</v>
      </c>
      <c r="E161" s="2712" t="s">
        <v>63</v>
      </c>
      <c r="F161" s="2711"/>
      <c r="G161" s="2711">
        <v>1373</v>
      </c>
      <c r="H161" s="2711">
        <v>1373</v>
      </c>
      <c r="I161" s="2710">
        <f>(H161/G161)*100</f>
        <v>100</v>
      </c>
    </row>
    <row r="162" spans="1:20" s="2402" customFormat="1" ht="16.5" thickTop="1" thickBot="1" x14ac:dyDescent="0.25">
      <c r="A162" s="3198" t="s">
        <v>1000</v>
      </c>
      <c r="B162" s="3199"/>
      <c r="C162" s="3199"/>
      <c r="D162" s="3199"/>
      <c r="E162" s="3199"/>
      <c r="F162" s="2777">
        <v>0</v>
      </c>
      <c r="G162" s="2777">
        <f>G159</f>
        <v>1515</v>
      </c>
      <c r="H162" s="2777">
        <f>H159</f>
        <v>1515</v>
      </c>
      <c r="I162" s="2776">
        <f>(H162/G162)*100</f>
        <v>100</v>
      </c>
      <c r="R162" s="2753">
        <f>F162</f>
        <v>0</v>
      </c>
      <c r="S162" s="2753">
        <f>G162</f>
        <v>1515</v>
      </c>
      <c r="T162" s="2753">
        <f>H162</f>
        <v>1515</v>
      </c>
    </row>
    <row r="163" spans="1:20" ht="13.5" thickTop="1" x14ac:dyDescent="0.2"/>
    <row r="164" spans="1:20" ht="13.5" thickBot="1" x14ac:dyDescent="0.25">
      <c r="A164" s="2163" t="s">
        <v>1014</v>
      </c>
      <c r="I164" s="2699" t="s">
        <v>148</v>
      </c>
    </row>
    <row r="165" spans="1:20" s="1298" customFormat="1" thickTop="1" thickBot="1" x14ac:dyDescent="0.25">
      <c r="A165" s="1302" t="s">
        <v>565</v>
      </c>
      <c r="B165" s="1299" t="s">
        <v>149</v>
      </c>
      <c r="C165" s="1301" t="s">
        <v>150</v>
      </c>
      <c r="D165" s="1324" t="s">
        <v>639</v>
      </c>
      <c r="E165" s="1324" t="s">
        <v>151</v>
      </c>
      <c r="F165" s="1324" t="s">
        <v>569</v>
      </c>
      <c r="G165" s="1324" t="s">
        <v>570</v>
      </c>
      <c r="H165" s="2198" t="s">
        <v>797</v>
      </c>
      <c r="I165" s="2238" t="s">
        <v>798</v>
      </c>
    </row>
    <row r="166" spans="1:20" s="1292" customFormat="1" ht="14.25" customHeight="1" thickTop="1" thickBot="1" x14ac:dyDescent="0.25">
      <c r="A166" s="1297">
        <v>1</v>
      </c>
      <c r="B166" s="1296">
        <v>2</v>
      </c>
      <c r="C166" s="1296">
        <v>3</v>
      </c>
      <c r="D166" s="1296">
        <v>4</v>
      </c>
      <c r="E166" s="1296">
        <v>5</v>
      </c>
      <c r="F166" s="1295">
        <v>6</v>
      </c>
      <c r="G166" s="1295">
        <v>7</v>
      </c>
      <c r="H166" s="1446">
        <v>8</v>
      </c>
      <c r="I166" s="1294" t="s">
        <v>689</v>
      </c>
    </row>
    <row r="167" spans="1:20" ht="15.75" thickTop="1" x14ac:dyDescent="0.25">
      <c r="A167" s="2772">
        <v>1035</v>
      </c>
      <c r="B167" s="2771">
        <v>3114</v>
      </c>
      <c r="C167" s="2771">
        <v>5331</v>
      </c>
      <c r="D167" s="2770"/>
      <c r="E167" s="2769" t="s">
        <v>858</v>
      </c>
      <c r="F167" s="2768"/>
      <c r="G167" s="2768">
        <v>492</v>
      </c>
      <c r="H167" s="2768">
        <v>492</v>
      </c>
      <c r="I167" s="2767">
        <f>(H167/G167)*100</f>
        <v>100</v>
      </c>
    </row>
    <row r="168" spans="1:20" ht="15" thickBot="1" x14ac:dyDescent="0.25">
      <c r="A168" s="2714"/>
      <c r="B168" s="2713"/>
      <c r="C168" s="2713"/>
      <c r="D168" s="2182" t="s">
        <v>1812</v>
      </c>
      <c r="E168" s="2712" t="s">
        <v>63</v>
      </c>
      <c r="F168" s="2711"/>
      <c r="G168" s="2711">
        <v>492</v>
      </c>
      <c r="H168" s="2711">
        <v>492</v>
      </c>
      <c r="I168" s="2710">
        <f>(H168/G168)*100</f>
        <v>100</v>
      </c>
    </row>
    <row r="169" spans="1:20" s="2402" customFormat="1" ht="16.5" thickTop="1" thickBot="1" x14ac:dyDescent="0.25">
      <c r="A169" s="2802" t="s">
        <v>1000</v>
      </c>
      <c r="B169" s="2801"/>
      <c r="C169" s="2801"/>
      <c r="D169" s="2801"/>
      <c r="E169" s="2801"/>
      <c r="F169" s="2777">
        <v>0</v>
      </c>
      <c r="G169" s="2777">
        <f>G167</f>
        <v>492</v>
      </c>
      <c r="H169" s="2777">
        <f>H167</f>
        <v>492</v>
      </c>
      <c r="I169" s="2776">
        <f>(H169/G169)*100</f>
        <v>100</v>
      </c>
      <c r="K169" s="2753" t="e">
        <f>SUM(F169,F162,F154,F142,#REF!,#REF!,F132,#REF!,F114,#REF!,F104,F95,#REF!,F86,F74,F63,F50,#REF!,F39,#REF!,F26,#REF!,#REF!,F17,#REF!)</f>
        <v>#REF!</v>
      </c>
      <c r="L169" s="2753" t="e">
        <f>SUM(G169,G162,G154,G142,#REF!,#REF!,G132,#REF!,G114,#REF!,G104,G95,#REF!,G86,G74,G63,G50,#REF!,G39,#REF!,G26,#REF!,#REF!,G17,#REF!)</f>
        <v>#REF!</v>
      </c>
      <c r="M169" s="2753" t="e">
        <f>SUM(H169,H162,H154,H142,#REF!,#REF!,H132,#REF!,H114,#REF!,H104,H95,#REF!,H86,H74,H63,H50,#REF!,H39,#REF!,H26,#REF!,#REF!,H17,#REF!)</f>
        <v>#REF!</v>
      </c>
      <c r="R169" s="2753">
        <f>F169</f>
        <v>0</v>
      </c>
      <c r="S169" s="2753">
        <f>G169</f>
        <v>492</v>
      </c>
      <c r="T169" s="2753">
        <f>H169</f>
        <v>492</v>
      </c>
    </row>
    <row r="170" spans="1:20" ht="13.5" thickTop="1" x14ac:dyDescent="0.2"/>
    <row r="171" spans="1:20" ht="13.5" thickBot="1" x14ac:dyDescent="0.25">
      <c r="A171" s="2163" t="s">
        <v>1283</v>
      </c>
      <c r="I171" s="2699" t="s">
        <v>148</v>
      </c>
    </row>
    <row r="172" spans="1:20" s="1298" customFormat="1" ht="20.25" customHeight="1" thickTop="1" thickBot="1" x14ac:dyDescent="0.25">
      <c r="A172" s="1302" t="s">
        <v>565</v>
      </c>
      <c r="B172" s="1299" t="s">
        <v>149</v>
      </c>
      <c r="C172" s="1301" t="s">
        <v>150</v>
      </c>
      <c r="D172" s="1324" t="s">
        <v>639</v>
      </c>
      <c r="E172" s="1324" t="s">
        <v>151</v>
      </c>
      <c r="F172" s="1324" t="s">
        <v>569</v>
      </c>
      <c r="G172" s="1324" t="s">
        <v>570</v>
      </c>
      <c r="H172" s="2198" t="s">
        <v>797</v>
      </c>
      <c r="I172" s="2238" t="s">
        <v>798</v>
      </c>
    </row>
    <row r="173" spans="1:20" s="1292" customFormat="1" ht="13.5" thickTop="1" thickBot="1" x14ac:dyDescent="0.25">
      <c r="A173" s="1297">
        <v>1</v>
      </c>
      <c r="B173" s="1296">
        <v>2</v>
      </c>
      <c r="C173" s="1296">
        <v>3</v>
      </c>
      <c r="D173" s="1296">
        <v>4</v>
      </c>
      <c r="E173" s="1296">
        <v>5</v>
      </c>
      <c r="F173" s="1295">
        <v>6</v>
      </c>
      <c r="G173" s="1295">
        <v>7</v>
      </c>
      <c r="H173" s="1446">
        <v>8</v>
      </c>
      <c r="I173" s="1294" t="s">
        <v>689</v>
      </c>
    </row>
    <row r="174" spans="1:20" ht="15.75" thickTop="1" x14ac:dyDescent="0.25">
      <c r="A174" s="2714">
        <v>1036</v>
      </c>
      <c r="B174" s="2713">
        <v>3114</v>
      </c>
      <c r="C174" s="2713">
        <v>5331</v>
      </c>
      <c r="D174" s="2733"/>
      <c r="E174" s="2730" t="s">
        <v>858</v>
      </c>
      <c r="F174" s="2729"/>
      <c r="G174" s="2729">
        <f>SUM(G175:G176)</f>
        <v>1942</v>
      </c>
      <c r="H174" s="2729">
        <f>SUM(H175:H176)</f>
        <v>1942</v>
      </c>
      <c r="I174" s="2732">
        <f>(H174/G174)*100</f>
        <v>100</v>
      </c>
    </row>
    <row r="175" spans="1:20" ht="14.25" x14ac:dyDescent="0.2">
      <c r="A175" s="2714"/>
      <c r="B175" s="2713"/>
      <c r="C175" s="2713"/>
      <c r="D175" s="2191" t="s">
        <v>1811</v>
      </c>
      <c r="E175" s="2716" t="s">
        <v>717</v>
      </c>
      <c r="F175" s="2711"/>
      <c r="G175" s="2711">
        <v>209</v>
      </c>
      <c r="H175" s="2711">
        <v>209</v>
      </c>
      <c r="I175" s="2710">
        <f>(H175/G175)*100</f>
        <v>100</v>
      </c>
    </row>
    <row r="176" spans="1:20" ht="15" thickBot="1" x14ac:dyDescent="0.25">
      <c r="A176" s="2714"/>
      <c r="B176" s="2713"/>
      <c r="C176" s="2713"/>
      <c r="D176" s="2182" t="s">
        <v>1812</v>
      </c>
      <c r="E176" s="2712" t="s">
        <v>63</v>
      </c>
      <c r="F176" s="2711"/>
      <c r="G176" s="2711">
        <v>1733</v>
      </c>
      <c r="H176" s="2711">
        <v>1733</v>
      </c>
      <c r="I176" s="2710">
        <f>(H176/G176)*100</f>
        <v>100</v>
      </c>
    </row>
    <row r="177" spans="1:20" ht="16.5" thickTop="1" thickBot="1" x14ac:dyDescent="0.3">
      <c r="A177" s="3195" t="s">
        <v>1000</v>
      </c>
      <c r="B177" s="3196"/>
      <c r="C177" s="3196"/>
      <c r="D177" s="3196"/>
      <c r="E177" s="3196"/>
      <c r="F177" s="2709">
        <v>0</v>
      </c>
      <c r="G177" s="2709">
        <f>G174</f>
        <v>1942</v>
      </c>
      <c r="H177" s="2709">
        <f>H174</f>
        <v>1942</v>
      </c>
      <c r="I177" s="2708">
        <f>(H177/G177)*100</f>
        <v>100</v>
      </c>
      <c r="R177" s="1254">
        <f>F177</f>
        <v>0</v>
      </c>
      <c r="S177" s="1254">
        <f>G177</f>
        <v>1942</v>
      </c>
      <c r="T177" s="1254">
        <f>H177</f>
        <v>1942</v>
      </c>
    </row>
    <row r="178" spans="1:20" ht="12.75" customHeight="1" thickTop="1" x14ac:dyDescent="0.25">
      <c r="A178" s="1417"/>
      <c r="B178" s="1417"/>
      <c r="C178" s="1417"/>
      <c r="D178" s="1417"/>
      <c r="E178" s="1417"/>
      <c r="F178" s="2701"/>
      <c r="G178" s="2701"/>
      <c r="H178" s="2701"/>
      <c r="I178" s="2700"/>
      <c r="R178" s="1254"/>
      <c r="S178" s="1254"/>
      <c r="T178" s="1254"/>
    </row>
    <row r="179" spans="1:20" ht="13.5" thickBot="1" x14ac:dyDescent="0.25">
      <c r="A179" s="2163" t="s">
        <v>81</v>
      </c>
      <c r="I179" s="2699" t="s">
        <v>148</v>
      </c>
    </row>
    <row r="180" spans="1:20" s="1298" customFormat="1" ht="20.25" customHeight="1" thickTop="1" thickBot="1" x14ac:dyDescent="0.25">
      <c r="A180" s="1302" t="s">
        <v>565</v>
      </c>
      <c r="B180" s="1299" t="s">
        <v>149</v>
      </c>
      <c r="C180" s="1301" t="s">
        <v>150</v>
      </c>
      <c r="D180" s="1324" t="s">
        <v>639</v>
      </c>
      <c r="E180" s="1324" t="s">
        <v>151</v>
      </c>
      <c r="F180" s="1324" t="s">
        <v>569</v>
      </c>
      <c r="G180" s="1324" t="s">
        <v>570</v>
      </c>
      <c r="H180" s="2198" t="s">
        <v>797</v>
      </c>
      <c r="I180" s="2238" t="s">
        <v>798</v>
      </c>
    </row>
    <row r="181" spans="1:20" s="1292" customFormat="1" ht="13.5" thickTop="1" thickBot="1" x14ac:dyDescent="0.25">
      <c r="A181" s="1297">
        <v>1</v>
      </c>
      <c r="B181" s="1296">
        <v>2</v>
      </c>
      <c r="C181" s="1296">
        <v>3</v>
      </c>
      <c r="D181" s="1296">
        <v>4</v>
      </c>
      <c r="E181" s="1296">
        <v>5</v>
      </c>
      <c r="F181" s="1295">
        <v>6</v>
      </c>
      <c r="G181" s="1295">
        <v>7</v>
      </c>
      <c r="H181" s="1446">
        <v>8</v>
      </c>
      <c r="I181" s="1294" t="s">
        <v>689</v>
      </c>
    </row>
    <row r="182" spans="1:20" ht="15.75" thickTop="1" x14ac:dyDescent="0.25">
      <c r="A182" s="2714">
        <v>1037</v>
      </c>
      <c r="B182" s="2727">
        <v>3114</v>
      </c>
      <c r="C182" s="2727">
        <v>5331</v>
      </c>
      <c r="D182" s="2741"/>
      <c r="E182" s="2183" t="s">
        <v>858</v>
      </c>
      <c r="F182" s="2740"/>
      <c r="G182" s="2740">
        <f>G183+G184+G185</f>
        <v>1613</v>
      </c>
      <c r="H182" s="2740">
        <f>H183+H184+H185</f>
        <v>1613</v>
      </c>
      <c r="I182" s="2739">
        <f>(H182/G182)*100</f>
        <v>100</v>
      </c>
    </row>
    <row r="183" spans="1:20" ht="14.25" x14ac:dyDescent="0.2">
      <c r="A183" s="2714"/>
      <c r="B183" s="2727"/>
      <c r="C183" s="2727"/>
      <c r="D183" s="2191" t="s">
        <v>1811</v>
      </c>
      <c r="E183" s="2716" t="s">
        <v>717</v>
      </c>
      <c r="F183" s="2711"/>
      <c r="G183" s="2711">
        <v>3</v>
      </c>
      <c r="H183" s="2711">
        <v>3</v>
      </c>
      <c r="I183" s="2710">
        <f>(H183/G183)*100</f>
        <v>100</v>
      </c>
    </row>
    <row r="184" spans="1:20" ht="14.25" x14ac:dyDescent="0.2">
      <c r="A184" s="2714"/>
      <c r="B184" s="2727"/>
      <c r="C184" s="2727"/>
      <c r="D184" s="2191" t="s">
        <v>1951</v>
      </c>
      <c r="E184" s="2734" t="s">
        <v>645</v>
      </c>
      <c r="F184" s="2711"/>
      <c r="G184" s="2711">
        <v>99</v>
      </c>
      <c r="H184" s="2711">
        <v>99</v>
      </c>
      <c r="I184" s="2710">
        <f>(H184/G184)*100</f>
        <v>100</v>
      </c>
    </row>
    <row r="185" spans="1:20" ht="15" thickBot="1" x14ac:dyDescent="0.25">
      <c r="A185" s="2714"/>
      <c r="B185" s="2727"/>
      <c r="C185" s="2727"/>
      <c r="D185" s="2182" t="s">
        <v>1812</v>
      </c>
      <c r="E185" s="2712" t="s">
        <v>63</v>
      </c>
      <c r="F185" s="2725"/>
      <c r="G185" s="2725">
        <v>1511</v>
      </c>
      <c r="H185" s="2725">
        <v>1511</v>
      </c>
      <c r="I185" s="2724">
        <f>(H185/G185)*100</f>
        <v>100</v>
      </c>
    </row>
    <row r="186" spans="1:20" ht="18" customHeight="1" thickTop="1" thickBot="1" x14ac:dyDescent="0.3">
      <c r="A186" s="3195" t="s">
        <v>1000</v>
      </c>
      <c r="B186" s="3196"/>
      <c r="C186" s="3196"/>
      <c r="D186" s="3196"/>
      <c r="E186" s="3196"/>
      <c r="F186" s="2709">
        <v>0</v>
      </c>
      <c r="G186" s="2709">
        <f>G182</f>
        <v>1613</v>
      </c>
      <c r="H186" s="2709">
        <f>H182</f>
        <v>1613</v>
      </c>
      <c r="I186" s="2708">
        <f>(H186/G186)*100</f>
        <v>100</v>
      </c>
      <c r="R186" s="1254">
        <f>F186</f>
        <v>0</v>
      </c>
      <c r="S186" s="1254">
        <f>G186</f>
        <v>1613</v>
      </c>
      <c r="T186" s="1254">
        <f>H186</f>
        <v>1613</v>
      </c>
    </row>
    <row r="187" spans="1:20" ht="12" customHeight="1" thickTop="1" x14ac:dyDescent="0.25">
      <c r="A187" s="1417"/>
      <c r="B187" s="1417"/>
      <c r="C187" s="1417"/>
      <c r="D187" s="1417"/>
      <c r="E187" s="1417"/>
      <c r="F187" s="2701"/>
      <c r="G187" s="2701"/>
      <c r="H187" s="2701"/>
      <c r="I187" s="2700"/>
      <c r="R187" s="1254"/>
      <c r="S187" s="1254"/>
      <c r="T187" s="1254"/>
    </row>
    <row r="188" spans="1:20" ht="16.5" customHeight="1" thickBot="1" x14ac:dyDescent="0.25">
      <c r="A188" s="2163" t="s">
        <v>1284</v>
      </c>
      <c r="I188" s="2699" t="s">
        <v>148</v>
      </c>
    </row>
    <row r="189" spans="1:20" s="1298" customFormat="1" thickTop="1" thickBot="1" x14ac:dyDescent="0.25">
      <c r="A189" s="1302" t="s">
        <v>565</v>
      </c>
      <c r="B189" s="1299" t="s">
        <v>149</v>
      </c>
      <c r="C189" s="1301" t="s">
        <v>150</v>
      </c>
      <c r="D189" s="1324" t="s">
        <v>639</v>
      </c>
      <c r="E189" s="1324" t="s">
        <v>151</v>
      </c>
      <c r="F189" s="1324" t="s">
        <v>569</v>
      </c>
      <c r="G189" s="1324" t="s">
        <v>570</v>
      </c>
      <c r="H189" s="2198" t="s">
        <v>797</v>
      </c>
      <c r="I189" s="2238" t="s">
        <v>798</v>
      </c>
    </row>
    <row r="190" spans="1:20" s="2795" customFormat="1" ht="13.5" thickTop="1" thickBot="1" x14ac:dyDescent="0.25">
      <c r="A190" s="2800">
        <v>1</v>
      </c>
      <c r="B190" s="2799">
        <v>2</v>
      </c>
      <c r="C190" s="2799">
        <v>3</v>
      </c>
      <c r="D190" s="2799">
        <v>4</v>
      </c>
      <c r="E190" s="2799">
        <v>5</v>
      </c>
      <c r="F190" s="2798">
        <v>6</v>
      </c>
      <c r="G190" s="2798">
        <v>7</v>
      </c>
      <c r="H190" s="2797">
        <v>8</v>
      </c>
      <c r="I190" s="2796" t="s">
        <v>689</v>
      </c>
    </row>
    <row r="191" spans="1:20" s="2402" customFormat="1" ht="15.75" thickTop="1" x14ac:dyDescent="0.2">
      <c r="A191" s="2794">
        <v>1038</v>
      </c>
      <c r="B191" s="2793">
        <v>3114</v>
      </c>
      <c r="C191" s="2793">
        <v>5331</v>
      </c>
      <c r="D191" s="2792"/>
      <c r="E191" s="2791" t="s">
        <v>858</v>
      </c>
      <c r="F191" s="2790"/>
      <c r="G191" s="2790">
        <f>G192+G193+G194</f>
        <v>1116</v>
      </c>
      <c r="H191" s="2790">
        <f>H192+H193+H194</f>
        <v>1116</v>
      </c>
      <c r="I191" s="2789">
        <f>(H191/G191)*100</f>
        <v>100</v>
      </c>
    </row>
    <row r="192" spans="1:20" s="2402" customFormat="1" ht="14.25" x14ac:dyDescent="0.2">
      <c r="A192" s="2788"/>
      <c r="B192" s="2787"/>
      <c r="C192" s="2787"/>
      <c r="D192" s="2786" t="s">
        <v>1811</v>
      </c>
      <c r="E192" s="2785" t="s">
        <v>717</v>
      </c>
      <c r="F192" s="2784"/>
      <c r="G192" s="2784">
        <v>263</v>
      </c>
      <c r="H192" s="2784">
        <v>263</v>
      </c>
      <c r="I192" s="2783">
        <f>(H192/G192)*100</f>
        <v>100</v>
      </c>
    </row>
    <row r="193" spans="1:20" s="2402" customFormat="1" ht="14.25" x14ac:dyDescent="0.2">
      <c r="A193" s="2788"/>
      <c r="B193" s="2787"/>
      <c r="C193" s="2787"/>
      <c r="D193" s="2191" t="s">
        <v>1951</v>
      </c>
      <c r="E193" s="2734" t="s">
        <v>645</v>
      </c>
      <c r="F193" s="2711"/>
      <c r="G193" s="2711">
        <v>400</v>
      </c>
      <c r="H193" s="2711">
        <v>400</v>
      </c>
      <c r="I193" s="2710">
        <f>(H193/G193)*100</f>
        <v>100</v>
      </c>
    </row>
    <row r="194" spans="1:20" ht="15" thickBot="1" x14ac:dyDescent="0.25">
      <c r="A194" s="2714"/>
      <c r="B194" s="2713"/>
      <c r="C194" s="2743"/>
      <c r="D194" s="2182" t="s">
        <v>1812</v>
      </c>
      <c r="E194" s="2712" t="s">
        <v>63</v>
      </c>
      <c r="F194" s="2711"/>
      <c r="G194" s="2711">
        <v>453</v>
      </c>
      <c r="H194" s="2711">
        <v>453</v>
      </c>
      <c r="I194" s="2710">
        <f>(H194/G194)*100</f>
        <v>100</v>
      </c>
    </row>
    <row r="195" spans="1:20" ht="16.5" thickTop="1" thickBot="1" x14ac:dyDescent="0.3">
      <c r="A195" s="3195" t="s">
        <v>1000</v>
      </c>
      <c r="B195" s="3196"/>
      <c r="C195" s="3196"/>
      <c r="D195" s="3196"/>
      <c r="E195" s="3196"/>
      <c r="F195" s="2709">
        <v>0</v>
      </c>
      <c r="G195" s="2709">
        <f>G191</f>
        <v>1116</v>
      </c>
      <c r="H195" s="2709">
        <f>H191</f>
        <v>1116</v>
      </c>
      <c r="I195" s="2708">
        <f>(H195/G195)*100</f>
        <v>100</v>
      </c>
      <c r="R195" s="1254">
        <f>F195</f>
        <v>0</v>
      </c>
      <c r="S195" s="1254">
        <f>G195</f>
        <v>1116</v>
      </c>
      <c r="T195" s="1254">
        <f>H195</f>
        <v>1116</v>
      </c>
    </row>
    <row r="196" spans="1:20" s="2402" customFormat="1" ht="13.5" thickTop="1" x14ac:dyDescent="0.2">
      <c r="B196" s="2755"/>
      <c r="D196" s="2754"/>
      <c r="F196" s="2753"/>
      <c r="G196" s="2753"/>
      <c r="H196" s="2753"/>
      <c r="I196" s="2752"/>
    </row>
    <row r="197" spans="1:20" ht="13.5" thickBot="1" x14ac:dyDescent="0.25">
      <c r="A197" s="2163" t="s">
        <v>48</v>
      </c>
      <c r="I197" s="2699" t="s">
        <v>148</v>
      </c>
    </row>
    <row r="198" spans="1:20" s="1298" customFormat="1" thickTop="1" thickBot="1" x14ac:dyDescent="0.25">
      <c r="A198" s="1302" t="s">
        <v>565</v>
      </c>
      <c r="B198" s="1299" t="s">
        <v>149</v>
      </c>
      <c r="C198" s="1301" t="s">
        <v>150</v>
      </c>
      <c r="D198" s="1324" t="s">
        <v>639</v>
      </c>
      <c r="E198" s="1324" t="s">
        <v>151</v>
      </c>
      <c r="F198" s="1324" t="s">
        <v>569</v>
      </c>
      <c r="G198" s="1324" t="s">
        <v>570</v>
      </c>
      <c r="H198" s="2198" t="s">
        <v>797</v>
      </c>
      <c r="I198" s="2238" t="s">
        <v>798</v>
      </c>
    </row>
    <row r="199" spans="1:20" s="1292" customFormat="1" ht="13.5" thickTop="1" thickBot="1" x14ac:dyDescent="0.25">
      <c r="A199" s="1297">
        <v>1</v>
      </c>
      <c r="B199" s="1296">
        <v>2</v>
      </c>
      <c r="C199" s="1296">
        <v>3</v>
      </c>
      <c r="D199" s="1296">
        <v>4</v>
      </c>
      <c r="E199" s="1296">
        <v>5</v>
      </c>
      <c r="F199" s="1295">
        <v>6</v>
      </c>
      <c r="G199" s="1295">
        <v>7</v>
      </c>
      <c r="H199" s="1446">
        <v>8</v>
      </c>
      <c r="I199" s="1294" t="s">
        <v>689</v>
      </c>
    </row>
    <row r="200" spans="1:20" ht="15.75" thickTop="1" x14ac:dyDescent="0.25">
      <c r="A200" s="2772">
        <v>1040</v>
      </c>
      <c r="B200" s="2771">
        <v>3112</v>
      </c>
      <c r="C200" s="2771">
        <v>5331</v>
      </c>
      <c r="D200" s="2770"/>
      <c r="E200" s="2769" t="s">
        <v>858</v>
      </c>
      <c r="F200" s="2768"/>
      <c r="G200" s="2768">
        <f>G201+G202</f>
        <v>1601</v>
      </c>
      <c r="H200" s="2768">
        <f>H201+H202</f>
        <v>1601</v>
      </c>
      <c r="I200" s="2767">
        <f>(H200/G200)*100</f>
        <v>100</v>
      </c>
    </row>
    <row r="201" spans="1:20" ht="14.25" x14ac:dyDescent="0.2">
      <c r="A201" s="2714"/>
      <c r="B201" s="2713"/>
      <c r="C201" s="2713"/>
      <c r="D201" s="2786" t="s">
        <v>1811</v>
      </c>
      <c r="E201" s="2785" t="s">
        <v>717</v>
      </c>
      <c r="F201" s="2784"/>
      <c r="G201" s="2784">
        <v>43</v>
      </c>
      <c r="H201" s="2784">
        <v>43</v>
      </c>
      <c r="I201" s="2783">
        <f>(H201/G201)*100</f>
        <v>100</v>
      </c>
    </row>
    <row r="202" spans="1:20" ht="15" thickBot="1" x14ac:dyDescent="0.25">
      <c r="A202" s="2714"/>
      <c r="B202" s="2713"/>
      <c r="C202" s="2713"/>
      <c r="D202" s="2182" t="s">
        <v>1812</v>
      </c>
      <c r="E202" s="2712" t="s">
        <v>63</v>
      </c>
      <c r="F202" s="2715"/>
      <c r="G202" s="2715">
        <v>1558</v>
      </c>
      <c r="H202" s="2715">
        <v>1558</v>
      </c>
      <c r="I202" s="2710">
        <f>(H202/G202)*100</f>
        <v>100</v>
      </c>
    </row>
    <row r="203" spans="1:20" ht="16.5" thickTop="1" thickBot="1" x14ac:dyDescent="0.3">
      <c r="A203" s="3195" t="s">
        <v>1000</v>
      </c>
      <c r="B203" s="3196"/>
      <c r="C203" s="3196"/>
      <c r="D203" s="3196"/>
      <c r="E203" s="3196"/>
      <c r="F203" s="2709">
        <v>0</v>
      </c>
      <c r="G203" s="2709">
        <f>G200</f>
        <v>1601</v>
      </c>
      <c r="H203" s="2709">
        <f>H200</f>
        <v>1601</v>
      </c>
      <c r="I203" s="2708">
        <f>(H203/G203)*100</f>
        <v>100</v>
      </c>
      <c r="R203" s="1254">
        <f>F203</f>
        <v>0</v>
      </c>
      <c r="S203" s="1254">
        <f>G203</f>
        <v>1601</v>
      </c>
      <c r="T203" s="1254">
        <f>H203</f>
        <v>1601</v>
      </c>
    </row>
    <row r="204" spans="1:20" ht="11.25" customHeight="1" thickTop="1" x14ac:dyDescent="0.2"/>
    <row r="205" spans="1:20" ht="20.25" customHeight="1" thickBot="1" x14ac:dyDescent="0.25">
      <c r="A205" s="2163" t="s">
        <v>1743</v>
      </c>
      <c r="I205" s="2699" t="s">
        <v>148</v>
      </c>
    </row>
    <row r="206" spans="1:20" s="1298" customFormat="1" thickTop="1" thickBot="1" x14ac:dyDescent="0.25">
      <c r="A206" s="1302" t="s">
        <v>565</v>
      </c>
      <c r="B206" s="1299" t="s">
        <v>149</v>
      </c>
      <c r="C206" s="1301" t="s">
        <v>150</v>
      </c>
      <c r="D206" s="1324" t="s">
        <v>639</v>
      </c>
      <c r="E206" s="1324" t="s">
        <v>151</v>
      </c>
      <c r="F206" s="1324" t="s">
        <v>569</v>
      </c>
      <c r="G206" s="1324" t="s">
        <v>570</v>
      </c>
      <c r="H206" s="2198" t="s">
        <v>797</v>
      </c>
      <c r="I206" s="2238" t="s">
        <v>798</v>
      </c>
    </row>
    <row r="207" spans="1:20" s="1292" customFormat="1" ht="13.5" thickTop="1" thickBot="1" x14ac:dyDescent="0.25">
      <c r="A207" s="1297">
        <v>1</v>
      </c>
      <c r="B207" s="1296">
        <v>2</v>
      </c>
      <c r="C207" s="1296">
        <v>3</v>
      </c>
      <c r="D207" s="1296">
        <v>4</v>
      </c>
      <c r="E207" s="1296">
        <v>5</v>
      </c>
      <c r="F207" s="1295">
        <v>6</v>
      </c>
      <c r="G207" s="1295">
        <v>7</v>
      </c>
      <c r="H207" s="1446">
        <v>8</v>
      </c>
      <c r="I207" s="1294" t="s">
        <v>689</v>
      </c>
    </row>
    <row r="208" spans="1:20" ht="15.75" thickTop="1" x14ac:dyDescent="0.25">
      <c r="A208" s="2714">
        <v>1041</v>
      </c>
      <c r="B208" s="2713">
        <v>3114</v>
      </c>
      <c r="C208" s="2713">
        <v>5331</v>
      </c>
      <c r="D208" s="2733"/>
      <c r="E208" s="2730" t="s">
        <v>858</v>
      </c>
      <c r="F208" s="2729"/>
      <c r="G208" s="2729">
        <f>G209+G210</f>
        <v>5742</v>
      </c>
      <c r="H208" s="2729">
        <f>H209+H210</f>
        <v>5742</v>
      </c>
      <c r="I208" s="2732">
        <f>(H208/G208)*100</f>
        <v>100</v>
      </c>
    </row>
    <row r="209" spans="1:20" ht="14.25" x14ac:dyDescent="0.2">
      <c r="A209" s="2714"/>
      <c r="B209" s="2713"/>
      <c r="C209" s="2713"/>
      <c r="D209" s="2191" t="s">
        <v>1811</v>
      </c>
      <c r="E209" s="2716" t="s">
        <v>717</v>
      </c>
      <c r="F209" s="2715"/>
      <c r="G209" s="2711">
        <v>1010</v>
      </c>
      <c r="H209" s="2711">
        <v>1010</v>
      </c>
      <c r="I209" s="2710">
        <f>(H209/G209)*100</f>
        <v>100</v>
      </c>
    </row>
    <row r="210" spans="1:20" ht="15" thickBot="1" x14ac:dyDescent="0.25">
      <c r="A210" s="2714"/>
      <c r="B210" s="2713"/>
      <c r="C210" s="2713"/>
      <c r="D210" s="2182" t="s">
        <v>1812</v>
      </c>
      <c r="E210" s="2712" t="s">
        <v>63</v>
      </c>
      <c r="F210" s="2715"/>
      <c r="G210" s="2711">
        <v>4732</v>
      </c>
      <c r="H210" s="2711">
        <v>4732</v>
      </c>
      <c r="I210" s="2710">
        <f>(H210/G210)*100</f>
        <v>100</v>
      </c>
    </row>
    <row r="211" spans="1:20" ht="16.5" thickTop="1" thickBot="1" x14ac:dyDescent="0.3">
      <c r="A211" s="3195" t="s">
        <v>1000</v>
      </c>
      <c r="B211" s="3196"/>
      <c r="C211" s="3196"/>
      <c r="D211" s="3196"/>
      <c r="E211" s="3196"/>
      <c r="F211" s="2709">
        <v>0</v>
      </c>
      <c r="G211" s="2709">
        <f>G208</f>
        <v>5742</v>
      </c>
      <c r="H211" s="2709">
        <f>H208</f>
        <v>5742</v>
      </c>
      <c r="I211" s="2708">
        <f>(H211/G211)*100</f>
        <v>100</v>
      </c>
      <c r="R211" s="1254">
        <f>F211</f>
        <v>0</v>
      </c>
      <c r="S211" s="1254">
        <f>G211</f>
        <v>5742</v>
      </c>
      <c r="T211" s="1254">
        <f>H211</f>
        <v>5742</v>
      </c>
    </row>
    <row r="212" spans="1:20" s="2402" customFormat="1" ht="13.5" thickTop="1" x14ac:dyDescent="0.2">
      <c r="B212" s="2755"/>
      <c r="D212" s="2754"/>
      <c r="F212" s="2753"/>
      <c r="G212" s="2753"/>
      <c r="H212" s="2753"/>
      <c r="I212" s="2752"/>
    </row>
    <row r="213" spans="1:20" ht="13.5" thickBot="1" x14ac:dyDescent="0.25">
      <c r="A213" s="2163" t="s">
        <v>76</v>
      </c>
      <c r="I213" s="2699" t="s">
        <v>148</v>
      </c>
    </row>
    <row r="214" spans="1:20" s="1298" customFormat="1" thickTop="1" thickBot="1" x14ac:dyDescent="0.25">
      <c r="A214" s="1302" t="s">
        <v>565</v>
      </c>
      <c r="B214" s="1299" t="s">
        <v>149</v>
      </c>
      <c r="C214" s="1301" t="s">
        <v>150</v>
      </c>
      <c r="D214" s="1324" t="s">
        <v>639</v>
      </c>
      <c r="E214" s="1324" t="s">
        <v>151</v>
      </c>
      <c r="F214" s="1324" t="s">
        <v>569</v>
      </c>
      <c r="G214" s="1324" t="s">
        <v>570</v>
      </c>
      <c r="H214" s="2198" t="s">
        <v>797</v>
      </c>
      <c r="I214" s="2238" t="s">
        <v>798</v>
      </c>
    </row>
    <row r="215" spans="1:20" s="1292" customFormat="1" ht="20.25" customHeight="1" thickTop="1" thickBot="1" x14ac:dyDescent="0.25">
      <c r="A215" s="1297">
        <v>1</v>
      </c>
      <c r="B215" s="1296">
        <v>2</v>
      </c>
      <c r="C215" s="1296">
        <v>3</v>
      </c>
      <c r="D215" s="1296">
        <v>4</v>
      </c>
      <c r="E215" s="1296">
        <v>5</v>
      </c>
      <c r="F215" s="1295">
        <v>6</v>
      </c>
      <c r="G215" s="1295">
        <v>7</v>
      </c>
      <c r="H215" s="1446">
        <v>8</v>
      </c>
      <c r="I215" s="1294" t="s">
        <v>689</v>
      </c>
    </row>
    <row r="216" spans="1:20" ht="15.75" thickTop="1" x14ac:dyDescent="0.25">
      <c r="A216" s="2772">
        <v>1043</v>
      </c>
      <c r="B216" s="2771">
        <v>3114</v>
      </c>
      <c r="C216" s="2771">
        <v>5331</v>
      </c>
      <c r="D216" s="2770"/>
      <c r="E216" s="2769" t="s">
        <v>858</v>
      </c>
      <c r="F216" s="2768"/>
      <c r="G216" s="2768">
        <f>G217+G218</f>
        <v>1730</v>
      </c>
      <c r="H216" s="2768">
        <f>H217+H218</f>
        <v>1730</v>
      </c>
      <c r="I216" s="2767">
        <f>(H216/G216)*100</f>
        <v>100</v>
      </c>
    </row>
    <row r="217" spans="1:20" ht="14.25" x14ac:dyDescent="0.2">
      <c r="A217" s="2714"/>
      <c r="B217" s="2713"/>
      <c r="C217" s="2713"/>
      <c r="D217" s="2191" t="s">
        <v>1811</v>
      </c>
      <c r="E217" s="2716" t="s">
        <v>717</v>
      </c>
      <c r="F217" s="2711"/>
      <c r="G217" s="2711">
        <v>240</v>
      </c>
      <c r="H217" s="2711">
        <v>240</v>
      </c>
      <c r="I217" s="2710">
        <f>(H217/G217)*100</f>
        <v>100</v>
      </c>
    </row>
    <row r="218" spans="1:20" ht="15" thickBot="1" x14ac:dyDescent="0.25">
      <c r="A218" s="2714"/>
      <c r="B218" s="2713"/>
      <c r="C218" s="2713"/>
      <c r="D218" s="2182" t="s">
        <v>1812</v>
      </c>
      <c r="E218" s="2712" t="s">
        <v>63</v>
      </c>
      <c r="F218" s="2711"/>
      <c r="G218" s="2711">
        <v>1490</v>
      </c>
      <c r="H218" s="2711">
        <v>1490</v>
      </c>
      <c r="I218" s="2710">
        <f>(H218/G218)*100</f>
        <v>100</v>
      </c>
    </row>
    <row r="219" spans="1:20" ht="16.5" thickTop="1" thickBot="1" x14ac:dyDescent="0.3">
      <c r="A219" s="3195" t="s">
        <v>1000</v>
      </c>
      <c r="B219" s="3196"/>
      <c r="C219" s="3196"/>
      <c r="D219" s="3196"/>
      <c r="E219" s="3196"/>
      <c r="F219" s="2709">
        <v>0</v>
      </c>
      <c r="G219" s="2709">
        <f>G216</f>
        <v>1730</v>
      </c>
      <c r="H219" s="2709">
        <f>H216</f>
        <v>1730</v>
      </c>
      <c r="I219" s="2708">
        <f>(H219/G219)*100</f>
        <v>100</v>
      </c>
      <c r="R219" s="1254">
        <f>F219</f>
        <v>0</v>
      </c>
      <c r="S219" s="1254">
        <f>G219</f>
        <v>1730</v>
      </c>
      <c r="T219" s="1254">
        <f>H219</f>
        <v>1730</v>
      </c>
    </row>
    <row r="220" spans="1:20" ht="15.75" thickTop="1" x14ac:dyDescent="0.25">
      <c r="A220" s="1417"/>
      <c r="B220" s="1417"/>
      <c r="C220" s="1417"/>
      <c r="D220" s="1417"/>
      <c r="E220" s="1417"/>
      <c r="F220" s="2701"/>
      <c r="G220" s="2701"/>
      <c r="H220" s="2701"/>
      <c r="I220" s="2700"/>
      <c r="R220" s="1254"/>
      <c r="S220" s="1254"/>
      <c r="T220" s="1254"/>
    </row>
    <row r="221" spans="1:20" ht="20.25" customHeight="1" thickBot="1" x14ac:dyDescent="0.25">
      <c r="A221" s="2163" t="s">
        <v>1169</v>
      </c>
      <c r="I221" s="2699" t="s">
        <v>148</v>
      </c>
    </row>
    <row r="222" spans="1:20" s="1298" customFormat="1" thickTop="1" thickBot="1" x14ac:dyDescent="0.25">
      <c r="A222" s="1302" t="s">
        <v>565</v>
      </c>
      <c r="B222" s="1299" t="s">
        <v>149</v>
      </c>
      <c r="C222" s="1301" t="s">
        <v>150</v>
      </c>
      <c r="D222" s="1324" t="s">
        <v>639</v>
      </c>
      <c r="E222" s="1324" t="s">
        <v>151</v>
      </c>
      <c r="F222" s="1324" t="s">
        <v>569</v>
      </c>
      <c r="G222" s="1324" t="s">
        <v>570</v>
      </c>
      <c r="H222" s="2198" t="s">
        <v>797</v>
      </c>
      <c r="I222" s="2238" t="s">
        <v>798</v>
      </c>
    </row>
    <row r="223" spans="1:20" s="1292" customFormat="1" ht="13.5" thickTop="1" thickBot="1" x14ac:dyDescent="0.25">
      <c r="A223" s="1297">
        <v>1</v>
      </c>
      <c r="B223" s="1296">
        <v>2</v>
      </c>
      <c r="C223" s="1296">
        <v>3</v>
      </c>
      <c r="D223" s="1296">
        <v>4</v>
      </c>
      <c r="E223" s="1296">
        <v>5</v>
      </c>
      <c r="F223" s="1295">
        <v>6</v>
      </c>
      <c r="G223" s="1295">
        <v>7</v>
      </c>
      <c r="H223" s="1446">
        <v>8</v>
      </c>
      <c r="I223" s="1294" t="s">
        <v>689</v>
      </c>
    </row>
    <row r="224" spans="1:20" ht="15.75" thickTop="1" x14ac:dyDescent="0.25">
      <c r="A224" s="2772">
        <v>1100</v>
      </c>
      <c r="B224" s="2771">
        <v>3121</v>
      </c>
      <c r="C224" s="2771">
        <v>5331</v>
      </c>
      <c r="D224" s="2770"/>
      <c r="E224" s="2769" t="s">
        <v>858</v>
      </c>
      <c r="F224" s="2768"/>
      <c r="G224" s="2768">
        <f>G225+G226+G227+G228</f>
        <v>2530</v>
      </c>
      <c r="H224" s="2768">
        <f>H225+H226+H227+H228</f>
        <v>2530</v>
      </c>
      <c r="I224" s="2767">
        <f t="shared" ref="I224:I229" si="2">(H224/G224)*100</f>
        <v>100</v>
      </c>
    </row>
    <row r="225" spans="1:20" ht="14.25" x14ac:dyDescent="0.2">
      <c r="A225" s="2714"/>
      <c r="B225" s="2713"/>
      <c r="C225" s="2713"/>
      <c r="D225" s="2191" t="s">
        <v>1811</v>
      </c>
      <c r="E225" s="2716" t="s">
        <v>717</v>
      </c>
      <c r="F225" s="2711"/>
      <c r="G225" s="2711">
        <v>29</v>
      </c>
      <c r="H225" s="2711">
        <v>29</v>
      </c>
      <c r="I225" s="2710">
        <f t="shared" si="2"/>
        <v>100</v>
      </c>
    </row>
    <row r="226" spans="1:20" ht="14.25" x14ac:dyDescent="0.2">
      <c r="A226" s="2714"/>
      <c r="B226" s="2713"/>
      <c r="C226" s="2713"/>
      <c r="D226" s="2191" t="s">
        <v>1951</v>
      </c>
      <c r="E226" s="2734" t="s">
        <v>645</v>
      </c>
      <c r="F226" s="2711"/>
      <c r="G226" s="2711">
        <v>60</v>
      </c>
      <c r="H226" s="2711">
        <v>60</v>
      </c>
      <c r="I226" s="2710">
        <f t="shared" si="2"/>
        <v>100</v>
      </c>
    </row>
    <row r="227" spans="1:20" ht="14.25" x14ac:dyDescent="0.2">
      <c r="A227" s="2714"/>
      <c r="B227" s="2713"/>
      <c r="C227" s="2713"/>
      <c r="D227" s="2182" t="s">
        <v>1812</v>
      </c>
      <c r="E227" s="2712" t="s">
        <v>63</v>
      </c>
      <c r="F227" s="2725"/>
      <c r="G227" s="2711">
        <v>2396</v>
      </c>
      <c r="H227" s="2711">
        <v>2396</v>
      </c>
      <c r="I227" s="2710">
        <f t="shared" si="2"/>
        <v>100</v>
      </c>
    </row>
    <row r="228" spans="1:20" ht="15" thickBot="1" x14ac:dyDescent="0.25">
      <c r="A228" s="2714"/>
      <c r="B228" s="2727"/>
      <c r="C228" s="2713"/>
      <c r="D228" s="2306" t="s">
        <v>1901</v>
      </c>
      <c r="E228" s="2746" t="s">
        <v>2000</v>
      </c>
      <c r="F228" s="2766"/>
      <c r="G228" s="2766">
        <v>45</v>
      </c>
      <c r="H228" s="2766">
        <v>45</v>
      </c>
      <c r="I228" s="2765">
        <f t="shared" si="2"/>
        <v>100</v>
      </c>
    </row>
    <row r="229" spans="1:20" ht="16.5" thickTop="1" thickBot="1" x14ac:dyDescent="0.3">
      <c r="A229" s="3195" t="s">
        <v>1000</v>
      </c>
      <c r="B229" s="3196"/>
      <c r="C229" s="3196"/>
      <c r="D229" s="3196"/>
      <c r="E229" s="3196"/>
      <c r="F229" s="2709">
        <v>0</v>
      </c>
      <c r="G229" s="2709">
        <f>G224</f>
        <v>2530</v>
      </c>
      <c r="H229" s="2709">
        <f>H224</f>
        <v>2530</v>
      </c>
      <c r="I229" s="2708">
        <f t="shared" si="2"/>
        <v>100</v>
      </c>
      <c r="R229" s="1254">
        <f>F229</f>
        <v>0</v>
      </c>
      <c r="S229" s="1254">
        <f>G229</f>
        <v>2530</v>
      </c>
      <c r="T229" s="1254">
        <f>H229</f>
        <v>2530</v>
      </c>
    </row>
    <row r="230" spans="1:20" ht="14.25" customHeight="1" thickTop="1" x14ac:dyDescent="0.2"/>
    <row r="231" spans="1:20" ht="16.5" customHeight="1" thickBot="1" x14ac:dyDescent="0.25">
      <c r="A231" s="2163" t="s">
        <v>1170</v>
      </c>
      <c r="I231" s="2699" t="s">
        <v>148</v>
      </c>
    </row>
    <row r="232" spans="1:20" s="1298" customFormat="1" thickTop="1" thickBot="1" x14ac:dyDescent="0.25">
      <c r="A232" s="1302" t="s">
        <v>565</v>
      </c>
      <c r="B232" s="1299" t="s">
        <v>149</v>
      </c>
      <c r="C232" s="1301" t="s">
        <v>150</v>
      </c>
      <c r="D232" s="1324" t="s">
        <v>639</v>
      </c>
      <c r="E232" s="1324" t="s">
        <v>151</v>
      </c>
      <c r="F232" s="1324" t="s">
        <v>569</v>
      </c>
      <c r="G232" s="1324" t="s">
        <v>570</v>
      </c>
      <c r="H232" s="2198" t="s">
        <v>797</v>
      </c>
      <c r="I232" s="2238" t="s">
        <v>798</v>
      </c>
    </row>
    <row r="233" spans="1:20" s="1292" customFormat="1" ht="13.5" thickTop="1" thickBot="1" x14ac:dyDescent="0.25">
      <c r="A233" s="1297">
        <v>1</v>
      </c>
      <c r="B233" s="1296">
        <v>2</v>
      </c>
      <c r="C233" s="1296">
        <v>3</v>
      </c>
      <c r="D233" s="1296">
        <v>4</v>
      </c>
      <c r="E233" s="1296">
        <v>5</v>
      </c>
      <c r="F233" s="1295">
        <v>6</v>
      </c>
      <c r="G233" s="1295">
        <v>7</v>
      </c>
      <c r="H233" s="1446">
        <v>8</v>
      </c>
      <c r="I233" s="1294" t="s">
        <v>689</v>
      </c>
    </row>
    <row r="234" spans="1:20" ht="15.75" thickTop="1" x14ac:dyDescent="0.25">
      <c r="A234" s="2772">
        <v>1101</v>
      </c>
      <c r="B234" s="2771">
        <v>3121</v>
      </c>
      <c r="C234" s="2771">
        <v>5331</v>
      </c>
      <c r="D234" s="2770"/>
      <c r="E234" s="2769" t="s">
        <v>858</v>
      </c>
      <c r="F234" s="2768"/>
      <c r="G234" s="2768">
        <f>G235+G236+G237</f>
        <v>3508</v>
      </c>
      <c r="H234" s="2768">
        <f>H235+H236+H237</f>
        <v>3508</v>
      </c>
      <c r="I234" s="2767">
        <f>(H234/G234)*100</f>
        <v>100</v>
      </c>
    </row>
    <row r="235" spans="1:20" ht="14.25" x14ac:dyDescent="0.2">
      <c r="A235" s="2714"/>
      <c r="B235" s="2713"/>
      <c r="C235" s="2713"/>
      <c r="D235" s="2191" t="s">
        <v>1811</v>
      </c>
      <c r="E235" s="2716" t="s">
        <v>717</v>
      </c>
      <c r="F235" s="2711"/>
      <c r="G235" s="2711">
        <v>919</v>
      </c>
      <c r="H235" s="2711">
        <v>919</v>
      </c>
      <c r="I235" s="2710">
        <f>(H235/G235)*100</f>
        <v>100</v>
      </c>
    </row>
    <row r="236" spans="1:20" ht="14.25" x14ac:dyDescent="0.2">
      <c r="A236" s="2714"/>
      <c r="B236" s="2713"/>
      <c r="C236" s="2713"/>
      <c r="D236" s="2420" t="s">
        <v>1951</v>
      </c>
      <c r="E236" s="2734" t="s">
        <v>645</v>
      </c>
      <c r="F236" s="2711"/>
      <c r="G236" s="2711">
        <v>35</v>
      </c>
      <c r="H236" s="2711">
        <v>35</v>
      </c>
      <c r="I236" s="2710">
        <f>(H236/G236)*100</f>
        <v>100</v>
      </c>
    </row>
    <row r="237" spans="1:20" ht="15" thickBot="1" x14ac:dyDescent="0.25">
      <c r="A237" s="2782"/>
      <c r="B237" s="2737"/>
      <c r="C237" s="2737"/>
      <c r="D237" s="2306" t="s">
        <v>1812</v>
      </c>
      <c r="E237" s="2746" t="s">
        <v>63</v>
      </c>
      <c r="F237" s="2781"/>
      <c r="G237" s="2781">
        <v>2554</v>
      </c>
      <c r="H237" s="2781">
        <v>2554</v>
      </c>
      <c r="I237" s="2780">
        <f>(H237/G237)*100</f>
        <v>100</v>
      </c>
    </row>
    <row r="238" spans="1:20" ht="16.5" thickTop="1" thickBot="1" x14ac:dyDescent="0.3">
      <c r="A238" s="3195" t="s">
        <v>1000</v>
      </c>
      <c r="B238" s="3196"/>
      <c r="C238" s="3196"/>
      <c r="D238" s="3196"/>
      <c r="E238" s="3196"/>
      <c r="F238" s="2709">
        <v>0</v>
      </c>
      <c r="G238" s="2709">
        <f>G234</f>
        <v>3508</v>
      </c>
      <c r="H238" s="2709">
        <f>H234</f>
        <v>3508</v>
      </c>
      <c r="I238" s="2708">
        <f>(H238/G238)*100</f>
        <v>100</v>
      </c>
      <c r="R238" s="1254">
        <f>F238</f>
        <v>0</v>
      </c>
      <c r="S238" s="1254">
        <f>G238</f>
        <v>3508</v>
      </c>
      <c r="T238" s="1254">
        <f>H238</f>
        <v>3508</v>
      </c>
    </row>
    <row r="239" spans="1:20" ht="13.5" thickTop="1" x14ac:dyDescent="0.2"/>
    <row r="241" spans="1:20" ht="13.5" thickBot="1" x14ac:dyDescent="0.25">
      <c r="A241" s="2163" t="s">
        <v>363</v>
      </c>
      <c r="I241" s="2699" t="s">
        <v>148</v>
      </c>
    </row>
    <row r="242" spans="1:20" s="1298" customFormat="1" thickTop="1" thickBot="1" x14ac:dyDescent="0.25">
      <c r="A242" s="1302" t="s">
        <v>565</v>
      </c>
      <c r="B242" s="1299" t="s">
        <v>149</v>
      </c>
      <c r="C242" s="1301" t="s">
        <v>150</v>
      </c>
      <c r="D242" s="1324" t="s">
        <v>639</v>
      </c>
      <c r="E242" s="1324" t="s">
        <v>151</v>
      </c>
      <c r="F242" s="1324" t="s">
        <v>569</v>
      </c>
      <c r="G242" s="1324" t="s">
        <v>570</v>
      </c>
      <c r="H242" s="2198" t="s">
        <v>797</v>
      </c>
      <c r="I242" s="2238" t="s">
        <v>798</v>
      </c>
    </row>
    <row r="243" spans="1:20" s="1292" customFormat="1" ht="13.5" thickTop="1" thickBot="1" x14ac:dyDescent="0.25">
      <c r="A243" s="1297">
        <v>1</v>
      </c>
      <c r="B243" s="1296">
        <v>2</v>
      </c>
      <c r="C243" s="1296">
        <v>3</v>
      </c>
      <c r="D243" s="1296">
        <v>4</v>
      </c>
      <c r="E243" s="1296">
        <v>5</v>
      </c>
      <c r="F243" s="1295">
        <v>6</v>
      </c>
      <c r="G243" s="1295">
        <v>7</v>
      </c>
      <c r="H243" s="1446">
        <v>8</v>
      </c>
      <c r="I243" s="1294" t="s">
        <v>689</v>
      </c>
    </row>
    <row r="244" spans="1:20" ht="15.75" thickTop="1" x14ac:dyDescent="0.25">
      <c r="A244" s="2772">
        <v>1102</v>
      </c>
      <c r="B244" s="2771">
        <v>3121</v>
      </c>
      <c r="C244" s="2771">
        <v>5331</v>
      </c>
      <c r="D244" s="2770"/>
      <c r="E244" s="2769" t="s">
        <v>858</v>
      </c>
      <c r="F244" s="2768"/>
      <c r="G244" s="2768">
        <f>G245+G246+G247</f>
        <v>8646</v>
      </c>
      <c r="H244" s="2768">
        <f>H245+H246+H247</f>
        <v>8646</v>
      </c>
      <c r="I244" s="2767">
        <f>(H244/G244)*100</f>
        <v>100</v>
      </c>
    </row>
    <row r="245" spans="1:20" ht="14.25" x14ac:dyDescent="0.2">
      <c r="A245" s="2714"/>
      <c r="B245" s="2713"/>
      <c r="C245" s="2713"/>
      <c r="D245" s="2191" t="s">
        <v>1811</v>
      </c>
      <c r="E245" s="2716" t="s">
        <v>717</v>
      </c>
      <c r="F245" s="2711"/>
      <c r="G245" s="2711">
        <v>3327</v>
      </c>
      <c r="H245" s="2711">
        <v>3327</v>
      </c>
      <c r="I245" s="2710">
        <f>(H245/G245)*100</f>
        <v>100</v>
      </c>
    </row>
    <row r="246" spans="1:20" ht="14.25" x14ac:dyDescent="0.2">
      <c r="A246" s="2714"/>
      <c r="B246" s="2713"/>
      <c r="C246" s="2713"/>
      <c r="D246" s="2420" t="s">
        <v>1951</v>
      </c>
      <c r="E246" s="2734" t="s">
        <v>645</v>
      </c>
      <c r="F246" s="2711"/>
      <c r="G246" s="2711">
        <v>245</v>
      </c>
      <c r="H246" s="2711">
        <v>245</v>
      </c>
      <c r="I246" s="2710">
        <f>(H246/G246)*100</f>
        <v>100</v>
      </c>
    </row>
    <row r="247" spans="1:20" ht="15" thickBot="1" x14ac:dyDescent="0.25">
      <c r="A247" s="2714"/>
      <c r="B247" s="2713"/>
      <c r="C247" s="2713"/>
      <c r="D247" s="2182" t="s">
        <v>1812</v>
      </c>
      <c r="E247" s="2712" t="s">
        <v>63</v>
      </c>
      <c r="F247" s="2711"/>
      <c r="G247" s="2711">
        <v>5074</v>
      </c>
      <c r="H247" s="2711">
        <v>5074</v>
      </c>
      <c r="I247" s="2710">
        <f>(H247/G247)*100</f>
        <v>100</v>
      </c>
    </row>
    <row r="248" spans="1:20" ht="16.5" thickTop="1" thickBot="1" x14ac:dyDescent="0.3">
      <c r="A248" s="3195" t="s">
        <v>1000</v>
      </c>
      <c r="B248" s="3196"/>
      <c r="C248" s="3196"/>
      <c r="D248" s="3196"/>
      <c r="E248" s="3196"/>
      <c r="F248" s="2709">
        <v>0</v>
      </c>
      <c r="G248" s="2709">
        <f>G244</f>
        <v>8646</v>
      </c>
      <c r="H248" s="2709">
        <f>H244</f>
        <v>8646</v>
      </c>
      <c r="I248" s="2708">
        <f>(H248/G248)*100</f>
        <v>100</v>
      </c>
      <c r="R248" s="1254">
        <f>F248</f>
        <v>0</v>
      </c>
      <c r="S248" s="1254">
        <f>G248</f>
        <v>8646</v>
      </c>
      <c r="T248" s="1254">
        <f>H248</f>
        <v>8646</v>
      </c>
    </row>
    <row r="249" spans="1:20" ht="13.5" thickTop="1" x14ac:dyDescent="0.2"/>
    <row r="251" spans="1:20" ht="13.5" thickBot="1" x14ac:dyDescent="0.25">
      <c r="A251" s="2163" t="s">
        <v>1171</v>
      </c>
      <c r="I251" s="2699" t="s">
        <v>148</v>
      </c>
    </row>
    <row r="252" spans="1:20" s="1298" customFormat="1" thickTop="1" thickBot="1" x14ac:dyDescent="0.25">
      <c r="A252" s="1302" t="s">
        <v>565</v>
      </c>
      <c r="B252" s="1299" t="s">
        <v>149</v>
      </c>
      <c r="C252" s="1301" t="s">
        <v>150</v>
      </c>
      <c r="D252" s="1324" t="s">
        <v>639</v>
      </c>
      <c r="E252" s="1324" t="s">
        <v>151</v>
      </c>
      <c r="F252" s="1324" t="s">
        <v>569</v>
      </c>
      <c r="G252" s="1324" t="s">
        <v>570</v>
      </c>
      <c r="H252" s="2198" t="s">
        <v>797</v>
      </c>
      <c r="I252" s="2238" t="s">
        <v>798</v>
      </c>
    </row>
    <row r="253" spans="1:20" s="1292" customFormat="1" ht="13.5" thickTop="1" thickBot="1" x14ac:dyDescent="0.25">
      <c r="A253" s="1297">
        <v>1</v>
      </c>
      <c r="B253" s="1296">
        <v>2</v>
      </c>
      <c r="C253" s="1296">
        <v>3</v>
      </c>
      <c r="D253" s="1296">
        <v>4</v>
      </c>
      <c r="E253" s="1296">
        <v>5</v>
      </c>
      <c r="F253" s="1295">
        <v>6</v>
      </c>
      <c r="G253" s="1295">
        <v>7</v>
      </c>
      <c r="H253" s="1446">
        <v>8</v>
      </c>
      <c r="I253" s="1294" t="s">
        <v>689</v>
      </c>
    </row>
    <row r="254" spans="1:20" ht="15.75" thickTop="1" x14ac:dyDescent="0.25">
      <c r="A254" s="2772">
        <v>1103</v>
      </c>
      <c r="B254" s="2771">
        <v>3121</v>
      </c>
      <c r="C254" s="2771">
        <v>5331</v>
      </c>
      <c r="D254" s="2770"/>
      <c r="E254" s="2769" t="s">
        <v>858</v>
      </c>
      <c r="F254" s="2768"/>
      <c r="G254" s="2768">
        <f>G255+G256+G257</f>
        <v>5916</v>
      </c>
      <c r="H254" s="2768">
        <f>H255+H256+H257</f>
        <v>5916</v>
      </c>
      <c r="I254" s="2767">
        <f>(H254/G254)*100</f>
        <v>100</v>
      </c>
    </row>
    <row r="255" spans="1:20" ht="14.25" x14ac:dyDescent="0.2">
      <c r="A255" s="2714"/>
      <c r="B255" s="2713"/>
      <c r="C255" s="2713"/>
      <c r="D255" s="2191" t="s">
        <v>1811</v>
      </c>
      <c r="E255" s="2716" t="s">
        <v>717</v>
      </c>
      <c r="F255" s="2711"/>
      <c r="G255" s="2711">
        <v>885</v>
      </c>
      <c r="H255" s="2711">
        <v>885</v>
      </c>
      <c r="I255" s="2710">
        <f>(H255/G255)*100</f>
        <v>100</v>
      </c>
    </row>
    <row r="256" spans="1:20" ht="14.25" x14ac:dyDescent="0.2">
      <c r="A256" s="2714"/>
      <c r="B256" s="2713"/>
      <c r="C256" s="2713"/>
      <c r="D256" s="2420" t="s">
        <v>1951</v>
      </c>
      <c r="E256" s="2734" t="s">
        <v>645</v>
      </c>
      <c r="F256" s="2711"/>
      <c r="G256" s="2711">
        <v>884</v>
      </c>
      <c r="H256" s="2711">
        <v>884</v>
      </c>
      <c r="I256" s="2710">
        <f>(H256/G256)*100</f>
        <v>100</v>
      </c>
    </row>
    <row r="257" spans="1:23" ht="15" thickBot="1" x14ac:dyDescent="0.25">
      <c r="A257" s="2714"/>
      <c r="B257" s="2713"/>
      <c r="C257" s="2713"/>
      <c r="D257" s="2182" t="s">
        <v>1812</v>
      </c>
      <c r="E257" s="2712" t="s">
        <v>63</v>
      </c>
      <c r="F257" s="2711"/>
      <c r="G257" s="2711">
        <v>4147</v>
      </c>
      <c r="H257" s="2711">
        <v>4147</v>
      </c>
      <c r="I257" s="2710">
        <f>(H257/G257)*100</f>
        <v>100</v>
      </c>
    </row>
    <row r="258" spans="1:23" ht="20.25" customHeight="1" thickTop="1" thickBot="1" x14ac:dyDescent="0.3">
      <c r="A258" s="3195" t="s">
        <v>1000</v>
      </c>
      <c r="B258" s="3196"/>
      <c r="C258" s="3196"/>
      <c r="D258" s="3196"/>
      <c r="E258" s="3196"/>
      <c r="F258" s="2709">
        <v>0</v>
      </c>
      <c r="G258" s="2709">
        <f>G254</f>
        <v>5916</v>
      </c>
      <c r="H258" s="2709">
        <f>H254</f>
        <v>5916</v>
      </c>
      <c r="I258" s="2708">
        <f>(H258/G258)*100</f>
        <v>100</v>
      </c>
      <c r="R258" s="1254">
        <f>F258</f>
        <v>0</v>
      </c>
      <c r="S258" s="1254">
        <f>G258</f>
        <v>5916</v>
      </c>
      <c r="T258" s="1254">
        <f>H258</f>
        <v>5916</v>
      </c>
    </row>
    <row r="259" spans="1:23" ht="15" customHeight="1" thickTop="1" x14ac:dyDescent="0.25">
      <c r="A259" s="1417"/>
      <c r="B259" s="1417"/>
      <c r="C259" s="1417"/>
      <c r="D259" s="1417"/>
      <c r="E259" s="1417"/>
      <c r="F259" s="2701"/>
      <c r="G259" s="2701"/>
      <c r="H259" s="2701"/>
      <c r="I259" s="2700"/>
      <c r="R259" s="1254"/>
      <c r="S259" s="1254"/>
      <c r="T259" s="1254"/>
    </row>
    <row r="260" spans="1:23" ht="13.5" thickBot="1" x14ac:dyDescent="0.25">
      <c r="A260" s="2163" t="s">
        <v>306</v>
      </c>
      <c r="I260" s="2699" t="s">
        <v>148</v>
      </c>
    </row>
    <row r="261" spans="1:23" s="1298" customFormat="1" thickTop="1" thickBot="1" x14ac:dyDescent="0.25">
      <c r="A261" s="1302" t="s">
        <v>565</v>
      </c>
      <c r="B261" s="1299" t="s">
        <v>149</v>
      </c>
      <c r="C261" s="1301" t="s">
        <v>150</v>
      </c>
      <c r="D261" s="1324" t="s">
        <v>639</v>
      </c>
      <c r="E261" s="1324" t="s">
        <v>151</v>
      </c>
      <c r="F261" s="1324" t="s">
        <v>569</v>
      </c>
      <c r="G261" s="1324" t="s">
        <v>570</v>
      </c>
      <c r="H261" s="2198" t="s">
        <v>797</v>
      </c>
      <c r="I261" s="2238" t="s">
        <v>798</v>
      </c>
    </row>
    <row r="262" spans="1:23" s="1292" customFormat="1" ht="13.5" thickTop="1" thickBot="1" x14ac:dyDescent="0.25">
      <c r="A262" s="1297">
        <v>1</v>
      </c>
      <c r="B262" s="1296">
        <v>2</v>
      </c>
      <c r="C262" s="1296">
        <v>3</v>
      </c>
      <c r="D262" s="1296">
        <v>4</v>
      </c>
      <c r="E262" s="1296">
        <v>5</v>
      </c>
      <c r="F262" s="1295">
        <v>6</v>
      </c>
      <c r="G262" s="1295">
        <v>7</v>
      </c>
      <c r="H262" s="1446">
        <v>8</v>
      </c>
      <c r="I262" s="1294" t="s">
        <v>689</v>
      </c>
    </row>
    <row r="263" spans="1:23" ht="15.75" thickTop="1" x14ac:dyDescent="0.25">
      <c r="A263" s="2772">
        <v>1104</v>
      </c>
      <c r="B263" s="2771">
        <v>3121</v>
      </c>
      <c r="C263" s="2771">
        <v>5331</v>
      </c>
      <c r="D263" s="2770"/>
      <c r="E263" s="2769" t="s">
        <v>858</v>
      </c>
      <c r="F263" s="2768"/>
      <c r="G263" s="2768">
        <f>G264+G265</f>
        <v>2956</v>
      </c>
      <c r="H263" s="2768">
        <f>H264+H265</f>
        <v>2956</v>
      </c>
      <c r="I263" s="2767">
        <f t="shared" ref="I263:I269" si="3">(H263/G263)*100</f>
        <v>100</v>
      </c>
    </row>
    <row r="264" spans="1:23" ht="14.25" x14ac:dyDescent="0.2">
      <c r="A264" s="2714"/>
      <c r="B264" s="2713"/>
      <c r="C264" s="2713"/>
      <c r="D264" s="2191" t="s">
        <v>1811</v>
      </c>
      <c r="E264" s="2716" t="s">
        <v>717</v>
      </c>
      <c r="F264" s="2711"/>
      <c r="G264" s="2711">
        <v>825</v>
      </c>
      <c r="H264" s="2711">
        <v>825</v>
      </c>
      <c r="I264" s="2710">
        <f t="shared" si="3"/>
        <v>100</v>
      </c>
    </row>
    <row r="265" spans="1:23" ht="15" thickBot="1" x14ac:dyDescent="0.25">
      <c r="A265" s="2714"/>
      <c r="B265" s="2713"/>
      <c r="C265" s="2713"/>
      <c r="D265" s="2182" t="s">
        <v>1812</v>
      </c>
      <c r="E265" s="2712" t="s">
        <v>63</v>
      </c>
      <c r="F265" s="2711"/>
      <c r="G265" s="2711">
        <v>2131</v>
      </c>
      <c r="H265" s="2711">
        <v>2131</v>
      </c>
      <c r="I265" s="2710">
        <f t="shared" si="3"/>
        <v>100</v>
      </c>
    </row>
    <row r="266" spans="1:23" ht="16.5" thickTop="1" thickBot="1" x14ac:dyDescent="0.3">
      <c r="A266" s="3195" t="s">
        <v>1000</v>
      </c>
      <c r="B266" s="3196"/>
      <c r="C266" s="3196"/>
      <c r="D266" s="3196"/>
      <c r="E266" s="3196"/>
      <c r="F266" s="2709">
        <f>F263</f>
        <v>0</v>
      </c>
      <c r="G266" s="2709">
        <f>G263</f>
        <v>2956</v>
      </c>
      <c r="H266" s="2709">
        <f>H263</f>
        <v>2956</v>
      </c>
      <c r="I266" s="2708">
        <f t="shared" si="3"/>
        <v>100</v>
      </c>
      <c r="R266" s="1254">
        <f>F266</f>
        <v>0</v>
      </c>
      <c r="S266" s="1254">
        <f>G266</f>
        <v>2956</v>
      </c>
      <c r="T266" s="1254">
        <f>H266</f>
        <v>2956</v>
      </c>
    </row>
    <row r="267" spans="1:23" ht="15.75" thickTop="1" x14ac:dyDescent="0.25">
      <c r="A267" s="2714">
        <v>1104</v>
      </c>
      <c r="B267" s="2713">
        <v>3121</v>
      </c>
      <c r="C267" s="2713">
        <v>6351</v>
      </c>
      <c r="D267" s="2733"/>
      <c r="E267" s="2174" t="s">
        <v>1053</v>
      </c>
      <c r="F267" s="2729"/>
      <c r="G267" s="2729">
        <f>G268</f>
        <v>400</v>
      </c>
      <c r="H267" s="2729">
        <f>H268</f>
        <v>400</v>
      </c>
      <c r="I267" s="2732">
        <f t="shared" si="3"/>
        <v>100</v>
      </c>
    </row>
    <row r="268" spans="1:23" ht="15" thickBot="1" x14ac:dyDescent="0.25">
      <c r="A268" s="2714"/>
      <c r="B268" s="2713"/>
      <c r="C268" s="2713"/>
      <c r="D268" s="2420" t="s">
        <v>1951</v>
      </c>
      <c r="E268" s="2734" t="s">
        <v>645</v>
      </c>
      <c r="F268" s="2711"/>
      <c r="G268" s="2711">
        <v>400</v>
      </c>
      <c r="H268" s="2711">
        <v>400</v>
      </c>
      <c r="I268" s="2710">
        <f t="shared" si="3"/>
        <v>100</v>
      </c>
    </row>
    <row r="269" spans="1:23" ht="16.5" thickTop="1" thickBot="1" x14ac:dyDescent="0.3">
      <c r="A269" s="3195" t="s">
        <v>1001</v>
      </c>
      <c r="B269" s="3196"/>
      <c r="C269" s="3196"/>
      <c r="D269" s="3196"/>
      <c r="E269" s="3196"/>
      <c r="F269" s="2709">
        <f>F267</f>
        <v>0</v>
      </c>
      <c r="G269" s="2709">
        <f>G267</f>
        <v>400</v>
      </c>
      <c r="H269" s="2709">
        <f>H267</f>
        <v>400</v>
      </c>
      <c r="I269" s="2708">
        <f t="shared" si="3"/>
        <v>100</v>
      </c>
      <c r="R269" s="1254"/>
      <c r="S269" s="1254"/>
      <c r="T269" s="1254"/>
      <c r="U269" s="1254">
        <f>F269</f>
        <v>0</v>
      </c>
      <c r="V269" s="1254">
        <f>G269</f>
        <v>400</v>
      </c>
      <c r="W269" s="1254">
        <f>H269</f>
        <v>400</v>
      </c>
    </row>
    <row r="270" spans="1:23" ht="15" customHeight="1" thickTop="1" x14ac:dyDescent="0.25">
      <c r="A270" s="1417"/>
      <c r="B270" s="1417"/>
      <c r="C270" s="1417"/>
      <c r="D270" s="1417"/>
      <c r="E270" s="1417"/>
      <c r="F270" s="2701"/>
      <c r="G270" s="2701"/>
      <c r="H270" s="2701"/>
      <c r="I270" s="2700"/>
      <c r="R270" s="1254"/>
      <c r="S270" s="1254"/>
      <c r="T270" s="1254"/>
    </row>
    <row r="271" spans="1:23" ht="13.5" thickBot="1" x14ac:dyDescent="0.25">
      <c r="A271" s="2163" t="s">
        <v>307</v>
      </c>
      <c r="I271" s="2699" t="s">
        <v>148</v>
      </c>
    </row>
    <row r="272" spans="1:23" s="1298" customFormat="1" thickTop="1" thickBot="1" x14ac:dyDescent="0.25">
      <c r="A272" s="1302" t="s">
        <v>565</v>
      </c>
      <c r="B272" s="1299" t="s">
        <v>149</v>
      </c>
      <c r="C272" s="1301" t="s">
        <v>150</v>
      </c>
      <c r="D272" s="1324" t="s">
        <v>639</v>
      </c>
      <c r="E272" s="1324" t="s">
        <v>151</v>
      </c>
      <c r="F272" s="1324" t="s">
        <v>569</v>
      </c>
      <c r="G272" s="1324" t="s">
        <v>570</v>
      </c>
      <c r="H272" s="2198" t="s">
        <v>797</v>
      </c>
      <c r="I272" s="2238" t="s">
        <v>798</v>
      </c>
    </row>
    <row r="273" spans="1:22" s="1292" customFormat="1" ht="13.5" customHeight="1" thickTop="1" thickBot="1" x14ac:dyDescent="0.25">
      <c r="A273" s="1297">
        <v>1</v>
      </c>
      <c r="B273" s="1296">
        <v>2</v>
      </c>
      <c r="C273" s="1296">
        <v>3</v>
      </c>
      <c r="D273" s="1296">
        <v>4</v>
      </c>
      <c r="E273" s="1296">
        <v>5</v>
      </c>
      <c r="F273" s="1295">
        <v>6</v>
      </c>
      <c r="G273" s="1295">
        <v>7</v>
      </c>
      <c r="H273" s="1446">
        <v>8</v>
      </c>
      <c r="I273" s="1294" t="s">
        <v>689</v>
      </c>
    </row>
    <row r="274" spans="1:22" ht="13.5" customHeight="1" thickTop="1" x14ac:dyDescent="0.25">
      <c r="A274" s="2772">
        <v>1105</v>
      </c>
      <c r="B274" s="2771">
        <v>3121</v>
      </c>
      <c r="C274" s="2771">
        <v>5331</v>
      </c>
      <c r="D274" s="2770"/>
      <c r="E274" s="2769" t="s">
        <v>858</v>
      </c>
      <c r="F274" s="2768"/>
      <c r="G274" s="2768">
        <f>G275+G276</f>
        <v>1687</v>
      </c>
      <c r="H274" s="2768">
        <f>H275+H276</f>
        <v>1687</v>
      </c>
      <c r="I274" s="2767">
        <f>(H274/G274)*100</f>
        <v>100</v>
      </c>
    </row>
    <row r="275" spans="1:22" ht="13.5" customHeight="1" x14ac:dyDescent="0.2">
      <c r="A275" s="2714"/>
      <c r="B275" s="2713"/>
      <c r="C275" s="2713"/>
      <c r="D275" s="2191" t="s">
        <v>1811</v>
      </c>
      <c r="E275" s="2716" t="s">
        <v>717</v>
      </c>
      <c r="F275" s="2711"/>
      <c r="G275" s="2711">
        <v>433</v>
      </c>
      <c r="H275" s="2711">
        <v>433</v>
      </c>
      <c r="I275" s="2710">
        <f>(H275/G275)*100</f>
        <v>100</v>
      </c>
    </row>
    <row r="276" spans="1:22" ht="13.5" customHeight="1" thickBot="1" x14ac:dyDescent="0.25">
      <c r="A276" s="2714"/>
      <c r="B276" s="2713"/>
      <c r="C276" s="2713"/>
      <c r="D276" s="2182" t="s">
        <v>1812</v>
      </c>
      <c r="E276" s="2712" t="s">
        <v>63</v>
      </c>
      <c r="F276" s="2711"/>
      <c r="G276" s="2711">
        <v>1254</v>
      </c>
      <c r="H276" s="2711">
        <v>1254</v>
      </c>
      <c r="I276" s="2710">
        <f>(H276/G276)*100</f>
        <v>100</v>
      </c>
    </row>
    <row r="277" spans="1:22" ht="16.5" thickTop="1" thickBot="1" x14ac:dyDescent="0.3">
      <c r="A277" s="3195" t="s">
        <v>1000</v>
      </c>
      <c r="B277" s="3196"/>
      <c r="C277" s="3196"/>
      <c r="D277" s="3196"/>
      <c r="E277" s="3196"/>
      <c r="F277" s="2709">
        <f>F274</f>
        <v>0</v>
      </c>
      <c r="G277" s="2709">
        <f>G274</f>
        <v>1687</v>
      </c>
      <c r="H277" s="2709">
        <f>H274</f>
        <v>1687</v>
      </c>
      <c r="I277" s="2708">
        <f>(H277/G277)*100</f>
        <v>100</v>
      </c>
      <c r="R277" s="1254">
        <f>F277</f>
        <v>0</v>
      </c>
      <c r="S277" s="1254">
        <f>G277</f>
        <v>1687</v>
      </c>
      <c r="T277" s="1254">
        <f>H277</f>
        <v>1687</v>
      </c>
    </row>
    <row r="278" spans="1:22" ht="13.5" thickTop="1" x14ac:dyDescent="0.2"/>
    <row r="279" spans="1:22" ht="13.5" thickBot="1" x14ac:dyDescent="0.25">
      <c r="A279" s="2163" t="s">
        <v>308</v>
      </c>
      <c r="I279" s="2699" t="s">
        <v>148</v>
      </c>
    </row>
    <row r="280" spans="1:22" s="1298" customFormat="1" ht="18" customHeight="1" thickTop="1" thickBot="1" x14ac:dyDescent="0.25">
      <c r="A280" s="1302" t="s">
        <v>565</v>
      </c>
      <c r="B280" s="1299" t="s">
        <v>149</v>
      </c>
      <c r="C280" s="1301" t="s">
        <v>150</v>
      </c>
      <c r="D280" s="1324" t="s">
        <v>639</v>
      </c>
      <c r="E280" s="1324" t="s">
        <v>151</v>
      </c>
      <c r="F280" s="1324" t="s">
        <v>569</v>
      </c>
      <c r="G280" s="1324" t="s">
        <v>570</v>
      </c>
      <c r="H280" s="2198" t="s">
        <v>797</v>
      </c>
      <c r="I280" s="2238" t="s">
        <v>798</v>
      </c>
    </row>
    <row r="281" spans="1:22" s="1292" customFormat="1" ht="13.5" thickTop="1" thickBot="1" x14ac:dyDescent="0.25">
      <c r="A281" s="1297">
        <v>1</v>
      </c>
      <c r="B281" s="1296">
        <v>2</v>
      </c>
      <c r="C281" s="1296">
        <v>3</v>
      </c>
      <c r="D281" s="1296">
        <v>4</v>
      </c>
      <c r="E281" s="1296">
        <v>5</v>
      </c>
      <c r="F281" s="1295">
        <v>6</v>
      </c>
      <c r="G281" s="1295">
        <v>7</v>
      </c>
      <c r="H281" s="1446">
        <v>8</v>
      </c>
      <c r="I281" s="1294" t="s">
        <v>689</v>
      </c>
    </row>
    <row r="282" spans="1:22" ht="15.75" thickTop="1" x14ac:dyDescent="0.25">
      <c r="A282" s="2772">
        <v>1106</v>
      </c>
      <c r="B282" s="2771">
        <v>3121</v>
      </c>
      <c r="C282" s="2771">
        <v>5331</v>
      </c>
      <c r="D282" s="2770"/>
      <c r="E282" s="2769" t="s">
        <v>858</v>
      </c>
      <c r="F282" s="2768"/>
      <c r="G282" s="2768">
        <f>G283+G284</f>
        <v>3041</v>
      </c>
      <c r="H282" s="2768">
        <f>H283+H284</f>
        <v>3041</v>
      </c>
      <c r="I282" s="2767">
        <f>(H282/G282)*100</f>
        <v>100</v>
      </c>
    </row>
    <row r="283" spans="1:22" ht="14.25" x14ac:dyDescent="0.2">
      <c r="A283" s="2714"/>
      <c r="B283" s="2713"/>
      <c r="C283" s="2713"/>
      <c r="D283" s="2191" t="s">
        <v>1811</v>
      </c>
      <c r="E283" s="2716" t="s">
        <v>717</v>
      </c>
      <c r="F283" s="2711"/>
      <c r="G283" s="2711">
        <v>525</v>
      </c>
      <c r="H283" s="2711">
        <v>525</v>
      </c>
      <c r="I283" s="2710">
        <f>(H283/G283)*100</f>
        <v>100</v>
      </c>
    </row>
    <row r="284" spans="1:22" ht="15" thickBot="1" x14ac:dyDescent="0.25">
      <c r="A284" s="2714"/>
      <c r="B284" s="2713"/>
      <c r="C284" s="2713"/>
      <c r="D284" s="2182" t="s">
        <v>1812</v>
      </c>
      <c r="E284" s="2712" t="s">
        <v>63</v>
      </c>
      <c r="F284" s="2711"/>
      <c r="G284" s="2711">
        <v>2516</v>
      </c>
      <c r="H284" s="2711">
        <v>2516</v>
      </c>
      <c r="I284" s="2710">
        <f>(H284/G284)*100</f>
        <v>100</v>
      </c>
    </row>
    <row r="285" spans="1:22" ht="16.5" thickTop="1" thickBot="1" x14ac:dyDescent="0.3">
      <c r="A285" s="3195" t="s">
        <v>1000</v>
      </c>
      <c r="B285" s="3196"/>
      <c r="C285" s="3196"/>
      <c r="D285" s="3196"/>
      <c r="E285" s="3196"/>
      <c r="F285" s="2709">
        <v>0</v>
      </c>
      <c r="G285" s="2709">
        <f>G282</f>
        <v>3041</v>
      </c>
      <c r="H285" s="2709">
        <f>H282</f>
        <v>3041</v>
      </c>
      <c r="I285" s="2708">
        <f>(H285/G285)*100</f>
        <v>100</v>
      </c>
      <c r="Q285" s="1309"/>
      <c r="R285" s="2779">
        <f>F285</f>
        <v>0</v>
      </c>
      <c r="S285" s="2779">
        <f>G285</f>
        <v>3041</v>
      </c>
      <c r="T285" s="2779">
        <f>H285</f>
        <v>3041</v>
      </c>
      <c r="U285" s="1309"/>
      <c r="V285" s="1309"/>
    </row>
    <row r="286" spans="1:22" ht="13.9" customHeight="1" thickTop="1" x14ac:dyDescent="0.25">
      <c r="A286" s="1417"/>
      <c r="B286" s="1417"/>
      <c r="C286" s="1417"/>
      <c r="D286" s="1417"/>
      <c r="E286" s="1417"/>
      <c r="F286" s="2701"/>
      <c r="G286" s="2701"/>
      <c r="H286" s="2701"/>
      <c r="I286" s="2700"/>
      <c r="Q286" s="1309"/>
      <c r="R286" s="2779"/>
      <c r="S286" s="2779"/>
      <c r="T286" s="2779"/>
      <c r="U286" s="1309"/>
      <c r="V286" s="1309"/>
    </row>
    <row r="287" spans="1:22" ht="13.5" thickBot="1" x14ac:dyDescent="0.25">
      <c r="A287" s="2163" t="s">
        <v>309</v>
      </c>
      <c r="I287" s="2699" t="s">
        <v>148</v>
      </c>
    </row>
    <row r="288" spans="1:22" s="1298" customFormat="1" thickTop="1" thickBot="1" x14ac:dyDescent="0.25">
      <c r="A288" s="1302" t="s">
        <v>565</v>
      </c>
      <c r="B288" s="1299" t="s">
        <v>149</v>
      </c>
      <c r="C288" s="1301" t="s">
        <v>150</v>
      </c>
      <c r="D288" s="1324" t="s">
        <v>639</v>
      </c>
      <c r="E288" s="1324" t="s">
        <v>151</v>
      </c>
      <c r="F288" s="1324" t="s">
        <v>569</v>
      </c>
      <c r="G288" s="1324" t="s">
        <v>570</v>
      </c>
      <c r="H288" s="2198" t="s">
        <v>797</v>
      </c>
      <c r="I288" s="2238" t="s">
        <v>798</v>
      </c>
    </row>
    <row r="289" spans="1:20" s="1298" customFormat="1" thickTop="1" thickBot="1" x14ac:dyDescent="0.25">
      <c r="A289" s="2444"/>
      <c r="B289" s="2441"/>
      <c r="C289" s="2443"/>
      <c r="D289" s="2778"/>
      <c r="E289" s="2778"/>
      <c r="F289" s="2778"/>
      <c r="G289" s="2778"/>
      <c r="H289" s="2778"/>
      <c r="I289" s="2440"/>
    </row>
    <row r="290" spans="1:20" ht="15.75" thickTop="1" x14ac:dyDescent="0.25">
      <c r="A290" s="2772">
        <v>1108</v>
      </c>
      <c r="B290" s="2771">
        <v>3121</v>
      </c>
      <c r="C290" s="2771">
        <v>5331</v>
      </c>
      <c r="D290" s="2770"/>
      <c r="E290" s="2769" t="s">
        <v>858</v>
      </c>
      <c r="F290" s="2768"/>
      <c r="G290" s="2768">
        <f>G291+G292</f>
        <v>4566</v>
      </c>
      <c r="H290" s="2768">
        <f>H291+H292</f>
        <v>4566</v>
      </c>
      <c r="I290" s="2767">
        <f>(H290/G290)*100</f>
        <v>100</v>
      </c>
    </row>
    <row r="291" spans="1:20" ht="14.25" x14ac:dyDescent="0.2">
      <c r="A291" s="2714"/>
      <c r="B291" s="2713"/>
      <c r="C291" s="2713"/>
      <c r="D291" s="2191" t="s">
        <v>1811</v>
      </c>
      <c r="E291" s="2716" t="s">
        <v>717</v>
      </c>
      <c r="F291" s="2711"/>
      <c r="G291" s="2711">
        <v>324</v>
      </c>
      <c r="H291" s="2711">
        <v>324</v>
      </c>
      <c r="I291" s="2710">
        <f>(H291/G291)*100</f>
        <v>100</v>
      </c>
    </row>
    <row r="292" spans="1:20" ht="15" thickBot="1" x14ac:dyDescent="0.25">
      <c r="A292" s="2714"/>
      <c r="B292" s="2713"/>
      <c r="C292" s="2713"/>
      <c r="D292" s="2182" t="s">
        <v>1812</v>
      </c>
      <c r="E292" s="2712" t="s">
        <v>63</v>
      </c>
      <c r="F292" s="2711"/>
      <c r="G292" s="2711">
        <v>4242</v>
      </c>
      <c r="H292" s="2711">
        <v>4242</v>
      </c>
      <c r="I292" s="2710">
        <f>(H292/G292)*100</f>
        <v>100</v>
      </c>
    </row>
    <row r="293" spans="1:20" ht="16.5" thickTop="1" thickBot="1" x14ac:dyDescent="0.3">
      <c r="A293" s="3195" t="s">
        <v>1000</v>
      </c>
      <c r="B293" s="3196"/>
      <c r="C293" s="3196"/>
      <c r="D293" s="3196"/>
      <c r="E293" s="3196"/>
      <c r="F293" s="2709">
        <v>0</v>
      </c>
      <c r="G293" s="2709">
        <f>G290</f>
        <v>4566</v>
      </c>
      <c r="H293" s="2709">
        <f>H290</f>
        <v>4566</v>
      </c>
      <c r="I293" s="2708">
        <f>(H293/G293)*100</f>
        <v>100</v>
      </c>
      <c r="R293" s="1254">
        <f>F293</f>
        <v>0</v>
      </c>
      <c r="S293" s="1254">
        <f>G293</f>
        <v>4566</v>
      </c>
      <c r="T293" s="1254">
        <f>H293</f>
        <v>4566</v>
      </c>
    </row>
    <row r="294" spans="1:20" ht="15.75" thickTop="1" x14ac:dyDescent="0.25">
      <c r="A294" s="1417"/>
      <c r="B294" s="1417"/>
      <c r="C294" s="1417"/>
      <c r="D294" s="1417"/>
      <c r="E294" s="1417"/>
      <c r="F294" s="2701"/>
      <c r="G294" s="2701"/>
      <c r="H294" s="2701"/>
      <c r="I294" s="2700"/>
      <c r="R294" s="1254"/>
      <c r="S294" s="1254"/>
      <c r="T294" s="1254"/>
    </row>
    <row r="295" spans="1:20" ht="13.5" thickBot="1" x14ac:dyDescent="0.25">
      <c r="A295" s="2163" t="s">
        <v>1110</v>
      </c>
      <c r="I295" s="2699" t="s">
        <v>148</v>
      </c>
    </row>
    <row r="296" spans="1:20" s="1298" customFormat="1" thickTop="1" thickBot="1" x14ac:dyDescent="0.25">
      <c r="A296" s="1302" t="s">
        <v>565</v>
      </c>
      <c r="B296" s="1299" t="s">
        <v>149</v>
      </c>
      <c r="C296" s="1301" t="s">
        <v>150</v>
      </c>
      <c r="D296" s="1324" t="s">
        <v>639</v>
      </c>
      <c r="E296" s="1324" t="s">
        <v>151</v>
      </c>
      <c r="F296" s="1324" t="s">
        <v>569</v>
      </c>
      <c r="G296" s="1324" t="s">
        <v>570</v>
      </c>
      <c r="H296" s="2198" t="s">
        <v>797</v>
      </c>
      <c r="I296" s="2238" t="s">
        <v>798</v>
      </c>
    </row>
    <row r="297" spans="1:20" s="1292" customFormat="1" ht="13.5" thickTop="1" thickBot="1" x14ac:dyDescent="0.25">
      <c r="A297" s="1297">
        <v>1</v>
      </c>
      <c r="B297" s="1296">
        <v>2</v>
      </c>
      <c r="C297" s="1296">
        <v>3</v>
      </c>
      <c r="D297" s="1296">
        <v>4</v>
      </c>
      <c r="E297" s="1296">
        <v>5</v>
      </c>
      <c r="F297" s="1295">
        <v>6</v>
      </c>
      <c r="G297" s="1295">
        <v>7</v>
      </c>
      <c r="H297" s="1446">
        <v>8</v>
      </c>
      <c r="I297" s="1294" t="s">
        <v>689</v>
      </c>
    </row>
    <row r="298" spans="1:20" ht="15.75" thickTop="1" x14ac:dyDescent="0.25">
      <c r="A298" s="2772">
        <v>1109</v>
      </c>
      <c r="B298" s="2771">
        <v>3121</v>
      </c>
      <c r="C298" s="2771">
        <v>5331</v>
      </c>
      <c r="D298" s="2770"/>
      <c r="E298" s="2769" t="s">
        <v>858</v>
      </c>
      <c r="F298" s="2768"/>
      <c r="G298" s="2768">
        <f>G299+G300</f>
        <v>2210</v>
      </c>
      <c r="H298" s="2768">
        <f>H299+H300</f>
        <v>2210</v>
      </c>
      <c r="I298" s="2767">
        <f>(H298/G298)*100</f>
        <v>100</v>
      </c>
    </row>
    <row r="299" spans="1:20" ht="14.25" x14ac:dyDescent="0.2">
      <c r="A299" s="2714"/>
      <c r="B299" s="2713"/>
      <c r="C299" s="2713"/>
      <c r="D299" s="2191" t="s">
        <v>1811</v>
      </c>
      <c r="E299" s="2716" t="s">
        <v>717</v>
      </c>
      <c r="F299" s="2711"/>
      <c r="G299" s="2711">
        <v>677</v>
      </c>
      <c r="H299" s="2711">
        <v>677</v>
      </c>
      <c r="I299" s="2710">
        <f>(H299/G299)*100</f>
        <v>100</v>
      </c>
    </row>
    <row r="300" spans="1:20" ht="15" thickBot="1" x14ac:dyDescent="0.25">
      <c r="A300" s="2714"/>
      <c r="B300" s="2713"/>
      <c r="C300" s="2713"/>
      <c r="D300" s="2182" t="s">
        <v>1812</v>
      </c>
      <c r="E300" s="2712" t="s">
        <v>63</v>
      </c>
      <c r="F300" s="2711"/>
      <c r="G300" s="2711">
        <v>1533</v>
      </c>
      <c r="H300" s="2711">
        <v>1533</v>
      </c>
      <c r="I300" s="2710">
        <f>(H300/G300)*100</f>
        <v>100</v>
      </c>
    </row>
    <row r="301" spans="1:20" s="2402" customFormat="1" ht="16.5" thickTop="1" thickBot="1" x14ac:dyDescent="0.25">
      <c r="A301" s="3198" t="s">
        <v>1000</v>
      </c>
      <c r="B301" s="3199"/>
      <c r="C301" s="3199"/>
      <c r="D301" s="3199"/>
      <c r="E301" s="3199"/>
      <c r="F301" s="2777">
        <v>0</v>
      </c>
      <c r="G301" s="2777">
        <f>G298</f>
        <v>2210</v>
      </c>
      <c r="H301" s="2777">
        <f>H298</f>
        <v>2210</v>
      </c>
      <c r="I301" s="2776">
        <f>(H301/G301)*100</f>
        <v>100</v>
      </c>
      <c r="R301" s="2753">
        <f>F301</f>
        <v>0</v>
      </c>
      <c r="S301" s="2753">
        <f>G301</f>
        <v>2210</v>
      </c>
      <c r="T301" s="2753">
        <f>H301</f>
        <v>2210</v>
      </c>
    </row>
    <row r="302" spans="1:20" s="2402" customFormat="1" ht="13.5" thickTop="1" x14ac:dyDescent="0.2">
      <c r="B302" s="2755"/>
      <c r="D302" s="2754"/>
      <c r="F302" s="2753"/>
      <c r="G302" s="2753"/>
      <c r="H302" s="2753"/>
      <c r="I302" s="2752"/>
    </row>
    <row r="303" spans="1:20" s="2402" customFormat="1" x14ac:dyDescent="0.2">
      <c r="B303" s="2755"/>
      <c r="D303" s="2754"/>
      <c r="F303" s="2753"/>
      <c r="G303" s="2753"/>
      <c r="H303" s="2753"/>
      <c r="I303" s="2752"/>
    </row>
    <row r="304" spans="1:20" ht="13.5" thickBot="1" x14ac:dyDescent="0.25">
      <c r="A304" s="2163" t="s">
        <v>654</v>
      </c>
      <c r="I304" s="2699" t="s">
        <v>148</v>
      </c>
    </row>
    <row r="305" spans="1:20" s="1298" customFormat="1" thickTop="1" thickBot="1" x14ac:dyDescent="0.25">
      <c r="A305" s="1302" t="s">
        <v>565</v>
      </c>
      <c r="B305" s="1299" t="s">
        <v>149</v>
      </c>
      <c r="C305" s="1301" t="s">
        <v>150</v>
      </c>
      <c r="D305" s="1324" t="s">
        <v>639</v>
      </c>
      <c r="E305" s="1324" t="s">
        <v>151</v>
      </c>
      <c r="F305" s="1324" t="s">
        <v>569</v>
      </c>
      <c r="G305" s="1324" t="s">
        <v>570</v>
      </c>
      <c r="H305" s="2198" t="s">
        <v>797</v>
      </c>
      <c r="I305" s="2238" t="s">
        <v>798</v>
      </c>
    </row>
    <row r="306" spans="1:20" s="1292" customFormat="1" ht="13.5" thickTop="1" thickBot="1" x14ac:dyDescent="0.25">
      <c r="A306" s="1297">
        <v>1</v>
      </c>
      <c r="B306" s="1296">
        <v>2</v>
      </c>
      <c r="C306" s="1296">
        <v>3</v>
      </c>
      <c r="D306" s="1296">
        <v>4</v>
      </c>
      <c r="E306" s="1296">
        <v>5</v>
      </c>
      <c r="F306" s="1295">
        <v>6</v>
      </c>
      <c r="G306" s="1295">
        <v>7</v>
      </c>
      <c r="H306" s="1446">
        <v>8</v>
      </c>
      <c r="I306" s="1294" t="s">
        <v>689</v>
      </c>
    </row>
    <row r="307" spans="1:20" ht="15.75" thickTop="1" x14ac:dyDescent="0.25">
      <c r="A307" s="2772">
        <v>1110</v>
      </c>
      <c r="B307" s="2771">
        <v>3121</v>
      </c>
      <c r="C307" s="2771">
        <v>5331</v>
      </c>
      <c r="D307" s="2770"/>
      <c r="E307" s="2769" t="s">
        <v>858</v>
      </c>
      <c r="F307" s="2768"/>
      <c r="G307" s="2768">
        <f>G308+G309</f>
        <v>2163</v>
      </c>
      <c r="H307" s="2768">
        <f>H308+H309</f>
        <v>2163</v>
      </c>
      <c r="I307" s="2767">
        <f>(H307/G307)*100</f>
        <v>100</v>
      </c>
    </row>
    <row r="308" spans="1:20" ht="14.25" x14ac:dyDescent="0.2">
      <c r="A308" s="2714"/>
      <c r="B308" s="2713"/>
      <c r="C308" s="2713"/>
      <c r="D308" s="2191" t="s">
        <v>1811</v>
      </c>
      <c r="E308" s="2716" t="s">
        <v>717</v>
      </c>
      <c r="F308" s="2711"/>
      <c r="G308" s="2711">
        <v>655</v>
      </c>
      <c r="H308" s="2711">
        <v>655</v>
      </c>
      <c r="I308" s="2710">
        <f>(H308/G308)*100</f>
        <v>100</v>
      </c>
    </row>
    <row r="309" spans="1:20" ht="15" thickBot="1" x14ac:dyDescent="0.25">
      <c r="A309" s="2714"/>
      <c r="B309" s="2713"/>
      <c r="C309" s="2713"/>
      <c r="D309" s="2182" t="s">
        <v>1812</v>
      </c>
      <c r="E309" s="2712" t="s">
        <v>63</v>
      </c>
      <c r="F309" s="2711"/>
      <c r="G309" s="2711">
        <v>1508</v>
      </c>
      <c r="H309" s="2711">
        <v>1508</v>
      </c>
      <c r="I309" s="2710">
        <f>(H309/G309)*100</f>
        <v>100</v>
      </c>
    </row>
    <row r="310" spans="1:20" ht="16.5" thickTop="1" thickBot="1" x14ac:dyDescent="0.3">
      <c r="A310" s="3195" t="s">
        <v>1000</v>
      </c>
      <c r="B310" s="3196"/>
      <c r="C310" s="3196"/>
      <c r="D310" s="3196"/>
      <c r="E310" s="3196"/>
      <c r="F310" s="2709">
        <v>0</v>
      </c>
      <c r="G310" s="2709">
        <f>G307</f>
        <v>2163</v>
      </c>
      <c r="H310" s="2709">
        <f>H307</f>
        <v>2163</v>
      </c>
      <c r="I310" s="2708">
        <f>(H310/G310)*100</f>
        <v>100</v>
      </c>
      <c r="K310" s="1254" t="e">
        <f>SUM(F310,#REF!,#REF!,#REF!,#REF!,F277,#REF!,#REF!,F248,F238,F229,#REF!,F219,#REF!,F211,F203,F195,F186,F177)</f>
        <v>#REF!</v>
      </c>
      <c r="L310" s="1254" t="e">
        <f>SUM(G310,#REF!,#REF!,#REF!,#REF!,G277,#REF!,#REF!,G248,G238,G229,#REF!,G219,#REF!,G211,G203,G195,G186,G177)</f>
        <v>#REF!</v>
      </c>
      <c r="M310" s="1254" t="e">
        <f>SUM(H310,#REF!,#REF!,#REF!,#REF!,H277,#REF!,#REF!,H248,H238,H229,#REF!,H219,#REF!,H211,H203,H195,H186,H177)</f>
        <v>#REF!</v>
      </c>
      <c r="R310" s="1254">
        <f>F310</f>
        <v>0</v>
      </c>
      <c r="S310" s="1254">
        <f>G310</f>
        <v>2163</v>
      </c>
      <c r="T310" s="1254">
        <f>H310</f>
        <v>2163</v>
      </c>
    </row>
    <row r="311" spans="1:20" ht="15.75" thickTop="1" x14ac:dyDescent="0.25">
      <c r="A311" s="1417"/>
      <c r="B311" s="1417"/>
      <c r="C311" s="1417"/>
      <c r="D311" s="1417"/>
      <c r="E311" s="1417"/>
      <c r="F311" s="2701"/>
      <c r="G311" s="2701"/>
      <c r="H311" s="2701"/>
      <c r="I311" s="2700"/>
      <c r="K311" s="1254"/>
      <c r="L311" s="1254"/>
      <c r="M311" s="1254"/>
      <c r="R311" s="1254"/>
      <c r="S311" s="1254"/>
      <c r="T311" s="1254"/>
    </row>
    <row r="312" spans="1:20" ht="13.5" thickBot="1" x14ac:dyDescent="0.25">
      <c r="A312" s="2163" t="s">
        <v>578</v>
      </c>
      <c r="I312" s="2699" t="s">
        <v>148</v>
      </c>
    </row>
    <row r="313" spans="1:20" s="1298" customFormat="1" ht="18" customHeight="1" thickTop="1" thickBot="1" x14ac:dyDescent="0.25">
      <c r="A313" s="1302" t="s">
        <v>565</v>
      </c>
      <c r="B313" s="1299" t="s">
        <v>149</v>
      </c>
      <c r="C313" s="1301" t="s">
        <v>150</v>
      </c>
      <c r="D313" s="1324" t="s">
        <v>639</v>
      </c>
      <c r="E313" s="1324" t="s">
        <v>151</v>
      </c>
      <c r="F313" s="1324" t="s">
        <v>569</v>
      </c>
      <c r="G313" s="1324" t="s">
        <v>570</v>
      </c>
      <c r="H313" s="2198" t="s">
        <v>797</v>
      </c>
      <c r="I313" s="2238" t="s">
        <v>798</v>
      </c>
    </row>
    <row r="314" spans="1:20" s="1292" customFormat="1" ht="13.5" thickTop="1" thickBot="1" x14ac:dyDescent="0.25">
      <c r="A314" s="1297">
        <v>1</v>
      </c>
      <c r="B314" s="1296">
        <v>2</v>
      </c>
      <c r="C314" s="1296">
        <v>3</v>
      </c>
      <c r="D314" s="1296">
        <v>4</v>
      </c>
      <c r="E314" s="1296">
        <v>5</v>
      </c>
      <c r="F314" s="1295">
        <v>6</v>
      </c>
      <c r="G314" s="1295">
        <v>7</v>
      </c>
      <c r="H314" s="1446">
        <v>8</v>
      </c>
      <c r="I314" s="1294" t="s">
        <v>689</v>
      </c>
    </row>
    <row r="315" spans="1:20" ht="15.75" thickTop="1" x14ac:dyDescent="0.25">
      <c r="A315" s="2772">
        <v>1111</v>
      </c>
      <c r="B315" s="2771">
        <v>3121</v>
      </c>
      <c r="C315" s="2771">
        <v>5331</v>
      </c>
      <c r="D315" s="2770"/>
      <c r="E315" s="2769" t="s">
        <v>858</v>
      </c>
      <c r="F315" s="2768"/>
      <c r="G315" s="2768">
        <f>G316+G318+G317</f>
        <v>3874</v>
      </c>
      <c r="H315" s="2768">
        <f>H316+H318+H317</f>
        <v>3874</v>
      </c>
      <c r="I315" s="2767">
        <f>(H315/G315)*100</f>
        <v>100</v>
      </c>
    </row>
    <row r="316" spans="1:20" ht="14.25" x14ac:dyDescent="0.2">
      <c r="A316" s="2714"/>
      <c r="B316" s="2713"/>
      <c r="C316" s="2713"/>
      <c r="D316" s="2191" t="s">
        <v>1811</v>
      </c>
      <c r="E316" s="2716" t="s">
        <v>717</v>
      </c>
      <c r="F316" s="2711"/>
      <c r="G316" s="2711">
        <v>1124</v>
      </c>
      <c r="H316" s="2711">
        <v>1124</v>
      </c>
      <c r="I316" s="2710">
        <f>(H316/G316)*100</f>
        <v>100</v>
      </c>
    </row>
    <row r="317" spans="1:20" ht="14.25" x14ac:dyDescent="0.2">
      <c r="A317" s="2714"/>
      <c r="B317" s="2713"/>
      <c r="C317" s="2713"/>
      <c r="D317" s="2420" t="s">
        <v>1951</v>
      </c>
      <c r="E317" s="2734" t="s">
        <v>645</v>
      </c>
      <c r="F317" s="2711"/>
      <c r="G317" s="2711">
        <v>90</v>
      </c>
      <c r="H317" s="2711">
        <v>90</v>
      </c>
      <c r="I317" s="2710">
        <f>(H317/G317)*100</f>
        <v>100</v>
      </c>
    </row>
    <row r="318" spans="1:20" ht="15" thickBot="1" x14ac:dyDescent="0.25">
      <c r="A318" s="2714"/>
      <c r="B318" s="2713"/>
      <c r="C318" s="2713"/>
      <c r="D318" s="2182" t="s">
        <v>1812</v>
      </c>
      <c r="E318" s="2712" t="s">
        <v>63</v>
      </c>
      <c r="F318" s="2711"/>
      <c r="G318" s="2711">
        <v>2660</v>
      </c>
      <c r="H318" s="2711">
        <v>2660</v>
      </c>
      <c r="I318" s="2710">
        <f>(H318/G318)*100</f>
        <v>100</v>
      </c>
    </row>
    <row r="319" spans="1:20" ht="16.5" thickTop="1" thickBot="1" x14ac:dyDescent="0.3">
      <c r="A319" s="3195" t="s">
        <v>1000</v>
      </c>
      <c r="B319" s="3196"/>
      <c r="C319" s="3196"/>
      <c r="D319" s="3196"/>
      <c r="E319" s="3196"/>
      <c r="F319" s="2709">
        <v>0</v>
      </c>
      <c r="G319" s="2709">
        <f>G315</f>
        <v>3874</v>
      </c>
      <c r="H319" s="2709">
        <f>H315</f>
        <v>3874</v>
      </c>
      <c r="I319" s="2708">
        <f>(H319/G319)*100</f>
        <v>100</v>
      </c>
      <c r="R319" s="1254">
        <f>F319</f>
        <v>0</v>
      </c>
      <c r="S319" s="1254">
        <f>G319</f>
        <v>3874</v>
      </c>
      <c r="T319" s="1254">
        <f>H319</f>
        <v>3874</v>
      </c>
    </row>
    <row r="320" spans="1:20" ht="15.75" thickTop="1" x14ac:dyDescent="0.25">
      <c r="A320" s="1417"/>
      <c r="B320" s="1417"/>
      <c r="C320" s="1417"/>
      <c r="D320" s="1417"/>
      <c r="E320" s="1417"/>
      <c r="F320" s="2701"/>
      <c r="G320" s="2701"/>
      <c r="H320" s="2701"/>
      <c r="I320" s="2700"/>
      <c r="R320" s="1254"/>
      <c r="S320" s="1254"/>
      <c r="T320" s="1254"/>
    </row>
    <row r="321" spans="1:20" ht="13.5" thickBot="1" x14ac:dyDescent="0.25">
      <c r="A321" s="2163" t="s">
        <v>1286</v>
      </c>
      <c r="I321" s="2699" t="s">
        <v>148</v>
      </c>
    </row>
    <row r="322" spans="1:20" s="1298" customFormat="1" thickTop="1" thickBot="1" x14ac:dyDescent="0.25">
      <c r="A322" s="1302" t="s">
        <v>565</v>
      </c>
      <c r="B322" s="1299" t="s">
        <v>149</v>
      </c>
      <c r="C322" s="1301" t="s">
        <v>150</v>
      </c>
      <c r="D322" s="1324" t="s">
        <v>639</v>
      </c>
      <c r="E322" s="1324" t="s">
        <v>151</v>
      </c>
      <c r="F322" s="1324" t="s">
        <v>569</v>
      </c>
      <c r="G322" s="1324" t="s">
        <v>570</v>
      </c>
      <c r="H322" s="2198" t="s">
        <v>797</v>
      </c>
      <c r="I322" s="2238" t="s">
        <v>798</v>
      </c>
    </row>
    <row r="323" spans="1:20" s="1292" customFormat="1" ht="13.5" thickTop="1" thickBot="1" x14ac:dyDescent="0.25">
      <c r="A323" s="1297">
        <v>1</v>
      </c>
      <c r="B323" s="1296">
        <v>2</v>
      </c>
      <c r="C323" s="1296">
        <v>3</v>
      </c>
      <c r="D323" s="1296">
        <v>4</v>
      </c>
      <c r="E323" s="1296">
        <v>5</v>
      </c>
      <c r="F323" s="1295">
        <v>6</v>
      </c>
      <c r="G323" s="1295">
        <v>7</v>
      </c>
      <c r="H323" s="1446">
        <v>8</v>
      </c>
      <c r="I323" s="1294" t="s">
        <v>689</v>
      </c>
    </row>
    <row r="324" spans="1:20" ht="15.75" thickTop="1" x14ac:dyDescent="0.25">
      <c r="A324" s="2772">
        <v>1112</v>
      </c>
      <c r="B324" s="2771">
        <v>3121</v>
      </c>
      <c r="C324" s="2771">
        <v>5331</v>
      </c>
      <c r="D324" s="2770"/>
      <c r="E324" s="2769" t="s">
        <v>858</v>
      </c>
      <c r="F324" s="2768"/>
      <c r="G324" s="2768">
        <f>G325+G326+G327</f>
        <v>2878</v>
      </c>
      <c r="H324" s="2768">
        <f>H325+H326+H327</f>
        <v>2878</v>
      </c>
      <c r="I324" s="2767">
        <f>(H324/G324)*100</f>
        <v>100</v>
      </c>
    </row>
    <row r="325" spans="1:20" ht="14.25" x14ac:dyDescent="0.2">
      <c r="A325" s="2714"/>
      <c r="B325" s="2713"/>
      <c r="C325" s="2713"/>
      <c r="D325" s="2191" t="s">
        <v>1811</v>
      </c>
      <c r="E325" s="2716" t="s">
        <v>717</v>
      </c>
      <c r="F325" s="2711"/>
      <c r="G325" s="2711">
        <v>165</v>
      </c>
      <c r="H325" s="2711">
        <v>165</v>
      </c>
      <c r="I325" s="2710">
        <f>(H325/G325)*100</f>
        <v>100</v>
      </c>
    </row>
    <row r="326" spans="1:20" ht="14.25" x14ac:dyDescent="0.2">
      <c r="A326" s="2714"/>
      <c r="B326" s="2713"/>
      <c r="C326" s="2713"/>
      <c r="D326" s="2420" t="s">
        <v>1951</v>
      </c>
      <c r="E326" s="2734" t="s">
        <v>645</v>
      </c>
      <c r="F326" s="2711"/>
      <c r="G326" s="2711">
        <v>548</v>
      </c>
      <c r="H326" s="2711">
        <v>548</v>
      </c>
      <c r="I326" s="2710">
        <f>(H326/G326)*100</f>
        <v>100</v>
      </c>
    </row>
    <row r="327" spans="1:20" ht="15" thickBot="1" x14ac:dyDescent="0.25">
      <c r="A327" s="2714"/>
      <c r="B327" s="2713"/>
      <c r="C327" s="2713"/>
      <c r="D327" s="2182" t="s">
        <v>1812</v>
      </c>
      <c r="E327" s="2712" t="s">
        <v>63</v>
      </c>
      <c r="F327" s="2711"/>
      <c r="G327" s="2711">
        <v>2165</v>
      </c>
      <c r="H327" s="2711">
        <v>2165</v>
      </c>
      <c r="I327" s="2710">
        <v>100</v>
      </c>
    </row>
    <row r="328" spans="1:20" ht="16.5" thickTop="1" thickBot="1" x14ac:dyDescent="0.3">
      <c r="A328" s="3195" t="s">
        <v>1000</v>
      </c>
      <c r="B328" s="3196"/>
      <c r="C328" s="3196"/>
      <c r="D328" s="3196"/>
      <c r="E328" s="3196"/>
      <c r="F328" s="2709">
        <v>0</v>
      </c>
      <c r="G328" s="2709">
        <f>G324</f>
        <v>2878</v>
      </c>
      <c r="H328" s="2709">
        <f>H324</f>
        <v>2878</v>
      </c>
      <c r="I328" s="2708">
        <f>(H328/G328)*100</f>
        <v>100</v>
      </c>
      <c r="R328" s="1254">
        <f>F328</f>
        <v>0</v>
      </c>
      <c r="S328" s="1254">
        <f>G328</f>
        <v>2878</v>
      </c>
      <c r="T328" s="1254">
        <f>H328</f>
        <v>2878</v>
      </c>
    </row>
    <row r="329" spans="1:20" ht="15.75" thickTop="1" x14ac:dyDescent="0.25">
      <c r="A329" s="1417"/>
      <c r="B329" s="1417"/>
      <c r="C329" s="1417"/>
      <c r="D329" s="1417"/>
      <c r="E329" s="1417"/>
      <c r="F329" s="2701"/>
      <c r="G329" s="2701"/>
      <c r="H329" s="2701"/>
      <c r="I329" s="2700"/>
      <c r="R329" s="1254"/>
      <c r="S329" s="1254"/>
      <c r="T329" s="1254"/>
    </row>
    <row r="330" spans="1:20" ht="15" x14ac:dyDescent="0.25">
      <c r="A330" s="1417"/>
      <c r="B330" s="1417"/>
      <c r="C330" s="1417"/>
      <c r="D330" s="1417"/>
      <c r="E330" s="1417"/>
      <c r="F330" s="2701"/>
      <c r="G330" s="2701"/>
      <c r="H330" s="2701"/>
      <c r="I330" s="2700"/>
      <c r="R330" s="1254"/>
      <c r="S330" s="1254"/>
      <c r="T330" s="1254"/>
    </row>
    <row r="331" spans="1:20" ht="13.5" thickBot="1" x14ac:dyDescent="0.25">
      <c r="A331" s="2163" t="s">
        <v>997</v>
      </c>
      <c r="I331" s="2699" t="s">
        <v>148</v>
      </c>
    </row>
    <row r="332" spans="1:20" s="1298" customFormat="1" thickTop="1" thickBot="1" x14ac:dyDescent="0.25">
      <c r="A332" s="1302" t="s">
        <v>565</v>
      </c>
      <c r="B332" s="1299" t="s">
        <v>149</v>
      </c>
      <c r="C332" s="1301" t="s">
        <v>150</v>
      </c>
      <c r="D332" s="1324" t="s">
        <v>639</v>
      </c>
      <c r="E332" s="1324" t="s">
        <v>151</v>
      </c>
      <c r="F332" s="1324" t="s">
        <v>569</v>
      </c>
      <c r="G332" s="1324" t="s">
        <v>570</v>
      </c>
      <c r="H332" s="2198" t="s">
        <v>797</v>
      </c>
      <c r="I332" s="2238" t="s">
        <v>798</v>
      </c>
    </row>
    <row r="333" spans="1:20" s="1292" customFormat="1" ht="13.5" thickTop="1" thickBot="1" x14ac:dyDescent="0.25">
      <c r="A333" s="1297">
        <v>1</v>
      </c>
      <c r="B333" s="1296">
        <v>2</v>
      </c>
      <c r="C333" s="1296">
        <v>3</v>
      </c>
      <c r="D333" s="1296">
        <v>4</v>
      </c>
      <c r="E333" s="1296">
        <v>5</v>
      </c>
      <c r="F333" s="1295">
        <v>6</v>
      </c>
      <c r="G333" s="1295">
        <v>7</v>
      </c>
      <c r="H333" s="1446">
        <v>8</v>
      </c>
      <c r="I333" s="1294" t="s">
        <v>689</v>
      </c>
    </row>
    <row r="334" spans="1:20" ht="20.25" customHeight="1" thickTop="1" x14ac:dyDescent="0.25">
      <c r="A334" s="2772">
        <v>1113</v>
      </c>
      <c r="B334" s="2771">
        <v>3121</v>
      </c>
      <c r="C334" s="2771">
        <v>5331</v>
      </c>
      <c r="D334" s="2770"/>
      <c r="E334" s="2769" t="s">
        <v>858</v>
      </c>
      <c r="F334" s="2768"/>
      <c r="G334" s="2768">
        <f>G335+G336+G337</f>
        <v>2729</v>
      </c>
      <c r="H334" s="2768">
        <f>H335+H336+H337</f>
        <v>2729</v>
      </c>
      <c r="I334" s="2767">
        <f>(H334/G334)*100</f>
        <v>100</v>
      </c>
    </row>
    <row r="335" spans="1:20" ht="14.25" x14ac:dyDescent="0.2">
      <c r="A335" s="2714"/>
      <c r="B335" s="2713"/>
      <c r="C335" s="2713"/>
      <c r="D335" s="2191" t="s">
        <v>1811</v>
      </c>
      <c r="E335" s="2716" t="s">
        <v>717</v>
      </c>
      <c r="F335" s="2711"/>
      <c r="G335" s="2711">
        <v>699</v>
      </c>
      <c r="H335" s="2711">
        <v>699</v>
      </c>
      <c r="I335" s="2710">
        <f>(H335/G335)*100</f>
        <v>100</v>
      </c>
    </row>
    <row r="336" spans="1:20" ht="14.25" x14ac:dyDescent="0.2">
      <c r="A336" s="2714"/>
      <c r="B336" s="2713"/>
      <c r="C336" s="2713"/>
      <c r="D336" s="2420" t="s">
        <v>1951</v>
      </c>
      <c r="E336" s="2734" t="s">
        <v>645</v>
      </c>
      <c r="F336" s="2711"/>
      <c r="G336" s="2711">
        <v>80</v>
      </c>
      <c r="H336" s="2711">
        <v>80</v>
      </c>
      <c r="I336" s="2710">
        <f>(H336/G336)*100</f>
        <v>100</v>
      </c>
    </row>
    <row r="337" spans="1:20" ht="15" thickBot="1" x14ac:dyDescent="0.25">
      <c r="A337" s="2714"/>
      <c r="B337" s="2713"/>
      <c r="C337" s="2713"/>
      <c r="D337" s="2182" t="s">
        <v>1812</v>
      </c>
      <c r="E337" s="2712" t="s">
        <v>63</v>
      </c>
      <c r="F337" s="2711"/>
      <c r="G337" s="2711">
        <v>1950</v>
      </c>
      <c r="H337" s="2711">
        <v>1950</v>
      </c>
      <c r="I337" s="2710">
        <f>(H337/G337)*100</f>
        <v>100</v>
      </c>
    </row>
    <row r="338" spans="1:20" ht="18" customHeight="1" thickTop="1" thickBot="1" x14ac:dyDescent="0.3">
      <c r="A338" s="3202" t="s">
        <v>1000</v>
      </c>
      <c r="B338" s="3203"/>
      <c r="C338" s="3203"/>
      <c r="D338" s="3203"/>
      <c r="E338" s="3204"/>
      <c r="F338" s="2709">
        <f>F334</f>
        <v>0</v>
      </c>
      <c r="G338" s="2709">
        <f>G334</f>
        <v>2729</v>
      </c>
      <c r="H338" s="2709">
        <f>H334</f>
        <v>2729</v>
      </c>
      <c r="I338" s="2708">
        <f>(H338/G338)*100</f>
        <v>100</v>
      </c>
      <c r="R338" s="1254">
        <f>F338</f>
        <v>0</v>
      </c>
      <c r="S338" s="1254">
        <f>G338</f>
        <v>2729</v>
      </c>
      <c r="T338" s="1254">
        <f>H338</f>
        <v>2729</v>
      </c>
    </row>
    <row r="339" spans="1:20" ht="15.6" customHeight="1" thickTop="1" x14ac:dyDescent="0.2"/>
    <row r="340" spans="1:20" ht="13.5" thickBot="1" x14ac:dyDescent="0.25">
      <c r="A340" s="2163" t="s">
        <v>998</v>
      </c>
      <c r="I340" s="2699" t="s">
        <v>148</v>
      </c>
    </row>
    <row r="341" spans="1:20" s="1298" customFormat="1" thickTop="1" thickBot="1" x14ac:dyDescent="0.25">
      <c r="A341" s="1302" t="s">
        <v>565</v>
      </c>
      <c r="B341" s="1299" t="s">
        <v>149</v>
      </c>
      <c r="C341" s="1301" t="s">
        <v>150</v>
      </c>
      <c r="D341" s="1324" t="s">
        <v>639</v>
      </c>
      <c r="E341" s="1324" t="s">
        <v>151</v>
      </c>
      <c r="F341" s="1324" t="s">
        <v>569</v>
      </c>
      <c r="G341" s="1324" t="s">
        <v>570</v>
      </c>
      <c r="H341" s="2198" t="s">
        <v>797</v>
      </c>
      <c r="I341" s="2238" t="s">
        <v>798</v>
      </c>
    </row>
    <row r="342" spans="1:20" s="1292" customFormat="1" ht="13.5" thickTop="1" thickBot="1" x14ac:dyDescent="0.25">
      <c r="A342" s="1297">
        <v>1</v>
      </c>
      <c r="B342" s="1296">
        <v>2</v>
      </c>
      <c r="C342" s="1296">
        <v>3</v>
      </c>
      <c r="D342" s="1296">
        <v>4</v>
      </c>
      <c r="E342" s="1296">
        <v>5</v>
      </c>
      <c r="F342" s="1295">
        <v>6</v>
      </c>
      <c r="G342" s="1295">
        <v>7</v>
      </c>
      <c r="H342" s="1446">
        <v>8</v>
      </c>
      <c r="I342" s="1294" t="s">
        <v>689</v>
      </c>
    </row>
    <row r="343" spans="1:20" ht="15.75" thickTop="1" x14ac:dyDescent="0.25">
      <c r="A343" s="2772">
        <v>1120</v>
      </c>
      <c r="B343" s="2771">
        <v>3122</v>
      </c>
      <c r="C343" s="2771">
        <v>5331</v>
      </c>
      <c r="D343" s="2770"/>
      <c r="E343" s="2769" t="s">
        <v>858</v>
      </c>
      <c r="F343" s="2768"/>
      <c r="G343" s="2768">
        <f>SUM(G344:G345)</f>
        <v>2515</v>
      </c>
      <c r="H343" s="2768">
        <f>SUM(H344:H345)</f>
        <v>2515</v>
      </c>
      <c r="I343" s="2767">
        <f>(H343/G343)*100</f>
        <v>100</v>
      </c>
    </row>
    <row r="344" spans="1:20" ht="14.25" x14ac:dyDescent="0.2">
      <c r="A344" s="2714"/>
      <c r="B344" s="2713"/>
      <c r="C344" s="2713"/>
      <c r="D344" s="2191" t="s">
        <v>1811</v>
      </c>
      <c r="E344" s="2716" t="s">
        <v>717</v>
      </c>
      <c r="F344" s="2711"/>
      <c r="G344" s="2711">
        <v>454</v>
      </c>
      <c r="H344" s="2711">
        <v>454</v>
      </c>
      <c r="I344" s="2710">
        <f>(H344/G344)*100</f>
        <v>100</v>
      </c>
    </row>
    <row r="345" spans="1:20" ht="15" thickBot="1" x14ac:dyDescent="0.25">
      <c r="A345" s="2714"/>
      <c r="B345" s="2713"/>
      <c r="C345" s="2190"/>
      <c r="D345" s="2182" t="s">
        <v>1812</v>
      </c>
      <c r="E345" s="2712" t="s">
        <v>63</v>
      </c>
      <c r="F345" s="2711"/>
      <c r="G345" s="2711">
        <v>2061</v>
      </c>
      <c r="H345" s="2711">
        <v>2061</v>
      </c>
      <c r="I345" s="2710">
        <f>(H345/G345)*100</f>
        <v>100</v>
      </c>
    </row>
    <row r="346" spans="1:20" ht="16.5" thickTop="1" thickBot="1" x14ac:dyDescent="0.3">
      <c r="A346" s="3195" t="s">
        <v>1000</v>
      </c>
      <c r="B346" s="3196"/>
      <c r="C346" s="3196"/>
      <c r="D346" s="3196"/>
      <c r="E346" s="3196"/>
      <c r="F346" s="2709">
        <v>0</v>
      </c>
      <c r="G346" s="2709">
        <f>G343</f>
        <v>2515</v>
      </c>
      <c r="H346" s="2709">
        <f>H343</f>
        <v>2515</v>
      </c>
      <c r="I346" s="2708">
        <f>(H346/G346)*100</f>
        <v>100</v>
      </c>
      <c r="R346" s="1254">
        <f>F346</f>
        <v>0</v>
      </c>
      <c r="S346" s="1254">
        <f>G346</f>
        <v>2515</v>
      </c>
      <c r="T346" s="1254">
        <f>H346</f>
        <v>2515</v>
      </c>
    </row>
    <row r="347" spans="1:20" ht="13.5" thickTop="1" x14ac:dyDescent="0.2"/>
    <row r="349" spans="1:20" ht="13.5" thickBot="1" x14ac:dyDescent="0.25">
      <c r="A349" s="2163" t="s">
        <v>310</v>
      </c>
      <c r="I349" s="2699" t="s">
        <v>148</v>
      </c>
    </row>
    <row r="350" spans="1:20" s="1298" customFormat="1" thickTop="1" thickBot="1" x14ac:dyDescent="0.25">
      <c r="A350" s="1302" t="s">
        <v>565</v>
      </c>
      <c r="B350" s="1299" t="s">
        <v>149</v>
      </c>
      <c r="C350" s="1301" t="s">
        <v>150</v>
      </c>
      <c r="D350" s="1324" t="s">
        <v>639</v>
      </c>
      <c r="E350" s="1324" t="s">
        <v>151</v>
      </c>
      <c r="F350" s="1324" t="s">
        <v>569</v>
      </c>
      <c r="G350" s="1324" t="s">
        <v>570</v>
      </c>
      <c r="H350" s="2198" t="s">
        <v>797</v>
      </c>
      <c r="I350" s="2238" t="s">
        <v>798</v>
      </c>
    </row>
    <row r="351" spans="1:20" s="1292" customFormat="1" ht="13.5" thickTop="1" thickBot="1" x14ac:dyDescent="0.25">
      <c r="A351" s="1297">
        <v>1</v>
      </c>
      <c r="B351" s="1296">
        <v>2</v>
      </c>
      <c r="C351" s="1296">
        <v>3</v>
      </c>
      <c r="D351" s="1296">
        <v>4</v>
      </c>
      <c r="E351" s="1296">
        <v>5</v>
      </c>
      <c r="F351" s="1295">
        <v>6</v>
      </c>
      <c r="G351" s="1295">
        <v>7</v>
      </c>
      <c r="H351" s="1446">
        <v>8</v>
      </c>
      <c r="I351" s="1294" t="s">
        <v>689</v>
      </c>
    </row>
    <row r="352" spans="1:20" ht="15.75" thickTop="1" x14ac:dyDescent="0.25">
      <c r="A352" s="2772">
        <v>1121</v>
      </c>
      <c r="B352" s="2771">
        <v>3122</v>
      </c>
      <c r="C352" s="2771">
        <v>5331</v>
      </c>
      <c r="D352" s="2770"/>
      <c r="E352" s="2769" t="s">
        <v>858</v>
      </c>
      <c r="F352" s="2768"/>
      <c r="G352" s="2768">
        <f>G353+G354+G355+G356</f>
        <v>2017</v>
      </c>
      <c r="H352" s="2768">
        <f>H353+H354+H355+H356</f>
        <v>2017</v>
      </c>
      <c r="I352" s="2767">
        <f t="shared" ref="I352:I357" si="4">(H352/G352)*100</f>
        <v>100</v>
      </c>
    </row>
    <row r="353" spans="1:20" ht="14.25" x14ac:dyDescent="0.2">
      <c r="A353" s="2714"/>
      <c r="B353" s="2713"/>
      <c r="C353" s="2713"/>
      <c r="D353" s="2191" t="s">
        <v>1811</v>
      </c>
      <c r="E353" s="2716" t="s">
        <v>717</v>
      </c>
      <c r="F353" s="2711"/>
      <c r="G353" s="2711">
        <v>561</v>
      </c>
      <c r="H353" s="2711">
        <v>561</v>
      </c>
      <c r="I353" s="2710">
        <f t="shared" si="4"/>
        <v>100</v>
      </c>
    </row>
    <row r="354" spans="1:20" ht="14.25" x14ac:dyDescent="0.2">
      <c r="A354" s="2714"/>
      <c r="B354" s="2713"/>
      <c r="C354" s="2713"/>
      <c r="D354" s="2420" t="s">
        <v>1951</v>
      </c>
      <c r="E354" s="2734" t="s">
        <v>645</v>
      </c>
      <c r="F354" s="2711"/>
      <c r="G354" s="2711">
        <v>150</v>
      </c>
      <c r="H354" s="2711">
        <v>150</v>
      </c>
      <c r="I354" s="2710">
        <f t="shared" si="4"/>
        <v>100</v>
      </c>
    </row>
    <row r="355" spans="1:20" ht="14.25" x14ac:dyDescent="0.2">
      <c r="A355" s="2714"/>
      <c r="B355" s="2713"/>
      <c r="C355" s="2713"/>
      <c r="D355" s="2182" t="s">
        <v>1812</v>
      </c>
      <c r="E355" s="2712" t="s">
        <v>63</v>
      </c>
      <c r="F355" s="2711"/>
      <c r="G355" s="2711">
        <v>1201</v>
      </c>
      <c r="H355" s="2711">
        <v>1201</v>
      </c>
      <c r="I355" s="2710">
        <f t="shared" si="4"/>
        <v>100</v>
      </c>
    </row>
    <row r="356" spans="1:20" ht="15" thickBot="1" x14ac:dyDescent="0.25">
      <c r="A356" s="2714"/>
      <c r="B356" s="2713"/>
      <c r="C356" s="2713"/>
      <c r="D356" s="2182" t="s">
        <v>1892</v>
      </c>
      <c r="E356" s="2775" t="s">
        <v>2005</v>
      </c>
      <c r="F356" s="2725"/>
      <c r="G356" s="2725">
        <v>105</v>
      </c>
      <c r="H356" s="2725">
        <v>105</v>
      </c>
      <c r="I356" s="2710">
        <f t="shared" si="4"/>
        <v>100</v>
      </c>
    </row>
    <row r="357" spans="1:20" ht="16.5" thickTop="1" thickBot="1" x14ac:dyDescent="0.3">
      <c r="A357" s="3195" t="s">
        <v>1000</v>
      </c>
      <c r="B357" s="3196"/>
      <c r="C357" s="3196"/>
      <c r="D357" s="3196"/>
      <c r="E357" s="3196"/>
      <c r="F357" s="2709">
        <f>SUM(F352)</f>
        <v>0</v>
      </c>
      <c r="G357" s="2709">
        <f>G352</f>
        <v>2017</v>
      </c>
      <c r="H357" s="2709">
        <f>H352</f>
        <v>2017</v>
      </c>
      <c r="I357" s="2708">
        <f t="shared" si="4"/>
        <v>100</v>
      </c>
      <c r="R357" s="1254">
        <f>F357</f>
        <v>0</v>
      </c>
      <c r="S357" s="1254">
        <f>G357</f>
        <v>2017</v>
      </c>
      <c r="T357" s="1254">
        <f>H357</f>
        <v>2017</v>
      </c>
    </row>
    <row r="358" spans="1:20" ht="13.5" thickTop="1" x14ac:dyDescent="0.2"/>
    <row r="359" spans="1:20" ht="13.5" thickBot="1" x14ac:dyDescent="0.25">
      <c r="A359" s="2163" t="s">
        <v>1746</v>
      </c>
      <c r="I359" s="2699" t="s">
        <v>148</v>
      </c>
    </row>
    <row r="360" spans="1:20" s="1298" customFormat="1" thickTop="1" thickBot="1" x14ac:dyDescent="0.25">
      <c r="A360" s="1302" t="s">
        <v>565</v>
      </c>
      <c r="B360" s="1299" t="s">
        <v>149</v>
      </c>
      <c r="C360" s="1301" t="s">
        <v>150</v>
      </c>
      <c r="D360" s="1324" t="s">
        <v>639</v>
      </c>
      <c r="E360" s="1324" t="s">
        <v>151</v>
      </c>
      <c r="F360" s="1324" t="s">
        <v>569</v>
      </c>
      <c r="G360" s="1324" t="s">
        <v>570</v>
      </c>
      <c r="H360" s="2198" t="s">
        <v>797</v>
      </c>
      <c r="I360" s="2238" t="s">
        <v>798</v>
      </c>
    </row>
    <row r="361" spans="1:20" s="1292" customFormat="1" ht="14.25" customHeight="1" thickTop="1" thickBot="1" x14ac:dyDescent="0.25">
      <c r="A361" s="1297">
        <v>1</v>
      </c>
      <c r="B361" s="1296">
        <v>2</v>
      </c>
      <c r="C361" s="1296">
        <v>3</v>
      </c>
      <c r="D361" s="1296">
        <v>4</v>
      </c>
      <c r="E361" s="1296">
        <v>5</v>
      </c>
      <c r="F361" s="1295">
        <v>6</v>
      </c>
      <c r="G361" s="1295">
        <v>7</v>
      </c>
      <c r="H361" s="1446">
        <v>8</v>
      </c>
      <c r="I361" s="1294" t="s">
        <v>689</v>
      </c>
    </row>
    <row r="362" spans="1:20" ht="15.75" thickTop="1" x14ac:dyDescent="0.25">
      <c r="A362" s="2772">
        <v>1122</v>
      </c>
      <c r="B362" s="2771">
        <v>3127</v>
      </c>
      <c r="C362" s="2771">
        <v>5331</v>
      </c>
      <c r="D362" s="2770"/>
      <c r="E362" s="2769" t="s">
        <v>858</v>
      </c>
      <c r="F362" s="2768"/>
      <c r="G362" s="2768">
        <f>G363+G364+G365</f>
        <v>6336</v>
      </c>
      <c r="H362" s="2768">
        <f>H363+H364+H365</f>
        <v>6336</v>
      </c>
      <c r="I362" s="2767">
        <f>(H362/G362)*100</f>
        <v>100</v>
      </c>
    </row>
    <row r="363" spans="1:20" ht="14.25" x14ac:dyDescent="0.2">
      <c r="A363" s="2714"/>
      <c r="B363" s="2713"/>
      <c r="C363" s="2713"/>
      <c r="D363" s="2191" t="s">
        <v>1811</v>
      </c>
      <c r="E363" s="2716" t="s">
        <v>717</v>
      </c>
      <c r="F363" s="2711"/>
      <c r="G363" s="2711">
        <v>1191</v>
      </c>
      <c r="H363" s="2711">
        <v>1191</v>
      </c>
      <c r="I363" s="2710">
        <f>(H363/G363)*100</f>
        <v>100</v>
      </c>
    </row>
    <row r="364" spans="1:20" ht="14.25" x14ac:dyDescent="0.2">
      <c r="A364" s="2714"/>
      <c r="B364" s="2713"/>
      <c r="C364" s="2713"/>
      <c r="D364" s="2420" t="s">
        <v>1951</v>
      </c>
      <c r="E364" s="2734" t="s">
        <v>645</v>
      </c>
      <c r="F364" s="2711"/>
      <c r="G364" s="2711">
        <v>330</v>
      </c>
      <c r="H364" s="2711">
        <v>330</v>
      </c>
      <c r="I364" s="2710">
        <f>(H364/G364)*100</f>
        <v>100</v>
      </c>
    </row>
    <row r="365" spans="1:20" ht="15" thickBot="1" x14ac:dyDescent="0.25">
      <c r="A365" s="2714"/>
      <c r="B365" s="2713"/>
      <c r="C365" s="2713"/>
      <c r="D365" s="2182" t="s">
        <v>1812</v>
      </c>
      <c r="E365" s="2712" t="s">
        <v>63</v>
      </c>
      <c r="F365" s="2711"/>
      <c r="G365" s="2711">
        <v>4815</v>
      </c>
      <c r="H365" s="2711">
        <v>4815</v>
      </c>
      <c r="I365" s="2710">
        <f>(H365/G365)*100</f>
        <v>100</v>
      </c>
    </row>
    <row r="366" spans="1:20" ht="16.5" thickTop="1" thickBot="1" x14ac:dyDescent="0.3">
      <c r="A366" s="3195" t="s">
        <v>1000</v>
      </c>
      <c r="B366" s="3196"/>
      <c r="C366" s="3196"/>
      <c r="D366" s="3196"/>
      <c r="E366" s="3196"/>
      <c r="F366" s="2709">
        <v>0</v>
      </c>
      <c r="G366" s="2709">
        <f>G362</f>
        <v>6336</v>
      </c>
      <c r="H366" s="2709">
        <f>H362</f>
        <v>6336</v>
      </c>
      <c r="I366" s="2708">
        <f>(H366/G366)*100</f>
        <v>100</v>
      </c>
      <c r="R366" s="1254">
        <f>F366</f>
        <v>0</v>
      </c>
      <c r="S366" s="1254">
        <f>G366</f>
        <v>6336</v>
      </c>
      <c r="T366" s="1254">
        <f>H366</f>
        <v>6336</v>
      </c>
    </row>
    <row r="367" spans="1:20" ht="15" customHeight="1" thickTop="1" x14ac:dyDescent="0.2"/>
    <row r="368" spans="1:20" ht="13.5" thickBot="1" x14ac:dyDescent="0.25">
      <c r="A368" s="2163" t="s">
        <v>311</v>
      </c>
      <c r="I368" s="2699" t="s">
        <v>148</v>
      </c>
    </row>
    <row r="369" spans="1:23" s="1298" customFormat="1" ht="20.25" customHeight="1" thickTop="1" thickBot="1" x14ac:dyDescent="0.25">
      <c r="A369" s="1302" t="s">
        <v>565</v>
      </c>
      <c r="B369" s="1299" t="s">
        <v>149</v>
      </c>
      <c r="C369" s="1301" t="s">
        <v>150</v>
      </c>
      <c r="D369" s="1324" t="s">
        <v>639</v>
      </c>
      <c r="E369" s="1324" t="s">
        <v>151</v>
      </c>
      <c r="F369" s="1324" t="s">
        <v>569</v>
      </c>
      <c r="G369" s="1324" t="s">
        <v>570</v>
      </c>
      <c r="H369" s="2198" t="s">
        <v>797</v>
      </c>
      <c r="I369" s="2238" t="s">
        <v>798</v>
      </c>
    </row>
    <row r="370" spans="1:23" s="1292" customFormat="1" ht="13.5" thickTop="1" thickBot="1" x14ac:dyDescent="0.25">
      <c r="A370" s="1297">
        <v>1</v>
      </c>
      <c r="B370" s="1296">
        <v>2</v>
      </c>
      <c r="C370" s="1296">
        <v>3</v>
      </c>
      <c r="D370" s="1296">
        <v>4</v>
      </c>
      <c r="E370" s="1296">
        <v>5</v>
      </c>
      <c r="F370" s="1295">
        <v>6</v>
      </c>
      <c r="G370" s="1295">
        <v>7</v>
      </c>
      <c r="H370" s="1446">
        <v>8</v>
      </c>
      <c r="I370" s="1294" t="s">
        <v>689</v>
      </c>
    </row>
    <row r="371" spans="1:23" ht="15.75" thickTop="1" x14ac:dyDescent="0.25">
      <c r="A371" s="2772">
        <v>1123</v>
      </c>
      <c r="B371" s="2771">
        <v>3127</v>
      </c>
      <c r="C371" s="2771">
        <v>5331</v>
      </c>
      <c r="D371" s="2770"/>
      <c r="E371" s="2769" t="s">
        <v>858</v>
      </c>
      <c r="F371" s="2768"/>
      <c r="G371" s="2768">
        <f>G372+G373+G374</f>
        <v>6906</v>
      </c>
      <c r="H371" s="2768">
        <f>H372+H373+H374</f>
        <v>6906</v>
      </c>
      <c r="I371" s="2767">
        <f t="shared" ref="I371:I378" si="5">(H371/G371)*100</f>
        <v>100</v>
      </c>
    </row>
    <row r="372" spans="1:23" ht="14.25" x14ac:dyDescent="0.2">
      <c r="A372" s="2714"/>
      <c r="B372" s="2713"/>
      <c r="C372" s="2713"/>
      <c r="D372" s="2191" t="s">
        <v>1811</v>
      </c>
      <c r="E372" s="2716" t="s">
        <v>717</v>
      </c>
      <c r="F372" s="2711"/>
      <c r="G372" s="2711">
        <v>1121</v>
      </c>
      <c r="H372" s="2711">
        <v>1121</v>
      </c>
      <c r="I372" s="2710">
        <f t="shared" si="5"/>
        <v>100</v>
      </c>
    </row>
    <row r="373" spans="1:23" ht="14.25" x14ac:dyDescent="0.2">
      <c r="A373" s="2714"/>
      <c r="B373" s="2713"/>
      <c r="C373" s="2713"/>
      <c r="D373" s="2420" t="s">
        <v>1951</v>
      </c>
      <c r="E373" s="2734" t="s">
        <v>645</v>
      </c>
      <c r="F373" s="2711"/>
      <c r="G373" s="2711">
        <v>295</v>
      </c>
      <c r="H373" s="2711">
        <v>295</v>
      </c>
      <c r="I373" s="2710">
        <f t="shared" si="5"/>
        <v>100</v>
      </c>
    </row>
    <row r="374" spans="1:23" ht="15" thickBot="1" x14ac:dyDescent="0.25">
      <c r="A374" s="2714"/>
      <c r="B374" s="2727"/>
      <c r="C374" s="2727"/>
      <c r="D374" s="2182" t="s">
        <v>1812</v>
      </c>
      <c r="E374" s="2712" t="s">
        <v>63</v>
      </c>
      <c r="F374" s="2711"/>
      <c r="G374" s="2711">
        <v>5490</v>
      </c>
      <c r="H374" s="2711">
        <v>5490</v>
      </c>
      <c r="I374" s="2710">
        <f t="shared" si="5"/>
        <v>100</v>
      </c>
    </row>
    <row r="375" spans="1:23" ht="16.5" thickTop="1" thickBot="1" x14ac:dyDescent="0.3">
      <c r="A375" s="3195" t="s">
        <v>1000</v>
      </c>
      <c r="B375" s="3196"/>
      <c r="C375" s="3196"/>
      <c r="D375" s="3196"/>
      <c r="E375" s="3196"/>
      <c r="F375" s="2709">
        <v>0</v>
      </c>
      <c r="G375" s="2709">
        <f>G371</f>
        <v>6906</v>
      </c>
      <c r="H375" s="2709">
        <f>H371</f>
        <v>6906</v>
      </c>
      <c r="I375" s="2708">
        <f t="shared" si="5"/>
        <v>100</v>
      </c>
      <c r="R375" s="1254">
        <f>F375</f>
        <v>0</v>
      </c>
      <c r="S375" s="1254">
        <f>G375</f>
        <v>6906</v>
      </c>
      <c r="T375" s="1254">
        <f>H375</f>
        <v>6906</v>
      </c>
    </row>
    <row r="376" spans="1:23" ht="15.75" thickTop="1" x14ac:dyDescent="0.25">
      <c r="A376" s="2742">
        <v>1123</v>
      </c>
      <c r="B376" s="2713">
        <v>3127</v>
      </c>
      <c r="C376" s="2727">
        <v>6351</v>
      </c>
      <c r="D376" s="2741"/>
      <c r="E376" s="2183" t="s">
        <v>1053</v>
      </c>
      <c r="F376" s="2740"/>
      <c r="G376" s="2740">
        <v>469</v>
      </c>
      <c r="H376" s="2740">
        <v>469</v>
      </c>
      <c r="I376" s="2739">
        <f t="shared" si="5"/>
        <v>100</v>
      </c>
      <c r="R376" s="1254"/>
      <c r="S376" s="1254"/>
      <c r="T376" s="1254"/>
    </row>
    <row r="377" spans="1:23" ht="15" thickBot="1" x14ac:dyDescent="0.25">
      <c r="A377" s="2738"/>
      <c r="B377" s="2737"/>
      <c r="C377" s="1269"/>
      <c r="D377" s="2420" t="s">
        <v>1951</v>
      </c>
      <c r="E377" s="2734" t="s">
        <v>645</v>
      </c>
      <c r="F377" s="2711"/>
      <c r="G377" s="2711">
        <v>469</v>
      </c>
      <c r="H377" s="2711">
        <v>469</v>
      </c>
      <c r="I377" s="2710">
        <f t="shared" si="5"/>
        <v>100</v>
      </c>
      <c r="R377" s="1254"/>
      <c r="S377" s="1254"/>
      <c r="T377" s="1254"/>
    </row>
    <row r="378" spans="1:23" ht="16.5" thickTop="1" thickBot="1" x14ac:dyDescent="0.3">
      <c r="A378" s="3202" t="s">
        <v>1001</v>
      </c>
      <c r="B378" s="3203"/>
      <c r="C378" s="3203"/>
      <c r="D378" s="3203"/>
      <c r="E378" s="3204"/>
      <c r="F378" s="2709">
        <v>0</v>
      </c>
      <c r="G378" s="2709">
        <f>G376</f>
        <v>469</v>
      </c>
      <c r="H378" s="2709">
        <f>SUM(H376)</f>
        <v>469</v>
      </c>
      <c r="I378" s="2708">
        <f t="shared" si="5"/>
        <v>100</v>
      </c>
      <c r="U378" s="1254">
        <f>F378</f>
        <v>0</v>
      </c>
      <c r="V378" s="1254">
        <f>G378</f>
        <v>469</v>
      </c>
      <c r="W378" s="1254">
        <f>H378</f>
        <v>469</v>
      </c>
    </row>
    <row r="379" spans="1:23" ht="13.5" thickTop="1" x14ac:dyDescent="0.2">
      <c r="R379" s="1254"/>
    </row>
    <row r="381" spans="1:23" ht="13.5" thickBot="1" x14ac:dyDescent="0.25">
      <c r="A381" s="2163" t="s">
        <v>1288</v>
      </c>
      <c r="I381" s="2699" t="s">
        <v>148</v>
      </c>
    </row>
    <row r="382" spans="1:23" s="1298" customFormat="1" thickTop="1" thickBot="1" x14ac:dyDescent="0.25">
      <c r="A382" s="1302" t="s">
        <v>565</v>
      </c>
      <c r="B382" s="1299" t="s">
        <v>149</v>
      </c>
      <c r="C382" s="1301" t="s">
        <v>150</v>
      </c>
      <c r="D382" s="1324" t="s">
        <v>639</v>
      </c>
      <c r="E382" s="1324" t="s">
        <v>151</v>
      </c>
      <c r="F382" s="1324" t="s">
        <v>569</v>
      </c>
      <c r="G382" s="1324" t="s">
        <v>570</v>
      </c>
      <c r="H382" s="2198" t="s">
        <v>797</v>
      </c>
      <c r="I382" s="2238" t="s">
        <v>798</v>
      </c>
    </row>
    <row r="383" spans="1:23" s="1292" customFormat="1" ht="13.5" thickTop="1" thickBot="1" x14ac:dyDescent="0.25">
      <c r="A383" s="1297">
        <v>1</v>
      </c>
      <c r="B383" s="1296">
        <v>2</v>
      </c>
      <c r="C383" s="1296">
        <v>3</v>
      </c>
      <c r="D383" s="1296">
        <v>4</v>
      </c>
      <c r="E383" s="1296">
        <v>5</v>
      </c>
      <c r="F383" s="1295">
        <v>6</v>
      </c>
      <c r="G383" s="1295">
        <v>7</v>
      </c>
      <c r="H383" s="1446">
        <v>8</v>
      </c>
      <c r="I383" s="1294" t="s">
        <v>689</v>
      </c>
    </row>
    <row r="384" spans="1:23" ht="15.75" thickTop="1" x14ac:dyDescent="0.25">
      <c r="A384" s="2772">
        <v>1125</v>
      </c>
      <c r="B384" s="2771">
        <v>3122</v>
      </c>
      <c r="C384" s="2771">
        <v>5331</v>
      </c>
      <c r="D384" s="2770"/>
      <c r="E384" s="2769" t="s">
        <v>858</v>
      </c>
      <c r="F384" s="2768"/>
      <c r="G384" s="2768">
        <f>G385+G386</f>
        <v>2996</v>
      </c>
      <c r="H384" s="2768">
        <f>H385+H386</f>
        <v>2996</v>
      </c>
      <c r="I384" s="2767">
        <f>(H384/G384)*100</f>
        <v>100</v>
      </c>
    </row>
    <row r="385" spans="1:20" ht="14.25" x14ac:dyDescent="0.2">
      <c r="A385" s="2714"/>
      <c r="B385" s="2713"/>
      <c r="C385" s="2713"/>
      <c r="D385" s="2191" t="s">
        <v>1811</v>
      </c>
      <c r="E385" s="2716" t="s">
        <v>717</v>
      </c>
      <c r="F385" s="2711"/>
      <c r="G385" s="2711">
        <v>453</v>
      </c>
      <c r="H385" s="2711">
        <v>453</v>
      </c>
      <c r="I385" s="2710">
        <f>(H385/G385)*100</f>
        <v>100</v>
      </c>
    </row>
    <row r="386" spans="1:20" ht="14.25" customHeight="1" thickBot="1" x14ac:dyDescent="0.25">
      <c r="A386" s="2714"/>
      <c r="B386" s="2713"/>
      <c r="C386" s="2713"/>
      <c r="D386" s="2182" t="s">
        <v>1812</v>
      </c>
      <c r="E386" s="2712" t="s">
        <v>63</v>
      </c>
      <c r="F386" s="2711"/>
      <c r="G386" s="2711">
        <v>2543</v>
      </c>
      <c r="H386" s="2711">
        <v>2543</v>
      </c>
      <c r="I386" s="2710">
        <f>(H386/G386)*100</f>
        <v>100</v>
      </c>
    </row>
    <row r="387" spans="1:20" ht="16.5" thickTop="1" thickBot="1" x14ac:dyDescent="0.3">
      <c r="A387" s="3195" t="s">
        <v>1000</v>
      </c>
      <c r="B387" s="3196"/>
      <c r="C387" s="3196"/>
      <c r="D387" s="3196"/>
      <c r="E387" s="3196"/>
      <c r="F387" s="2709">
        <v>0</v>
      </c>
      <c r="G387" s="2709">
        <f>G384</f>
        <v>2996</v>
      </c>
      <c r="H387" s="2709">
        <f>H384</f>
        <v>2996</v>
      </c>
      <c r="I387" s="2708">
        <f>(H387/G387)*100</f>
        <v>100</v>
      </c>
      <c r="R387" s="1254">
        <f>F387</f>
        <v>0</v>
      </c>
      <c r="S387" s="1254">
        <f>G387</f>
        <v>2996</v>
      </c>
      <c r="T387" s="1254">
        <f>H387</f>
        <v>2996</v>
      </c>
    </row>
    <row r="388" spans="1:20" ht="13.5" thickTop="1" x14ac:dyDescent="0.2"/>
    <row r="390" spans="1:20" ht="13.5" thickBot="1" x14ac:dyDescent="0.25">
      <c r="A390" s="2163" t="s">
        <v>1083</v>
      </c>
      <c r="I390" s="2699" t="s">
        <v>148</v>
      </c>
    </row>
    <row r="391" spans="1:20" s="1298" customFormat="1" thickTop="1" thickBot="1" x14ac:dyDescent="0.25">
      <c r="A391" s="1302" t="s">
        <v>565</v>
      </c>
      <c r="B391" s="1299" t="s">
        <v>149</v>
      </c>
      <c r="C391" s="1301" t="s">
        <v>150</v>
      </c>
      <c r="D391" s="1324" t="s">
        <v>639</v>
      </c>
      <c r="E391" s="1324" t="s">
        <v>151</v>
      </c>
      <c r="F391" s="1324" t="s">
        <v>569</v>
      </c>
      <c r="G391" s="1324" t="s">
        <v>570</v>
      </c>
      <c r="H391" s="2198" t="s">
        <v>797</v>
      </c>
      <c r="I391" s="2238" t="s">
        <v>798</v>
      </c>
    </row>
    <row r="392" spans="1:20" s="1292" customFormat="1" ht="13.5" thickTop="1" thickBot="1" x14ac:dyDescent="0.25">
      <c r="A392" s="1297">
        <v>1</v>
      </c>
      <c r="B392" s="1296">
        <v>2</v>
      </c>
      <c r="C392" s="1296">
        <v>3</v>
      </c>
      <c r="D392" s="1296">
        <v>4</v>
      </c>
      <c r="E392" s="1296">
        <v>5</v>
      </c>
      <c r="F392" s="1295">
        <v>6</v>
      </c>
      <c r="G392" s="1295">
        <v>7</v>
      </c>
      <c r="H392" s="1446">
        <v>8</v>
      </c>
      <c r="I392" s="1294" t="s">
        <v>689</v>
      </c>
    </row>
    <row r="393" spans="1:20" ht="15.75" thickTop="1" x14ac:dyDescent="0.25">
      <c r="A393" s="2772">
        <v>1126</v>
      </c>
      <c r="B393" s="2771">
        <v>3127</v>
      </c>
      <c r="C393" s="2771">
        <v>5331</v>
      </c>
      <c r="D393" s="2770"/>
      <c r="E393" s="2769" t="s">
        <v>858</v>
      </c>
      <c r="F393" s="2768"/>
      <c r="G393" s="2768">
        <f>G394+G395</f>
        <v>3539</v>
      </c>
      <c r="H393" s="2768">
        <f>H394+H395</f>
        <v>3539</v>
      </c>
      <c r="I393" s="2767">
        <f>(H393/G393)*100</f>
        <v>100</v>
      </c>
    </row>
    <row r="394" spans="1:20" ht="14.25" x14ac:dyDescent="0.2">
      <c r="A394" s="2714"/>
      <c r="B394" s="2713"/>
      <c r="C394" s="2713"/>
      <c r="D394" s="2191" t="s">
        <v>1811</v>
      </c>
      <c r="E394" s="2716" t="s">
        <v>717</v>
      </c>
      <c r="F394" s="2711"/>
      <c r="G394" s="2711">
        <v>146</v>
      </c>
      <c r="H394" s="2711">
        <v>146</v>
      </c>
      <c r="I394" s="2710">
        <f>(H394/G394)*100</f>
        <v>100</v>
      </c>
    </row>
    <row r="395" spans="1:20" ht="15" thickBot="1" x14ac:dyDescent="0.25">
      <c r="A395" s="2714"/>
      <c r="B395" s="2713"/>
      <c r="C395" s="2713"/>
      <c r="D395" s="2182" t="s">
        <v>1812</v>
      </c>
      <c r="E395" s="2712" t="s">
        <v>63</v>
      </c>
      <c r="F395" s="2711"/>
      <c r="G395" s="2711">
        <v>3393</v>
      </c>
      <c r="H395" s="2711">
        <v>3393</v>
      </c>
      <c r="I395" s="2710">
        <f>(H395/G395)*100</f>
        <v>100</v>
      </c>
    </row>
    <row r="396" spans="1:20" ht="16.5" thickTop="1" thickBot="1" x14ac:dyDescent="0.3">
      <c r="A396" s="3195" t="s">
        <v>1000</v>
      </c>
      <c r="B396" s="3196"/>
      <c r="C396" s="3196"/>
      <c r="D396" s="3196"/>
      <c r="E396" s="3196"/>
      <c r="F396" s="2709">
        <v>0</v>
      </c>
      <c r="G396" s="2709">
        <f>G393</f>
        <v>3539</v>
      </c>
      <c r="H396" s="2709">
        <f>H393</f>
        <v>3539</v>
      </c>
      <c r="I396" s="2708">
        <f>(H396/G396)*100</f>
        <v>100</v>
      </c>
      <c r="R396" s="1254">
        <f>F396</f>
        <v>0</v>
      </c>
      <c r="S396" s="1254">
        <f>G396</f>
        <v>3539</v>
      </c>
      <c r="T396" s="1254">
        <f>H396</f>
        <v>3539</v>
      </c>
    </row>
    <row r="397" spans="1:20" ht="13.5" thickTop="1" x14ac:dyDescent="0.2"/>
    <row r="398" spans="1:20" ht="13.5" thickBot="1" x14ac:dyDescent="0.25">
      <c r="A398" s="2163" t="s">
        <v>2004</v>
      </c>
      <c r="I398" s="2699" t="s">
        <v>148</v>
      </c>
    </row>
    <row r="399" spans="1:20" s="1298" customFormat="1" thickTop="1" thickBot="1" x14ac:dyDescent="0.25">
      <c r="A399" s="1302" t="s">
        <v>565</v>
      </c>
      <c r="B399" s="1299" t="s">
        <v>149</v>
      </c>
      <c r="C399" s="1301" t="s">
        <v>150</v>
      </c>
      <c r="D399" s="1324" t="s">
        <v>639</v>
      </c>
      <c r="E399" s="1324" t="s">
        <v>151</v>
      </c>
      <c r="F399" s="1324" t="s">
        <v>569</v>
      </c>
      <c r="G399" s="1324" t="s">
        <v>570</v>
      </c>
      <c r="H399" s="2198" t="s">
        <v>797</v>
      </c>
      <c r="I399" s="2238" t="s">
        <v>798</v>
      </c>
    </row>
    <row r="400" spans="1:20" s="1292" customFormat="1" ht="13.5" thickTop="1" thickBot="1" x14ac:dyDescent="0.25">
      <c r="A400" s="1297">
        <v>1</v>
      </c>
      <c r="B400" s="1296">
        <v>2</v>
      </c>
      <c r="C400" s="1296">
        <v>3</v>
      </c>
      <c r="D400" s="1296">
        <v>4</v>
      </c>
      <c r="E400" s="1296">
        <v>5</v>
      </c>
      <c r="F400" s="1295">
        <v>6</v>
      </c>
      <c r="G400" s="1295">
        <v>7</v>
      </c>
      <c r="H400" s="1446">
        <v>8</v>
      </c>
      <c r="I400" s="1294" t="s">
        <v>689</v>
      </c>
    </row>
    <row r="401" spans="1:20" ht="15.75" thickTop="1" x14ac:dyDescent="0.25">
      <c r="A401" s="2772">
        <v>1127</v>
      </c>
      <c r="B401" s="2771">
        <v>3127</v>
      </c>
      <c r="C401" s="2771">
        <v>5331</v>
      </c>
      <c r="D401" s="2770"/>
      <c r="E401" s="2769" t="s">
        <v>858</v>
      </c>
      <c r="F401" s="2768"/>
      <c r="G401" s="2768">
        <f>G402+G403+G404+G405</f>
        <v>7771</v>
      </c>
      <c r="H401" s="2768">
        <f>H402+H403+H404+H405</f>
        <v>7771</v>
      </c>
      <c r="I401" s="2767">
        <f>(H401/G401)*100</f>
        <v>100</v>
      </c>
    </row>
    <row r="402" spans="1:20" ht="14.25" x14ac:dyDescent="0.2">
      <c r="A402" s="2714"/>
      <c r="B402" s="2713"/>
      <c r="C402" s="2713"/>
      <c r="D402" s="2194" t="s">
        <v>1811</v>
      </c>
      <c r="E402" s="2716" t="s">
        <v>717</v>
      </c>
      <c r="F402" s="2711"/>
      <c r="G402" s="2711">
        <v>1326</v>
      </c>
      <c r="H402" s="2711">
        <v>1326</v>
      </c>
      <c r="I402" s="2710">
        <f>(H402/G402)*100</f>
        <v>100</v>
      </c>
    </row>
    <row r="403" spans="1:20" ht="14.25" x14ac:dyDescent="0.2">
      <c r="A403" s="2714"/>
      <c r="B403" s="2713"/>
      <c r="C403" s="2713"/>
      <c r="D403" s="2420" t="s">
        <v>1951</v>
      </c>
      <c r="E403" s="2734" t="s">
        <v>645</v>
      </c>
      <c r="F403" s="2711"/>
      <c r="G403" s="2711">
        <v>2240</v>
      </c>
      <c r="H403" s="2711">
        <v>2240</v>
      </c>
      <c r="I403" s="2710">
        <f>(H403/G403)*100</f>
        <v>100</v>
      </c>
    </row>
    <row r="404" spans="1:20" ht="14.25" x14ac:dyDescent="0.2">
      <c r="A404" s="2714"/>
      <c r="B404" s="2713"/>
      <c r="C404" s="2713"/>
      <c r="D404" s="2182" t="s">
        <v>1812</v>
      </c>
      <c r="E404" s="2712" t="s">
        <v>63</v>
      </c>
      <c r="F404" s="2711"/>
      <c r="G404" s="2711">
        <v>4150</v>
      </c>
      <c r="H404" s="2711">
        <v>4150</v>
      </c>
      <c r="I404" s="2710">
        <v>100</v>
      </c>
    </row>
    <row r="405" spans="1:20" ht="15" thickBot="1" x14ac:dyDescent="0.25">
      <c r="A405" s="2714"/>
      <c r="B405" s="2727"/>
      <c r="C405" s="2727"/>
      <c r="D405" s="2182" t="s">
        <v>1817</v>
      </c>
      <c r="E405" s="2712" t="s">
        <v>66</v>
      </c>
      <c r="F405" s="2725"/>
      <c r="G405" s="2725">
        <v>55</v>
      </c>
      <c r="H405" s="2725">
        <v>55</v>
      </c>
      <c r="I405" s="2710">
        <f>(H405/G405)*100</f>
        <v>100</v>
      </c>
    </row>
    <row r="406" spans="1:20" ht="16.5" thickTop="1" thickBot="1" x14ac:dyDescent="0.3">
      <c r="A406" s="3201" t="s">
        <v>1000</v>
      </c>
      <c r="B406" s="3196"/>
      <c r="C406" s="3196"/>
      <c r="D406" s="3196"/>
      <c r="E406" s="3196"/>
      <c r="F406" s="2709">
        <v>0</v>
      </c>
      <c r="G406" s="2709">
        <f>G401</f>
        <v>7771</v>
      </c>
      <c r="H406" s="2709">
        <f>H401</f>
        <v>7771</v>
      </c>
      <c r="I406" s="2774">
        <f>(H406/G406)*100</f>
        <v>100</v>
      </c>
      <c r="R406" s="1254">
        <f>F406</f>
        <v>0</v>
      </c>
      <c r="S406" s="1254">
        <f>G406</f>
        <v>7771</v>
      </c>
      <c r="T406" s="1254">
        <f>H406</f>
        <v>7771</v>
      </c>
    </row>
    <row r="407" spans="1:20" ht="15.75" thickTop="1" x14ac:dyDescent="0.25">
      <c r="A407" s="1417"/>
      <c r="B407" s="1417"/>
      <c r="C407" s="1417"/>
      <c r="D407" s="1417"/>
      <c r="E407" s="1417"/>
      <c r="F407" s="2764"/>
      <c r="G407" s="2764"/>
      <c r="H407" s="2764"/>
      <c r="I407" s="2763"/>
      <c r="R407" s="1254"/>
      <c r="S407" s="1254"/>
      <c r="T407" s="1254"/>
    </row>
    <row r="408" spans="1:20" ht="13.5" thickBot="1" x14ac:dyDescent="0.25">
      <c r="A408" s="2163" t="s">
        <v>1086</v>
      </c>
      <c r="I408" s="2699" t="s">
        <v>148</v>
      </c>
    </row>
    <row r="409" spans="1:20" s="1298" customFormat="1" thickTop="1" thickBot="1" x14ac:dyDescent="0.25">
      <c r="A409" s="1302" t="s">
        <v>565</v>
      </c>
      <c r="B409" s="1299" t="s">
        <v>149</v>
      </c>
      <c r="C409" s="1301" t="s">
        <v>150</v>
      </c>
      <c r="D409" s="1324" t="s">
        <v>639</v>
      </c>
      <c r="E409" s="1324" t="s">
        <v>151</v>
      </c>
      <c r="F409" s="1324" t="s">
        <v>569</v>
      </c>
      <c r="G409" s="1324" t="s">
        <v>570</v>
      </c>
      <c r="H409" s="2198" t="s">
        <v>797</v>
      </c>
      <c r="I409" s="2238" t="s">
        <v>798</v>
      </c>
    </row>
    <row r="410" spans="1:20" s="1292" customFormat="1" ht="13.5" thickTop="1" thickBot="1" x14ac:dyDescent="0.25">
      <c r="A410" s="1297">
        <v>1</v>
      </c>
      <c r="B410" s="1296">
        <v>2</v>
      </c>
      <c r="C410" s="1296">
        <v>3</v>
      </c>
      <c r="D410" s="1296">
        <v>4</v>
      </c>
      <c r="E410" s="1296">
        <v>5</v>
      </c>
      <c r="F410" s="1295">
        <v>6</v>
      </c>
      <c r="G410" s="1295">
        <v>7</v>
      </c>
      <c r="H410" s="1446">
        <v>8</v>
      </c>
      <c r="I410" s="1294" t="s">
        <v>689</v>
      </c>
    </row>
    <row r="411" spans="1:20" ht="20.25" customHeight="1" thickTop="1" x14ac:dyDescent="0.25">
      <c r="A411" s="2772">
        <v>1128</v>
      </c>
      <c r="B411" s="2771">
        <v>3127</v>
      </c>
      <c r="C411" s="2771">
        <v>5331</v>
      </c>
      <c r="D411" s="2770"/>
      <c r="E411" s="2769" t="s">
        <v>858</v>
      </c>
      <c r="F411" s="2768"/>
      <c r="G411" s="2768">
        <f>G412+G413+G414</f>
        <v>4227</v>
      </c>
      <c r="H411" s="2768">
        <f>H412+H413+H414</f>
        <v>4227</v>
      </c>
      <c r="I411" s="2767">
        <f>(H411/G411)*100</f>
        <v>100</v>
      </c>
    </row>
    <row r="412" spans="1:20" ht="14.25" x14ac:dyDescent="0.2">
      <c r="A412" s="2714"/>
      <c r="B412" s="2713"/>
      <c r="C412" s="2713"/>
      <c r="D412" s="2191" t="s">
        <v>1811</v>
      </c>
      <c r="E412" s="2716" t="s">
        <v>717</v>
      </c>
      <c r="F412" s="2711"/>
      <c r="G412" s="2711">
        <v>1253</v>
      </c>
      <c r="H412" s="2711">
        <v>1253</v>
      </c>
      <c r="I412" s="2710">
        <f>(H412/G412)*100</f>
        <v>100</v>
      </c>
    </row>
    <row r="413" spans="1:20" ht="14.25" x14ac:dyDescent="0.2">
      <c r="A413" s="2714"/>
      <c r="B413" s="2713"/>
      <c r="C413" s="2713"/>
      <c r="D413" s="2420" t="s">
        <v>1951</v>
      </c>
      <c r="E413" s="2734" t="s">
        <v>645</v>
      </c>
      <c r="F413" s="2711"/>
      <c r="G413" s="2711">
        <v>170</v>
      </c>
      <c r="H413" s="2711">
        <v>170</v>
      </c>
      <c r="I413" s="2710">
        <f>(H413/G413)*100</f>
        <v>100</v>
      </c>
    </row>
    <row r="414" spans="1:20" ht="15" thickBot="1" x14ac:dyDescent="0.25">
      <c r="A414" s="2714"/>
      <c r="B414" s="2713"/>
      <c r="C414" s="2713"/>
      <c r="D414" s="2182" t="s">
        <v>1812</v>
      </c>
      <c r="E414" s="2712" t="s">
        <v>63</v>
      </c>
      <c r="F414" s="2711"/>
      <c r="G414" s="2711">
        <v>2804</v>
      </c>
      <c r="H414" s="2711">
        <v>2804</v>
      </c>
      <c r="I414" s="2710">
        <f>(H414/G414)*100</f>
        <v>100</v>
      </c>
    </row>
    <row r="415" spans="1:20" ht="16.5" thickTop="1" thickBot="1" x14ac:dyDescent="0.3">
      <c r="A415" s="3195" t="s">
        <v>1000</v>
      </c>
      <c r="B415" s="3196"/>
      <c r="C415" s="3196"/>
      <c r="D415" s="3196"/>
      <c r="E415" s="3196"/>
      <c r="F415" s="2709">
        <v>0</v>
      </c>
      <c r="G415" s="2709">
        <f>G411</f>
        <v>4227</v>
      </c>
      <c r="H415" s="2709">
        <f>H411</f>
        <v>4227</v>
      </c>
      <c r="I415" s="2708">
        <f>(H415/G415)*100</f>
        <v>100</v>
      </c>
      <c r="R415" s="1254">
        <f>F415</f>
        <v>0</v>
      </c>
      <c r="S415" s="1254">
        <f>G415</f>
        <v>4227</v>
      </c>
      <c r="T415" s="1254">
        <f>H415</f>
        <v>4227</v>
      </c>
    </row>
    <row r="416" spans="1:20" ht="13.5" thickTop="1" x14ac:dyDescent="0.2"/>
    <row r="417" spans="1:20" ht="13.5" thickBot="1" x14ac:dyDescent="0.25">
      <c r="A417" s="2163" t="s">
        <v>370</v>
      </c>
      <c r="I417" s="2699" t="s">
        <v>148</v>
      </c>
    </row>
    <row r="418" spans="1:20" s="1298" customFormat="1" thickTop="1" thickBot="1" x14ac:dyDescent="0.25">
      <c r="A418" s="1302" t="s">
        <v>565</v>
      </c>
      <c r="B418" s="1299" t="s">
        <v>149</v>
      </c>
      <c r="C418" s="1301" t="s">
        <v>150</v>
      </c>
      <c r="D418" s="1324" t="s">
        <v>639</v>
      </c>
      <c r="E418" s="1324" t="s">
        <v>151</v>
      </c>
      <c r="F418" s="1324" t="s">
        <v>569</v>
      </c>
      <c r="G418" s="1324" t="s">
        <v>570</v>
      </c>
      <c r="H418" s="2198" t="s">
        <v>797</v>
      </c>
      <c r="I418" s="2238" t="s">
        <v>798</v>
      </c>
    </row>
    <row r="419" spans="1:20" s="1292" customFormat="1" ht="13.5" thickTop="1" thickBot="1" x14ac:dyDescent="0.25">
      <c r="A419" s="1297">
        <v>1</v>
      </c>
      <c r="B419" s="1296">
        <v>2</v>
      </c>
      <c r="C419" s="1296">
        <v>3</v>
      </c>
      <c r="D419" s="1296">
        <v>4</v>
      </c>
      <c r="E419" s="1296">
        <v>5</v>
      </c>
      <c r="F419" s="1295">
        <v>6</v>
      </c>
      <c r="G419" s="1295">
        <v>7</v>
      </c>
      <c r="H419" s="1446">
        <v>8</v>
      </c>
      <c r="I419" s="1294" t="s">
        <v>689</v>
      </c>
    </row>
    <row r="420" spans="1:20" ht="15.75" thickTop="1" x14ac:dyDescent="0.25">
      <c r="A420" s="2772">
        <v>1129</v>
      </c>
      <c r="B420" s="2771">
        <v>3122</v>
      </c>
      <c r="C420" s="2771">
        <v>5331</v>
      </c>
      <c r="D420" s="2770"/>
      <c r="E420" s="2769" t="s">
        <v>858</v>
      </c>
      <c r="F420" s="2768"/>
      <c r="G420" s="2768">
        <f>G421+G422</f>
        <v>2043</v>
      </c>
      <c r="H420" s="2768">
        <f>H421+H422</f>
        <v>2043</v>
      </c>
      <c r="I420" s="2767">
        <f>(H420/G420)*100</f>
        <v>100</v>
      </c>
    </row>
    <row r="421" spans="1:20" ht="14.25" x14ac:dyDescent="0.2">
      <c r="A421" s="2714"/>
      <c r="B421" s="2713"/>
      <c r="C421" s="2713"/>
      <c r="D421" s="2191" t="s">
        <v>1811</v>
      </c>
      <c r="E421" s="2716" t="s">
        <v>717</v>
      </c>
      <c r="F421" s="2711"/>
      <c r="G421" s="2711">
        <v>143</v>
      </c>
      <c r="H421" s="2711">
        <v>143</v>
      </c>
      <c r="I421" s="2710">
        <f>(H421/G421)*100</f>
        <v>100</v>
      </c>
    </row>
    <row r="422" spans="1:20" ht="15" thickBot="1" x14ac:dyDescent="0.25">
      <c r="A422" s="2714"/>
      <c r="B422" s="2713"/>
      <c r="C422" s="2713"/>
      <c r="D422" s="2182" t="s">
        <v>1812</v>
      </c>
      <c r="E422" s="2712" t="s">
        <v>63</v>
      </c>
      <c r="F422" s="2711"/>
      <c r="G422" s="2711">
        <v>1900</v>
      </c>
      <c r="H422" s="2711">
        <v>1900</v>
      </c>
      <c r="I422" s="2710">
        <f>(H422/G422)*100</f>
        <v>100</v>
      </c>
      <c r="J422" s="1249" t="s">
        <v>346</v>
      </c>
    </row>
    <row r="423" spans="1:20" ht="16.5" thickTop="1" thickBot="1" x14ac:dyDescent="0.3">
      <c r="A423" s="3195" t="s">
        <v>1000</v>
      </c>
      <c r="B423" s="3196"/>
      <c r="C423" s="3196"/>
      <c r="D423" s="3196"/>
      <c r="E423" s="3196"/>
      <c r="F423" s="2709">
        <f>F420</f>
        <v>0</v>
      </c>
      <c r="G423" s="2709">
        <f>G420</f>
        <v>2043</v>
      </c>
      <c r="H423" s="2709">
        <f>H420</f>
        <v>2043</v>
      </c>
      <c r="I423" s="2708">
        <f>(H423/G423)*100</f>
        <v>100</v>
      </c>
      <c r="R423" s="1254">
        <f>F423</f>
        <v>0</v>
      </c>
      <c r="S423" s="1254">
        <f>G423</f>
        <v>2043</v>
      </c>
      <c r="T423" s="1254">
        <f>H423</f>
        <v>2043</v>
      </c>
    </row>
    <row r="424" spans="1:20" ht="13.5" thickTop="1" x14ac:dyDescent="0.2"/>
    <row r="425" spans="1:20" ht="13.5" thickBot="1" x14ac:dyDescent="0.25">
      <c r="A425" s="2163" t="s">
        <v>432</v>
      </c>
      <c r="I425" s="2699" t="s">
        <v>148</v>
      </c>
    </row>
    <row r="426" spans="1:20" s="1298" customFormat="1" thickTop="1" thickBot="1" x14ac:dyDescent="0.25">
      <c r="A426" s="1302" t="s">
        <v>565</v>
      </c>
      <c r="B426" s="1299" t="s">
        <v>149</v>
      </c>
      <c r="C426" s="1301" t="s">
        <v>150</v>
      </c>
      <c r="D426" s="1324" t="s">
        <v>639</v>
      </c>
      <c r="E426" s="1324" t="s">
        <v>151</v>
      </c>
      <c r="F426" s="1324" t="s">
        <v>569</v>
      </c>
      <c r="G426" s="1324" t="s">
        <v>570</v>
      </c>
      <c r="H426" s="2198" t="s">
        <v>797</v>
      </c>
      <c r="I426" s="2238" t="s">
        <v>798</v>
      </c>
    </row>
    <row r="427" spans="1:20" s="1292" customFormat="1" ht="13.5" thickTop="1" thickBot="1" x14ac:dyDescent="0.25">
      <c r="A427" s="1297">
        <v>1</v>
      </c>
      <c r="B427" s="1296">
        <v>2</v>
      </c>
      <c r="C427" s="1296">
        <v>3</v>
      </c>
      <c r="D427" s="1296">
        <v>4</v>
      </c>
      <c r="E427" s="1296">
        <v>5</v>
      </c>
      <c r="F427" s="1295">
        <v>6</v>
      </c>
      <c r="G427" s="1295">
        <v>7</v>
      </c>
      <c r="H427" s="1446">
        <v>8</v>
      </c>
      <c r="I427" s="1294" t="s">
        <v>689</v>
      </c>
    </row>
    <row r="428" spans="1:20" ht="15.75" thickTop="1" x14ac:dyDescent="0.25">
      <c r="A428" s="2772">
        <v>1130</v>
      </c>
      <c r="B428" s="2771">
        <v>3122</v>
      </c>
      <c r="C428" s="2771">
        <v>5331</v>
      </c>
      <c r="D428" s="2770"/>
      <c r="E428" s="2769" t="s">
        <v>858</v>
      </c>
      <c r="F428" s="2768"/>
      <c r="G428" s="2768">
        <f>G429+G430</f>
        <v>2410</v>
      </c>
      <c r="H428" s="2768">
        <f>H429+H430</f>
        <v>2410</v>
      </c>
      <c r="I428" s="2767">
        <f>(H428/G428)*100</f>
        <v>100</v>
      </c>
    </row>
    <row r="429" spans="1:20" ht="14.25" x14ac:dyDescent="0.2">
      <c r="A429" s="2714"/>
      <c r="B429" s="2713"/>
      <c r="C429" s="2713"/>
      <c r="D429" s="2191" t="s">
        <v>1811</v>
      </c>
      <c r="E429" s="2716" t="s">
        <v>717</v>
      </c>
      <c r="F429" s="2711"/>
      <c r="G429" s="2711">
        <v>736</v>
      </c>
      <c r="H429" s="2711">
        <v>736</v>
      </c>
      <c r="I429" s="2710">
        <f>(H429/G429)*100</f>
        <v>100</v>
      </c>
    </row>
    <row r="430" spans="1:20" ht="15" thickBot="1" x14ac:dyDescent="0.25">
      <c r="A430" s="2714"/>
      <c r="B430" s="2713"/>
      <c r="C430" s="2713"/>
      <c r="D430" s="2182" t="s">
        <v>1812</v>
      </c>
      <c r="E430" s="2712" t="s">
        <v>63</v>
      </c>
      <c r="F430" s="2711"/>
      <c r="G430" s="2711">
        <v>1674</v>
      </c>
      <c r="H430" s="2711">
        <v>1674</v>
      </c>
      <c r="I430" s="2710">
        <f>(H430/G430)*100</f>
        <v>100</v>
      </c>
    </row>
    <row r="431" spans="1:20" ht="16.5" thickTop="1" thickBot="1" x14ac:dyDescent="0.3">
      <c r="A431" s="3195" t="s">
        <v>1000</v>
      </c>
      <c r="B431" s="3196"/>
      <c r="C431" s="3196"/>
      <c r="D431" s="3196"/>
      <c r="E431" s="3196"/>
      <c r="F431" s="2709">
        <v>0</v>
      </c>
      <c r="G431" s="2709">
        <f>G428</f>
        <v>2410</v>
      </c>
      <c r="H431" s="2709">
        <f>H428</f>
        <v>2410</v>
      </c>
      <c r="I431" s="2708">
        <f>(H431/G431)*100</f>
        <v>100</v>
      </c>
      <c r="R431" s="1254">
        <f>F431</f>
        <v>0</v>
      </c>
      <c r="S431" s="1254">
        <f>G431</f>
        <v>2410</v>
      </c>
      <c r="T431" s="1254">
        <f>H431</f>
        <v>2410</v>
      </c>
    </row>
    <row r="432" spans="1:20" ht="13.5" thickTop="1" x14ac:dyDescent="0.2"/>
    <row r="433" spans="1:23" ht="13.5" thickBot="1" x14ac:dyDescent="0.25">
      <c r="A433" s="2163" t="s">
        <v>1084</v>
      </c>
      <c r="I433" s="2699" t="s">
        <v>148</v>
      </c>
    </row>
    <row r="434" spans="1:23" s="1298" customFormat="1" thickTop="1" thickBot="1" x14ac:dyDescent="0.25">
      <c r="A434" s="1302" t="s">
        <v>565</v>
      </c>
      <c r="B434" s="1299" t="s">
        <v>149</v>
      </c>
      <c r="C434" s="1301" t="s">
        <v>150</v>
      </c>
      <c r="D434" s="1324" t="s">
        <v>639</v>
      </c>
      <c r="E434" s="1324" t="s">
        <v>151</v>
      </c>
      <c r="F434" s="1324" t="s">
        <v>569</v>
      </c>
      <c r="G434" s="1324" t="s">
        <v>570</v>
      </c>
      <c r="H434" s="2198" t="s">
        <v>797</v>
      </c>
      <c r="I434" s="2238" t="s">
        <v>798</v>
      </c>
    </row>
    <row r="435" spans="1:23" s="1292" customFormat="1" ht="13.5" thickTop="1" thickBot="1" x14ac:dyDescent="0.25">
      <c r="A435" s="1297">
        <v>1</v>
      </c>
      <c r="B435" s="1296">
        <v>2</v>
      </c>
      <c r="C435" s="1296">
        <v>3</v>
      </c>
      <c r="D435" s="1296">
        <v>4</v>
      </c>
      <c r="E435" s="1296">
        <v>5</v>
      </c>
      <c r="F435" s="1295">
        <v>6</v>
      </c>
      <c r="G435" s="1295">
        <v>7</v>
      </c>
      <c r="H435" s="1446">
        <v>8</v>
      </c>
      <c r="I435" s="1294" t="s">
        <v>689</v>
      </c>
    </row>
    <row r="436" spans="1:23" ht="15.75" thickTop="1" x14ac:dyDescent="0.25">
      <c r="A436" s="2742">
        <v>1131</v>
      </c>
      <c r="B436" s="2713">
        <v>3127</v>
      </c>
      <c r="C436" s="2727">
        <v>5331</v>
      </c>
      <c r="D436" s="2741"/>
      <c r="E436" s="2183" t="s">
        <v>858</v>
      </c>
      <c r="F436" s="2740"/>
      <c r="G436" s="2740">
        <f>G437+G438</f>
        <v>4552</v>
      </c>
      <c r="H436" s="2740">
        <f>H437+H438</f>
        <v>4552</v>
      </c>
      <c r="I436" s="2739">
        <f>(H436/G436)*100</f>
        <v>100</v>
      </c>
    </row>
    <row r="437" spans="1:23" ht="14.25" x14ac:dyDescent="0.2">
      <c r="A437" s="2742"/>
      <c r="B437" s="2713"/>
      <c r="C437" s="2727"/>
      <c r="D437" s="2194" t="s">
        <v>1811</v>
      </c>
      <c r="E437" s="2716" t="s">
        <v>717</v>
      </c>
      <c r="F437" s="2725"/>
      <c r="G437" s="2725">
        <v>760</v>
      </c>
      <c r="H437" s="2725">
        <v>760</v>
      </c>
      <c r="I437" s="2724">
        <f>(H437/G437)*100</f>
        <v>100</v>
      </c>
    </row>
    <row r="438" spans="1:23" ht="15" thickBot="1" x14ac:dyDescent="0.25">
      <c r="A438" s="2742"/>
      <c r="B438" s="2713"/>
      <c r="C438" s="2727"/>
      <c r="D438" s="2182" t="s">
        <v>1812</v>
      </c>
      <c r="E438" s="2712" t="s">
        <v>63</v>
      </c>
      <c r="F438" s="2725"/>
      <c r="G438" s="2725">
        <v>3792</v>
      </c>
      <c r="H438" s="2725">
        <v>3792</v>
      </c>
      <c r="I438" s="2724">
        <f>(H438/G438)*100</f>
        <v>100</v>
      </c>
    </row>
    <row r="439" spans="1:23" ht="16.5" thickTop="1" thickBot="1" x14ac:dyDescent="0.3">
      <c r="A439" s="3195" t="s">
        <v>1000</v>
      </c>
      <c r="B439" s="3196"/>
      <c r="C439" s="3196"/>
      <c r="D439" s="3196"/>
      <c r="E439" s="3196"/>
      <c r="F439" s="2709">
        <f>F436</f>
        <v>0</v>
      </c>
      <c r="G439" s="2709">
        <f>G436</f>
        <v>4552</v>
      </c>
      <c r="H439" s="2709">
        <f>H436</f>
        <v>4552</v>
      </c>
      <c r="I439" s="2708">
        <f>(H439/G439)*100</f>
        <v>100</v>
      </c>
      <c r="R439" s="1254">
        <f>F439</f>
        <v>0</v>
      </c>
      <c r="S439" s="1254">
        <f>G439</f>
        <v>4552</v>
      </c>
      <c r="T439" s="1254">
        <f>H439</f>
        <v>4552</v>
      </c>
    </row>
    <row r="440" spans="1:23" ht="15.75" thickTop="1" x14ac:dyDescent="0.25">
      <c r="A440" s="1417"/>
      <c r="B440" s="1417"/>
      <c r="C440" s="1417"/>
      <c r="D440" s="1417"/>
      <c r="E440" s="1417"/>
      <c r="F440" s="2701"/>
      <c r="G440" s="2701"/>
      <c r="H440" s="2701"/>
      <c r="I440" s="2700"/>
      <c r="J440" s="1254"/>
      <c r="K440" s="1254"/>
      <c r="L440" s="1254"/>
      <c r="U440" s="1254"/>
      <c r="V440" s="1254"/>
      <c r="W440" s="1254"/>
    </row>
    <row r="441" spans="1:23" ht="15" x14ac:dyDescent="0.25">
      <c r="A441" s="1417"/>
      <c r="B441" s="1417"/>
      <c r="C441" s="1417"/>
      <c r="D441" s="1417"/>
      <c r="E441" s="1417"/>
      <c r="F441" s="2701"/>
      <c r="G441" s="2701"/>
      <c r="H441" s="2701"/>
      <c r="I441" s="2700"/>
      <c r="J441" s="1254"/>
      <c r="K441" s="1254"/>
      <c r="L441" s="1254"/>
      <c r="U441" s="1254"/>
      <c r="V441" s="1254"/>
      <c r="W441" s="1254"/>
    </row>
    <row r="442" spans="1:23" ht="15.75" customHeight="1" thickBot="1" x14ac:dyDescent="0.25">
      <c r="A442" s="2163" t="s">
        <v>46</v>
      </c>
      <c r="I442" s="2699" t="s">
        <v>148</v>
      </c>
    </row>
    <row r="443" spans="1:23" s="1298" customFormat="1" ht="15.75" customHeight="1" thickTop="1" thickBot="1" x14ac:dyDescent="0.25">
      <c r="A443" s="1302" t="s">
        <v>565</v>
      </c>
      <c r="B443" s="1299" t="s">
        <v>149</v>
      </c>
      <c r="C443" s="1301" t="s">
        <v>150</v>
      </c>
      <c r="D443" s="1324" t="s">
        <v>639</v>
      </c>
      <c r="E443" s="1324" t="s">
        <v>151</v>
      </c>
      <c r="F443" s="1324" t="s">
        <v>569</v>
      </c>
      <c r="G443" s="1324" t="s">
        <v>570</v>
      </c>
      <c r="H443" s="2198" t="s">
        <v>797</v>
      </c>
      <c r="I443" s="2238" t="s">
        <v>798</v>
      </c>
    </row>
    <row r="444" spans="1:23" s="1292" customFormat="1" ht="14.25" customHeight="1" thickTop="1" thickBot="1" x14ac:dyDescent="0.25">
      <c r="A444" s="1297">
        <v>1</v>
      </c>
      <c r="B444" s="1296">
        <v>2</v>
      </c>
      <c r="C444" s="1296">
        <v>3</v>
      </c>
      <c r="D444" s="1296">
        <v>4</v>
      </c>
      <c r="E444" s="1296">
        <v>5</v>
      </c>
      <c r="F444" s="1295">
        <v>6</v>
      </c>
      <c r="G444" s="1295">
        <v>7</v>
      </c>
      <c r="H444" s="1446">
        <v>8</v>
      </c>
      <c r="I444" s="1294" t="s">
        <v>689</v>
      </c>
    </row>
    <row r="445" spans="1:23" ht="15.75" thickTop="1" x14ac:dyDescent="0.25">
      <c r="A445" s="2714">
        <v>1132</v>
      </c>
      <c r="B445" s="2713">
        <v>3127</v>
      </c>
      <c r="C445" s="2713">
        <v>5331</v>
      </c>
      <c r="D445" s="2733"/>
      <c r="E445" s="2730" t="s">
        <v>858</v>
      </c>
      <c r="F445" s="2729"/>
      <c r="G445" s="2729">
        <f>G446+G447+G448</f>
        <v>3503</v>
      </c>
      <c r="H445" s="2729">
        <f>H446+H447+H448</f>
        <v>3503</v>
      </c>
      <c r="I445" s="2732">
        <v>100</v>
      </c>
    </row>
    <row r="446" spans="1:23" ht="17.25" customHeight="1" x14ac:dyDescent="0.2">
      <c r="A446" s="2714"/>
      <c r="B446" s="2713"/>
      <c r="C446" s="2713"/>
      <c r="D446" s="2191" t="s">
        <v>1811</v>
      </c>
      <c r="E446" s="2716" t="s">
        <v>717</v>
      </c>
      <c r="F446" s="2711"/>
      <c r="G446" s="2711">
        <v>548</v>
      </c>
      <c r="H446" s="2711">
        <v>548</v>
      </c>
      <c r="I446" s="2710">
        <f>(H446/G446)*100</f>
        <v>100</v>
      </c>
    </row>
    <row r="447" spans="1:23" ht="17.25" customHeight="1" x14ac:dyDescent="0.2">
      <c r="A447" s="2714"/>
      <c r="B447" s="2713"/>
      <c r="C447" s="2713"/>
      <c r="D447" s="2420" t="s">
        <v>1951</v>
      </c>
      <c r="E447" s="2734" t="s">
        <v>645</v>
      </c>
      <c r="F447" s="2711"/>
      <c r="G447" s="2711">
        <v>827</v>
      </c>
      <c r="H447" s="2711">
        <v>827</v>
      </c>
      <c r="I447" s="2710">
        <f>(H447/G447)*100</f>
        <v>100</v>
      </c>
    </row>
    <row r="448" spans="1:23" ht="15" thickBot="1" x14ac:dyDescent="0.25">
      <c r="A448" s="2714"/>
      <c r="B448" s="2713"/>
      <c r="C448" s="2713"/>
      <c r="D448" s="2182" t="s">
        <v>1812</v>
      </c>
      <c r="E448" s="2712" t="s">
        <v>63</v>
      </c>
      <c r="F448" s="2711"/>
      <c r="G448" s="2711">
        <v>2128</v>
      </c>
      <c r="H448" s="2711">
        <v>2128</v>
      </c>
      <c r="I448" s="2710">
        <f>(H448/G448)*100</f>
        <v>100</v>
      </c>
    </row>
    <row r="449" spans="1:23" ht="18" customHeight="1" thickTop="1" thickBot="1" x14ac:dyDescent="0.3">
      <c r="A449" s="3195" t="s">
        <v>1000</v>
      </c>
      <c r="B449" s="3196"/>
      <c r="C449" s="3196"/>
      <c r="D449" s="3196"/>
      <c r="E449" s="3196"/>
      <c r="F449" s="2709">
        <v>0</v>
      </c>
      <c r="G449" s="2709">
        <f>G445</f>
        <v>3503</v>
      </c>
      <c r="H449" s="2709">
        <f>H445</f>
        <v>3503</v>
      </c>
      <c r="I449" s="2708">
        <f>(H449/G449)*100</f>
        <v>100</v>
      </c>
      <c r="R449" s="1254">
        <f>F449</f>
        <v>0</v>
      </c>
      <c r="S449" s="1254">
        <f>G449</f>
        <v>3503</v>
      </c>
      <c r="T449" s="1254">
        <f>H449</f>
        <v>3503</v>
      </c>
    </row>
    <row r="450" spans="1:23" ht="13.5" thickTop="1" x14ac:dyDescent="0.2">
      <c r="A450" s="1309"/>
      <c r="B450" s="2576"/>
      <c r="C450" s="1309"/>
      <c r="D450" s="2773"/>
      <c r="E450" s="1309"/>
    </row>
    <row r="451" spans="1:23" ht="13.5" thickBot="1" x14ac:dyDescent="0.25">
      <c r="A451" s="2163" t="s">
        <v>201</v>
      </c>
      <c r="I451" s="2699" t="s">
        <v>148</v>
      </c>
    </row>
    <row r="452" spans="1:23" s="1298" customFormat="1" thickTop="1" thickBot="1" x14ac:dyDescent="0.25">
      <c r="A452" s="1302" t="s">
        <v>565</v>
      </c>
      <c r="B452" s="1299" t="s">
        <v>149</v>
      </c>
      <c r="C452" s="1301" t="s">
        <v>150</v>
      </c>
      <c r="D452" s="1324" t="s">
        <v>639</v>
      </c>
      <c r="E452" s="1324" t="s">
        <v>151</v>
      </c>
      <c r="F452" s="1324" t="s">
        <v>569</v>
      </c>
      <c r="G452" s="1324" t="s">
        <v>570</v>
      </c>
      <c r="H452" s="2198" t="s">
        <v>797</v>
      </c>
      <c r="I452" s="2238" t="s">
        <v>798</v>
      </c>
    </row>
    <row r="453" spans="1:23" s="1292" customFormat="1" ht="13.5" thickTop="1" thickBot="1" x14ac:dyDescent="0.25">
      <c r="A453" s="1297">
        <v>1</v>
      </c>
      <c r="B453" s="1296">
        <v>2</v>
      </c>
      <c r="C453" s="1296">
        <v>3</v>
      </c>
      <c r="D453" s="1296">
        <v>4</v>
      </c>
      <c r="E453" s="1296">
        <v>5</v>
      </c>
      <c r="F453" s="1295">
        <v>6</v>
      </c>
      <c r="G453" s="1295">
        <v>7</v>
      </c>
      <c r="H453" s="1446">
        <v>8</v>
      </c>
      <c r="I453" s="1294" t="s">
        <v>689</v>
      </c>
    </row>
    <row r="454" spans="1:23" ht="15.75" thickTop="1" x14ac:dyDescent="0.25">
      <c r="A454" s="2772">
        <v>1133</v>
      </c>
      <c r="B454" s="2771">
        <v>3127</v>
      </c>
      <c r="C454" s="2771">
        <v>5331</v>
      </c>
      <c r="D454" s="2770"/>
      <c r="E454" s="2769" t="s">
        <v>858</v>
      </c>
      <c r="F454" s="2768"/>
      <c r="G454" s="2768">
        <f>G455+G456</f>
        <v>3760</v>
      </c>
      <c r="H454" s="2768">
        <f>H455+H456</f>
        <v>3760</v>
      </c>
      <c r="I454" s="2767">
        <f>(H454/G454)*100</f>
        <v>100</v>
      </c>
    </row>
    <row r="455" spans="1:23" ht="14.25" x14ac:dyDescent="0.2">
      <c r="A455" s="2714"/>
      <c r="B455" s="2713"/>
      <c r="C455" s="2713"/>
      <c r="D455" s="2191" t="s">
        <v>1811</v>
      </c>
      <c r="E455" s="2716" t="s">
        <v>717</v>
      </c>
      <c r="F455" s="2711"/>
      <c r="G455" s="2711">
        <v>426</v>
      </c>
      <c r="H455" s="2711">
        <v>426</v>
      </c>
      <c r="I455" s="2710">
        <f>(H455/G455)*100</f>
        <v>100</v>
      </c>
    </row>
    <row r="456" spans="1:23" ht="15" thickBot="1" x14ac:dyDescent="0.25">
      <c r="A456" s="2714"/>
      <c r="B456" s="2713"/>
      <c r="C456" s="2713"/>
      <c r="D456" s="2182" t="s">
        <v>1812</v>
      </c>
      <c r="E456" s="2712" t="s">
        <v>63</v>
      </c>
      <c r="F456" s="2711"/>
      <c r="G456" s="2711">
        <v>3334</v>
      </c>
      <c r="H456" s="2711">
        <v>3334</v>
      </c>
      <c r="I456" s="2710">
        <f>(H456/G456)*100</f>
        <v>100</v>
      </c>
    </row>
    <row r="457" spans="1:23" ht="16.5" thickTop="1" thickBot="1" x14ac:dyDescent="0.3">
      <c r="A457" s="3195" t="s">
        <v>1000</v>
      </c>
      <c r="B457" s="3196"/>
      <c r="C457" s="3196"/>
      <c r="D457" s="3196"/>
      <c r="E457" s="3196"/>
      <c r="F457" s="2709">
        <v>0</v>
      </c>
      <c r="G457" s="2709">
        <f>G454</f>
        <v>3760</v>
      </c>
      <c r="H457" s="2709">
        <f>H454</f>
        <v>3760</v>
      </c>
      <c r="I457" s="2708">
        <f>(H457/G457)*100</f>
        <v>100</v>
      </c>
      <c r="R457" s="1254">
        <f>F457</f>
        <v>0</v>
      </c>
      <c r="S457" s="1254">
        <f>G457</f>
        <v>3760</v>
      </c>
      <c r="T457" s="1254">
        <f>H457</f>
        <v>3760</v>
      </c>
    </row>
    <row r="458" spans="1:23" ht="15.75" thickTop="1" x14ac:dyDescent="0.25">
      <c r="A458" s="1417"/>
      <c r="B458" s="1417"/>
      <c r="C458" s="1417"/>
      <c r="D458" s="1417"/>
      <c r="E458" s="1417"/>
      <c r="F458" s="2764"/>
      <c r="G458" s="2764"/>
      <c r="H458" s="2764"/>
      <c r="I458" s="2763"/>
      <c r="J458" s="1254"/>
      <c r="K458" s="1254"/>
      <c r="L458" s="1254"/>
      <c r="R458" s="1254"/>
      <c r="S458" s="1254"/>
      <c r="T458" s="1254"/>
      <c r="U458" s="1254"/>
      <c r="V458" s="1254"/>
      <c r="W458" s="1254"/>
    </row>
    <row r="459" spans="1:23" ht="13.5" thickBot="1" x14ac:dyDescent="0.25">
      <c r="A459" s="2163" t="s">
        <v>795</v>
      </c>
      <c r="I459" s="2699" t="s">
        <v>148</v>
      </c>
    </row>
    <row r="460" spans="1:23" s="1298" customFormat="1" thickTop="1" thickBot="1" x14ac:dyDescent="0.25">
      <c r="A460" s="1302" t="s">
        <v>565</v>
      </c>
      <c r="B460" s="1299" t="s">
        <v>149</v>
      </c>
      <c r="C460" s="1301" t="s">
        <v>150</v>
      </c>
      <c r="D460" s="1324" t="s">
        <v>639</v>
      </c>
      <c r="E460" s="1324" t="s">
        <v>151</v>
      </c>
      <c r="F460" s="1324" t="s">
        <v>569</v>
      </c>
      <c r="G460" s="1324" t="s">
        <v>570</v>
      </c>
      <c r="H460" s="2198" t="s">
        <v>797</v>
      </c>
      <c r="I460" s="2238" t="s">
        <v>798</v>
      </c>
    </row>
    <row r="461" spans="1:23" s="1292" customFormat="1" ht="13.5" thickTop="1" thickBot="1" x14ac:dyDescent="0.25">
      <c r="A461" s="1297">
        <v>1</v>
      </c>
      <c r="B461" s="1296">
        <v>2</v>
      </c>
      <c r="C461" s="1296">
        <v>3</v>
      </c>
      <c r="D461" s="1296">
        <v>4</v>
      </c>
      <c r="E461" s="1296">
        <v>5</v>
      </c>
      <c r="F461" s="1295">
        <v>6</v>
      </c>
      <c r="G461" s="1295">
        <v>7</v>
      </c>
      <c r="H461" s="1446">
        <v>8</v>
      </c>
      <c r="I461" s="1294" t="s">
        <v>689</v>
      </c>
    </row>
    <row r="462" spans="1:23" ht="15.75" thickTop="1" x14ac:dyDescent="0.25">
      <c r="A462" s="2772">
        <v>1134</v>
      </c>
      <c r="B462" s="2771">
        <v>3127</v>
      </c>
      <c r="C462" s="2771">
        <v>5331</v>
      </c>
      <c r="D462" s="2770"/>
      <c r="E462" s="2769" t="s">
        <v>858</v>
      </c>
      <c r="F462" s="2768"/>
      <c r="G462" s="2768">
        <f>G463+G464+G465</f>
        <v>6681</v>
      </c>
      <c r="H462" s="2768">
        <f>H463+H464+H465</f>
        <v>6681</v>
      </c>
      <c r="I462" s="2767">
        <f>(H462/G462)*100</f>
        <v>100</v>
      </c>
    </row>
    <row r="463" spans="1:23" ht="14.25" x14ac:dyDescent="0.2">
      <c r="A463" s="2714"/>
      <c r="B463" s="2713"/>
      <c r="C463" s="2713"/>
      <c r="D463" s="2191" t="s">
        <v>1811</v>
      </c>
      <c r="E463" s="2716" t="s">
        <v>717</v>
      </c>
      <c r="F463" s="2711"/>
      <c r="G463" s="2711">
        <v>931</v>
      </c>
      <c r="H463" s="2711">
        <v>931</v>
      </c>
      <c r="I463" s="2710">
        <f>(H463/G463)*100</f>
        <v>100</v>
      </c>
    </row>
    <row r="464" spans="1:23" ht="14.25" x14ac:dyDescent="0.2">
      <c r="A464" s="2714"/>
      <c r="B464" s="2713"/>
      <c r="C464" s="2713"/>
      <c r="D464" s="2420" t="s">
        <v>1951</v>
      </c>
      <c r="E464" s="2734" t="s">
        <v>645</v>
      </c>
      <c r="F464" s="2711"/>
      <c r="G464" s="2711">
        <v>383</v>
      </c>
      <c r="H464" s="2711">
        <v>383</v>
      </c>
      <c r="I464" s="2710">
        <f>(H464/G464)*100</f>
        <v>100</v>
      </c>
    </row>
    <row r="465" spans="1:23" ht="15" thickBot="1" x14ac:dyDescent="0.25">
      <c r="A465" s="2714"/>
      <c r="B465" s="2713"/>
      <c r="C465" s="2713"/>
      <c r="D465" s="2182" t="s">
        <v>1812</v>
      </c>
      <c r="E465" s="2712" t="s">
        <v>63</v>
      </c>
      <c r="F465" s="2711"/>
      <c r="G465" s="2711">
        <v>5367</v>
      </c>
      <c r="H465" s="2711">
        <v>5367</v>
      </c>
      <c r="I465" s="2710">
        <f>(H465/G465)*100</f>
        <v>100</v>
      </c>
    </row>
    <row r="466" spans="1:23" ht="16.5" thickTop="1" thickBot="1" x14ac:dyDescent="0.3">
      <c r="A466" s="3195" t="s">
        <v>1000</v>
      </c>
      <c r="B466" s="3196"/>
      <c r="C466" s="3196"/>
      <c r="D466" s="3196"/>
      <c r="E466" s="3196"/>
      <c r="F466" s="2709">
        <v>0</v>
      </c>
      <c r="G466" s="2709">
        <f>G462</f>
        <v>6681</v>
      </c>
      <c r="H466" s="2709">
        <f>H462</f>
        <v>6681</v>
      </c>
      <c r="I466" s="2708">
        <f>(H466/G466)*100</f>
        <v>100</v>
      </c>
      <c r="R466" s="1254">
        <f>F466</f>
        <v>0</v>
      </c>
      <c r="S466" s="1254">
        <f>G466</f>
        <v>6681</v>
      </c>
      <c r="T466" s="1254">
        <f>H466</f>
        <v>6681</v>
      </c>
    </row>
    <row r="467" spans="1:23" ht="13.5" thickTop="1" x14ac:dyDescent="0.2"/>
    <row r="468" spans="1:23" ht="13.5" thickBot="1" x14ac:dyDescent="0.25">
      <c r="A468" s="2163" t="s">
        <v>1126</v>
      </c>
      <c r="I468" s="2699" t="s">
        <v>148</v>
      </c>
    </row>
    <row r="469" spans="1:23" s="1298" customFormat="1" thickTop="1" thickBot="1" x14ac:dyDescent="0.25">
      <c r="A469" s="1302" t="s">
        <v>565</v>
      </c>
      <c r="B469" s="1299" t="s">
        <v>149</v>
      </c>
      <c r="C469" s="1301" t="s">
        <v>150</v>
      </c>
      <c r="D469" s="1324" t="s">
        <v>639</v>
      </c>
      <c r="E469" s="1324" t="s">
        <v>151</v>
      </c>
      <c r="F469" s="1324" t="s">
        <v>569</v>
      </c>
      <c r="G469" s="1324" t="s">
        <v>570</v>
      </c>
      <c r="H469" s="2198" t="s">
        <v>797</v>
      </c>
      <c r="I469" s="2238" t="s">
        <v>798</v>
      </c>
    </row>
    <row r="470" spans="1:23" s="1292" customFormat="1" ht="13.5" thickTop="1" thickBot="1" x14ac:dyDescent="0.25">
      <c r="A470" s="1297">
        <v>1</v>
      </c>
      <c r="B470" s="1296">
        <v>2</v>
      </c>
      <c r="C470" s="1296">
        <v>3</v>
      </c>
      <c r="D470" s="1296">
        <v>4</v>
      </c>
      <c r="E470" s="1296">
        <v>5</v>
      </c>
      <c r="F470" s="1295">
        <v>6</v>
      </c>
      <c r="G470" s="1295">
        <v>7</v>
      </c>
      <c r="H470" s="1446">
        <v>8</v>
      </c>
      <c r="I470" s="1294" t="s">
        <v>689</v>
      </c>
    </row>
    <row r="471" spans="1:23" ht="15.75" thickTop="1" x14ac:dyDescent="0.25">
      <c r="A471" s="2772">
        <v>1135</v>
      </c>
      <c r="B471" s="2771">
        <v>3122</v>
      </c>
      <c r="C471" s="2771">
        <v>5331</v>
      </c>
      <c r="D471" s="2770"/>
      <c r="E471" s="2769" t="s">
        <v>858</v>
      </c>
      <c r="F471" s="2768"/>
      <c r="G471" s="2768">
        <f>G472+G473</f>
        <v>7290</v>
      </c>
      <c r="H471" s="2768">
        <f>H472+H473</f>
        <v>7290</v>
      </c>
      <c r="I471" s="2767">
        <f t="shared" ref="I471:I477" si="6">(H471/G471)*100</f>
        <v>100</v>
      </c>
    </row>
    <row r="472" spans="1:23" ht="14.25" x14ac:dyDescent="0.2">
      <c r="A472" s="2714"/>
      <c r="B472" s="2713"/>
      <c r="C472" s="2713"/>
      <c r="D472" s="2191" t="s">
        <v>1811</v>
      </c>
      <c r="E472" s="2716" t="s">
        <v>717</v>
      </c>
      <c r="F472" s="2711"/>
      <c r="G472" s="2711">
        <v>2624</v>
      </c>
      <c r="H472" s="2711">
        <v>2624</v>
      </c>
      <c r="I472" s="2710">
        <f t="shared" si="6"/>
        <v>100</v>
      </c>
    </row>
    <row r="473" spans="1:23" ht="15" thickBot="1" x14ac:dyDescent="0.25">
      <c r="A473" s="2714"/>
      <c r="B473" s="2713"/>
      <c r="C473" s="2713"/>
      <c r="D473" s="2182" t="s">
        <v>1812</v>
      </c>
      <c r="E473" s="2712" t="s">
        <v>63</v>
      </c>
      <c r="F473" s="2711"/>
      <c r="G473" s="2711">
        <v>4666</v>
      </c>
      <c r="H473" s="2711">
        <v>4666</v>
      </c>
      <c r="I473" s="2710">
        <f t="shared" si="6"/>
        <v>100</v>
      </c>
    </row>
    <row r="474" spans="1:23" ht="16.5" thickTop="1" thickBot="1" x14ac:dyDescent="0.3">
      <c r="A474" s="3195" t="s">
        <v>1000</v>
      </c>
      <c r="B474" s="3196"/>
      <c r="C474" s="3196"/>
      <c r="D474" s="3196"/>
      <c r="E474" s="3196"/>
      <c r="F474" s="2709">
        <v>0</v>
      </c>
      <c r="G474" s="2709">
        <f>G471</f>
        <v>7290</v>
      </c>
      <c r="H474" s="2709">
        <f>H471</f>
        <v>7290</v>
      </c>
      <c r="I474" s="2708">
        <f t="shared" si="6"/>
        <v>100</v>
      </c>
      <c r="R474" s="1254">
        <f>F474</f>
        <v>0</v>
      </c>
      <c r="S474" s="1254">
        <f>G474</f>
        <v>7290</v>
      </c>
      <c r="T474" s="1254">
        <f>H474</f>
        <v>7290</v>
      </c>
    </row>
    <row r="475" spans="1:23" ht="15.75" thickTop="1" x14ac:dyDescent="0.25">
      <c r="A475" s="2742">
        <v>1135</v>
      </c>
      <c r="B475" s="2713">
        <v>3122</v>
      </c>
      <c r="C475" s="2727">
        <v>6351</v>
      </c>
      <c r="D475" s="2741"/>
      <c r="E475" s="2183" t="s">
        <v>1053</v>
      </c>
      <c r="F475" s="2740"/>
      <c r="G475" s="2740">
        <v>1319</v>
      </c>
      <c r="H475" s="2740">
        <v>1319</v>
      </c>
      <c r="I475" s="2739">
        <f t="shared" si="6"/>
        <v>100</v>
      </c>
      <c r="R475" s="1254"/>
      <c r="S475" s="1254"/>
      <c r="T475" s="1254"/>
    </row>
    <row r="476" spans="1:23" ht="15" thickBot="1" x14ac:dyDescent="0.25">
      <c r="A476" s="2738"/>
      <c r="B476" s="2737"/>
      <c r="C476" s="1269"/>
      <c r="D476" s="2420" t="s">
        <v>1951</v>
      </c>
      <c r="E476" s="2734" t="s">
        <v>645</v>
      </c>
      <c r="F476" s="2711"/>
      <c r="G476" s="2711">
        <v>1319</v>
      </c>
      <c r="H476" s="2711">
        <v>1319</v>
      </c>
      <c r="I476" s="2710">
        <f t="shared" si="6"/>
        <v>100</v>
      </c>
      <c r="R476" s="1254"/>
      <c r="S476" s="1254"/>
      <c r="T476" s="1254"/>
    </row>
    <row r="477" spans="1:23" ht="16.5" thickTop="1" thickBot="1" x14ac:dyDescent="0.3">
      <c r="A477" s="3202" t="s">
        <v>1001</v>
      </c>
      <c r="B477" s="3203"/>
      <c r="C477" s="3203"/>
      <c r="D477" s="3203"/>
      <c r="E477" s="3204"/>
      <c r="F477" s="2709">
        <v>0</v>
      </c>
      <c r="G477" s="2709">
        <f>G475</f>
        <v>1319</v>
      </c>
      <c r="H477" s="2709">
        <f>SUM(H475)</f>
        <v>1319</v>
      </c>
      <c r="I477" s="2708">
        <f t="shared" si="6"/>
        <v>100</v>
      </c>
      <c r="U477" s="1254">
        <f>F477</f>
        <v>0</v>
      </c>
      <c r="V477" s="1254">
        <f>G477</f>
        <v>1319</v>
      </c>
      <c r="W477" s="1254">
        <f>H477</f>
        <v>1319</v>
      </c>
    </row>
    <row r="478" spans="1:23" ht="15.75" thickTop="1" x14ac:dyDescent="0.25">
      <c r="A478" s="1417"/>
      <c r="B478" s="1417"/>
      <c r="C478" s="1417"/>
      <c r="D478" s="1417"/>
      <c r="E478" s="1417"/>
      <c r="F478" s="2764"/>
      <c r="G478" s="2764"/>
      <c r="H478" s="2764"/>
      <c r="I478" s="2763"/>
      <c r="J478" s="1254"/>
      <c r="K478" s="1254"/>
      <c r="L478" s="1254"/>
      <c r="R478" s="1254"/>
      <c r="S478" s="1254"/>
      <c r="T478" s="1254"/>
      <c r="U478" s="1254"/>
      <c r="V478" s="1254"/>
      <c r="W478" s="1254"/>
    </row>
    <row r="479" spans="1:23" ht="13.5" thickBot="1" x14ac:dyDescent="0.25">
      <c r="A479" s="2163" t="s">
        <v>479</v>
      </c>
      <c r="I479" s="2699" t="s">
        <v>148</v>
      </c>
    </row>
    <row r="480" spans="1:23" s="1298" customFormat="1" thickTop="1" thickBot="1" x14ac:dyDescent="0.25">
      <c r="A480" s="1302" t="s">
        <v>565</v>
      </c>
      <c r="B480" s="1299" t="s">
        <v>149</v>
      </c>
      <c r="C480" s="1301" t="s">
        <v>150</v>
      </c>
      <c r="D480" s="1324" t="s">
        <v>639</v>
      </c>
      <c r="E480" s="1324" t="s">
        <v>151</v>
      </c>
      <c r="F480" s="1324" t="s">
        <v>569</v>
      </c>
      <c r="G480" s="1324" t="s">
        <v>570</v>
      </c>
      <c r="H480" s="2198" t="s">
        <v>797</v>
      </c>
      <c r="I480" s="2238" t="s">
        <v>798</v>
      </c>
    </row>
    <row r="481" spans="1:20" s="1292" customFormat="1" ht="13.5" thickTop="1" thickBot="1" x14ac:dyDescent="0.25">
      <c r="A481" s="1297">
        <v>1</v>
      </c>
      <c r="B481" s="1296">
        <v>2</v>
      </c>
      <c r="C481" s="1296">
        <v>3</v>
      </c>
      <c r="D481" s="1296">
        <v>4</v>
      </c>
      <c r="E481" s="1296">
        <v>5</v>
      </c>
      <c r="F481" s="1295">
        <v>6</v>
      </c>
      <c r="G481" s="1295">
        <v>7</v>
      </c>
      <c r="H481" s="1446">
        <v>8</v>
      </c>
      <c r="I481" s="1294" t="s">
        <v>689</v>
      </c>
    </row>
    <row r="482" spans="1:20" ht="15.75" thickTop="1" x14ac:dyDescent="0.25">
      <c r="A482" s="2772">
        <v>1136</v>
      </c>
      <c r="B482" s="2771">
        <v>3127</v>
      </c>
      <c r="C482" s="2771">
        <v>5331</v>
      </c>
      <c r="D482" s="2770"/>
      <c r="E482" s="2769" t="s">
        <v>858</v>
      </c>
      <c r="F482" s="2768"/>
      <c r="G482" s="2768">
        <f>G483+G484+G485</f>
        <v>5744</v>
      </c>
      <c r="H482" s="2768">
        <f>H483+H484+H485</f>
        <v>5744</v>
      </c>
      <c r="I482" s="2767">
        <f>(H482/G482)*100</f>
        <v>100</v>
      </c>
    </row>
    <row r="483" spans="1:20" ht="14.25" x14ac:dyDescent="0.2">
      <c r="A483" s="2714"/>
      <c r="B483" s="2713"/>
      <c r="C483" s="2713"/>
      <c r="D483" s="2191" t="s">
        <v>1811</v>
      </c>
      <c r="E483" s="2716" t="s">
        <v>717</v>
      </c>
      <c r="F483" s="2711"/>
      <c r="G483" s="2711">
        <v>1010</v>
      </c>
      <c r="H483" s="2711">
        <v>1010</v>
      </c>
      <c r="I483" s="2710">
        <f>(H483/G483)*100</f>
        <v>100</v>
      </c>
    </row>
    <row r="484" spans="1:20" ht="14.25" x14ac:dyDescent="0.2">
      <c r="A484" s="2714"/>
      <c r="B484" s="2713"/>
      <c r="C484" s="2713"/>
      <c r="D484" s="2420" t="s">
        <v>1951</v>
      </c>
      <c r="E484" s="2734" t="s">
        <v>645</v>
      </c>
      <c r="F484" s="2711"/>
      <c r="G484" s="2711">
        <v>450</v>
      </c>
      <c r="H484" s="2711">
        <v>450</v>
      </c>
      <c r="I484" s="2710">
        <f>(H484/G484)*100</f>
        <v>100</v>
      </c>
    </row>
    <row r="485" spans="1:20" ht="15" thickBot="1" x14ac:dyDescent="0.25">
      <c r="A485" s="2714"/>
      <c r="B485" s="2713"/>
      <c r="C485" s="2190"/>
      <c r="D485" s="2182" t="s">
        <v>1812</v>
      </c>
      <c r="E485" s="2712" t="s">
        <v>63</v>
      </c>
      <c r="F485" s="2711"/>
      <c r="G485" s="2711">
        <v>4284</v>
      </c>
      <c r="H485" s="2711">
        <v>4284</v>
      </c>
      <c r="I485" s="2710">
        <f>(H485/G485)*100</f>
        <v>100</v>
      </c>
    </row>
    <row r="486" spans="1:20" ht="16.5" thickTop="1" thickBot="1" x14ac:dyDescent="0.3">
      <c r="A486" s="3195" t="s">
        <v>1000</v>
      </c>
      <c r="B486" s="3196"/>
      <c r="C486" s="3196"/>
      <c r="D486" s="3196"/>
      <c r="E486" s="3196"/>
      <c r="F486" s="2709">
        <v>0</v>
      </c>
      <c r="G486" s="2709">
        <f>G482</f>
        <v>5744</v>
      </c>
      <c r="H486" s="2709">
        <f>H482</f>
        <v>5744</v>
      </c>
      <c r="I486" s="2708">
        <f>(H486/G486)*100</f>
        <v>100</v>
      </c>
      <c r="R486" s="1254">
        <f>F486</f>
        <v>0</v>
      </c>
      <c r="S486" s="1254">
        <f>G486</f>
        <v>5744</v>
      </c>
      <c r="T486" s="1254">
        <f>H486</f>
        <v>5744</v>
      </c>
    </row>
    <row r="487" spans="1:20" ht="15.75" thickTop="1" x14ac:dyDescent="0.25">
      <c r="A487" s="1417"/>
      <c r="B487" s="1417"/>
      <c r="C487" s="1417"/>
      <c r="D487" s="1417"/>
      <c r="E487" s="1417"/>
      <c r="F487" s="2701"/>
      <c r="G487" s="2701"/>
      <c r="H487" s="2701"/>
      <c r="I487" s="2700"/>
      <c r="R487" s="1254"/>
      <c r="S487" s="1254"/>
      <c r="T487" s="1254"/>
    </row>
    <row r="488" spans="1:20" ht="13.5" thickBot="1" x14ac:dyDescent="0.25">
      <c r="A488" s="2163" t="s">
        <v>470</v>
      </c>
      <c r="I488" s="2699" t="s">
        <v>148</v>
      </c>
    </row>
    <row r="489" spans="1:20" s="1298" customFormat="1" thickTop="1" thickBot="1" x14ac:dyDescent="0.25">
      <c r="A489" s="1302" t="s">
        <v>565</v>
      </c>
      <c r="B489" s="1299" t="s">
        <v>149</v>
      </c>
      <c r="C489" s="1301" t="s">
        <v>150</v>
      </c>
      <c r="D489" s="1324" t="s">
        <v>639</v>
      </c>
      <c r="E489" s="1324" t="s">
        <v>151</v>
      </c>
      <c r="F489" s="1324" t="s">
        <v>569</v>
      </c>
      <c r="G489" s="1324" t="s">
        <v>570</v>
      </c>
      <c r="H489" s="2198" t="s">
        <v>797</v>
      </c>
      <c r="I489" s="2238" t="s">
        <v>798</v>
      </c>
    </row>
    <row r="490" spans="1:20" s="1292" customFormat="1" ht="13.5" thickTop="1" thickBot="1" x14ac:dyDescent="0.25">
      <c r="A490" s="1297">
        <v>1</v>
      </c>
      <c r="B490" s="1296">
        <v>2</v>
      </c>
      <c r="C490" s="1296">
        <v>3</v>
      </c>
      <c r="D490" s="1296">
        <v>4</v>
      </c>
      <c r="E490" s="1296">
        <v>5</v>
      </c>
      <c r="F490" s="1295">
        <v>6</v>
      </c>
      <c r="G490" s="1295">
        <v>7</v>
      </c>
      <c r="H490" s="1446">
        <v>8</v>
      </c>
      <c r="I490" s="1294" t="s">
        <v>689</v>
      </c>
    </row>
    <row r="491" spans="1:20" ht="15.75" thickTop="1" x14ac:dyDescent="0.25">
      <c r="A491" s="2772">
        <v>1137</v>
      </c>
      <c r="B491" s="2771">
        <v>3122</v>
      </c>
      <c r="C491" s="2771">
        <v>5331</v>
      </c>
      <c r="D491" s="2770"/>
      <c r="E491" s="2769" t="s">
        <v>858</v>
      </c>
      <c r="F491" s="2768"/>
      <c r="G491" s="2768">
        <f>G492+G493</f>
        <v>1632</v>
      </c>
      <c r="H491" s="2768">
        <f>H492+H493</f>
        <v>1632</v>
      </c>
      <c r="I491" s="2767">
        <f>(H491/G491)*100</f>
        <v>100</v>
      </c>
    </row>
    <row r="492" spans="1:20" ht="14.25" x14ac:dyDescent="0.2">
      <c r="A492" s="2714"/>
      <c r="B492" s="2713"/>
      <c r="C492" s="2713"/>
      <c r="D492" s="2191" t="s">
        <v>1811</v>
      </c>
      <c r="E492" s="2716" t="s">
        <v>717</v>
      </c>
      <c r="F492" s="2711"/>
      <c r="G492" s="2711">
        <v>308</v>
      </c>
      <c r="H492" s="2711">
        <v>308</v>
      </c>
      <c r="I492" s="2710">
        <f>(H492/G492)*100</f>
        <v>100</v>
      </c>
    </row>
    <row r="493" spans="1:20" ht="15" thickBot="1" x14ac:dyDescent="0.25">
      <c r="A493" s="2714"/>
      <c r="B493" s="2713"/>
      <c r="C493" s="2713"/>
      <c r="D493" s="2182" t="s">
        <v>1812</v>
      </c>
      <c r="E493" s="2712" t="s">
        <v>63</v>
      </c>
      <c r="F493" s="2711"/>
      <c r="G493" s="2711">
        <v>1324</v>
      </c>
      <c r="H493" s="2711">
        <v>1324</v>
      </c>
      <c r="I493" s="2710">
        <f>(H493/G493)*100</f>
        <v>100</v>
      </c>
    </row>
    <row r="494" spans="1:20" ht="16.5" thickTop="1" thickBot="1" x14ac:dyDescent="0.3">
      <c r="A494" s="3195" t="s">
        <v>1000</v>
      </c>
      <c r="B494" s="3196"/>
      <c r="C494" s="3196"/>
      <c r="D494" s="3196"/>
      <c r="E494" s="3196"/>
      <c r="F494" s="2709">
        <v>0</v>
      </c>
      <c r="G494" s="2709">
        <f>G491</f>
        <v>1632</v>
      </c>
      <c r="H494" s="2709">
        <f>H491</f>
        <v>1632</v>
      </c>
      <c r="I494" s="2708">
        <f>(H494/G494)*100</f>
        <v>100</v>
      </c>
      <c r="R494" s="1254">
        <f>F494</f>
        <v>0</v>
      </c>
      <c r="S494" s="1254">
        <f>G494</f>
        <v>1632</v>
      </c>
      <c r="T494" s="1254">
        <f>H494</f>
        <v>1632</v>
      </c>
    </row>
    <row r="495" spans="1:20" ht="13.5" thickTop="1" x14ac:dyDescent="0.2"/>
    <row r="496" spans="1:20" ht="13.5" thickBot="1" x14ac:dyDescent="0.25">
      <c r="A496" s="2163" t="s">
        <v>471</v>
      </c>
      <c r="I496" s="2699" t="s">
        <v>148</v>
      </c>
    </row>
    <row r="497" spans="1:23" s="1298" customFormat="1" thickTop="1" thickBot="1" x14ac:dyDescent="0.25">
      <c r="A497" s="1302" t="s">
        <v>565</v>
      </c>
      <c r="B497" s="1299" t="s">
        <v>149</v>
      </c>
      <c r="C497" s="1301" t="s">
        <v>150</v>
      </c>
      <c r="D497" s="1324" t="s">
        <v>639</v>
      </c>
      <c r="E497" s="1324" t="s">
        <v>151</v>
      </c>
      <c r="F497" s="1324" t="s">
        <v>569</v>
      </c>
      <c r="G497" s="1324" t="s">
        <v>570</v>
      </c>
      <c r="H497" s="2198" t="s">
        <v>797</v>
      </c>
      <c r="I497" s="2238" t="s">
        <v>798</v>
      </c>
    </row>
    <row r="498" spans="1:23" s="1292" customFormat="1" ht="13.5" thickTop="1" thickBot="1" x14ac:dyDescent="0.25">
      <c r="A498" s="1297">
        <v>1</v>
      </c>
      <c r="B498" s="1296">
        <v>2</v>
      </c>
      <c r="C498" s="1296">
        <v>3</v>
      </c>
      <c r="D498" s="1296">
        <v>4</v>
      </c>
      <c r="E498" s="1296">
        <v>5</v>
      </c>
      <c r="F498" s="1295">
        <v>6</v>
      </c>
      <c r="G498" s="1295">
        <v>7</v>
      </c>
      <c r="H498" s="1446">
        <v>8</v>
      </c>
      <c r="I498" s="1294" t="s">
        <v>689</v>
      </c>
    </row>
    <row r="499" spans="1:23" ht="20.25" customHeight="1" thickTop="1" x14ac:dyDescent="0.25">
      <c r="A499" s="2772">
        <v>1138</v>
      </c>
      <c r="B499" s="2771">
        <v>3122</v>
      </c>
      <c r="C499" s="2771">
        <v>5331</v>
      </c>
      <c r="D499" s="2770"/>
      <c r="E499" s="2769" t="s">
        <v>858</v>
      </c>
      <c r="F499" s="2768"/>
      <c r="G499" s="2768">
        <f>G500+G501</f>
        <v>2951</v>
      </c>
      <c r="H499" s="2768">
        <f>H500+H501</f>
        <v>2951</v>
      </c>
      <c r="I499" s="2767">
        <f t="shared" ref="I499:I505" si="7">(H499/G499)*100</f>
        <v>100</v>
      </c>
    </row>
    <row r="500" spans="1:23" ht="14.25" x14ac:dyDescent="0.2">
      <c r="A500" s="2714"/>
      <c r="B500" s="2713"/>
      <c r="C500" s="2713"/>
      <c r="D500" s="2191" t="s">
        <v>1811</v>
      </c>
      <c r="E500" s="2716" t="s">
        <v>717</v>
      </c>
      <c r="F500" s="2711"/>
      <c r="G500" s="2711">
        <v>635</v>
      </c>
      <c r="H500" s="2711">
        <v>635</v>
      </c>
      <c r="I500" s="2710">
        <f t="shared" si="7"/>
        <v>100</v>
      </c>
    </row>
    <row r="501" spans="1:23" ht="15" thickBot="1" x14ac:dyDescent="0.25">
      <c r="A501" s="2714"/>
      <c r="B501" s="2713"/>
      <c r="C501" s="2713"/>
      <c r="D501" s="2182" t="s">
        <v>1812</v>
      </c>
      <c r="E501" s="2712" t="s">
        <v>63</v>
      </c>
      <c r="F501" s="2711"/>
      <c r="G501" s="2711">
        <v>2316</v>
      </c>
      <c r="H501" s="2711">
        <v>2316</v>
      </c>
      <c r="I501" s="2710">
        <f t="shared" si="7"/>
        <v>100</v>
      </c>
    </row>
    <row r="502" spans="1:23" ht="16.5" thickTop="1" thickBot="1" x14ac:dyDescent="0.3">
      <c r="A502" s="3195" t="s">
        <v>1000</v>
      </c>
      <c r="B502" s="3196"/>
      <c r="C502" s="3196"/>
      <c r="D502" s="3196"/>
      <c r="E502" s="3196"/>
      <c r="F502" s="2709">
        <v>0</v>
      </c>
      <c r="G502" s="2709">
        <f>G499</f>
        <v>2951</v>
      </c>
      <c r="H502" s="2709">
        <f>H499</f>
        <v>2951</v>
      </c>
      <c r="I502" s="2708">
        <f t="shared" si="7"/>
        <v>100</v>
      </c>
      <c r="R502" s="1254">
        <f>F502</f>
        <v>0</v>
      </c>
      <c r="S502" s="1254">
        <f>G502</f>
        <v>2951</v>
      </c>
      <c r="T502" s="1254">
        <f>H502</f>
        <v>2951</v>
      </c>
    </row>
    <row r="503" spans="1:23" ht="15.75" thickTop="1" x14ac:dyDescent="0.25">
      <c r="A503" s="2742">
        <v>1138</v>
      </c>
      <c r="B503" s="2713">
        <v>3122</v>
      </c>
      <c r="C503" s="2727">
        <v>6351</v>
      </c>
      <c r="D503" s="2741"/>
      <c r="E503" s="2183" t="s">
        <v>1053</v>
      </c>
      <c r="F503" s="2740"/>
      <c r="G503" s="2740">
        <v>542</v>
      </c>
      <c r="H503" s="2740">
        <v>542</v>
      </c>
      <c r="I503" s="2739">
        <f t="shared" si="7"/>
        <v>100</v>
      </c>
      <c r="R503" s="1254"/>
      <c r="S503" s="1254"/>
      <c r="T503" s="1254"/>
    </row>
    <row r="504" spans="1:23" ht="15" thickBot="1" x14ac:dyDescent="0.25">
      <c r="A504" s="2738"/>
      <c r="B504" s="2737"/>
      <c r="C504" s="1269"/>
      <c r="D504" s="2420" t="s">
        <v>1951</v>
      </c>
      <c r="E504" s="2734" t="s">
        <v>645</v>
      </c>
      <c r="F504" s="2711"/>
      <c r="G504" s="2711">
        <v>542</v>
      </c>
      <c r="H504" s="2711">
        <v>542</v>
      </c>
      <c r="I504" s="2710">
        <f t="shared" si="7"/>
        <v>100</v>
      </c>
      <c r="R504" s="1254"/>
      <c r="S504" s="1254"/>
      <c r="T504" s="1254"/>
    </row>
    <row r="505" spans="1:23" ht="16.5" thickTop="1" thickBot="1" x14ac:dyDescent="0.3">
      <c r="A505" s="3202" t="s">
        <v>1001</v>
      </c>
      <c r="B505" s="3203"/>
      <c r="C505" s="3203"/>
      <c r="D505" s="3203"/>
      <c r="E505" s="3204"/>
      <c r="F505" s="2709">
        <v>0</v>
      </c>
      <c r="G505" s="2709">
        <f>G503</f>
        <v>542</v>
      </c>
      <c r="H505" s="2709">
        <f>SUM(H503)</f>
        <v>542</v>
      </c>
      <c r="I505" s="2708">
        <f t="shared" si="7"/>
        <v>100</v>
      </c>
      <c r="U505" s="1254">
        <f>F505</f>
        <v>0</v>
      </c>
      <c r="V505" s="1254">
        <f>G505</f>
        <v>542</v>
      </c>
      <c r="W505" s="1254">
        <f>H505</f>
        <v>542</v>
      </c>
    </row>
    <row r="506" spans="1:23" ht="13.5" customHeight="1" thickTop="1" x14ac:dyDescent="0.2"/>
    <row r="507" spans="1:23" ht="18" customHeight="1" thickBot="1" x14ac:dyDescent="0.25">
      <c r="A507" s="2163" t="s">
        <v>1749</v>
      </c>
      <c r="I507" s="2699" t="s">
        <v>148</v>
      </c>
    </row>
    <row r="508" spans="1:23" s="1298" customFormat="1" ht="18" customHeight="1" thickTop="1" thickBot="1" x14ac:dyDescent="0.25">
      <c r="A508" s="1302" t="s">
        <v>565</v>
      </c>
      <c r="B508" s="1299" t="s">
        <v>149</v>
      </c>
      <c r="C508" s="1301" t="s">
        <v>150</v>
      </c>
      <c r="D508" s="1324" t="s">
        <v>639</v>
      </c>
      <c r="E508" s="1324" t="s">
        <v>151</v>
      </c>
      <c r="F508" s="1324" t="s">
        <v>569</v>
      </c>
      <c r="G508" s="1324" t="s">
        <v>570</v>
      </c>
      <c r="H508" s="2198" t="s">
        <v>797</v>
      </c>
      <c r="I508" s="2723" t="s">
        <v>798</v>
      </c>
    </row>
    <row r="509" spans="1:23" s="1292" customFormat="1" ht="9.75" customHeight="1" thickTop="1" thickBot="1" x14ac:dyDescent="0.25">
      <c r="A509" s="1297">
        <v>1</v>
      </c>
      <c r="B509" s="1296">
        <v>2</v>
      </c>
      <c r="C509" s="1296">
        <v>3</v>
      </c>
      <c r="D509" s="1296">
        <v>4</v>
      </c>
      <c r="E509" s="1296">
        <v>5</v>
      </c>
      <c r="F509" s="1295">
        <v>6</v>
      </c>
      <c r="G509" s="1295">
        <v>7</v>
      </c>
      <c r="H509" s="1446">
        <v>8</v>
      </c>
      <c r="I509" s="1294" t="s">
        <v>689</v>
      </c>
    </row>
    <row r="510" spans="1:23" ht="15.75" thickTop="1" x14ac:dyDescent="0.25">
      <c r="A510" s="2714">
        <v>1140</v>
      </c>
      <c r="B510" s="2727">
        <v>3127</v>
      </c>
      <c r="C510" s="2727">
        <v>5331</v>
      </c>
      <c r="D510" s="2741"/>
      <c r="E510" s="2183" t="s">
        <v>858</v>
      </c>
      <c r="F510" s="2740"/>
      <c r="G510" s="2740">
        <f>G511+G512+G513</f>
        <v>10735</v>
      </c>
      <c r="H510" s="2740">
        <f>H511+H512+H513</f>
        <v>10735</v>
      </c>
      <c r="I510" s="2739">
        <f>(H510/G510)*100</f>
        <v>100</v>
      </c>
    </row>
    <row r="511" spans="1:23" ht="15" customHeight="1" x14ac:dyDescent="0.2">
      <c r="A511" s="2714"/>
      <c r="B511" s="2727"/>
      <c r="C511" s="2727"/>
      <c r="D511" s="2191" t="s">
        <v>1811</v>
      </c>
      <c r="E511" s="2716" t="s">
        <v>717</v>
      </c>
      <c r="F511" s="2725"/>
      <c r="G511" s="2725">
        <v>1768</v>
      </c>
      <c r="H511" s="2725">
        <v>1768</v>
      </c>
      <c r="I511" s="2724">
        <f>(H511/G511)*100</f>
        <v>100</v>
      </c>
    </row>
    <row r="512" spans="1:23" ht="13.15" customHeight="1" x14ac:dyDescent="0.2">
      <c r="A512" s="2714"/>
      <c r="B512" s="2727"/>
      <c r="C512" s="2727"/>
      <c r="D512" s="2420" t="s">
        <v>1951</v>
      </c>
      <c r="E512" s="2734" t="s">
        <v>645</v>
      </c>
      <c r="F512" s="2711"/>
      <c r="G512" s="2711">
        <v>535</v>
      </c>
      <c r="H512" s="2711">
        <v>535</v>
      </c>
      <c r="I512" s="2710">
        <f>(H512/G512)*100</f>
        <v>100</v>
      </c>
    </row>
    <row r="513" spans="1:20" ht="15" thickBot="1" x14ac:dyDescent="0.25">
      <c r="A513" s="2714"/>
      <c r="B513" s="2727"/>
      <c r="C513" s="2727"/>
      <c r="D513" s="2182" t="s">
        <v>1812</v>
      </c>
      <c r="E513" s="2712" t="s">
        <v>63</v>
      </c>
      <c r="F513" s="2725"/>
      <c r="G513" s="2725">
        <v>8432</v>
      </c>
      <c r="H513" s="2725">
        <v>8432</v>
      </c>
      <c r="I513" s="2724">
        <f>(H513/G513)*100</f>
        <v>100</v>
      </c>
    </row>
    <row r="514" spans="1:20" ht="18" customHeight="1" thickTop="1" thickBot="1" x14ac:dyDescent="0.3">
      <c r="A514" s="3195" t="s">
        <v>1000</v>
      </c>
      <c r="B514" s="3196"/>
      <c r="C514" s="3196"/>
      <c r="D514" s="3196"/>
      <c r="E514" s="3196"/>
      <c r="F514" s="2709">
        <v>0</v>
      </c>
      <c r="G514" s="2709">
        <f>G510</f>
        <v>10735</v>
      </c>
      <c r="H514" s="2709">
        <f>H510</f>
        <v>10735</v>
      </c>
      <c r="I514" s="2708">
        <f>(H514/G514)*100</f>
        <v>100</v>
      </c>
      <c r="R514" s="1254">
        <f>F514</f>
        <v>0</v>
      </c>
      <c r="S514" s="1254">
        <f>G514</f>
        <v>10735</v>
      </c>
      <c r="T514" s="1254">
        <f>H514</f>
        <v>10735</v>
      </c>
    </row>
    <row r="515" spans="1:20" ht="12.75" customHeight="1" thickTop="1" x14ac:dyDescent="0.25">
      <c r="A515" s="1417"/>
      <c r="B515" s="1417"/>
      <c r="C515" s="1417"/>
      <c r="D515" s="1417"/>
      <c r="E515" s="1417"/>
      <c r="F515" s="2701"/>
      <c r="G515" s="2701"/>
      <c r="H515" s="2701"/>
      <c r="I515" s="2700"/>
    </row>
    <row r="516" spans="1:20" ht="17.25" customHeight="1" thickBot="1" x14ac:dyDescent="0.25">
      <c r="A516" s="2163" t="s">
        <v>45</v>
      </c>
      <c r="I516" s="2699" t="s">
        <v>148</v>
      </c>
    </row>
    <row r="517" spans="1:20" s="1298" customFormat="1" thickTop="1" thickBot="1" x14ac:dyDescent="0.25">
      <c r="A517" s="1302" t="s">
        <v>565</v>
      </c>
      <c r="B517" s="1299" t="s">
        <v>149</v>
      </c>
      <c r="C517" s="1301" t="s">
        <v>150</v>
      </c>
      <c r="D517" s="1324" t="s">
        <v>639</v>
      </c>
      <c r="E517" s="1324" t="s">
        <v>151</v>
      </c>
      <c r="F517" s="1324" t="s">
        <v>569</v>
      </c>
      <c r="G517" s="1324" t="s">
        <v>570</v>
      </c>
      <c r="H517" s="2198" t="s">
        <v>797</v>
      </c>
      <c r="I517" s="2723" t="s">
        <v>798</v>
      </c>
    </row>
    <row r="518" spans="1:20" s="1292" customFormat="1" ht="13.5" thickTop="1" thickBot="1" x14ac:dyDescent="0.25">
      <c r="A518" s="1297">
        <v>1</v>
      </c>
      <c r="B518" s="1296">
        <v>2</v>
      </c>
      <c r="C518" s="1296">
        <v>3</v>
      </c>
      <c r="D518" s="1296">
        <v>4</v>
      </c>
      <c r="E518" s="1296">
        <v>5</v>
      </c>
      <c r="F518" s="1295">
        <v>6</v>
      </c>
      <c r="G518" s="1295">
        <v>7</v>
      </c>
      <c r="H518" s="1446">
        <v>8</v>
      </c>
      <c r="I518" s="1294" t="s">
        <v>689</v>
      </c>
    </row>
    <row r="519" spans="1:20" ht="15.75" thickTop="1" x14ac:dyDescent="0.25">
      <c r="A519" s="2722">
        <v>1142</v>
      </c>
      <c r="B519" s="2721">
        <v>3127</v>
      </c>
      <c r="C519" s="2721">
        <v>5331</v>
      </c>
      <c r="D519" s="2720"/>
      <c r="E519" s="2719" t="s">
        <v>858</v>
      </c>
      <c r="F519" s="2718"/>
      <c r="G519" s="2718">
        <f>G520+G521+G522</f>
        <v>4885</v>
      </c>
      <c r="H519" s="2718">
        <f>H520+H521+H522</f>
        <v>4885</v>
      </c>
      <c r="I519" s="2717">
        <f>(H519/G519)*100</f>
        <v>100</v>
      </c>
    </row>
    <row r="520" spans="1:20" ht="14.25" x14ac:dyDescent="0.2">
      <c r="A520" s="2714"/>
      <c r="B520" s="2713"/>
      <c r="C520" s="2713"/>
      <c r="D520" s="2191" t="s">
        <v>1811</v>
      </c>
      <c r="E520" s="2716" t="s">
        <v>717</v>
      </c>
      <c r="F520" s="2725"/>
      <c r="G520" s="2725">
        <v>1911</v>
      </c>
      <c r="H520" s="2725">
        <v>1911</v>
      </c>
      <c r="I520" s="2724">
        <f>(H520/G520)*100</f>
        <v>100</v>
      </c>
    </row>
    <row r="521" spans="1:20" ht="14.25" x14ac:dyDescent="0.2">
      <c r="A521" s="2714"/>
      <c r="B521" s="2713"/>
      <c r="C521" s="2713"/>
      <c r="D521" s="2182" t="s">
        <v>1812</v>
      </c>
      <c r="E521" s="2712" t="s">
        <v>63</v>
      </c>
      <c r="F521" s="2715"/>
      <c r="G521" s="2711">
        <v>2899</v>
      </c>
      <c r="H521" s="2711">
        <v>2899</v>
      </c>
      <c r="I521" s="2710">
        <f>(H521/G521)*100</f>
        <v>100</v>
      </c>
    </row>
    <row r="522" spans="1:20" ht="15" thickBot="1" x14ac:dyDescent="0.25">
      <c r="A522" s="2714"/>
      <c r="B522" s="2713"/>
      <c r="C522" s="2713"/>
      <c r="D522" s="2306" t="s">
        <v>1901</v>
      </c>
      <c r="E522" s="2746" t="s">
        <v>2000</v>
      </c>
      <c r="F522" s="2766"/>
      <c r="G522" s="2766">
        <v>75</v>
      </c>
      <c r="H522" s="2766">
        <v>75</v>
      </c>
      <c r="I522" s="2765">
        <f>(H522/G522)*100</f>
        <v>100</v>
      </c>
    </row>
    <row r="523" spans="1:20" ht="16.5" thickTop="1" thickBot="1" x14ac:dyDescent="0.3">
      <c r="A523" s="3195" t="s">
        <v>1000</v>
      </c>
      <c r="B523" s="3196"/>
      <c r="C523" s="3196"/>
      <c r="D523" s="3196"/>
      <c r="E523" s="3196"/>
      <c r="F523" s="2709">
        <v>0</v>
      </c>
      <c r="G523" s="2709">
        <f>G519</f>
        <v>4885</v>
      </c>
      <c r="H523" s="2709">
        <f>H519</f>
        <v>4885</v>
      </c>
      <c r="I523" s="2708">
        <f>(H523/G523)*100</f>
        <v>100</v>
      </c>
      <c r="R523" s="1254">
        <f>F523</f>
        <v>0</v>
      </c>
      <c r="S523" s="1254">
        <f>G523</f>
        <v>4885</v>
      </c>
      <c r="T523" s="1254">
        <f>H523</f>
        <v>4885</v>
      </c>
    </row>
    <row r="524" spans="1:20" ht="13.5" thickTop="1" x14ac:dyDescent="0.2"/>
    <row r="525" spans="1:20" x14ac:dyDescent="0.2">
      <c r="D525" s="2344" t="s">
        <v>473</v>
      </c>
    </row>
    <row r="526" spans="1:20" ht="13.5" thickBot="1" x14ac:dyDescent="0.25">
      <c r="A526" s="2163" t="s">
        <v>47</v>
      </c>
      <c r="I526" s="2699" t="s">
        <v>148</v>
      </c>
    </row>
    <row r="527" spans="1:20" s="1298" customFormat="1" thickTop="1" thickBot="1" x14ac:dyDescent="0.25">
      <c r="A527" s="1302" t="s">
        <v>565</v>
      </c>
      <c r="B527" s="1299" t="s">
        <v>149</v>
      </c>
      <c r="C527" s="1301" t="s">
        <v>150</v>
      </c>
      <c r="D527" s="1324" t="s">
        <v>639</v>
      </c>
      <c r="E527" s="1324" t="s">
        <v>151</v>
      </c>
      <c r="F527" s="1324" t="s">
        <v>569</v>
      </c>
      <c r="G527" s="1324" t="s">
        <v>570</v>
      </c>
      <c r="H527" s="2198" t="s">
        <v>797</v>
      </c>
      <c r="I527" s="2723" t="s">
        <v>798</v>
      </c>
    </row>
    <row r="528" spans="1:20" s="1292" customFormat="1" ht="13.5" thickTop="1" thickBot="1" x14ac:dyDescent="0.25">
      <c r="A528" s="1297">
        <v>1</v>
      </c>
      <c r="B528" s="1296">
        <v>2</v>
      </c>
      <c r="C528" s="1296">
        <v>3</v>
      </c>
      <c r="D528" s="1296">
        <v>4</v>
      </c>
      <c r="E528" s="1296">
        <v>5</v>
      </c>
      <c r="F528" s="1295">
        <v>6</v>
      </c>
      <c r="G528" s="1295">
        <v>7</v>
      </c>
      <c r="H528" s="1446">
        <v>8</v>
      </c>
      <c r="I528" s="1294" t="s">
        <v>689</v>
      </c>
    </row>
    <row r="529" spans="1:23" ht="15.75" thickTop="1" x14ac:dyDescent="0.25">
      <c r="A529" s="2879">
        <v>1150</v>
      </c>
      <c r="B529" s="2878">
        <v>3122</v>
      </c>
      <c r="C529" s="2878">
        <v>5331</v>
      </c>
      <c r="D529" s="2720"/>
      <c r="E529" s="2719" t="s">
        <v>858</v>
      </c>
      <c r="F529" s="2718"/>
      <c r="G529" s="2718">
        <f>G530+G531</f>
        <v>2603</v>
      </c>
      <c r="H529" s="2718">
        <f>H530+H531</f>
        <v>2603</v>
      </c>
      <c r="I529" s="2717">
        <f t="shared" ref="I529:I535" si="8">(H529/G529)*100</f>
        <v>100</v>
      </c>
    </row>
    <row r="530" spans="1:23" ht="14.25" x14ac:dyDescent="0.2">
      <c r="A530" s="2714"/>
      <c r="B530" s="2713"/>
      <c r="C530" s="2713"/>
      <c r="D530" s="2191" t="s">
        <v>1811</v>
      </c>
      <c r="E530" s="2716" t="s">
        <v>717</v>
      </c>
      <c r="F530" s="2715"/>
      <c r="G530" s="2711">
        <v>300</v>
      </c>
      <c r="H530" s="2711">
        <v>300</v>
      </c>
      <c r="I530" s="2710">
        <f t="shared" si="8"/>
        <v>100</v>
      </c>
    </row>
    <row r="531" spans="1:23" ht="15" thickBot="1" x14ac:dyDescent="0.25">
      <c r="A531" s="2714"/>
      <c r="B531" s="2713"/>
      <c r="C531" s="2713"/>
      <c r="D531" s="2182" t="s">
        <v>1812</v>
      </c>
      <c r="E531" s="2712" t="s">
        <v>63</v>
      </c>
      <c r="F531" s="2711"/>
      <c r="G531" s="2711">
        <v>2303</v>
      </c>
      <c r="H531" s="2711">
        <v>2303</v>
      </c>
      <c r="I531" s="2710">
        <f t="shared" si="8"/>
        <v>100</v>
      </c>
    </row>
    <row r="532" spans="1:23" ht="18" customHeight="1" thickTop="1" thickBot="1" x14ac:dyDescent="0.3">
      <c r="A532" s="3195" t="s">
        <v>1000</v>
      </c>
      <c r="B532" s="3196"/>
      <c r="C532" s="3196"/>
      <c r="D532" s="3196"/>
      <c r="E532" s="3196"/>
      <c r="F532" s="2709">
        <v>0</v>
      </c>
      <c r="G532" s="2709">
        <f>G529</f>
        <v>2603</v>
      </c>
      <c r="H532" s="2709">
        <f>H529</f>
        <v>2603</v>
      </c>
      <c r="I532" s="2708">
        <f t="shared" si="8"/>
        <v>100</v>
      </c>
      <c r="R532" s="1254">
        <f>F532</f>
        <v>0</v>
      </c>
      <c r="S532" s="1254">
        <f>G532</f>
        <v>2603</v>
      </c>
      <c r="T532" s="1254">
        <f>H532</f>
        <v>2603</v>
      </c>
    </row>
    <row r="533" spans="1:23" ht="15.75" thickTop="1" x14ac:dyDescent="0.25">
      <c r="A533" s="2742">
        <v>1150</v>
      </c>
      <c r="B533" s="2713">
        <v>3122</v>
      </c>
      <c r="C533" s="2727">
        <v>6351</v>
      </c>
      <c r="D533" s="2741"/>
      <c r="E533" s="2183" t="s">
        <v>1053</v>
      </c>
      <c r="F533" s="2740"/>
      <c r="G533" s="2740">
        <v>595</v>
      </c>
      <c r="H533" s="2740">
        <v>595</v>
      </c>
      <c r="I533" s="2739">
        <f t="shared" si="8"/>
        <v>100</v>
      </c>
      <c r="R533" s="1254"/>
      <c r="S533" s="1254"/>
      <c r="T533" s="1254"/>
    </row>
    <row r="534" spans="1:23" ht="15" thickBot="1" x14ac:dyDescent="0.25">
      <c r="A534" s="2738"/>
      <c r="B534" s="2737"/>
      <c r="C534" s="1269"/>
      <c r="D534" s="2420" t="s">
        <v>1951</v>
      </c>
      <c r="E534" s="2734" t="s">
        <v>645</v>
      </c>
      <c r="F534" s="2711"/>
      <c r="G534" s="2711">
        <v>595</v>
      </c>
      <c r="H534" s="2711">
        <v>595</v>
      </c>
      <c r="I534" s="2710">
        <f t="shared" si="8"/>
        <v>100</v>
      </c>
      <c r="R534" s="1254"/>
      <c r="S534" s="1254"/>
      <c r="T534" s="1254"/>
    </row>
    <row r="535" spans="1:23" ht="16.5" thickTop="1" thickBot="1" x14ac:dyDescent="0.3">
      <c r="A535" s="3202" t="s">
        <v>1001</v>
      </c>
      <c r="B535" s="3203"/>
      <c r="C535" s="3203"/>
      <c r="D535" s="3203"/>
      <c r="E535" s="3204"/>
      <c r="F535" s="2709">
        <v>0</v>
      </c>
      <c r="G535" s="2709">
        <f>G533</f>
        <v>595</v>
      </c>
      <c r="H535" s="2709">
        <f>SUM(H533)</f>
        <v>595</v>
      </c>
      <c r="I535" s="2708">
        <f t="shared" si="8"/>
        <v>100</v>
      </c>
      <c r="U535" s="1254">
        <f>F535</f>
        <v>0</v>
      </c>
      <c r="V535" s="1254">
        <f>G535</f>
        <v>595</v>
      </c>
      <c r="W535" s="1254">
        <f>H535</f>
        <v>595</v>
      </c>
    </row>
    <row r="536" spans="1:23" ht="15.75" thickTop="1" x14ac:dyDescent="0.25">
      <c r="A536" s="1417"/>
      <c r="B536" s="1417"/>
      <c r="C536" s="1417"/>
      <c r="D536" s="1417"/>
      <c r="E536" s="1417"/>
      <c r="F536" s="2701"/>
      <c r="G536" s="2701"/>
      <c r="H536" s="2701"/>
      <c r="I536" s="2700"/>
      <c r="R536" s="1254"/>
      <c r="S536" s="1254"/>
      <c r="T536" s="1254"/>
    </row>
    <row r="537" spans="1:23" ht="13.5" thickBot="1" x14ac:dyDescent="0.25">
      <c r="A537" s="2163" t="s">
        <v>271</v>
      </c>
      <c r="I537" s="2699" t="s">
        <v>148</v>
      </c>
    </row>
    <row r="538" spans="1:23" s="1298" customFormat="1" ht="20.25" customHeight="1" thickTop="1" thickBot="1" x14ac:dyDescent="0.25">
      <c r="A538" s="1302" t="s">
        <v>565</v>
      </c>
      <c r="B538" s="1299" t="s">
        <v>149</v>
      </c>
      <c r="C538" s="1301" t="s">
        <v>150</v>
      </c>
      <c r="D538" s="1324" t="s">
        <v>639</v>
      </c>
      <c r="E538" s="1324" t="s">
        <v>151</v>
      </c>
      <c r="F538" s="1324" t="s">
        <v>569</v>
      </c>
      <c r="G538" s="1324" t="s">
        <v>570</v>
      </c>
      <c r="H538" s="2198" t="s">
        <v>797</v>
      </c>
      <c r="I538" s="2723" t="s">
        <v>798</v>
      </c>
    </row>
    <row r="539" spans="1:23" s="1292" customFormat="1" ht="12" customHeight="1" thickTop="1" thickBot="1" x14ac:dyDescent="0.25">
      <c r="A539" s="1297">
        <v>1</v>
      </c>
      <c r="B539" s="1296">
        <v>2</v>
      </c>
      <c r="C539" s="1296">
        <v>3</v>
      </c>
      <c r="D539" s="1296">
        <v>4</v>
      </c>
      <c r="E539" s="1296">
        <v>5</v>
      </c>
      <c r="F539" s="1295">
        <v>6</v>
      </c>
      <c r="G539" s="1295">
        <v>7</v>
      </c>
      <c r="H539" s="1446">
        <v>8</v>
      </c>
      <c r="I539" s="1294" t="s">
        <v>689</v>
      </c>
    </row>
    <row r="540" spans="1:23" ht="15.75" thickTop="1" x14ac:dyDescent="0.25">
      <c r="A540" s="2722">
        <v>1151</v>
      </c>
      <c r="B540" s="2721">
        <v>3122</v>
      </c>
      <c r="C540" s="2721">
        <v>5331</v>
      </c>
      <c r="D540" s="2720"/>
      <c r="E540" s="2719" t="s">
        <v>858</v>
      </c>
      <c r="F540" s="2718"/>
      <c r="G540" s="2718">
        <f>G541+G542+G543</f>
        <v>1433</v>
      </c>
      <c r="H540" s="2718">
        <f>H541+H542+H543</f>
        <v>1433</v>
      </c>
      <c r="I540" s="2717">
        <f>(H540/G540)*100</f>
        <v>100</v>
      </c>
    </row>
    <row r="541" spans="1:23" ht="14.25" x14ac:dyDescent="0.2">
      <c r="A541" s="2714"/>
      <c r="B541" s="2713"/>
      <c r="C541" s="2713"/>
      <c r="D541" s="2191" t="s">
        <v>1811</v>
      </c>
      <c r="E541" s="2716" t="s">
        <v>717</v>
      </c>
      <c r="F541" s="2711"/>
      <c r="G541" s="2711">
        <v>70</v>
      </c>
      <c r="H541" s="2711">
        <v>70</v>
      </c>
      <c r="I541" s="2710">
        <f>(H541/G541)*100</f>
        <v>100</v>
      </c>
    </row>
    <row r="542" spans="1:23" ht="14.25" x14ac:dyDescent="0.2">
      <c r="A542" s="2714"/>
      <c r="B542" s="2713"/>
      <c r="C542" s="2713"/>
      <c r="D542" s="2420" t="s">
        <v>1951</v>
      </c>
      <c r="E542" s="2734" t="s">
        <v>645</v>
      </c>
      <c r="F542" s="2711"/>
      <c r="G542" s="2711">
        <v>530</v>
      </c>
      <c r="H542" s="2711">
        <v>530</v>
      </c>
      <c r="I542" s="2710">
        <f>(H542/G542)*100</f>
        <v>100</v>
      </c>
    </row>
    <row r="543" spans="1:23" ht="15" thickBot="1" x14ac:dyDescent="0.25">
      <c r="A543" s="2714"/>
      <c r="B543" s="2713"/>
      <c r="C543" s="2713"/>
      <c r="D543" s="2182" t="s">
        <v>1812</v>
      </c>
      <c r="E543" s="2712" t="s">
        <v>63</v>
      </c>
      <c r="F543" s="2711"/>
      <c r="G543" s="2711">
        <v>833</v>
      </c>
      <c r="H543" s="2711">
        <v>833</v>
      </c>
      <c r="I543" s="2710">
        <f>(H543/G543)*100</f>
        <v>100</v>
      </c>
    </row>
    <row r="544" spans="1:23" ht="18" customHeight="1" thickTop="1" thickBot="1" x14ac:dyDescent="0.3">
      <c r="A544" s="3195" t="s">
        <v>1000</v>
      </c>
      <c r="B544" s="3196"/>
      <c r="C544" s="3196"/>
      <c r="D544" s="3196"/>
      <c r="E544" s="3196"/>
      <c r="F544" s="2709">
        <f>SUM(F540)</f>
        <v>0</v>
      </c>
      <c r="G544" s="2709">
        <f>G540</f>
        <v>1433</v>
      </c>
      <c r="H544" s="2709">
        <f>H540</f>
        <v>1433</v>
      </c>
      <c r="I544" s="2708">
        <f>(H544/G544)*100</f>
        <v>100</v>
      </c>
      <c r="R544" s="1254">
        <f>F544</f>
        <v>0</v>
      </c>
      <c r="S544" s="1254">
        <f>G544</f>
        <v>1433</v>
      </c>
      <c r="T544" s="1254">
        <f>H544</f>
        <v>1433</v>
      </c>
    </row>
    <row r="545" spans="1:23" ht="14.25" customHeight="1" thickTop="1" x14ac:dyDescent="0.25">
      <c r="A545" s="1417"/>
      <c r="B545" s="1417"/>
      <c r="C545" s="1417"/>
      <c r="D545" s="1417"/>
      <c r="E545" s="1417"/>
      <c r="F545" s="2701"/>
      <c r="G545" s="2701"/>
      <c r="H545" s="2701"/>
      <c r="I545" s="2700"/>
      <c r="R545" s="1254"/>
      <c r="S545" s="1254"/>
      <c r="T545" s="1254"/>
    </row>
    <row r="546" spans="1:23" ht="13.5" thickBot="1" x14ac:dyDescent="0.25">
      <c r="A546" s="2163" t="s">
        <v>480</v>
      </c>
      <c r="I546" s="2699" t="s">
        <v>148</v>
      </c>
    </row>
    <row r="547" spans="1:23" s="1298" customFormat="1" thickTop="1" thickBot="1" x14ac:dyDescent="0.25">
      <c r="A547" s="1302" t="s">
        <v>565</v>
      </c>
      <c r="B547" s="1299" t="s">
        <v>149</v>
      </c>
      <c r="C547" s="1301" t="s">
        <v>150</v>
      </c>
      <c r="D547" s="1324" t="s">
        <v>639</v>
      </c>
      <c r="E547" s="1324" t="s">
        <v>151</v>
      </c>
      <c r="F547" s="1324" t="s">
        <v>569</v>
      </c>
      <c r="G547" s="1324" t="s">
        <v>570</v>
      </c>
      <c r="H547" s="2198" t="s">
        <v>797</v>
      </c>
      <c r="I547" s="2723" t="s">
        <v>798</v>
      </c>
    </row>
    <row r="548" spans="1:23" s="1292" customFormat="1" ht="12" customHeight="1" thickTop="1" thickBot="1" x14ac:dyDescent="0.25">
      <c r="A548" s="1297">
        <v>1</v>
      </c>
      <c r="B548" s="1296">
        <v>2</v>
      </c>
      <c r="C548" s="1296">
        <v>3</v>
      </c>
      <c r="D548" s="1296">
        <v>4</v>
      </c>
      <c r="E548" s="1296">
        <v>5</v>
      </c>
      <c r="F548" s="1295">
        <v>6</v>
      </c>
      <c r="G548" s="1295">
        <v>7</v>
      </c>
      <c r="H548" s="1446">
        <v>8</v>
      </c>
      <c r="I548" s="1294" t="s">
        <v>689</v>
      </c>
    </row>
    <row r="549" spans="1:23" ht="15.75" thickTop="1" x14ac:dyDescent="0.25">
      <c r="A549" s="2722">
        <v>1152</v>
      </c>
      <c r="B549" s="2721">
        <v>3122</v>
      </c>
      <c r="C549" s="2721">
        <v>5331</v>
      </c>
      <c r="D549" s="2720"/>
      <c r="E549" s="2719" t="s">
        <v>858</v>
      </c>
      <c r="F549" s="2718"/>
      <c r="G549" s="2718">
        <f>G550+G551+G552</f>
        <v>1880</v>
      </c>
      <c r="H549" s="2718">
        <f>H550+H551+H552</f>
        <v>1880</v>
      </c>
      <c r="I549" s="2717">
        <f t="shared" ref="I549:I556" si="9">(H549/G549)*100</f>
        <v>100</v>
      </c>
    </row>
    <row r="550" spans="1:23" ht="13.5" customHeight="1" x14ac:dyDescent="0.2">
      <c r="A550" s="2714"/>
      <c r="B550" s="2713"/>
      <c r="C550" s="2713"/>
      <c r="D550" s="2191" t="s">
        <v>1811</v>
      </c>
      <c r="E550" s="2716" t="s">
        <v>717</v>
      </c>
      <c r="F550" s="2711"/>
      <c r="G550" s="2711">
        <v>467</v>
      </c>
      <c r="H550" s="2711">
        <v>467</v>
      </c>
      <c r="I550" s="2710">
        <f t="shared" si="9"/>
        <v>100</v>
      </c>
    </row>
    <row r="551" spans="1:23" ht="13.5" customHeight="1" x14ac:dyDescent="0.2">
      <c r="A551" s="2714"/>
      <c r="B551" s="2713"/>
      <c r="C551" s="2713"/>
      <c r="D551" s="2420" t="s">
        <v>1951</v>
      </c>
      <c r="E551" s="2734" t="s">
        <v>645</v>
      </c>
      <c r="F551" s="2711"/>
      <c r="G551" s="2711">
        <v>204</v>
      </c>
      <c r="H551" s="2711">
        <v>204</v>
      </c>
      <c r="I551" s="2710">
        <f t="shared" si="9"/>
        <v>100</v>
      </c>
    </row>
    <row r="552" spans="1:23" ht="15" thickBot="1" x14ac:dyDescent="0.25">
      <c r="A552" s="2714"/>
      <c r="B552" s="2713"/>
      <c r="C552" s="2713"/>
      <c r="D552" s="2182" t="s">
        <v>1812</v>
      </c>
      <c r="E552" s="2712" t="s">
        <v>63</v>
      </c>
      <c r="F552" s="2711"/>
      <c r="G552" s="2711">
        <v>1209</v>
      </c>
      <c r="H552" s="2711">
        <v>1209</v>
      </c>
      <c r="I552" s="2710">
        <f t="shared" si="9"/>
        <v>100</v>
      </c>
    </row>
    <row r="553" spans="1:23" ht="15.75" customHeight="1" thickTop="1" thickBot="1" x14ac:dyDescent="0.3">
      <c r="A553" s="3195" t="s">
        <v>1000</v>
      </c>
      <c r="B553" s="3196"/>
      <c r="C553" s="3196"/>
      <c r="D553" s="3196"/>
      <c r="E553" s="3196"/>
      <c r="F553" s="2709">
        <f>F549</f>
        <v>0</v>
      </c>
      <c r="G553" s="2709">
        <f>G549</f>
        <v>1880</v>
      </c>
      <c r="H553" s="2709">
        <f>H549</f>
        <v>1880</v>
      </c>
      <c r="I553" s="2708">
        <f t="shared" si="9"/>
        <v>100</v>
      </c>
      <c r="R553" s="1254">
        <f>F553</f>
        <v>0</v>
      </c>
      <c r="S553" s="1254">
        <f>G553</f>
        <v>1880</v>
      </c>
      <c r="T553" s="1254">
        <f>H553</f>
        <v>1880</v>
      </c>
    </row>
    <row r="554" spans="1:23" ht="15.75" thickTop="1" x14ac:dyDescent="0.25">
      <c r="A554" s="2742">
        <v>1152</v>
      </c>
      <c r="B554" s="2713">
        <v>3122</v>
      </c>
      <c r="C554" s="2727">
        <v>6351</v>
      </c>
      <c r="D554" s="2741"/>
      <c r="E554" s="2183" t="s">
        <v>1053</v>
      </c>
      <c r="F554" s="2740"/>
      <c r="G554" s="2740">
        <v>78</v>
      </c>
      <c r="H554" s="2740">
        <v>78</v>
      </c>
      <c r="I554" s="2739">
        <f t="shared" si="9"/>
        <v>100</v>
      </c>
      <c r="R554" s="1254"/>
      <c r="S554" s="1254"/>
      <c r="T554" s="1254"/>
    </row>
    <row r="555" spans="1:23" ht="15" thickBot="1" x14ac:dyDescent="0.25">
      <c r="A555" s="2738"/>
      <c r="B555" s="2737"/>
      <c r="C555" s="1269"/>
      <c r="D555" s="2420" t="s">
        <v>1951</v>
      </c>
      <c r="E555" s="2734" t="s">
        <v>645</v>
      </c>
      <c r="F555" s="2711"/>
      <c r="G555" s="2711">
        <v>78</v>
      </c>
      <c r="H555" s="2711">
        <v>78</v>
      </c>
      <c r="I555" s="2710">
        <f t="shared" si="9"/>
        <v>100</v>
      </c>
      <c r="R555" s="1254"/>
      <c r="S555" s="1254"/>
      <c r="T555" s="1254"/>
    </row>
    <row r="556" spans="1:23" ht="16.5" thickTop="1" thickBot="1" x14ac:dyDescent="0.3">
      <c r="A556" s="3202" t="s">
        <v>1001</v>
      </c>
      <c r="B556" s="3203"/>
      <c r="C556" s="3203"/>
      <c r="D556" s="3203"/>
      <c r="E556" s="3204"/>
      <c r="F556" s="2709">
        <v>0</v>
      </c>
      <c r="G556" s="2709">
        <f>G554</f>
        <v>78</v>
      </c>
      <c r="H556" s="2709">
        <f>SUM(H554)</f>
        <v>78</v>
      </c>
      <c r="I556" s="2708">
        <f t="shared" si="9"/>
        <v>100</v>
      </c>
      <c r="U556" s="1254">
        <f>F556</f>
        <v>0</v>
      </c>
      <c r="V556" s="1254">
        <f>G556</f>
        <v>78</v>
      </c>
      <c r="W556" s="1254">
        <f>H556</f>
        <v>78</v>
      </c>
    </row>
    <row r="557" spans="1:23" ht="13.5" thickTop="1" x14ac:dyDescent="0.2"/>
    <row r="558" spans="1:23" ht="13.5" thickBot="1" x14ac:dyDescent="0.25">
      <c r="A558" s="2163" t="s">
        <v>162</v>
      </c>
      <c r="I558" s="2699" t="s">
        <v>148</v>
      </c>
    </row>
    <row r="559" spans="1:23" s="1298" customFormat="1" thickTop="1" thickBot="1" x14ac:dyDescent="0.25">
      <c r="A559" s="1302" t="s">
        <v>565</v>
      </c>
      <c r="B559" s="1299" t="s">
        <v>149</v>
      </c>
      <c r="C559" s="1301" t="s">
        <v>150</v>
      </c>
      <c r="D559" s="1324" t="s">
        <v>639</v>
      </c>
      <c r="E559" s="1324" t="s">
        <v>151</v>
      </c>
      <c r="F559" s="1324" t="s">
        <v>569</v>
      </c>
      <c r="G559" s="1324" t="s">
        <v>570</v>
      </c>
      <c r="H559" s="2198" t="s">
        <v>797</v>
      </c>
      <c r="I559" s="2723" t="s">
        <v>798</v>
      </c>
    </row>
    <row r="560" spans="1:23" s="1292" customFormat="1" ht="15" customHeight="1" thickTop="1" thickBot="1" x14ac:dyDescent="0.25">
      <c r="A560" s="1297">
        <v>1</v>
      </c>
      <c r="B560" s="1296">
        <v>2</v>
      </c>
      <c r="C560" s="1296">
        <v>3</v>
      </c>
      <c r="D560" s="1296">
        <v>4</v>
      </c>
      <c r="E560" s="1296">
        <v>5</v>
      </c>
      <c r="F560" s="1295">
        <v>6</v>
      </c>
      <c r="G560" s="1295">
        <v>7</v>
      </c>
      <c r="H560" s="1446">
        <v>8</v>
      </c>
      <c r="I560" s="1294" t="s">
        <v>689</v>
      </c>
    </row>
    <row r="561" spans="1:20" ht="15.75" thickTop="1" x14ac:dyDescent="0.25">
      <c r="A561" s="2722">
        <v>1153</v>
      </c>
      <c r="B561" s="2721">
        <v>3122</v>
      </c>
      <c r="C561" s="2721">
        <v>5331</v>
      </c>
      <c r="D561" s="2720"/>
      <c r="E561" s="2719" t="s">
        <v>858</v>
      </c>
      <c r="F561" s="2718"/>
      <c r="G561" s="2718">
        <f>G562+G564+G563</f>
        <v>3823</v>
      </c>
      <c r="H561" s="2718">
        <f>H562+H564+H563</f>
        <v>3823</v>
      </c>
      <c r="I561" s="2717">
        <f>(H561/G561)*100</f>
        <v>100</v>
      </c>
    </row>
    <row r="562" spans="1:20" ht="14.25" x14ac:dyDescent="0.2">
      <c r="A562" s="2714"/>
      <c r="B562" s="2713"/>
      <c r="C562" s="2713"/>
      <c r="D562" s="2191" t="s">
        <v>1811</v>
      </c>
      <c r="E562" s="2716" t="s">
        <v>717</v>
      </c>
      <c r="F562" s="2711"/>
      <c r="G562" s="2711">
        <v>1434</v>
      </c>
      <c r="H562" s="2711">
        <v>1434</v>
      </c>
      <c r="I562" s="2710">
        <f>(H562/G562)*100</f>
        <v>100</v>
      </c>
    </row>
    <row r="563" spans="1:20" ht="14.25" x14ac:dyDescent="0.2">
      <c r="A563" s="2714"/>
      <c r="B563" s="2713"/>
      <c r="C563" s="2713"/>
      <c r="D563" s="2420" t="s">
        <v>1951</v>
      </c>
      <c r="E563" s="2734" t="s">
        <v>645</v>
      </c>
      <c r="F563" s="2711"/>
      <c r="G563" s="2711">
        <v>50</v>
      </c>
      <c r="H563" s="2711">
        <v>50</v>
      </c>
      <c r="I563" s="2710">
        <f>(H563/G563)*100</f>
        <v>100</v>
      </c>
    </row>
    <row r="564" spans="1:20" ht="15" thickBot="1" x14ac:dyDescent="0.25">
      <c r="A564" s="2714"/>
      <c r="B564" s="2713"/>
      <c r="C564" s="2713"/>
      <c r="D564" s="2182" t="s">
        <v>1812</v>
      </c>
      <c r="E564" s="2712" t="s">
        <v>63</v>
      </c>
      <c r="F564" s="2711"/>
      <c r="G564" s="2711">
        <v>2339</v>
      </c>
      <c r="H564" s="2711">
        <v>2339</v>
      </c>
      <c r="I564" s="2710">
        <f>(H564/G564)*100</f>
        <v>100</v>
      </c>
    </row>
    <row r="565" spans="1:20" ht="18" customHeight="1" thickTop="1" thickBot="1" x14ac:dyDescent="0.3">
      <c r="A565" s="3195" t="s">
        <v>1000</v>
      </c>
      <c r="B565" s="3196"/>
      <c r="C565" s="3196"/>
      <c r="D565" s="3196"/>
      <c r="E565" s="3196"/>
      <c r="F565" s="2709">
        <v>0</v>
      </c>
      <c r="G565" s="2709">
        <f>G561</f>
        <v>3823</v>
      </c>
      <c r="H565" s="2709">
        <f>H561</f>
        <v>3823</v>
      </c>
      <c r="I565" s="2708">
        <f>(H565/G565)*100</f>
        <v>100</v>
      </c>
      <c r="R565" s="1254">
        <f>F565</f>
        <v>0</v>
      </c>
      <c r="S565" s="1254">
        <f>G565</f>
        <v>3823</v>
      </c>
      <c r="T565" s="1254">
        <f>H565</f>
        <v>3823</v>
      </c>
    </row>
    <row r="566" spans="1:20" ht="15.75" thickTop="1" x14ac:dyDescent="0.25">
      <c r="A566" s="1417"/>
      <c r="B566" s="1417"/>
      <c r="C566" s="1417"/>
      <c r="D566" s="1417"/>
      <c r="E566" s="1417"/>
      <c r="F566" s="2764"/>
      <c r="G566" s="2764"/>
      <c r="H566" s="2764"/>
      <c r="I566" s="2763"/>
      <c r="K566" s="1254"/>
      <c r="L566" s="1254"/>
    </row>
    <row r="567" spans="1:20" ht="13.5" thickBot="1" x14ac:dyDescent="0.25">
      <c r="A567" s="2163" t="s">
        <v>1009</v>
      </c>
      <c r="I567" s="2699" t="s">
        <v>148</v>
      </c>
    </row>
    <row r="568" spans="1:20" s="1298" customFormat="1" thickTop="1" thickBot="1" x14ac:dyDescent="0.25">
      <c r="A568" s="1302" t="s">
        <v>565</v>
      </c>
      <c r="B568" s="1299" t="s">
        <v>149</v>
      </c>
      <c r="C568" s="1301" t="s">
        <v>150</v>
      </c>
      <c r="D568" s="1324" t="s">
        <v>639</v>
      </c>
      <c r="E568" s="1324" t="s">
        <v>151</v>
      </c>
      <c r="F568" s="1324" t="s">
        <v>569</v>
      </c>
      <c r="G568" s="1324" t="s">
        <v>570</v>
      </c>
      <c r="H568" s="2198" t="s">
        <v>797</v>
      </c>
      <c r="I568" s="2723" t="s">
        <v>798</v>
      </c>
    </row>
    <row r="569" spans="1:20" s="1292" customFormat="1" ht="13.5" thickTop="1" thickBot="1" x14ac:dyDescent="0.25">
      <c r="A569" s="1297">
        <v>1</v>
      </c>
      <c r="B569" s="1296">
        <v>2</v>
      </c>
      <c r="C569" s="1296">
        <v>3</v>
      </c>
      <c r="D569" s="1296">
        <v>4</v>
      </c>
      <c r="E569" s="1296">
        <v>5</v>
      </c>
      <c r="F569" s="1295">
        <v>6</v>
      </c>
      <c r="G569" s="1295">
        <v>7</v>
      </c>
      <c r="H569" s="1446">
        <v>8</v>
      </c>
      <c r="I569" s="1294" t="s">
        <v>689</v>
      </c>
    </row>
    <row r="570" spans="1:20" ht="15.75" thickTop="1" x14ac:dyDescent="0.25">
      <c r="A570" s="2722">
        <v>1154</v>
      </c>
      <c r="B570" s="2721">
        <v>3122</v>
      </c>
      <c r="C570" s="2721">
        <v>5331</v>
      </c>
      <c r="D570" s="2720"/>
      <c r="E570" s="2719" t="s">
        <v>858</v>
      </c>
      <c r="F570" s="2718"/>
      <c r="G570" s="2718">
        <f>G571+G572+G573</f>
        <v>1926</v>
      </c>
      <c r="H570" s="2718">
        <f>H571+H572+H573</f>
        <v>1926</v>
      </c>
      <c r="I570" s="2717">
        <f>(H570/G570)*100</f>
        <v>100</v>
      </c>
    </row>
    <row r="571" spans="1:20" ht="14.25" x14ac:dyDescent="0.2">
      <c r="A571" s="2714"/>
      <c r="B571" s="2713"/>
      <c r="C571" s="2713"/>
      <c r="D571" s="2191" t="s">
        <v>1811</v>
      </c>
      <c r="E571" s="2716" t="s">
        <v>717</v>
      </c>
      <c r="F571" s="2711"/>
      <c r="G571" s="2711">
        <v>251</v>
      </c>
      <c r="H571" s="2711">
        <v>251</v>
      </c>
      <c r="I571" s="2710">
        <f>(H571/G571)*100</f>
        <v>100</v>
      </c>
    </row>
    <row r="572" spans="1:20" ht="14.25" x14ac:dyDescent="0.2">
      <c r="A572" s="2714"/>
      <c r="B572" s="2713"/>
      <c r="C572" s="2713"/>
      <c r="D572" s="2420" t="s">
        <v>1951</v>
      </c>
      <c r="E572" s="2734" t="s">
        <v>645</v>
      </c>
      <c r="F572" s="2711"/>
      <c r="G572" s="2711">
        <v>90</v>
      </c>
      <c r="H572" s="2711">
        <v>90</v>
      </c>
      <c r="I572" s="2710">
        <f>(H572/G572)*100</f>
        <v>100</v>
      </c>
    </row>
    <row r="573" spans="1:20" ht="15" thickBot="1" x14ac:dyDescent="0.25">
      <c r="A573" s="2714"/>
      <c r="B573" s="2713"/>
      <c r="C573" s="2713"/>
      <c r="D573" s="2182" t="s">
        <v>1812</v>
      </c>
      <c r="E573" s="2712" t="s">
        <v>63</v>
      </c>
      <c r="F573" s="2711"/>
      <c r="G573" s="2711">
        <v>1585</v>
      </c>
      <c r="H573" s="2711">
        <v>1585</v>
      </c>
      <c r="I573" s="2710">
        <f>(H573/G573)*100</f>
        <v>100</v>
      </c>
    </row>
    <row r="574" spans="1:20" ht="16.5" thickTop="1" thickBot="1" x14ac:dyDescent="0.3">
      <c r="A574" s="3195" t="s">
        <v>1000</v>
      </c>
      <c r="B574" s="3196"/>
      <c r="C574" s="3196"/>
      <c r="D574" s="3196"/>
      <c r="E574" s="3196"/>
      <c r="F574" s="2709">
        <f>F570</f>
        <v>0</v>
      </c>
      <c r="G574" s="2709">
        <f>G570</f>
        <v>1926</v>
      </c>
      <c r="H574" s="2709">
        <f>H570</f>
        <v>1926</v>
      </c>
      <c r="I574" s="2708">
        <f>(H574/G574)*100</f>
        <v>100</v>
      </c>
      <c r="R574" s="1254">
        <f>F574</f>
        <v>0</v>
      </c>
      <c r="S574" s="1254">
        <f>G574</f>
        <v>1926</v>
      </c>
      <c r="T574" s="1254">
        <f>H574</f>
        <v>1926</v>
      </c>
    </row>
    <row r="575" spans="1:20" ht="13.5" thickTop="1" x14ac:dyDescent="0.2"/>
    <row r="577" spans="1:20" ht="13.5" thickBot="1" x14ac:dyDescent="0.25">
      <c r="A577" s="2163" t="s">
        <v>1750</v>
      </c>
      <c r="I577" s="2699" t="s">
        <v>148</v>
      </c>
    </row>
    <row r="578" spans="1:20" s="1298" customFormat="1" ht="20.25" customHeight="1" thickTop="1" thickBot="1" x14ac:dyDescent="0.25">
      <c r="A578" s="1302" t="s">
        <v>565</v>
      </c>
      <c r="B578" s="1299" t="s">
        <v>149</v>
      </c>
      <c r="C578" s="1301" t="s">
        <v>150</v>
      </c>
      <c r="D578" s="1324" t="s">
        <v>639</v>
      </c>
      <c r="E578" s="1324" t="s">
        <v>151</v>
      </c>
      <c r="F578" s="1324" t="s">
        <v>569</v>
      </c>
      <c r="G578" s="1324" t="s">
        <v>570</v>
      </c>
      <c r="H578" s="2198" t="s">
        <v>797</v>
      </c>
      <c r="I578" s="2723" t="s">
        <v>798</v>
      </c>
    </row>
    <row r="579" spans="1:20" s="1292" customFormat="1" ht="13.5" thickTop="1" thickBot="1" x14ac:dyDescent="0.25">
      <c r="A579" s="1297">
        <v>1</v>
      </c>
      <c r="B579" s="1296">
        <v>2</v>
      </c>
      <c r="C579" s="1296">
        <v>3</v>
      </c>
      <c r="D579" s="1296">
        <v>4</v>
      </c>
      <c r="E579" s="1296">
        <v>5</v>
      </c>
      <c r="F579" s="1295">
        <v>6</v>
      </c>
      <c r="G579" s="1295">
        <v>7</v>
      </c>
      <c r="H579" s="1446">
        <v>8</v>
      </c>
      <c r="I579" s="1294" t="s">
        <v>689</v>
      </c>
    </row>
    <row r="580" spans="1:20" ht="15.75" thickTop="1" x14ac:dyDescent="0.25">
      <c r="A580" s="2722">
        <v>1160</v>
      </c>
      <c r="B580" s="2721">
        <v>3122</v>
      </c>
      <c r="C580" s="2721">
        <v>5331</v>
      </c>
      <c r="D580" s="2720"/>
      <c r="E580" s="2719" t="s">
        <v>858</v>
      </c>
      <c r="F580" s="2718"/>
      <c r="G580" s="2718">
        <f>G581+G582+G583</f>
        <v>4359</v>
      </c>
      <c r="H580" s="2718">
        <f>H581+H582+H583</f>
        <v>4359</v>
      </c>
      <c r="I580" s="2717">
        <f>(H580/G580)*100</f>
        <v>100</v>
      </c>
    </row>
    <row r="581" spans="1:20" ht="14.25" x14ac:dyDescent="0.2">
      <c r="A581" s="2714"/>
      <c r="B581" s="2713"/>
      <c r="C581" s="2713"/>
      <c r="D581" s="2191" t="s">
        <v>1811</v>
      </c>
      <c r="E581" s="2716" t="s">
        <v>717</v>
      </c>
      <c r="F581" s="2711"/>
      <c r="G581" s="2711">
        <v>580</v>
      </c>
      <c r="H581" s="2711">
        <v>580</v>
      </c>
      <c r="I581" s="2710">
        <f>(H581/G581)*100</f>
        <v>100</v>
      </c>
    </row>
    <row r="582" spans="1:20" ht="14.25" x14ac:dyDescent="0.2">
      <c r="A582" s="2714"/>
      <c r="B582" s="2713"/>
      <c r="C582" s="2713"/>
      <c r="D582" s="2182" t="s">
        <v>1812</v>
      </c>
      <c r="E582" s="2712" t="s">
        <v>63</v>
      </c>
      <c r="F582" s="2711"/>
      <c r="G582" s="2711">
        <v>3331</v>
      </c>
      <c r="H582" s="2711">
        <v>3331</v>
      </c>
      <c r="I582" s="2710">
        <f>(H582/G582)*100</f>
        <v>100</v>
      </c>
    </row>
    <row r="583" spans="1:20" ht="15" thickBot="1" x14ac:dyDescent="0.25">
      <c r="A583" s="2714"/>
      <c r="B583" s="2727"/>
      <c r="C583" s="2727"/>
      <c r="D583" s="2420" t="s">
        <v>1817</v>
      </c>
      <c r="E583" s="2638" t="s">
        <v>1160</v>
      </c>
      <c r="F583" s="2725"/>
      <c r="G583" s="2725">
        <v>448</v>
      </c>
      <c r="H583" s="2725">
        <v>448</v>
      </c>
      <c r="I583" s="2724">
        <f>(H583/G583)*100</f>
        <v>100</v>
      </c>
    </row>
    <row r="584" spans="1:20" ht="16.5" thickTop="1" thickBot="1" x14ac:dyDescent="0.3">
      <c r="A584" s="3195" t="s">
        <v>1000</v>
      </c>
      <c r="B584" s="3196"/>
      <c r="C584" s="3196"/>
      <c r="D584" s="3196"/>
      <c r="E584" s="3196"/>
      <c r="F584" s="2709">
        <v>0</v>
      </c>
      <c r="G584" s="2709">
        <f>G580</f>
        <v>4359</v>
      </c>
      <c r="H584" s="2709">
        <f>H580</f>
        <v>4359</v>
      </c>
      <c r="I584" s="2708">
        <f>(H584/G584)*100</f>
        <v>100</v>
      </c>
      <c r="R584" s="1254">
        <f>F584</f>
        <v>0</v>
      </c>
      <c r="S584" s="1254">
        <f>G584</f>
        <v>4359</v>
      </c>
      <c r="T584" s="1254">
        <f>H584</f>
        <v>4359</v>
      </c>
    </row>
    <row r="585" spans="1:20" ht="13.5" thickTop="1" x14ac:dyDescent="0.2"/>
    <row r="589" spans="1:20" ht="13.5" thickBot="1" x14ac:dyDescent="0.25">
      <c r="A589" s="2163" t="s">
        <v>163</v>
      </c>
      <c r="I589" s="2699" t="s">
        <v>148</v>
      </c>
    </row>
    <row r="590" spans="1:20" s="1298" customFormat="1" thickTop="1" thickBot="1" x14ac:dyDescent="0.25">
      <c r="A590" s="1302" t="s">
        <v>565</v>
      </c>
      <c r="B590" s="1299" t="s">
        <v>149</v>
      </c>
      <c r="C590" s="1301" t="s">
        <v>150</v>
      </c>
      <c r="D590" s="1324" t="s">
        <v>639</v>
      </c>
      <c r="E590" s="1324" t="s">
        <v>151</v>
      </c>
      <c r="F590" s="1324" t="s">
        <v>569</v>
      </c>
      <c r="G590" s="1324" t="s">
        <v>570</v>
      </c>
      <c r="H590" s="2198" t="s">
        <v>797</v>
      </c>
      <c r="I590" s="2723" t="s">
        <v>798</v>
      </c>
    </row>
    <row r="591" spans="1:20" s="1292" customFormat="1" ht="13.5" thickTop="1" thickBot="1" x14ac:dyDescent="0.25">
      <c r="A591" s="1297">
        <v>1</v>
      </c>
      <c r="B591" s="1296">
        <v>2</v>
      </c>
      <c r="C591" s="1296">
        <v>3</v>
      </c>
      <c r="D591" s="1296">
        <v>4</v>
      </c>
      <c r="E591" s="1296">
        <v>5</v>
      </c>
      <c r="F591" s="1295">
        <v>6</v>
      </c>
      <c r="G591" s="1295">
        <v>7</v>
      </c>
      <c r="H591" s="1446">
        <v>8</v>
      </c>
      <c r="I591" s="1294" t="s">
        <v>689</v>
      </c>
    </row>
    <row r="592" spans="1:20" ht="15.75" thickTop="1" x14ac:dyDescent="0.25">
      <c r="A592" s="2722">
        <v>1161</v>
      </c>
      <c r="B592" s="2721">
        <v>3122</v>
      </c>
      <c r="C592" s="2721">
        <v>5331</v>
      </c>
      <c r="D592" s="2720"/>
      <c r="E592" s="2719" t="s">
        <v>858</v>
      </c>
      <c r="F592" s="2718"/>
      <c r="G592" s="2718">
        <f>G593+G594</f>
        <v>1163</v>
      </c>
      <c r="H592" s="2718">
        <f>H593+H594</f>
        <v>1163</v>
      </c>
      <c r="I592" s="2717">
        <f>(H592/G592)*100</f>
        <v>100</v>
      </c>
    </row>
    <row r="593" spans="1:20" ht="18" customHeight="1" x14ac:dyDescent="0.2">
      <c r="A593" s="2714"/>
      <c r="B593" s="2713"/>
      <c r="C593" s="2713"/>
      <c r="D593" s="2191" t="s">
        <v>1811</v>
      </c>
      <c r="E593" s="2716" t="s">
        <v>717</v>
      </c>
      <c r="F593" s="2711"/>
      <c r="G593" s="2711">
        <v>33</v>
      </c>
      <c r="H593" s="2711">
        <v>33</v>
      </c>
      <c r="I593" s="2710">
        <f>(H593/G593)*100</f>
        <v>100</v>
      </c>
    </row>
    <row r="594" spans="1:20" ht="13.9" customHeight="1" thickBot="1" x14ac:dyDescent="0.25">
      <c r="A594" s="2714"/>
      <c r="B594" s="2713"/>
      <c r="C594" s="2713"/>
      <c r="D594" s="2182" t="s">
        <v>1812</v>
      </c>
      <c r="E594" s="2712" t="s">
        <v>63</v>
      </c>
      <c r="F594" s="2711"/>
      <c r="G594" s="2711">
        <v>1130</v>
      </c>
      <c r="H594" s="2711">
        <v>1130</v>
      </c>
      <c r="I594" s="2710">
        <f>(H594/G594)*100</f>
        <v>100</v>
      </c>
    </row>
    <row r="595" spans="1:20" ht="16.5" thickTop="1" thickBot="1" x14ac:dyDescent="0.3">
      <c r="A595" s="3195" t="s">
        <v>1000</v>
      </c>
      <c r="B595" s="3196"/>
      <c r="C595" s="3196"/>
      <c r="D595" s="3196"/>
      <c r="E595" s="3196"/>
      <c r="F595" s="2709">
        <f>SUM(F592)</f>
        <v>0</v>
      </c>
      <c r="G595" s="2709">
        <f>G592</f>
        <v>1163</v>
      </c>
      <c r="H595" s="2709">
        <f>H592</f>
        <v>1163</v>
      </c>
      <c r="I595" s="2708">
        <f>(H595/G595)*100</f>
        <v>100</v>
      </c>
      <c r="R595" s="1254">
        <f>F595</f>
        <v>0</v>
      </c>
      <c r="S595" s="1254">
        <f>G595</f>
        <v>1163</v>
      </c>
      <c r="T595" s="1254">
        <f>H595</f>
        <v>1163</v>
      </c>
    </row>
    <row r="596" spans="1:20" ht="13.5" thickTop="1" x14ac:dyDescent="0.2"/>
    <row r="597" spans="1:20" ht="13.5" thickBot="1" x14ac:dyDescent="0.25">
      <c r="A597" s="2163" t="s">
        <v>164</v>
      </c>
      <c r="I597" s="2699" t="s">
        <v>148</v>
      </c>
    </row>
    <row r="598" spans="1:20" s="1298" customFormat="1" thickTop="1" thickBot="1" x14ac:dyDescent="0.25">
      <c r="A598" s="1302" t="s">
        <v>565</v>
      </c>
      <c r="B598" s="1299" t="s">
        <v>149</v>
      </c>
      <c r="C598" s="1301" t="s">
        <v>150</v>
      </c>
      <c r="D598" s="1324" t="s">
        <v>639</v>
      </c>
      <c r="E598" s="1324" t="s">
        <v>151</v>
      </c>
      <c r="F598" s="1324" t="s">
        <v>569</v>
      </c>
      <c r="G598" s="1324" t="s">
        <v>570</v>
      </c>
      <c r="H598" s="2198" t="s">
        <v>797</v>
      </c>
      <c r="I598" s="2723" t="s">
        <v>798</v>
      </c>
    </row>
    <row r="599" spans="1:20" s="1292" customFormat="1" ht="13.5" thickTop="1" thickBot="1" x14ac:dyDescent="0.25">
      <c r="A599" s="1297">
        <v>1</v>
      </c>
      <c r="B599" s="1296">
        <v>2</v>
      </c>
      <c r="C599" s="1296">
        <v>3</v>
      </c>
      <c r="D599" s="1296">
        <v>4</v>
      </c>
      <c r="E599" s="1296">
        <v>5</v>
      </c>
      <c r="F599" s="1295">
        <v>6</v>
      </c>
      <c r="G599" s="1295">
        <v>7</v>
      </c>
      <c r="H599" s="1446">
        <v>8</v>
      </c>
      <c r="I599" s="1294" t="s">
        <v>689</v>
      </c>
    </row>
    <row r="600" spans="1:20" ht="15.75" thickTop="1" x14ac:dyDescent="0.25">
      <c r="A600" s="2722">
        <v>1162</v>
      </c>
      <c r="B600" s="2721">
        <v>3127</v>
      </c>
      <c r="C600" s="2721">
        <v>5331</v>
      </c>
      <c r="D600" s="2720"/>
      <c r="E600" s="2719" t="s">
        <v>858</v>
      </c>
      <c r="F600" s="2718"/>
      <c r="G600" s="2718">
        <f>G601+G603+G602</f>
        <v>2201</v>
      </c>
      <c r="H600" s="2718">
        <f>H601+H603+H602</f>
        <v>2201</v>
      </c>
      <c r="I600" s="2717">
        <f>(H600/G600)*100</f>
        <v>100</v>
      </c>
    </row>
    <row r="601" spans="1:20" ht="14.25" x14ac:dyDescent="0.2">
      <c r="A601" s="2714"/>
      <c r="B601" s="2713"/>
      <c r="C601" s="2713"/>
      <c r="D601" s="2191" t="s">
        <v>1811</v>
      </c>
      <c r="E601" s="2716" t="s">
        <v>717</v>
      </c>
      <c r="F601" s="2711"/>
      <c r="G601" s="2711">
        <v>106</v>
      </c>
      <c r="H601" s="2711">
        <v>106</v>
      </c>
      <c r="I601" s="2710">
        <f>(H601/G601)*100</f>
        <v>100</v>
      </c>
    </row>
    <row r="602" spans="1:20" ht="14.25" x14ac:dyDescent="0.2">
      <c r="A602" s="2714"/>
      <c r="B602" s="2713"/>
      <c r="C602" s="2713"/>
      <c r="D602" s="2420" t="s">
        <v>1951</v>
      </c>
      <c r="E602" s="2734" t="s">
        <v>645</v>
      </c>
      <c r="F602" s="2711"/>
      <c r="G602" s="2711">
        <v>600</v>
      </c>
      <c r="H602" s="2711">
        <v>600</v>
      </c>
      <c r="I602" s="2710">
        <f>(H602/G602)*100</f>
        <v>100</v>
      </c>
    </row>
    <row r="603" spans="1:20" ht="15" thickBot="1" x14ac:dyDescent="0.25">
      <c r="A603" s="2714"/>
      <c r="B603" s="2713"/>
      <c r="C603" s="2713"/>
      <c r="D603" s="2182" t="s">
        <v>1812</v>
      </c>
      <c r="E603" s="2712" t="s">
        <v>63</v>
      </c>
      <c r="F603" s="2711"/>
      <c r="G603" s="2711">
        <v>1495</v>
      </c>
      <c r="H603" s="2711">
        <v>1495</v>
      </c>
      <c r="I603" s="2710">
        <f>(H603/G603)*100</f>
        <v>100</v>
      </c>
    </row>
    <row r="604" spans="1:20" ht="16.5" thickTop="1" thickBot="1" x14ac:dyDescent="0.3">
      <c r="A604" s="3195" t="s">
        <v>1000</v>
      </c>
      <c r="B604" s="3196"/>
      <c r="C604" s="3196"/>
      <c r="D604" s="3196"/>
      <c r="E604" s="3196"/>
      <c r="F604" s="2709">
        <v>0</v>
      </c>
      <c r="G604" s="2709">
        <f>G600</f>
        <v>2201</v>
      </c>
      <c r="H604" s="2709">
        <f>H600</f>
        <v>2201</v>
      </c>
      <c r="I604" s="2708">
        <f>(H604/G604)*100</f>
        <v>100</v>
      </c>
      <c r="R604" s="1254">
        <f>F604</f>
        <v>0</v>
      </c>
      <c r="S604" s="1254">
        <f>G604</f>
        <v>2201</v>
      </c>
      <c r="T604" s="1254">
        <f>H604</f>
        <v>2201</v>
      </c>
    </row>
    <row r="605" spans="1:20" ht="13.5" thickTop="1" x14ac:dyDescent="0.2"/>
    <row r="606" spans="1:20" ht="13.5" thickBot="1" x14ac:dyDescent="0.25">
      <c r="A606" s="2163" t="s">
        <v>165</v>
      </c>
      <c r="I606" s="2699" t="s">
        <v>148</v>
      </c>
    </row>
    <row r="607" spans="1:20" s="1298" customFormat="1" thickTop="1" thickBot="1" x14ac:dyDescent="0.25">
      <c r="A607" s="1302" t="s">
        <v>565</v>
      </c>
      <c r="B607" s="1299" t="s">
        <v>149</v>
      </c>
      <c r="C607" s="1301" t="s">
        <v>150</v>
      </c>
      <c r="D607" s="1324" t="s">
        <v>639</v>
      </c>
      <c r="E607" s="1324" t="s">
        <v>151</v>
      </c>
      <c r="F607" s="1324" t="s">
        <v>569</v>
      </c>
      <c r="G607" s="1324" t="s">
        <v>570</v>
      </c>
      <c r="H607" s="2198" t="s">
        <v>797</v>
      </c>
      <c r="I607" s="2723" t="s">
        <v>798</v>
      </c>
    </row>
    <row r="608" spans="1:20" s="1292" customFormat="1" ht="13.5" thickTop="1" thickBot="1" x14ac:dyDescent="0.25">
      <c r="A608" s="1297">
        <v>1</v>
      </c>
      <c r="B608" s="1296">
        <v>2</v>
      </c>
      <c r="C608" s="1296">
        <v>3</v>
      </c>
      <c r="D608" s="1296">
        <v>4</v>
      </c>
      <c r="E608" s="1296">
        <v>5</v>
      </c>
      <c r="F608" s="1295">
        <v>6</v>
      </c>
      <c r="G608" s="1295">
        <v>7</v>
      </c>
      <c r="H608" s="1446">
        <v>8</v>
      </c>
      <c r="I608" s="1294" t="s">
        <v>689</v>
      </c>
    </row>
    <row r="609" spans="1:20" ht="15.75" thickTop="1" x14ac:dyDescent="0.25">
      <c r="A609" s="2722">
        <v>1163</v>
      </c>
      <c r="B609" s="2721">
        <v>3122</v>
      </c>
      <c r="C609" s="2721">
        <v>5331</v>
      </c>
      <c r="D609" s="2720"/>
      <c r="E609" s="2719" t="s">
        <v>858</v>
      </c>
      <c r="F609" s="2718"/>
      <c r="G609" s="2718">
        <f>G610+G611</f>
        <v>1917</v>
      </c>
      <c r="H609" s="2718">
        <f>H610+H611</f>
        <v>1917</v>
      </c>
      <c r="I609" s="2717">
        <f>(H609/G609)*100</f>
        <v>100</v>
      </c>
    </row>
    <row r="610" spans="1:20" ht="14.25" x14ac:dyDescent="0.2">
      <c r="A610" s="2714"/>
      <c r="B610" s="2713"/>
      <c r="C610" s="2713"/>
      <c r="D610" s="2191" t="s">
        <v>1811</v>
      </c>
      <c r="E610" s="2716" t="s">
        <v>717</v>
      </c>
      <c r="F610" s="2711"/>
      <c r="G610" s="2711">
        <v>56</v>
      </c>
      <c r="H610" s="2711">
        <v>56</v>
      </c>
      <c r="I610" s="2710">
        <f>(H610/G610)*100</f>
        <v>100</v>
      </c>
    </row>
    <row r="611" spans="1:20" ht="15" thickBot="1" x14ac:dyDescent="0.25">
      <c r="A611" s="2714"/>
      <c r="B611" s="2713"/>
      <c r="C611" s="2190"/>
      <c r="D611" s="2182" t="s">
        <v>1812</v>
      </c>
      <c r="E611" s="2712" t="s">
        <v>63</v>
      </c>
      <c r="F611" s="2711"/>
      <c r="G611" s="2711">
        <v>1861</v>
      </c>
      <c r="H611" s="2711">
        <v>1861</v>
      </c>
      <c r="I611" s="2710">
        <f>(H611/G611)*100</f>
        <v>100</v>
      </c>
    </row>
    <row r="612" spans="1:20" ht="16.5" thickTop="1" thickBot="1" x14ac:dyDescent="0.3">
      <c r="A612" s="3195" t="s">
        <v>1000</v>
      </c>
      <c r="B612" s="3196"/>
      <c r="C612" s="3196"/>
      <c r="D612" s="3196"/>
      <c r="E612" s="3196"/>
      <c r="F612" s="2709">
        <v>0</v>
      </c>
      <c r="G612" s="2709">
        <f>G609</f>
        <v>1917</v>
      </c>
      <c r="H612" s="2709">
        <f>H609</f>
        <v>1917</v>
      </c>
      <c r="I612" s="2708">
        <f>(H612/G612)*100</f>
        <v>100</v>
      </c>
      <c r="R612" s="1254">
        <f>F612</f>
        <v>0</v>
      </c>
      <c r="S612" s="1254">
        <f>G612</f>
        <v>1917</v>
      </c>
      <c r="T612" s="1254">
        <f>H612</f>
        <v>1917</v>
      </c>
    </row>
    <row r="613" spans="1:20" ht="13.5" thickTop="1" x14ac:dyDescent="0.2"/>
    <row r="614" spans="1:20" ht="13.5" thickBot="1" x14ac:dyDescent="0.25">
      <c r="A614" s="2163" t="s">
        <v>1088</v>
      </c>
      <c r="I614" s="2699" t="s">
        <v>148</v>
      </c>
    </row>
    <row r="615" spans="1:20" s="1298" customFormat="1" thickTop="1" thickBot="1" x14ac:dyDescent="0.25">
      <c r="A615" s="1302" t="s">
        <v>565</v>
      </c>
      <c r="B615" s="1299" t="s">
        <v>149</v>
      </c>
      <c r="C615" s="1301" t="s">
        <v>150</v>
      </c>
      <c r="D615" s="1324" t="s">
        <v>639</v>
      </c>
      <c r="E615" s="1324" t="s">
        <v>151</v>
      </c>
      <c r="F615" s="1324" t="s">
        <v>569</v>
      </c>
      <c r="G615" s="1324" t="s">
        <v>570</v>
      </c>
      <c r="H615" s="2198" t="s">
        <v>797</v>
      </c>
      <c r="I615" s="2723" t="s">
        <v>798</v>
      </c>
    </row>
    <row r="616" spans="1:20" s="1292" customFormat="1" ht="13.5" thickTop="1" thickBot="1" x14ac:dyDescent="0.25">
      <c r="A616" s="1297">
        <v>1</v>
      </c>
      <c r="B616" s="1296">
        <v>2</v>
      </c>
      <c r="C616" s="1296">
        <v>3</v>
      </c>
      <c r="D616" s="1296">
        <v>4</v>
      </c>
      <c r="E616" s="1296">
        <v>5</v>
      </c>
      <c r="F616" s="1295">
        <v>6</v>
      </c>
      <c r="G616" s="1295">
        <v>7</v>
      </c>
      <c r="H616" s="1446">
        <v>8</v>
      </c>
      <c r="I616" s="1294" t="s">
        <v>689</v>
      </c>
    </row>
    <row r="617" spans="1:20" ht="13.5" customHeight="1" thickTop="1" x14ac:dyDescent="0.25">
      <c r="A617" s="2714">
        <v>1171</v>
      </c>
      <c r="B617" s="2727">
        <v>3127</v>
      </c>
      <c r="C617" s="2726">
        <v>5331</v>
      </c>
      <c r="D617" s="2745"/>
      <c r="E617" s="2183" t="s">
        <v>858</v>
      </c>
      <c r="F617" s="2757"/>
      <c r="G617" s="2757">
        <f>G618+G619</f>
        <v>3968</v>
      </c>
      <c r="H617" s="2757">
        <f>H618+H619</f>
        <v>3968</v>
      </c>
      <c r="I617" s="2762">
        <f>(H617/G617)*100</f>
        <v>100</v>
      </c>
    </row>
    <row r="618" spans="1:20" ht="14.25" x14ac:dyDescent="0.2">
      <c r="A618" s="2714"/>
      <c r="B618" s="2727"/>
      <c r="C618" s="2726"/>
      <c r="D618" s="2194" t="s">
        <v>1811</v>
      </c>
      <c r="E618" s="2716" t="s">
        <v>717</v>
      </c>
      <c r="F618" s="2756"/>
      <c r="G618" s="2756">
        <v>414</v>
      </c>
      <c r="H618" s="2756">
        <v>414</v>
      </c>
      <c r="I618" s="2761">
        <v>100</v>
      </c>
    </row>
    <row r="619" spans="1:20" ht="15" thickBot="1" x14ac:dyDescent="0.25">
      <c r="A619" s="2714"/>
      <c r="B619" s="2727"/>
      <c r="C619" s="2726"/>
      <c r="D619" s="2182" t="s">
        <v>1812</v>
      </c>
      <c r="E619" s="2712" t="s">
        <v>63</v>
      </c>
      <c r="F619" s="2756"/>
      <c r="G619" s="2756">
        <v>3554</v>
      </c>
      <c r="H619" s="2756">
        <v>3554</v>
      </c>
      <c r="I619" s="2761">
        <v>100</v>
      </c>
    </row>
    <row r="620" spans="1:20" ht="16.5" thickTop="1" thickBot="1" x14ac:dyDescent="0.3">
      <c r="A620" s="3202" t="s">
        <v>1000</v>
      </c>
      <c r="B620" s="3203"/>
      <c r="C620" s="3203"/>
      <c r="D620" s="3203"/>
      <c r="E620" s="3204"/>
      <c r="F620" s="2748">
        <v>0</v>
      </c>
      <c r="G620" s="2748">
        <f>G617</f>
        <v>3968</v>
      </c>
      <c r="H620" s="2748">
        <f>H617</f>
        <v>3968</v>
      </c>
      <c r="I620" s="2747">
        <f>(H620/G620)*100</f>
        <v>100</v>
      </c>
      <c r="R620" s="1254">
        <f>F620</f>
        <v>0</v>
      </c>
      <c r="S620" s="1254">
        <f>G620</f>
        <v>3968</v>
      </c>
      <c r="T620" s="1254">
        <f>H620</f>
        <v>3968</v>
      </c>
    </row>
    <row r="621" spans="1:20" ht="15.75" thickTop="1" x14ac:dyDescent="0.25">
      <c r="A621" s="1417"/>
      <c r="B621" s="1417"/>
      <c r="C621" s="1417"/>
      <c r="D621" s="1417"/>
      <c r="E621" s="1417"/>
      <c r="F621" s="2760"/>
      <c r="G621" s="2760"/>
      <c r="H621" s="2760"/>
      <c r="I621" s="2759"/>
      <c r="R621" s="1254"/>
      <c r="S621" s="1254"/>
      <c r="T621" s="1254"/>
    </row>
    <row r="622" spans="1:20" ht="13.5" thickBot="1" x14ac:dyDescent="0.25">
      <c r="A622" s="2163" t="s">
        <v>328</v>
      </c>
      <c r="I622" s="2699" t="s">
        <v>148</v>
      </c>
    </row>
    <row r="623" spans="1:20" s="1298" customFormat="1" thickTop="1" thickBot="1" x14ac:dyDescent="0.25">
      <c r="A623" s="1302" t="s">
        <v>565</v>
      </c>
      <c r="B623" s="1299" t="s">
        <v>149</v>
      </c>
      <c r="C623" s="1301" t="s">
        <v>150</v>
      </c>
      <c r="D623" s="1324" t="s">
        <v>639</v>
      </c>
      <c r="E623" s="1324" t="s">
        <v>151</v>
      </c>
      <c r="F623" s="1324" t="s">
        <v>569</v>
      </c>
      <c r="G623" s="1324" t="s">
        <v>570</v>
      </c>
      <c r="H623" s="2198" t="s">
        <v>797</v>
      </c>
      <c r="I623" s="2723" t="s">
        <v>798</v>
      </c>
    </row>
    <row r="624" spans="1:20" s="1292" customFormat="1" ht="13.5" thickTop="1" thickBot="1" x14ac:dyDescent="0.25">
      <c r="A624" s="1297">
        <v>1</v>
      </c>
      <c r="B624" s="1296">
        <v>2</v>
      </c>
      <c r="C624" s="1296">
        <v>3</v>
      </c>
      <c r="D624" s="1296">
        <v>4</v>
      </c>
      <c r="E624" s="1296">
        <v>5</v>
      </c>
      <c r="F624" s="1295">
        <v>6</v>
      </c>
      <c r="G624" s="1295">
        <v>7</v>
      </c>
      <c r="H624" s="1446">
        <v>8</v>
      </c>
      <c r="I624" s="1294" t="s">
        <v>689</v>
      </c>
    </row>
    <row r="625" spans="1:23" ht="15.75" thickTop="1" x14ac:dyDescent="0.25">
      <c r="A625" s="2714">
        <v>1173</v>
      </c>
      <c r="B625" s="2727">
        <v>3127</v>
      </c>
      <c r="C625" s="2727">
        <v>5331</v>
      </c>
      <c r="D625" s="2741"/>
      <c r="E625" s="2183" t="s">
        <v>858</v>
      </c>
      <c r="F625" s="2740"/>
      <c r="G625" s="2740">
        <f>G626+G627+G628+G629</f>
        <v>9161</v>
      </c>
      <c r="H625" s="2740">
        <f>H626+H627+H628+H629</f>
        <v>9161</v>
      </c>
      <c r="I625" s="2739">
        <f t="shared" ref="I625:I633" si="10">(H625/G625)*100</f>
        <v>100</v>
      </c>
    </row>
    <row r="626" spans="1:23" ht="14.25" x14ac:dyDescent="0.2">
      <c r="A626" s="2714"/>
      <c r="B626" s="2727"/>
      <c r="C626" s="2727"/>
      <c r="D626" s="2191" t="s">
        <v>1811</v>
      </c>
      <c r="E626" s="2716" t="s">
        <v>717</v>
      </c>
      <c r="F626" s="2725"/>
      <c r="G626" s="2725">
        <v>3240</v>
      </c>
      <c r="H626" s="2725">
        <v>3240</v>
      </c>
      <c r="I626" s="2724">
        <f t="shared" si="10"/>
        <v>100</v>
      </c>
    </row>
    <row r="627" spans="1:23" ht="14.25" x14ac:dyDescent="0.2">
      <c r="A627" s="2714"/>
      <c r="B627" s="2727"/>
      <c r="C627" s="2727"/>
      <c r="D627" s="2420" t="s">
        <v>1951</v>
      </c>
      <c r="E627" s="2734" t="s">
        <v>645</v>
      </c>
      <c r="F627" s="2711"/>
      <c r="G627" s="2711">
        <v>320</v>
      </c>
      <c r="H627" s="2711">
        <v>320</v>
      </c>
      <c r="I627" s="2710">
        <f t="shared" si="10"/>
        <v>100</v>
      </c>
    </row>
    <row r="628" spans="1:23" ht="14.25" x14ac:dyDescent="0.2">
      <c r="A628" s="2714"/>
      <c r="B628" s="2727"/>
      <c r="C628" s="2727"/>
      <c r="D628" s="2182" t="s">
        <v>1812</v>
      </c>
      <c r="E628" s="2712" t="s">
        <v>63</v>
      </c>
      <c r="F628" s="2725"/>
      <c r="G628" s="2725">
        <v>5517</v>
      </c>
      <c r="H628" s="2725">
        <v>5517</v>
      </c>
      <c r="I628" s="2724">
        <f t="shared" si="10"/>
        <v>100</v>
      </c>
    </row>
    <row r="629" spans="1:23" ht="15" thickBot="1" x14ac:dyDescent="0.25">
      <c r="A629" s="2714"/>
      <c r="B629" s="2727"/>
      <c r="C629" s="2727"/>
      <c r="D629" s="2182" t="s">
        <v>1817</v>
      </c>
      <c r="E629" s="2712" t="s">
        <v>66</v>
      </c>
      <c r="F629" s="2725"/>
      <c r="G629" s="2725">
        <v>84</v>
      </c>
      <c r="H629" s="2725">
        <v>84</v>
      </c>
      <c r="I629" s="2724">
        <f t="shared" si="10"/>
        <v>100</v>
      </c>
    </row>
    <row r="630" spans="1:23" ht="18" customHeight="1" thickTop="1" thickBot="1" x14ac:dyDescent="0.3">
      <c r="A630" s="3195" t="s">
        <v>1000</v>
      </c>
      <c r="B630" s="3196"/>
      <c r="C630" s="3196"/>
      <c r="D630" s="3196"/>
      <c r="E630" s="3196"/>
      <c r="F630" s="2709">
        <v>0</v>
      </c>
      <c r="G630" s="2709">
        <f>G625</f>
        <v>9161</v>
      </c>
      <c r="H630" s="2709">
        <f>H625</f>
        <v>9161</v>
      </c>
      <c r="I630" s="2708">
        <f t="shared" si="10"/>
        <v>100</v>
      </c>
      <c r="R630" s="1254">
        <f>F630</f>
        <v>0</v>
      </c>
      <c r="S630" s="1254">
        <f>G630</f>
        <v>9161</v>
      </c>
      <c r="T630" s="1254">
        <f>H630</f>
        <v>9161</v>
      </c>
    </row>
    <row r="631" spans="1:23" ht="15.75" thickTop="1" x14ac:dyDescent="0.25">
      <c r="A631" s="2742">
        <v>1173</v>
      </c>
      <c r="B631" s="2713">
        <v>3127</v>
      </c>
      <c r="C631" s="2727">
        <v>6351</v>
      </c>
      <c r="D631" s="2741"/>
      <c r="E631" s="2183" t="s">
        <v>1053</v>
      </c>
      <c r="F631" s="2740"/>
      <c r="G631" s="2740">
        <v>1000</v>
      </c>
      <c r="H631" s="2740">
        <v>1000</v>
      </c>
      <c r="I631" s="2739">
        <f t="shared" si="10"/>
        <v>100</v>
      </c>
      <c r="R631" s="1254"/>
      <c r="S631" s="1254"/>
      <c r="T631" s="1254"/>
    </row>
    <row r="632" spans="1:23" ht="15" thickBot="1" x14ac:dyDescent="0.25">
      <c r="A632" s="2738"/>
      <c r="B632" s="2737"/>
      <c r="C632" s="1269"/>
      <c r="D632" s="2186" t="s">
        <v>1914</v>
      </c>
      <c r="E632" s="2360" t="s">
        <v>1080</v>
      </c>
      <c r="F632" s="2647"/>
      <c r="G632" s="1317">
        <v>1000</v>
      </c>
      <c r="H632" s="1274">
        <v>1000</v>
      </c>
      <c r="I632" s="1316">
        <f t="shared" si="10"/>
        <v>100</v>
      </c>
      <c r="R632" s="1254"/>
      <c r="S632" s="1254"/>
      <c r="T632" s="1254"/>
    </row>
    <row r="633" spans="1:23" ht="16.5" thickTop="1" thickBot="1" x14ac:dyDescent="0.3">
      <c r="A633" s="3202" t="s">
        <v>1001</v>
      </c>
      <c r="B633" s="3203"/>
      <c r="C633" s="3203"/>
      <c r="D633" s="3203"/>
      <c r="E633" s="3204"/>
      <c r="F633" s="2709">
        <v>0</v>
      </c>
      <c r="G633" s="2709">
        <f>G631</f>
        <v>1000</v>
      </c>
      <c r="H633" s="2709">
        <f>SUM(H631)</f>
        <v>1000</v>
      </c>
      <c r="I633" s="2708">
        <f t="shared" si="10"/>
        <v>100</v>
      </c>
      <c r="U633" s="1254">
        <f>F633</f>
        <v>0</v>
      </c>
      <c r="V633" s="1254">
        <f>G633</f>
        <v>1000</v>
      </c>
      <c r="W633" s="1254">
        <f>H633</f>
        <v>1000</v>
      </c>
    </row>
    <row r="634" spans="1:23" s="1298" customFormat="1" ht="15.75" thickTop="1" x14ac:dyDescent="0.25">
      <c r="A634" s="1417"/>
      <c r="B634" s="1417"/>
      <c r="C634" s="1417"/>
      <c r="D634" s="1417"/>
      <c r="E634" s="1417"/>
      <c r="F634" s="2701"/>
      <c r="G634" s="2701"/>
      <c r="H634" s="2701"/>
      <c r="I634" s="2700"/>
    </row>
    <row r="635" spans="1:23" ht="13.5" thickBot="1" x14ac:dyDescent="0.25">
      <c r="A635" s="2163" t="s">
        <v>1751</v>
      </c>
      <c r="I635" s="2699" t="s">
        <v>148</v>
      </c>
    </row>
    <row r="636" spans="1:23" ht="14.25" thickTop="1" thickBot="1" x14ac:dyDescent="0.25">
      <c r="A636" s="1302" t="s">
        <v>565</v>
      </c>
      <c r="B636" s="1299" t="s">
        <v>149</v>
      </c>
      <c r="C636" s="1301" t="s">
        <v>150</v>
      </c>
      <c r="D636" s="1324" t="s">
        <v>639</v>
      </c>
      <c r="E636" s="1324" t="s">
        <v>151</v>
      </c>
      <c r="F636" s="1324" t="s">
        <v>569</v>
      </c>
      <c r="G636" s="1324" t="s">
        <v>570</v>
      </c>
      <c r="H636" s="2198" t="s">
        <v>797</v>
      </c>
      <c r="I636" s="2723" t="s">
        <v>798</v>
      </c>
    </row>
    <row r="637" spans="1:23" ht="14.25" thickTop="1" thickBot="1" x14ac:dyDescent="0.25">
      <c r="A637" s="1297">
        <v>1</v>
      </c>
      <c r="B637" s="1296">
        <v>2</v>
      </c>
      <c r="C637" s="1296">
        <v>3</v>
      </c>
      <c r="D637" s="1296">
        <v>4</v>
      </c>
      <c r="E637" s="1296">
        <v>5</v>
      </c>
      <c r="F637" s="1295">
        <v>6</v>
      </c>
      <c r="G637" s="1295">
        <v>7</v>
      </c>
      <c r="H637" s="1446">
        <v>8</v>
      </c>
      <c r="I637" s="1294" t="s">
        <v>689</v>
      </c>
    </row>
    <row r="638" spans="1:23" ht="15.75" thickTop="1" x14ac:dyDescent="0.25">
      <c r="A638" s="2714">
        <v>1174</v>
      </c>
      <c r="B638" s="2727">
        <v>3127</v>
      </c>
      <c r="C638" s="2727">
        <v>5331</v>
      </c>
      <c r="D638" s="2741"/>
      <c r="E638" s="2183" t="s">
        <v>858</v>
      </c>
      <c r="F638" s="2740"/>
      <c r="G638" s="2740">
        <f>G639+G640</f>
        <v>5157</v>
      </c>
      <c r="H638" s="2740">
        <f>H639+H640</f>
        <v>5157</v>
      </c>
      <c r="I638" s="2739">
        <f>(H638/G638)*100</f>
        <v>100</v>
      </c>
    </row>
    <row r="639" spans="1:23" ht="14.25" x14ac:dyDescent="0.2">
      <c r="A639" s="2714"/>
      <c r="B639" s="2727"/>
      <c r="C639" s="2727"/>
      <c r="D639" s="2191" t="s">
        <v>1811</v>
      </c>
      <c r="E639" s="2716" t="s">
        <v>717</v>
      </c>
      <c r="F639" s="2756"/>
      <c r="G639" s="2756">
        <v>919</v>
      </c>
      <c r="H639" s="2756">
        <v>919</v>
      </c>
      <c r="I639" s="2710">
        <f>(H639/G639)*100</f>
        <v>100</v>
      </c>
    </row>
    <row r="640" spans="1:23" ht="15" thickBot="1" x14ac:dyDescent="0.25">
      <c r="A640" s="2714"/>
      <c r="B640" s="2727"/>
      <c r="C640" s="2727"/>
      <c r="D640" s="2182" t="s">
        <v>1812</v>
      </c>
      <c r="E640" s="2712" t="s">
        <v>63</v>
      </c>
      <c r="F640" s="2756"/>
      <c r="G640" s="2756">
        <v>4238</v>
      </c>
      <c r="H640" s="2756">
        <v>4238</v>
      </c>
      <c r="I640" s="2710">
        <f>(H640/G640)*100</f>
        <v>100</v>
      </c>
    </row>
    <row r="641" spans="1:20" ht="16.5" thickTop="1" thickBot="1" x14ac:dyDescent="0.3">
      <c r="A641" s="3195" t="s">
        <v>1000</v>
      </c>
      <c r="B641" s="3196"/>
      <c r="C641" s="3196"/>
      <c r="D641" s="3196"/>
      <c r="E641" s="3196"/>
      <c r="F641" s="2709">
        <v>0</v>
      </c>
      <c r="G641" s="2709">
        <f>G638</f>
        <v>5157</v>
      </c>
      <c r="H641" s="2709">
        <f>H638</f>
        <v>5157</v>
      </c>
      <c r="I641" s="2708">
        <f>(H641/G641)*100</f>
        <v>100</v>
      </c>
      <c r="R641" s="1254">
        <f>F641</f>
        <v>0</v>
      </c>
      <c r="S641" s="1254">
        <f>G641</f>
        <v>5157</v>
      </c>
      <c r="T641" s="1254">
        <f>H641</f>
        <v>5157</v>
      </c>
    </row>
    <row r="642" spans="1:20" s="1292" customFormat="1" ht="13.5" thickTop="1" x14ac:dyDescent="0.2">
      <c r="A642" s="1249"/>
      <c r="B642" s="2326"/>
      <c r="C642" s="1249"/>
      <c r="D642" s="2344"/>
      <c r="E642" s="1249"/>
      <c r="F642" s="1254"/>
      <c r="G642" s="1254"/>
      <c r="H642" s="1254"/>
      <c r="I642" s="2699"/>
    </row>
    <row r="643" spans="1:20" s="1292" customFormat="1" x14ac:dyDescent="0.2">
      <c r="A643" s="1249"/>
      <c r="B643" s="2326"/>
      <c r="C643" s="1249"/>
      <c r="D643" s="2344"/>
      <c r="E643" s="1249"/>
      <c r="F643" s="1254"/>
      <c r="G643" s="1254"/>
      <c r="H643" s="1254"/>
      <c r="I643" s="2699"/>
    </row>
    <row r="644" spans="1:20" ht="13.5" thickBot="1" x14ac:dyDescent="0.25">
      <c r="A644" s="2163" t="s">
        <v>2003</v>
      </c>
      <c r="I644" s="2699" t="s">
        <v>148</v>
      </c>
    </row>
    <row r="645" spans="1:20" ht="14.25" thickTop="1" thickBot="1" x14ac:dyDescent="0.25">
      <c r="A645" s="1302" t="s">
        <v>565</v>
      </c>
      <c r="B645" s="1299" t="s">
        <v>149</v>
      </c>
      <c r="C645" s="1301" t="s">
        <v>150</v>
      </c>
      <c r="D645" s="1324" t="s">
        <v>639</v>
      </c>
      <c r="E645" s="1324" t="s">
        <v>151</v>
      </c>
      <c r="F645" s="1324" t="s">
        <v>569</v>
      </c>
      <c r="G645" s="1324" t="s">
        <v>570</v>
      </c>
      <c r="H645" s="2198" t="s">
        <v>797</v>
      </c>
      <c r="I645" s="2723" t="s">
        <v>798</v>
      </c>
    </row>
    <row r="646" spans="1:20" ht="14.25" thickTop="1" thickBot="1" x14ac:dyDescent="0.25">
      <c r="A646" s="1297">
        <v>1</v>
      </c>
      <c r="B646" s="1296">
        <v>2</v>
      </c>
      <c r="C646" s="1296">
        <v>3</v>
      </c>
      <c r="D646" s="1296">
        <v>4</v>
      </c>
      <c r="E646" s="1296">
        <v>5</v>
      </c>
      <c r="F646" s="1295">
        <v>6</v>
      </c>
      <c r="G646" s="1295">
        <v>7</v>
      </c>
      <c r="H646" s="1446">
        <v>8</v>
      </c>
      <c r="I646" s="1294" t="s">
        <v>689</v>
      </c>
    </row>
    <row r="647" spans="1:20" ht="15.75" thickTop="1" x14ac:dyDescent="0.25">
      <c r="A647" s="2722">
        <v>1175</v>
      </c>
      <c r="B647" s="2721">
        <v>3122</v>
      </c>
      <c r="C647" s="2721">
        <v>5331</v>
      </c>
      <c r="D647" s="2720"/>
      <c r="E647" s="2719" t="s">
        <v>858</v>
      </c>
      <c r="F647" s="2718"/>
      <c r="G647" s="2718">
        <f>G648+G649</f>
        <v>2178</v>
      </c>
      <c r="H647" s="2718">
        <f>H648+H649</f>
        <v>2178</v>
      </c>
      <c r="I647" s="2717">
        <f>(H647/G647)*100</f>
        <v>100</v>
      </c>
    </row>
    <row r="648" spans="1:20" ht="14.25" x14ac:dyDescent="0.2">
      <c r="A648" s="2714"/>
      <c r="B648" s="2713"/>
      <c r="C648" s="2713"/>
      <c r="D648" s="2191" t="s">
        <v>1811</v>
      </c>
      <c r="E648" s="2716" t="s">
        <v>717</v>
      </c>
      <c r="F648" s="2711"/>
      <c r="G648" s="2711">
        <v>406</v>
      </c>
      <c r="H648" s="2711">
        <v>406</v>
      </c>
      <c r="I648" s="2710">
        <f>(H648/G648)*100</f>
        <v>100</v>
      </c>
    </row>
    <row r="649" spans="1:20" ht="15" thickBot="1" x14ac:dyDescent="0.25">
      <c r="A649" s="2714"/>
      <c r="B649" s="2713"/>
      <c r="C649" s="2713"/>
      <c r="D649" s="2182" t="s">
        <v>1812</v>
      </c>
      <c r="E649" s="2712" t="s">
        <v>63</v>
      </c>
      <c r="F649" s="2711"/>
      <c r="G649" s="2711">
        <v>1772</v>
      </c>
      <c r="H649" s="2711">
        <v>1772</v>
      </c>
      <c r="I649" s="2710">
        <v>100</v>
      </c>
    </row>
    <row r="650" spans="1:20" ht="16.5" thickTop="1" thickBot="1" x14ac:dyDescent="0.3">
      <c r="A650" s="3195" t="s">
        <v>1000</v>
      </c>
      <c r="B650" s="3196"/>
      <c r="C650" s="3196"/>
      <c r="D650" s="3196"/>
      <c r="E650" s="3196"/>
      <c r="F650" s="2709">
        <v>0</v>
      </c>
      <c r="G650" s="2709">
        <f>G647</f>
        <v>2178</v>
      </c>
      <c r="H650" s="2709">
        <f>H647</f>
        <v>2178</v>
      </c>
      <c r="I650" s="2708">
        <f>(H650/G650)*100</f>
        <v>100</v>
      </c>
      <c r="R650" s="1254">
        <f>F650</f>
        <v>0</v>
      </c>
      <c r="S650" s="1254">
        <f>G650</f>
        <v>2178</v>
      </c>
      <c r="T650" s="1254">
        <f>H650</f>
        <v>2178</v>
      </c>
    </row>
    <row r="651" spans="1:20" s="1292" customFormat="1" ht="13.5" thickTop="1" x14ac:dyDescent="0.2">
      <c r="A651" s="1249"/>
      <c r="B651" s="2326"/>
      <c r="C651" s="1249"/>
      <c r="D651" s="2344"/>
      <c r="E651" s="1249"/>
      <c r="F651" s="1254"/>
      <c r="G651" s="1254"/>
      <c r="H651" s="1254"/>
      <c r="I651" s="2699"/>
    </row>
    <row r="652" spans="1:20" ht="13.5" thickBot="1" x14ac:dyDescent="0.25">
      <c r="A652" s="2163" t="s">
        <v>775</v>
      </c>
      <c r="I652" s="2699" t="s">
        <v>148</v>
      </c>
    </row>
    <row r="653" spans="1:20" ht="14.25" thickTop="1" thickBot="1" x14ac:dyDescent="0.25">
      <c r="A653" s="1302" t="s">
        <v>565</v>
      </c>
      <c r="B653" s="1299" t="s">
        <v>149</v>
      </c>
      <c r="C653" s="1301" t="s">
        <v>150</v>
      </c>
      <c r="D653" s="1324" t="s">
        <v>639</v>
      </c>
      <c r="E653" s="1324" t="s">
        <v>151</v>
      </c>
      <c r="F653" s="1324" t="s">
        <v>569</v>
      </c>
      <c r="G653" s="1324" t="s">
        <v>570</v>
      </c>
      <c r="H653" s="2198" t="s">
        <v>797</v>
      </c>
      <c r="I653" s="2723" t="s">
        <v>798</v>
      </c>
    </row>
    <row r="654" spans="1:20" ht="14.25" thickTop="1" thickBot="1" x14ac:dyDescent="0.25">
      <c r="A654" s="1297">
        <v>1</v>
      </c>
      <c r="B654" s="1296">
        <v>2</v>
      </c>
      <c r="C654" s="1296">
        <v>3</v>
      </c>
      <c r="D654" s="1296">
        <v>4</v>
      </c>
      <c r="E654" s="1296">
        <v>5</v>
      </c>
      <c r="F654" s="1295">
        <v>6</v>
      </c>
      <c r="G654" s="1295">
        <v>7</v>
      </c>
      <c r="H654" s="1446">
        <v>8</v>
      </c>
      <c r="I654" s="1294" t="s">
        <v>689</v>
      </c>
    </row>
    <row r="655" spans="1:20" ht="14.25" customHeight="1" thickTop="1" x14ac:dyDescent="0.25">
      <c r="A655" s="2714">
        <v>1200</v>
      </c>
      <c r="B655" s="2713">
        <v>3127</v>
      </c>
      <c r="C655" s="2713">
        <v>5331</v>
      </c>
      <c r="D655" s="2733"/>
      <c r="E655" s="2730" t="s">
        <v>858</v>
      </c>
      <c r="F655" s="2729"/>
      <c r="G655" s="2729">
        <f>G656+G657</f>
        <v>3398</v>
      </c>
      <c r="H655" s="2729">
        <f>H656+H657</f>
        <v>3398</v>
      </c>
      <c r="I655" s="2732">
        <f t="shared" ref="I655:I661" si="11">(H655/G655)*100</f>
        <v>100</v>
      </c>
    </row>
    <row r="656" spans="1:20" ht="14.25" x14ac:dyDescent="0.2">
      <c r="A656" s="2714"/>
      <c r="B656" s="2713"/>
      <c r="C656" s="2713"/>
      <c r="D656" s="2191" t="s">
        <v>1811</v>
      </c>
      <c r="E656" s="2716" t="s">
        <v>717</v>
      </c>
      <c r="F656" s="2711"/>
      <c r="G656" s="2711">
        <v>556</v>
      </c>
      <c r="H656" s="2711">
        <v>556</v>
      </c>
      <c r="I656" s="2710">
        <f t="shared" si="11"/>
        <v>100</v>
      </c>
    </row>
    <row r="657" spans="1:23" ht="15" thickBot="1" x14ac:dyDescent="0.25">
      <c r="A657" s="2714"/>
      <c r="B657" s="2713"/>
      <c r="C657" s="2713"/>
      <c r="D657" s="2182" t="s">
        <v>1812</v>
      </c>
      <c r="E657" s="2712" t="s">
        <v>63</v>
      </c>
      <c r="F657" s="2711"/>
      <c r="G657" s="2711">
        <v>2842</v>
      </c>
      <c r="H657" s="2711">
        <v>2842</v>
      </c>
      <c r="I657" s="2710">
        <f t="shared" si="11"/>
        <v>100</v>
      </c>
    </row>
    <row r="658" spans="1:23" s="1298" customFormat="1" ht="16.5" thickTop="1" thickBot="1" x14ac:dyDescent="0.3">
      <c r="A658" s="3195" t="s">
        <v>1000</v>
      </c>
      <c r="B658" s="3196"/>
      <c r="C658" s="3196"/>
      <c r="D658" s="3196"/>
      <c r="E658" s="3196"/>
      <c r="F658" s="2709">
        <v>0</v>
      </c>
      <c r="G658" s="2709">
        <f>G655</f>
        <v>3398</v>
      </c>
      <c r="H658" s="2709">
        <f>H655</f>
        <v>3398</v>
      </c>
      <c r="I658" s="2708">
        <f t="shared" si="11"/>
        <v>100</v>
      </c>
      <c r="R658" s="1254">
        <f>F658</f>
        <v>0</v>
      </c>
      <c r="S658" s="1254">
        <f>G658</f>
        <v>3398</v>
      </c>
      <c r="T658" s="1254">
        <f>H658</f>
        <v>3398</v>
      </c>
    </row>
    <row r="659" spans="1:23" ht="15.75" thickTop="1" x14ac:dyDescent="0.25">
      <c r="A659" s="2742">
        <v>1200</v>
      </c>
      <c r="B659" s="2713">
        <v>3127</v>
      </c>
      <c r="C659" s="2727">
        <v>6351</v>
      </c>
      <c r="D659" s="2741"/>
      <c r="E659" s="2183" t="s">
        <v>1053</v>
      </c>
      <c r="F659" s="2740"/>
      <c r="G659" s="2740">
        <v>800</v>
      </c>
      <c r="H659" s="2740">
        <v>800</v>
      </c>
      <c r="I659" s="2739">
        <f t="shared" si="11"/>
        <v>100</v>
      </c>
      <c r="R659" s="1254"/>
      <c r="S659" s="1254"/>
      <c r="T659" s="1254"/>
    </row>
    <row r="660" spans="1:23" ht="15" thickBot="1" x14ac:dyDescent="0.25">
      <c r="A660" s="2738"/>
      <c r="B660" s="2737"/>
      <c r="C660" s="1269"/>
      <c r="D660" s="2420" t="s">
        <v>1951</v>
      </c>
      <c r="E660" s="2734" t="s">
        <v>645</v>
      </c>
      <c r="F660" s="2711"/>
      <c r="G660" s="2711">
        <v>800</v>
      </c>
      <c r="H660" s="2711">
        <v>800</v>
      </c>
      <c r="I660" s="2710">
        <f t="shared" si="11"/>
        <v>100</v>
      </c>
      <c r="R660" s="1254"/>
      <c r="S660" s="1254"/>
      <c r="T660" s="1254"/>
    </row>
    <row r="661" spans="1:23" ht="16.5" thickTop="1" thickBot="1" x14ac:dyDescent="0.3">
      <c r="A661" s="3202" t="s">
        <v>1001</v>
      </c>
      <c r="B661" s="3203"/>
      <c r="C661" s="3203"/>
      <c r="D661" s="3203"/>
      <c r="E661" s="3204"/>
      <c r="F661" s="2709">
        <v>0</v>
      </c>
      <c r="G661" s="2709">
        <f>G659</f>
        <v>800</v>
      </c>
      <c r="H661" s="2709">
        <f>SUM(H659)</f>
        <v>800</v>
      </c>
      <c r="I661" s="2708">
        <f t="shared" si="11"/>
        <v>100</v>
      </c>
      <c r="U661" s="1254">
        <f>F661</f>
        <v>0</v>
      </c>
      <c r="V661" s="1254">
        <f>G661</f>
        <v>800</v>
      </c>
      <c r="W661" s="1254">
        <f>H661</f>
        <v>800</v>
      </c>
    </row>
    <row r="662" spans="1:23" s="1292" customFormat="1" ht="13.5" thickTop="1" x14ac:dyDescent="0.2">
      <c r="A662" s="1249"/>
      <c r="B662" s="2326"/>
      <c r="C662" s="1249"/>
      <c r="D662" s="2344"/>
      <c r="E662" s="1249"/>
      <c r="F662" s="1254"/>
      <c r="G662" s="1254"/>
      <c r="H662" s="1254"/>
      <c r="I662" s="2699"/>
    </row>
    <row r="663" spans="1:23" s="1292" customFormat="1" x14ac:dyDescent="0.2">
      <c r="A663" s="1249"/>
      <c r="B663" s="2326"/>
      <c r="C663" s="1249"/>
      <c r="D663" s="2344"/>
      <c r="E663" s="1249"/>
      <c r="F663" s="1254"/>
      <c r="G663" s="1254"/>
      <c r="H663" s="1254"/>
      <c r="I663" s="2699"/>
    </row>
    <row r="664" spans="1:23" s="1292" customFormat="1" x14ac:dyDescent="0.2">
      <c r="A664" s="1249"/>
      <c r="B664" s="2326"/>
      <c r="C664" s="1249"/>
      <c r="D664" s="2344"/>
      <c r="E664" s="1249"/>
      <c r="F664" s="1254"/>
      <c r="G664" s="1254"/>
      <c r="H664" s="1254"/>
      <c r="I664" s="2699"/>
    </row>
    <row r="665" spans="1:23" ht="13.5" thickBot="1" x14ac:dyDescent="0.25">
      <c r="A665" s="2163" t="s">
        <v>121</v>
      </c>
      <c r="I665" s="2699" t="s">
        <v>148</v>
      </c>
    </row>
    <row r="666" spans="1:23" ht="25.5" customHeight="1" thickTop="1" thickBot="1" x14ac:dyDescent="0.25">
      <c r="A666" s="1302" t="s">
        <v>565</v>
      </c>
      <c r="B666" s="1299" t="s">
        <v>149</v>
      </c>
      <c r="C666" s="1301" t="s">
        <v>150</v>
      </c>
      <c r="D666" s="1324" t="s">
        <v>639</v>
      </c>
      <c r="E666" s="1324" t="s">
        <v>151</v>
      </c>
      <c r="F666" s="1324" t="s">
        <v>569</v>
      </c>
      <c r="G666" s="1324" t="s">
        <v>570</v>
      </c>
      <c r="H666" s="2198" t="s">
        <v>797</v>
      </c>
      <c r="I666" s="2723" t="s">
        <v>798</v>
      </c>
    </row>
    <row r="667" spans="1:23" ht="14.25" thickTop="1" thickBot="1" x14ac:dyDescent="0.25">
      <c r="A667" s="1297">
        <v>1</v>
      </c>
      <c r="B667" s="1296">
        <v>2</v>
      </c>
      <c r="C667" s="1296">
        <v>3</v>
      </c>
      <c r="D667" s="1296">
        <v>4</v>
      </c>
      <c r="E667" s="1296">
        <v>5</v>
      </c>
      <c r="F667" s="1295">
        <v>6</v>
      </c>
      <c r="G667" s="1295">
        <v>7</v>
      </c>
      <c r="H667" s="1446">
        <v>8</v>
      </c>
      <c r="I667" s="1294" t="s">
        <v>689</v>
      </c>
    </row>
    <row r="668" spans="1:23" ht="15.75" thickTop="1" x14ac:dyDescent="0.25">
      <c r="A668" s="2714">
        <v>1201</v>
      </c>
      <c r="B668" s="2713">
        <v>3123</v>
      </c>
      <c r="C668" s="2713">
        <v>5331</v>
      </c>
      <c r="D668" s="2733"/>
      <c r="E668" s="2730" t="s">
        <v>858</v>
      </c>
      <c r="F668" s="2729"/>
      <c r="G668" s="2729">
        <f>G669+G670</f>
        <v>4458</v>
      </c>
      <c r="H668" s="2729">
        <f>H669+H670</f>
        <v>4458</v>
      </c>
      <c r="I668" s="2732">
        <f>(H668/G668)*100</f>
        <v>100</v>
      </c>
    </row>
    <row r="669" spans="1:23" ht="14.25" x14ac:dyDescent="0.2">
      <c r="A669" s="2714"/>
      <c r="B669" s="2713"/>
      <c r="C669" s="2713"/>
      <c r="D669" s="2191" t="s">
        <v>1811</v>
      </c>
      <c r="E669" s="2716" t="s">
        <v>717</v>
      </c>
      <c r="F669" s="2711"/>
      <c r="G669" s="2711">
        <v>1764</v>
      </c>
      <c r="H669" s="2711">
        <v>1764</v>
      </c>
      <c r="I669" s="2710">
        <f>(H669/G669)*100</f>
        <v>100</v>
      </c>
    </row>
    <row r="670" spans="1:23" ht="15" thickBot="1" x14ac:dyDescent="0.25">
      <c r="A670" s="2714"/>
      <c r="B670" s="2713"/>
      <c r="C670" s="2713"/>
      <c r="D670" s="2182" t="s">
        <v>1812</v>
      </c>
      <c r="E670" s="2712" t="s">
        <v>63</v>
      </c>
      <c r="F670" s="2711"/>
      <c r="G670" s="2711">
        <v>2694</v>
      </c>
      <c r="H670" s="2711">
        <v>2694</v>
      </c>
      <c r="I670" s="2710">
        <f>(H670/G670)*100</f>
        <v>100</v>
      </c>
    </row>
    <row r="671" spans="1:23" ht="16.5" thickTop="1" thickBot="1" x14ac:dyDescent="0.3">
      <c r="A671" s="3195" t="s">
        <v>1000</v>
      </c>
      <c r="B671" s="3196"/>
      <c r="C671" s="3196"/>
      <c r="D671" s="3196"/>
      <c r="E671" s="3196"/>
      <c r="F671" s="2709">
        <v>0</v>
      </c>
      <c r="G671" s="2709">
        <f>G668</f>
        <v>4458</v>
      </c>
      <c r="H671" s="2709">
        <f>H668</f>
        <v>4458</v>
      </c>
      <c r="I671" s="2708">
        <f>(H671/G671)*100</f>
        <v>100</v>
      </c>
      <c r="R671" s="1254">
        <f>F671</f>
        <v>0</v>
      </c>
      <c r="S671" s="1254">
        <f>G671</f>
        <v>4458</v>
      </c>
      <c r="T671" s="1254">
        <f>H671</f>
        <v>4458</v>
      </c>
    </row>
    <row r="672" spans="1:23" ht="15.75" thickTop="1" x14ac:dyDescent="0.25">
      <c r="A672" s="1417"/>
      <c r="B672" s="1417"/>
      <c r="C672" s="1417"/>
      <c r="D672" s="1417"/>
      <c r="E672" s="1417"/>
      <c r="F672" s="2701"/>
      <c r="G672" s="2701"/>
      <c r="H672" s="2701"/>
      <c r="I672" s="2700"/>
      <c r="R672" s="1254"/>
      <c r="S672" s="1254"/>
      <c r="T672" s="1254"/>
    </row>
    <row r="673" spans="1:23" ht="15.75" customHeight="1" thickBot="1" x14ac:dyDescent="0.25">
      <c r="A673" s="2163" t="s">
        <v>1289</v>
      </c>
      <c r="I673" s="2699" t="s">
        <v>148</v>
      </c>
    </row>
    <row r="674" spans="1:23" ht="14.25" thickTop="1" thickBot="1" x14ac:dyDescent="0.25">
      <c r="A674" s="1302" t="s">
        <v>565</v>
      </c>
      <c r="B674" s="1299" t="s">
        <v>149</v>
      </c>
      <c r="C674" s="1301" t="s">
        <v>150</v>
      </c>
      <c r="D674" s="1324" t="s">
        <v>639</v>
      </c>
      <c r="E674" s="1324" t="s">
        <v>151</v>
      </c>
      <c r="F674" s="1324" t="s">
        <v>569</v>
      </c>
      <c r="G674" s="1324" t="s">
        <v>570</v>
      </c>
      <c r="H674" s="2198" t="s">
        <v>797</v>
      </c>
      <c r="I674" s="2723" t="s">
        <v>798</v>
      </c>
    </row>
    <row r="675" spans="1:23" ht="14.25" thickTop="1" thickBot="1" x14ac:dyDescent="0.25">
      <c r="A675" s="1297">
        <v>1</v>
      </c>
      <c r="B675" s="1296">
        <v>2</v>
      </c>
      <c r="C675" s="1296">
        <v>3</v>
      </c>
      <c r="D675" s="1296">
        <v>4</v>
      </c>
      <c r="E675" s="1296">
        <v>5</v>
      </c>
      <c r="F675" s="1295">
        <v>6</v>
      </c>
      <c r="G675" s="1295">
        <v>7</v>
      </c>
      <c r="H675" s="1446">
        <v>8</v>
      </c>
      <c r="I675" s="1294" t="s">
        <v>689</v>
      </c>
    </row>
    <row r="676" spans="1:23" ht="15.75" thickTop="1" x14ac:dyDescent="0.25">
      <c r="A676" s="2722">
        <v>1202</v>
      </c>
      <c r="B676" s="2721">
        <v>3127</v>
      </c>
      <c r="C676" s="2721">
        <v>5331</v>
      </c>
      <c r="D676" s="2720"/>
      <c r="E676" s="2719" t="s">
        <v>858</v>
      </c>
      <c r="F676" s="2718"/>
      <c r="G676" s="2718">
        <f>G677+G678+G679</f>
        <v>4181</v>
      </c>
      <c r="H676" s="2718">
        <f>H677+H678+H679</f>
        <v>4181</v>
      </c>
      <c r="I676" s="2717">
        <f t="shared" ref="I676:I683" si="12">(H676/G676)*100</f>
        <v>100</v>
      </c>
    </row>
    <row r="677" spans="1:23" ht="14.25" x14ac:dyDescent="0.2">
      <c r="A677" s="2714"/>
      <c r="B677" s="2713"/>
      <c r="C677" s="2713"/>
      <c r="D677" s="2191" t="s">
        <v>1811</v>
      </c>
      <c r="E677" s="2716" t="s">
        <v>717</v>
      </c>
      <c r="F677" s="2711"/>
      <c r="G677" s="2711">
        <v>640</v>
      </c>
      <c r="H677" s="2711">
        <v>640</v>
      </c>
      <c r="I677" s="2710">
        <f t="shared" si="12"/>
        <v>100</v>
      </c>
    </row>
    <row r="678" spans="1:23" ht="14.25" x14ac:dyDescent="0.2">
      <c r="A678" s="2714"/>
      <c r="B678" s="2713"/>
      <c r="C678" s="2713"/>
      <c r="D678" s="2420" t="s">
        <v>1951</v>
      </c>
      <c r="E678" s="2734" t="s">
        <v>645</v>
      </c>
      <c r="F678" s="2711"/>
      <c r="G678" s="2711">
        <v>300</v>
      </c>
      <c r="H678" s="2711">
        <v>300</v>
      </c>
      <c r="I678" s="2710">
        <f t="shared" si="12"/>
        <v>100</v>
      </c>
    </row>
    <row r="679" spans="1:23" ht="15" thickBot="1" x14ac:dyDescent="0.25">
      <c r="A679" s="2714"/>
      <c r="B679" s="2713"/>
      <c r="C679" s="2713"/>
      <c r="D679" s="2182" t="s">
        <v>1812</v>
      </c>
      <c r="E679" s="2712" t="s">
        <v>63</v>
      </c>
      <c r="F679" s="2711"/>
      <c r="G679" s="2711">
        <v>3241</v>
      </c>
      <c r="H679" s="2711">
        <v>3241</v>
      </c>
      <c r="I679" s="2710">
        <f t="shared" si="12"/>
        <v>100</v>
      </c>
    </row>
    <row r="680" spans="1:23" ht="16.5" thickTop="1" thickBot="1" x14ac:dyDescent="0.3">
      <c r="A680" s="3195" t="s">
        <v>1000</v>
      </c>
      <c r="B680" s="3196"/>
      <c r="C680" s="3196"/>
      <c r="D680" s="3196"/>
      <c r="E680" s="3196"/>
      <c r="F680" s="2709">
        <v>0</v>
      </c>
      <c r="G680" s="2709">
        <f>G676</f>
        <v>4181</v>
      </c>
      <c r="H680" s="2709">
        <f>H676</f>
        <v>4181</v>
      </c>
      <c r="I680" s="2708">
        <f t="shared" si="12"/>
        <v>100</v>
      </c>
      <c r="R680" s="1254">
        <f>F680</f>
        <v>0</v>
      </c>
      <c r="S680" s="1254">
        <f>G680</f>
        <v>4181</v>
      </c>
      <c r="T680" s="1254">
        <f>H680</f>
        <v>4181</v>
      </c>
    </row>
    <row r="681" spans="1:23" ht="15.75" thickTop="1" x14ac:dyDescent="0.25">
      <c r="A681" s="2742">
        <v>1202</v>
      </c>
      <c r="B681" s="2713">
        <v>3127</v>
      </c>
      <c r="C681" s="2727">
        <v>6351</v>
      </c>
      <c r="D681" s="2741"/>
      <c r="E681" s="2183" t="s">
        <v>1053</v>
      </c>
      <c r="F681" s="2740"/>
      <c r="G681" s="2740">
        <v>100</v>
      </c>
      <c r="H681" s="2740">
        <v>100</v>
      </c>
      <c r="I681" s="2739">
        <f t="shared" si="12"/>
        <v>100</v>
      </c>
      <c r="R681" s="1254"/>
      <c r="S681" s="1254"/>
      <c r="T681" s="1254"/>
    </row>
    <row r="682" spans="1:23" ht="15" thickBot="1" x14ac:dyDescent="0.25">
      <c r="A682" s="2738"/>
      <c r="B682" s="2737"/>
      <c r="C682" s="1269"/>
      <c r="D682" s="2420" t="s">
        <v>1951</v>
      </c>
      <c r="E682" s="2734" t="s">
        <v>645</v>
      </c>
      <c r="F682" s="2711"/>
      <c r="G682" s="2711">
        <v>100</v>
      </c>
      <c r="H682" s="2711">
        <v>100</v>
      </c>
      <c r="I682" s="2710">
        <f t="shared" si="12"/>
        <v>100</v>
      </c>
      <c r="R682" s="1254"/>
      <c r="S682" s="1254"/>
      <c r="T682" s="1254"/>
    </row>
    <row r="683" spans="1:23" ht="16.5" thickTop="1" thickBot="1" x14ac:dyDescent="0.3">
      <c r="A683" s="3202" t="s">
        <v>1001</v>
      </c>
      <c r="B683" s="3203"/>
      <c r="C683" s="3203"/>
      <c r="D683" s="3203"/>
      <c r="E683" s="3204"/>
      <c r="F683" s="2709">
        <v>0</v>
      </c>
      <c r="G683" s="2709">
        <f>G681</f>
        <v>100</v>
      </c>
      <c r="H683" s="2709">
        <f>SUM(H681)</f>
        <v>100</v>
      </c>
      <c r="I683" s="2708">
        <f t="shared" si="12"/>
        <v>100</v>
      </c>
      <c r="U683" s="1254">
        <f>F683</f>
        <v>0</v>
      </c>
      <c r="V683" s="1254">
        <f>G683</f>
        <v>100</v>
      </c>
      <c r="W683" s="1254">
        <f>H683</f>
        <v>100</v>
      </c>
    </row>
    <row r="684" spans="1:23" ht="12.75" customHeight="1" thickTop="1" x14ac:dyDescent="0.25">
      <c r="A684" s="1417"/>
      <c r="B684" s="1417"/>
      <c r="C684" s="1417"/>
      <c r="D684" s="1417"/>
      <c r="E684" s="1417"/>
      <c r="F684" s="2701"/>
      <c r="G684" s="2701"/>
      <c r="H684" s="2701"/>
      <c r="I684" s="2700"/>
      <c r="R684" s="1254"/>
      <c r="S684" s="1254"/>
      <c r="T684" s="1254"/>
    </row>
    <row r="685" spans="1:23" ht="13.5" thickBot="1" x14ac:dyDescent="0.25">
      <c r="A685" s="2163" t="s">
        <v>293</v>
      </c>
      <c r="I685" s="2699" t="s">
        <v>148</v>
      </c>
    </row>
    <row r="686" spans="1:23" ht="14.25" thickTop="1" thickBot="1" x14ac:dyDescent="0.25">
      <c r="A686" s="1302" t="s">
        <v>565</v>
      </c>
      <c r="B686" s="1299" t="s">
        <v>149</v>
      </c>
      <c r="C686" s="1301" t="s">
        <v>150</v>
      </c>
      <c r="D686" s="1324" t="s">
        <v>639</v>
      </c>
      <c r="E686" s="1324" t="s">
        <v>151</v>
      </c>
      <c r="F686" s="1324" t="s">
        <v>569</v>
      </c>
      <c r="G686" s="1324" t="s">
        <v>570</v>
      </c>
      <c r="H686" s="2198" t="s">
        <v>797</v>
      </c>
      <c r="I686" s="2723" t="s">
        <v>798</v>
      </c>
    </row>
    <row r="687" spans="1:23" ht="14.25" thickTop="1" thickBot="1" x14ac:dyDescent="0.25">
      <c r="A687" s="1297">
        <v>1</v>
      </c>
      <c r="B687" s="1296">
        <v>2</v>
      </c>
      <c r="C687" s="1296">
        <v>3</v>
      </c>
      <c r="D687" s="1296">
        <v>4</v>
      </c>
      <c r="E687" s="1296">
        <v>5</v>
      </c>
      <c r="F687" s="1295">
        <v>6</v>
      </c>
      <c r="G687" s="1295">
        <v>7</v>
      </c>
      <c r="H687" s="1446">
        <v>8</v>
      </c>
      <c r="I687" s="1294" t="s">
        <v>689</v>
      </c>
    </row>
    <row r="688" spans="1:23" ht="15.75" thickTop="1" x14ac:dyDescent="0.25">
      <c r="A688" s="2714">
        <v>1204</v>
      </c>
      <c r="B688" s="2727">
        <v>3127</v>
      </c>
      <c r="C688" s="2726">
        <v>5331</v>
      </c>
      <c r="D688" s="2758"/>
      <c r="E688" s="2183" t="s">
        <v>858</v>
      </c>
      <c r="F688" s="2757"/>
      <c r="G688" s="2757">
        <f>G689+G690+G691+G692</f>
        <v>8700</v>
      </c>
      <c r="H688" s="2757">
        <f>H689+H690+H691+H692</f>
        <v>8700</v>
      </c>
      <c r="I688" s="2739">
        <f t="shared" ref="I688:I693" si="13">(H688/G688)*100</f>
        <v>100</v>
      </c>
    </row>
    <row r="689" spans="1:27" ht="14.25" x14ac:dyDescent="0.2">
      <c r="A689" s="2714"/>
      <c r="B689" s="2727"/>
      <c r="C689" s="2726"/>
      <c r="D689" s="2191" t="s">
        <v>1811</v>
      </c>
      <c r="E689" s="2716" t="s">
        <v>717</v>
      </c>
      <c r="F689" s="2725"/>
      <c r="G689" s="2725">
        <v>2524</v>
      </c>
      <c r="H689" s="2725">
        <v>2524</v>
      </c>
      <c r="I689" s="2724">
        <f t="shared" si="13"/>
        <v>100</v>
      </c>
    </row>
    <row r="690" spans="1:27" ht="14.25" x14ac:dyDescent="0.2">
      <c r="A690" s="2714"/>
      <c r="B690" s="2727"/>
      <c r="C690" s="2726"/>
      <c r="D690" s="2420" t="s">
        <v>1951</v>
      </c>
      <c r="E690" s="2734" t="s">
        <v>645</v>
      </c>
      <c r="F690" s="2711"/>
      <c r="G690" s="2711">
        <v>393</v>
      </c>
      <c r="H690" s="2711">
        <v>393</v>
      </c>
      <c r="I690" s="2710">
        <f t="shared" si="13"/>
        <v>100</v>
      </c>
    </row>
    <row r="691" spans="1:27" ht="14.25" x14ac:dyDescent="0.2">
      <c r="A691" s="2714"/>
      <c r="B691" s="2727"/>
      <c r="C691" s="2726"/>
      <c r="D691" s="2182" t="s">
        <v>1812</v>
      </c>
      <c r="E691" s="2712" t="s">
        <v>63</v>
      </c>
      <c r="F691" s="2725"/>
      <c r="G691" s="2725">
        <v>5753</v>
      </c>
      <c r="H691" s="2725">
        <v>5753</v>
      </c>
      <c r="I691" s="2724">
        <f t="shared" si="13"/>
        <v>100</v>
      </c>
    </row>
    <row r="692" spans="1:27" ht="15" thickBot="1" x14ac:dyDescent="0.25">
      <c r="A692" s="2714"/>
      <c r="B692" s="2727"/>
      <c r="C692" s="2726"/>
      <c r="D692" s="2306" t="s">
        <v>1901</v>
      </c>
      <c r="E692" s="2746" t="s">
        <v>2000</v>
      </c>
      <c r="F692" s="2725"/>
      <c r="G692" s="2725">
        <v>30</v>
      </c>
      <c r="H692" s="2725">
        <v>30</v>
      </c>
      <c r="I692" s="2724">
        <f t="shared" si="13"/>
        <v>100</v>
      </c>
    </row>
    <row r="693" spans="1:27" ht="16.5" thickTop="1" thickBot="1" x14ac:dyDescent="0.3">
      <c r="A693" s="3195" t="s">
        <v>1000</v>
      </c>
      <c r="B693" s="3196"/>
      <c r="C693" s="3196"/>
      <c r="D693" s="3196"/>
      <c r="E693" s="3196"/>
      <c r="F693" s="2709">
        <v>0</v>
      </c>
      <c r="G693" s="2709">
        <f>G688</f>
        <v>8700</v>
      </c>
      <c r="H693" s="2709">
        <f>H688</f>
        <v>8700</v>
      </c>
      <c r="I693" s="2708">
        <f t="shared" si="13"/>
        <v>100</v>
      </c>
      <c r="J693" s="1254">
        <f>F693</f>
        <v>0</v>
      </c>
      <c r="K693" s="1254" t="e">
        <f>G693+#REF!</f>
        <v>#REF!</v>
      </c>
      <c r="L693" s="1254" t="e">
        <f>H693+#REF!</f>
        <v>#REF!</v>
      </c>
      <c r="R693" s="1254">
        <f>F693</f>
        <v>0</v>
      </c>
      <c r="S693" s="1254">
        <f>G693</f>
        <v>8700</v>
      </c>
      <c r="T693" s="1254">
        <f>H693</f>
        <v>8700</v>
      </c>
      <c r="U693" s="1254"/>
      <c r="V693" s="1254"/>
      <c r="W693" s="1254"/>
      <c r="Y693" s="1254"/>
      <c r="Z693" s="1254"/>
      <c r="AA693" s="1254"/>
    </row>
    <row r="694" spans="1:27" s="1298" customFormat="1" ht="13.5" thickTop="1" x14ac:dyDescent="0.2">
      <c r="A694" s="1249"/>
      <c r="B694" s="2326"/>
      <c r="C694" s="1249"/>
      <c r="D694" s="2344"/>
      <c r="E694" s="1249"/>
      <c r="F694" s="1254"/>
      <c r="G694" s="1254"/>
      <c r="H694" s="1254"/>
      <c r="I694" s="2699"/>
    </row>
    <row r="695" spans="1:27" ht="13.5" thickBot="1" x14ac:dyDescent="0.25">
      <c r="A695" s="2163" t="s">
        <v>294</v>
      </c>
      <c r="I695" s="2699" t="s">
        <v>148</v>
      </c>
    </row>
    <row r="696" spans="1:27" ht="14.25" thickTop="1" thickBot="1" x14ac:dyDescent="0.25">
      <c r="A696" s="1302" t="s">
        <v>565</v>
      </c>
      <c r="B696" s="1299" t="s">
        <v>149</v>
      </c>
      <c r="C696" s="1301" t="s">
        <v>150</v>
      </c>
      <c r="D696" s="1324" t="s">
        <v>639</v>
      </c>
      <c r="E696" s="1324" t="s">
        <v>151</v>
      </c>
      <c r="F696" s="1324" t="s">
        <v>569</v>
      </c>
      <c r="G696" s="1324" t="s">
        <v>570</v>
      </c>
      <c r="H696" s="2198" t="s">
        <v>797</v>
      </c>
      <c r="I696" s="2723" t="s">
        <v>798</v>
      </c>
    </row>
    <row r="697" spans="1:27" ht="14.25" thickTop="1" thickBot="1" x14ac:dyDescent="0.25">
      <c r="A697" s="1297">
        <v>1</v>
      </c>
      <c r="B697" s="1296">
        <v>2</v>
      </c>
      <c r="C697" s="1296">
        <v>3</v>
      </c>
      <c r="D697" s="1296">
        <v>4</v>
      </c>
      <c r="E697" s="1296">
        <v>5</v>
      </c>
      <c r="F697" s="1295">
        <v>6</v>
      </c>
      <c r="G697" s="1295">
        <v>7</v>
      </c>
      <c r="H697" s="1446">
        <v>8</v>
      </c>
      <c r="I697" s="1294" t="s">
        <v>689</v>
      </c>
    </row>
    <row r="698" spans="1:27" ht="18" customHeight="1" thickTop="1" x14ac:dyDescent="0.25">
      <c r="A698" s="2714">
        <v>1205</v>
      </c>
      <c r="B698" s="2727">
        <v>3127</v>
      </c>
      <c r="C698" s="2727">
        <v>5331</v>
      </c>
      <c r="D698" s="2741"/>
      <c r="E698" s="2183" t="s">
        <v>858</v>
      </c>
      <c r="F698" s="2740"/>
      <c r="G698" s="2740">
        <f>G699+G700+G701</f>
        <v>4603</v>
      </c>
      <c r="H698" s="2740">
        <f>H699+H700+H701</f>
        <v>4603</v>
      </c>
      <c r="I698" s="2728">
        <f>(H698/G698)*100</f>
        <v>100</v>
      </c>
    </row>
    <row r="699" spans="1:27" ht="15.75" customHeight="1" x14ac:dyDescent="0.2">
      <c r="A699" s="2714"/>
      <c r="B699" s="2727"/>
      <c r="C699" s="2727"/>
      <c r="D699" s="2191" t="s">
        <v>1811</v>
      </c>
      <c r="E699" s="2716" t="s">
        <v>717</v>
      </c>
      <c r="F699" s="2756"/>
      <c r="G699" s="2725">
        <v>1574</v>
      </c>
      <c r="H699" s="2725">
        <v>1574</v>
      </c>
      <c r="I699" s="2710">
        <f>(H699/G699)*100</f>
        <v>100</v>
      </c>
    </row>
    <row r="700" spans="1:27" ht="15.75" customHeight="1" x14ac:dyDescent="0.2">
      <c r="A700" s="2714"/>
      <c r="B700" s="2727"/>
      <c r="C700" s="2727"/>
      <c r="D700" s="2182" t="s">
        <v>1812</v>
      </c>
      <c r="E700" s="2712" t="s">
        <v>63</v>
      </c>
      <c r="F700" s="2756"/>
      <c r="G700" s="2725">
        <v>2951</v>
      </c>
      <c r="H700" s="2725">
        <v>2951</v>
      </c>
      <c r="I700" s="2710">
        <f>(H700/G700)*100</f>
        <v>100</v>
      </c>
    </row>
    <row r="701" spans="1:27" ht="15.75" customHeight="1" thickBot="1" x14ac:dyDescent="0.25">
      <c r="A701" s="2714"/>
      <c r="B701" s="2727"/>
      <c r="C701" s="2727"/>
      <c r="D701" s="2420" t="s">
        <v>1817</v>
      </c>
      <c r="E701" s="2638" t="s">
        <v>1160</v>
      </c>
      <c r="F701" s="2756"/>
      <c r="G701" s="2725">
        <v>78</v>
      </c>
      <c r="H701" s="2725">
        <v>78</v>
      </c>
      <c r="I701" s="2710">
        <f>(H701/G701)*100</f>
        <v>100</v>
      </c>
    </row>
    <row r="702" spans="1:27" ht="16.5" thickTop="1" thickBot="1" x14ac:dyDescent="0.3">
      <c r="A702" s="3195" t="s">
        <v>1000</v>
      </c>
      <c r="B702" s="3196"/>
      <c r="C702" s="3196"/>
      <c r="D702" s="3196"/>
      <c r="E702" s="3196"/>
      <c r="F702" s="2709">
        <v>0</v>
      </c>
      <c r="G702" s="2709">
        <f>G698</f>
        <v>4603</v>
      </c>
      <c r="H702" s="2709">
        <f>H698</f>
        <v>4603</v>
      </c>
      <c r="I702" s="2708">
        <f>(H702/G702)*100</f>
        <v>100</v>
      </c>
      <c r="J702" s="1254">
        <f>F702</f>
        <v>0</v>
      </c>
      <c r="K702" s="1254" t="e">
        <f>G702+#REF!</f>
        <v>#REF!</v>
      </c>
      <c r="L702" s="1254" t="e">
        <f>H702+#REF!</f>
        <v>#REF!</v>
      </c>
      <c r="R702" s="1254">
        <f>F702</f>
        <v>0</v>
      </c>
      <c r="S702" s="1254">
        <f>G702</f>
        <v>4603</v>
      </c>
      <c r="T702" s="1254">
        <f>H702</f>
        <v>4603</v>
      </c>
      <c r="U702" s="1254"/>
      <c r="V702" s="1254"/>
      <c r="W702" s="1254"/>
      <c r="Y702" s="1254"/>
      <c r="Z702" s="1254"/>
      <c r="AA702" s="1254"/>
    </row>
    <row r="703" spans="1:27" s="1292" customFormat="1" ht="13.5" thickTop="1" x14ac:dyDescent="0.2">
      <c r="A703" s="1249"/>
      <c r="B703" s="2326"/>
      <c r="C703" s="1249"/>
      <c r="D703" s="2344"/>
      <c r="E703" s="1249"/>
      <c r="F703" s="1254"/>
      <c r="G703" s="1254"/>
      <c r="H703" s="1254"/>
      <c r="I703" s="2699"/>
    </row>
    <row r="704" spans="1:27" s="1292" customFormat="1" x14ac:dyDescent="0.2">
      <c r="A704" s="1249"/>
      <c r="B704" s="2326"/>
      <c r="C704" s="1249"/>
      <c r="D704" s="2344"/>
      <c r="E704" s="1249"/>
      <c r="F704" s="1254"/>
      <c r="G704" s="1254"/>
      <c r="H704" s="1254"/>
      <c r="I704" s="2699"/>
    </row>
    <row r="705" spans="1:20" ht="13.5" thickBot="1" x14ac:dyDescent="0.25">
      <c r="A705" s="2163" t="s">
        <v>295</v>
      </c>
      <c r="I705" s="2699" t="s">
        <v>148</v>
      </c>
    </row>
    <row r="706" spans="1:20" ht="14.25" thickTop="1" thickBot="1" x14ac:dyDescent="0.25">
      <c r="A706" s="1302" t="s">
        <v>565</v>
      </c>
      <c r="B706" s="1299" t="s">
        <v>149</v>
      </c>
      <c r="C706" s="1301" t="s">
        <v>150</v>
      </c>
      <c r="D706" s="1324" t="s">
        <v>639</v>
      </c>
      <c r="E706" s="1324" t="s">
        <v>151</v>
      </c>
      <c r="F706" s="1324" t="s">
        <v>569</v>
      </c>
      <c r="G706" s="1324" t="s">
        <v>570</v>
      </c>
      <c r="H706" s="2198" t="s">
        <v>797</v>
      </c>
      <c r="I706" s="2723" t="s">
        <v>798</v>
      </c>
    </row>
    <row r="707" spans="1:20" ht="14.25" thickTop="1" thickBot="1" x14ac:dyDescent="0.25">
      <c r="A707" s="1297">
        <v>1</v>
      </c>
      <c r="B707" s="1296">
        <v>2</v>
      </c>
      <c r="C707" s="1296">
        <v>3</v>
      </c>
      <c r="D707" s="1296">
        <v>4</v>
      </c>
      <c r="E707" s="1296">
        <v>5</v>
      </c>
      <c r="F707" s="1295">
        <v>6</v>
      </c>
      <c r="G707" s="1295">
        <v>7</v>
      </c>
      <c r="H707" s="1446">
        <v>8</v>
      </c>
      <c r="I707" s="1294" t="s">
        <v>689</v>
      </c>
    </row>
    <row r="708" spans="1:20" ht="18" customHeight="1" thickTop="1" x14ac:dyDescent="0.25">
      <c r="A708" s="2714">
        <v>1206</v>
      </c>
      <c r="B708" s="2713">
        <v>3127</v>
      </c>
      <c r="C708" s="2713">
        <v>5331</v>
      </c>
      <c r="D708" s="2733"/>
      <c r="E708" s="2730" t="s">
        <v>858</v>
      </c>
      <c r="F708" s="2729"/>
      <c r="G708" s="2729">
        <f>G709+G710+G711</f>
        <v>3004</v>
      </c>
      <c r="H708" s="2729">
        <f>H709+H710+H711</f>
        <v>3004</v>
      </c>
      <c r="I708" s="2732">
        <f>(H708/G708)*100</f>
        <v>100</v>
      </c>
    </row>
    <row r="709" spans="1:20" ht="16.5" customHeight="1" x14ac:dyDescent="0.2">
      <c r="A709" s="2714"/>
      <c r="B709" s="2713"/>
      <c r="C709" s="2713"/>
      <c r="D709" s="2191" t="s">
        <v>1811</v>
      </c>
      <c r="E709" s="2716" t="s">
        <v>717</v>
      </c>
      <c r="F709" s="2756"/>
      <c r="G709" s="2725">
        <v>214</v>
      </c>
      <c r="H709" s="2725">
        <v>214</v>
      </c>
      <c r="I709" s="2710">
        <f>(H709/G709)*100</f>
        <v>100</v>
      </c>
    </row>
    <row r="710" spans="1:20" ht="14.25" x14ac:dyDescent="0.2">
      <c r="A710" s="2714"/>
      <c r="B710" s="2713"/>
      <c r="C710" s="2713"/>
      <c r="D710" s="2182" t="s">
        <v>1812</v>
      </c>
      <c r="E710" s="2712" t="s">
        <v>63</v>
      </c>
      <c r="F710" s="2756"/>
      <c r="G710" s="2725">
        <v>2778</v>
      </c>
      <c r="H710" s="2725">
        <v>2778</v>
      </c>
      <c r="I710" s="2710">
        <f>(H710/G710)*100</f>
        <v>100</v>
      </c>
    </row>
    <row r="711" spans="1:20" ht="15" thickBot="1" x14ac:dyDescent="0.25">
      <c r="A711" s="2714"/>
      <c r="B711" s="2713"/>
      <c r="C711" s="2713"/>
      <c r="D711" s="2420" t="s">
        <v>1817</v>
      </c>
      <c r="E711" s="2638" t="s">
        <v>1160</v>
      </c>
      <c r="F711" s="2756"/>
      <c r="G711" s="2725">
        <v>12</v>
      </c>
      <c r="H711" s="2725">
        <v>12</v>
      </c>
      <c r="I711" s="2710">
        <f>(H711/G711)*100</f>
        <v>100</v>
      </c>
    </row>
    <row r="712" spans="1:20" s="1298" customFormat="1" ht="16.5" thickTop="1" thickBot="1" x14ac:dyDescent="0.3">
      <c r="A712" s="3195" t="s">
        <v>1000</v>
      </c>
      <c r="B712" s="3196"/>
      <c r="C712" s="3196"/>
      <c r="D712" s="3196"/>
      <c r="E712" s="3196"/>
      <c r="F712" s="2709">
        <v>0</v>
      </c>
      <c r="G712" s="2709">
        <f>G708</f>
        <v>3004</v>
      </c>
      <c r="H712" s="2709">
        <f>H708</f>
        <v>3004</v>
      </c>
      <c r="I712" s="2708">
        <f>(H712/G712)*100</f>
        <v>100</v>
      </c>
      <c r="R712" s="1254">
        <f>F712</f>
        <v>0</v>
      </c>
      <c r="S712" s="1254">
        <f>G712</f>
        <v>3004</v>
      </c>
      <c r="T712" s="1254">
        <f>H712</f>
        <v>3004</v>
      </c>
    </row>
    <row r="713" spans="1:20" s="1292" customFormat="1" ht="13.5" thickTop="1" x14ac:dyDescent="0.2">
      <c r="A713" s="1249"/>
      <c r="B713" s="2326"/>
      <c r="C713" s="1249"/>
      <c r="D713" s="2344"/>
      <c r="E713" s="1249"/>
      <c r="F713" s="1254"/>
      <c r="G713" s="1254"/>
      <c r="H713" s="1254"/>
      <c r="I713" s="2699"/>
    </row>
    <row r="714" spans="1:20" s="1292" customFormat="1" x14ac:dyDescent="0.2">
      <c r="A714" s="1249"/>
      <c r="B714" s="2326"/>
      <c r="C714" s="1249"/>
      <c r="D714" s="2344"/>
      <c r="E714" s="1249"/>
      <c r="F714" s="1254"/>
      <c r="G714" s="1254"/>
      <c r="H714" s="1254"/>
      <c r="I714" s="2699"/>
    </row>
    <row r="715" spans="1:20" ht="13.5" thickBot="1" x14ac:dyDescent="0.25">
      <c r="A715" s="2163" t="s">
        <v>296</v>
      </c>
      <c r="I715" s="2699" t="s">
        <v>148</v>
      </c>
    </row>
    <row r="716" spans="1:20" ht="14.25" thickTop="1" thickBot="1" x14ac:dyDescent="0.25">
      <c r="A716" s="1302" t="s">
        <v>565</v>
      </c>
      <c r="B716" s="1299" t="s">
        <v>149</v>
      </c>
      <c r="C716" s="1301" t="s">
        <v>150</v>
      </c>
      <c r="D716" s="1324" t="s">
        <v>639</v>
      </c>
      <c r="E716" s="1324" t="s">
        <v>151</v>
      </c>
      <c r="F716" s="1324" t="s">
        <v>569</v>
      </c>
      <c r="G716" s="1324" t="s">
        <v>570</v>
      </c>
      <c r="H716" s="2198" t="s">
        <v>797</v>
      </c>
      <c r="I716" s="2723" t="s">
        <v>798</v>
      </c>
    </row>
    <row r="717" spans="1:20" ht="14.25" thickTop="1" thickBot="1" x14ac:dyDescent="0.25">
      <c r="A717" s="1297">
        <v>1</v>
      </c>
      <c r="B717" s="1296">
        <v>2</v>
      </c>
      <c r="C717" s="1296">
        <v>3</v>
      </c>
      <c r="D717" s="1296">
        <v>4</v>
      </c>
      <c r="E717" s="1296">
        <v>5</v>
      </c>
      <c r="F717" s="1295">
        <v>6</v>
      </c>
      <c r="G717" s="1295">
        <v>7</v>
      </c>
      <c r="H717" s="1446">
        <v>8</v>
      </c>
      <c r="I717" s="1294" t="s">
        <v>689</v>
      </c>
    </row>
    <row r="718" spans="1:20" ht="15.75" thickTop="1" x14ac:dyDescent="0.25">
      <c r="A718" s="2714">
        <v>1207</v>
      </c>
      <c r="B718" s="2713">
        <v>3127</v>
      </c>
      <c r="C718" s="2713">
        <v>5331</v>
      </c>
      <c r="D718" s="2733"/>
      <c r="E718" s="2730" t="s">
        <v>858</v>
      </c>
      <c r="F718" s="2729"/>
      <c r="G718" s="2729">
        <f>G719+G720</f>
        <v>2991</v>
      </c>
      <c r="H718" s="2729">
        <f>H719+H720</f>
        <v>2991</v>
      </c>
      <c r="I718" s="2732">
        <f>(H718/G718)*100</f>
        <v>100</v>
      </c>
    </row>
    <row r="719" spans="1:20" ht="14.25" x14ac:dyDescent="0.2">
      <c r="A719" s="2714"/>
      <c r="B719" s="2713"/>
      <c r="C719" s="2713"/>
      <c r="D719" s="2191" t="s">
        <v>1811</v>
      </c>
      <c r="E719" s="2716" t="s">
        <v>717</v>
      </c>
      <c r="F719" s="2756"/>
      <c r="G719" s="2725">
        <v>553</v>
      </c>
      <c r="H719" s="2725">
        <v>553</v>
      </c>
      <c r="I719" s="2710">
        <f>(H719/G719)*100</f>
        <v>100</v>
      </c>
    </row>
    <row r="720" spans="1:20" ht="15" thickBot="1" x14ac:dyDescent="0.25">
      <c r="A720" s="2714"/>
      <c r="B720" s="2713"/>
      <c r="C720" s="2713"/>
      <c r="D720" s="2182" t="s">
        <v>1812</v>
      </c>
      <c r="E720" s="2712" t="s">
        <v>63</v>
      </c>
      <c r="F720" s="2756"/>
      <c r="G720" s="2725">
        <v>2438</v>
      </c>
      <c r="H720" s="2725">
        <v>2438</v>
      </c>
      <c r="I720" s="2710">
        <f>(H720/G720)*100</f>
        <v>100</v>
      </c>
    </row>
    <row r="721" spans="1:20" s="1298" customFormat="1" ht="16.5" thickTop="1" thickBot="1" x14ac:dyDescent="0.3">
      <c r="A721" s="3195" t="s">
        <v>1000</v>
      </c>
      <c r="B721" s="3196"/>
      <c r="C721" s="3196"/>
      <c r="D721" s="3196"/>
      <c r="E721" s="3196"/>
      <c r="F721" s="2709">
        <v>0</v>
      </c>
      <c r="G721" s="2709">
        <f>G718</f>
        <v>2991</v>
      </c>
      <c r="H721" s="2709">
        <f>H718</f>
        <v>2991</v>
      </c>
      <c r="I721" s="2708">
        <f>(H721/G721)*100</f>
        <v>100</v>
      </c>
      <c r="R721" s="1254">
        <f>F721</f>
        <v>0</v>
      </c>
      <c r="S721" s="1254">
        <f>G721</f>
        <v>2991</v>
      </c>
      <c r="T721" s="1254">
        <f>H721</f>
        <v>2991</v>
      </c>
    </row>
    <row r="722" spans="1:20" s="1292" customFormat="1" ht="15.75" thickTop="1" x14ac:dyDescent="0.25">
      <c r="A722" s="1417"/>
      <c r="B722" s="1417"/>
      <c r="C722" s="1417"/>
      <c r="D722" s="1417"/>
      <c r="E722" s="1417"/>
      <c r="F722" s="2701"/>
      <c r="G722" s="2701"/>
      <c r="H722" s="2701"/>
      <c r="I722" s="2700"/>
    </row>
    <row r="723" spans="1:20" ht="13.5" thickBot="1" x14ac:dyDescent="0.25">
      <c r="A723" s="2163" t="s">
        <v>1290</v>
      </c>
      <c r="I723" s="2699" t="s">
        <v>148</v>
      </c>
    </row>
    <row r="724" spans="1:20" ht="14.25" thickTop="1" thickBot="1" x14ac:dyDescent="0.25">
      <c r="A724" s="1302" t="s">
        <v>565</v>
      </c>
      <c r="B724" s="1299" t="s">
        <v>149</v>
      </c>
      <c r="C724" s="1301" t="s">
        <v>150</v>
      </c>
      <c r="D724" s="1324" t="s">
        <v>639</v>
      </c>
      <c r="E724" s="1324" t="s">
        <v>151</v>
      </c>
      <c r="F724" s="1324" t="s">
        <v>569</v>
      </c>
      <c r="G724" s="1324" t="s">
        <v>570</v>
      </c>
      <c r="H724" s="2198" t="s">
        <v>797</v>
      </c>
      <c r="I724" s="2723" t="s">
        <v>798</v>
      </c>
    </row>
    <row r="725" spans="1:20" ht="14.25" thickTop="1" thickBot="1" x14ac:dyDescent="0.25">
      <c r="A725" s="1297">
        <v>1</v>
      </c>
      <c r="B725" s="1296">
        <v>2</v>
      </c>
      <c r="C725" s="1296">
        <v>3</v>
      </c>
      <c r="D725" s="1296">
        <v>4</v>
      </c>
      <c r="E725" s="1296">
        <v>5</v>
      </c>
      <c r="F725" s="1295">
        <v>6</v>
      </c>
      <c r="G725" s="1295">
        <v>7</v>
      </c>
      <c r="H725" s="1446">
        <v>8</v>
      </c>
      <c r="I725" s="1294" t="s">
        <v>689</v>
      </c>
    </row>
    <row r="726" spans="1:20" ht="15.75" thickTop="1" x14ac:dyDescent="0.25">
      <c r="A726" s="2714">
        <v>1208</v>
      </c>
      <c r="B726" s="2713">
        <v>3127</v>
      </c>
      <c r="C726" s="2713">
        <v>5331</v>
      </c>
      <c r="D726" s="2733"/>
      <c r="E726" s="2730" t="s">
        <v>858</v>
      </c>
      <c r="F726" s="2729"/>
      <c r="G726" s="2729">
        <f>G727+G728</f>
        <v>4285</v>
      </c>
      <c r="H726" s="2729">
        <f>H727+H728</f>
        <v>4285</v>
      </c>
      <c r="I726" s="2732">
        <f>(H726/G726)*100</f>
        <v>100</v>
      </c>
    </row>
    <row r="727" spans="1:20" ht="14.25" x14ac:dyDescent="0.2">
      <c r="A727" s="2714"/>
      <c r="B727" s="2713"/>
      <c r="C727" s="2713"/>
      <c r="D727" s="2191" t="s">
        <v>1811</v>
      </c>
      <c r="E727" s="2716" t="s">
        <v>717</v>
      </c>
      <c r="F727" s="2756"/>
      <c r="G727" s="2725">
        <v>673</v>
      </c>
      <c r="H727" s="2725">
        <v>673</v>
      </c>
      <c r="I727" s="2710">
        <f>(H727/G727)*100</f>
        <v>100</v>
      </c>
    </row>
    <row r="728" spans="1:20" ht="15" thickBot="1" x14ac:dyDescent="0.25">
      <c r="A728" s="2714"/>
      <c r="B728" s="2713"/>
      <c r="C728" s="2713"/>
      <c r="D728" s="2182" t="s">
        <v>1812</v>
      </c>
      <c r="E728" s="2712" t="s">
        <v>63</v>
      </c>
      <c r="F728" s="2756"/>
      <c r="G728" s="2725">
        <v>3612</v>
      </c>
      <c r="H728" s="2725">
        <v>3612</v>
      </c>
      <c r="I728" s="2710">
        <f>(H728/G728)*100</f>
        <v>100</v>
      </c>
    </row>
    <row r="729" spans="1:20" ht="16.5" thickTop="1" thickBot="1" x14ac:dyDescent="0.3">
      <c r="A729" s="3195" t="s">
        <v>1000</v>
      </c>
      <c r="B729" s="3196"/>
      <c r="C729" s="3196"/>
      <c r="D729" s="3196"/>
      <c r="E729" s="3196"/>
      <c r="F729" s="2709">
        <v>0</v>
      </c>
      <c r="G729" s="2709">
        <f>G726</f>
        <v>4285</v>
      </c>
      <c r="H729" s="2709">
        <f>H726</f>
        <v>4285</v>
      </c>
      <c r="I729" s="2708">
        <f>(H729/G729)*100</f>
        <v>100</v>
      </c>
      <c r="R729" s="1254">
        <f>F729</f>
        <v>0</v>
      </c>
      <c r="S729" s="1254">
        <f>G729</f>
        <v>4285</v>
      </c>
      <c r="T729" s="1254">
        <f>H729</f>
        <v>4285</v>
      </c>
    </row>
    <row r="730" spans="1:20" s="1292" customFormat="1" ht="12" customHeight="1" thickTop="1" x14ac:dyDescent="0.2">
      <c r="A730" s="1249"/>
      <c r="B730" s="2326"/>
      <c r="C730" s="1249"/>
      <c r="D730" s="2344"/>
      <c r="E730" s="1249"/>
      <c r="F730" s="1254"/>
      <c r="G730" s="1254"/>
      <c r="H730" s="1254"/>
      <c r="I730" s="2699"/>
    </row>
    <row r="731" spans="1:20" s="1292" customFormat="1" ht="12" customHeight="1" x14ac:dyDescent="0.2">
      <c r="A731" s="1249"/>
      <c r="B731" s="2326"/>
      <c r="C731" s="1249"/>
      <c r="D731" s="2344"/>
      <c r="E731" s="1249"/>
      <c r="F731" s="1254"/>
      <c r="G731" s="1254"/>
      <c r="H731" s="1254"/>
      <c r="I731" s="2699"/>
    </row>
    <row r="732" spans="1:20" s="1292" customFormat="1" ht="12" customHeight="1" x14ac:dyDescent="0.2">
      <c r="A732" s="1249"/>
      <c r="B732" s="2326"/>
      <c r="C732" s="1249"/>
      <c r="D732" s="2344"/>
      <c r="E732" s="1249"/>
      <c r="F732" s="1254"/>
      <c r="G732" s="1254"/>
      <c r="H732" s="1254"/>
      <c r="I732" s="2699"/>
    </row>
    <row r="733" spans="1:20" s="1292" customFormat="1" ht="12" customHeight="1" x14ac:dyDescent="0.2">
      <c r="A733" s="1249"/>
      <c r="B733" s="2326"/>
      <c r="C733" s="1249"/>
      <c r="D733" s="2344"/>
      <c r="E733" s="1249"/>
      <c r="F733" s="1254"/>
      <c r="G733" s="1254"/>
      <c r="H733" s="1254"/>
      <c r="I733" s="2699"/>
    </row>
    <row r="734" spans="1:20" s="1292" customFormat="1" ht="12" customHeight="1" x14ac:dyDescent="0.2">
      <c r="A734" s="1249"/>
      <c r="B734" s="2326"/>
      <c r="C734" s="1249"/>
      <c r="D734" s="2344"/>
      <c r="E734" s="1249"/>
      <c r="F734" s="1254"/>
      <c r="G734" s="1254"/>
      <c r="H734" s="1254"/>
      <c r="I734" s="2699"/>
    </row>
    <row r="735" spans="1:20" s="1292" customFormat="1" ht="12" customHeight="1" x14ac:dyDescent="0.2">
      <c r="A735" s="1249"/>
      <c r="B735" s="2326"/>
      <c r="C735" s="1249"/>
      <c r="D735" s="2344"/>
      <c r="E735" s="1249"/>
      <c r="F735" s="1254"/>
      <c r="G735" s="1254"/>
      <c r="H735" s="1254"/>
      <c r="I735" s="2699"/>
    </row>
    <row r="736" spans="1:20" s="1292" customFormat="1" ht="12" customHeight="1" x14ac:dyDescent="0.2">
      <c r="A736" s="1249"/>
      <c r="B736" s="2326"/>
      <c r="C736" s="1249"/>
      <c r="D736" s="2344"/>
      <c r="E736" s="1249"/>
      <c r="F736" s="1254"/>
      <c r="G736" s="1254"/>
      <c r="H736" s="1254"/>
      <c r="I736" s="2699"/>
    </row>
    <row r="737" spans="1:23" s="1292" customFormat="1" ht="12" customHeight="1" x14ac:dyDescent="0.2">
      <c r="A737" s="1249"/>
      <c r="B737" s="2326"/>
      <c r="C737" s="1249"/>
      <c r="D737" s="2344"/>
      <c r="E737" s="1249"/>
      <c r="F737" s="1254"/>
      <c r="G737" s="1254"/>
      <c r="H737" s="1254"/>
      <c r="I737" s="2699"/>
    </row>
    <row r="738" spans="1:23" ht="13.5" thickBot="1" x14ac:dyDescent="0.25">
      <c r="A738" s="2163" t="s">
        <v>2002</v>
      </c>
      <c r="I738" s="2699" t="s">
        <v>148</v>
      </c>
    </row>
    <row r="739" spans="1:23" ht="14.25" thickTop="1" thickBot="1" x14ac:dyDescent="0.25">
      <c r="A739" s="1302" t="s">
        <v>565</v>
      </c>
      <c r="B739" s="1299" t="s">
        <v>149</v>
      </c>
      <c r="C739" s="1301" t="s">
        <v>150</v>
      </c>
      <c r="D739" s="1324" t="s">
        <v>639</v>
      </c>
      <c r="E739" s="1324" t="s">
        <v>151</v>
      </c>
      <c r="F739" s="1324" t="s">
        <v>569</v>
      </c>
      <c r="G739" s="1324" t="s">
        <v>570</v>
      </c>
      <c r="H739" s="2198" t="s">
        <v>797</v>
      </c>
      <c r="I739" s="2723" t="s">
        <v>798</v>
      </c>
    </row>
    <row r="740" spans="1:23" ht="14.25" thickTop="1" thickBot="1" x14ac:dyDescent="0.25">
      <c r="A740" s="1297">
        <v>1</v>
      </c>
      <c r="B740" s="1296">
        <v>2</v>
      </c>
      <c r="C740" s="1296">
        <v>3</v>
      </c>
      <c r="D740" s="1296">
        <v>4</v>
      </c>
      <c r="E740" s="1296">
        <v>5</v>
      </c>
      <c r="F740" s="1295">
        <v>6</v>
      </c>
      <c r="G740" s="1295">
        <v>7</v>
      </c>
      <c r="H740" s="1446">
        <v>8</v>
      </c>
      <c r="I740" s="1294" t="s">
        <v>689</v>
      </c>
    </row>
    <row r="741" spans="1:23" ht="15.75" thickTop="1" x14ac:dyDescent="0.25">
      <c r="A741" s="2714">
        <v>1212</v>
      </c>
      <c r="B741" s="2713">
        <v>3123</v>
      </c>
      <c r="C741" s="2713">
        <v>5331</v>
      </c>
      <c r="D741" s="2733"/>
      <c r="E741" s="2730" t="s">
        <v>858</v>
      </c>
      <c r="F741" s="2729"/>
      <c r="G741" s="2729">
        <f>G742+G743</f>
        <v>2519</v>
      </c>
      <c r="H741" s="2729">
        <f>H742+H743</f>
        <v>2519</v>
      </c>
      <c r="I741" s="2732">
        <f t="shared" ref="I741:I747" si="14">(H741/G741)*100</f>
        <v>100</v>
      </c>
    </row>
    <row r="742" spans="1:23" ht="14.25" x14ac:dyDescent="0.2">
      <c r="A742" s="2714"/>
      <c r="B742" s="2713"/>
      <c r="C742" s="2713"/>
      <c r="D742" s="2191" t="s">
        <v>1811</v>
      </c>
      <c r="E742" s="2716" t="s">
        <v>717</v>
      </c>
      <c r="F742" s="2756"/>
      <c r="G742" s="2725">
        <v>194</v>
      </c>
      <c r="H742" s="2725">
        <v>194</v>
      </c>
      <c r="I742" s="2710">
        <f t="shared" si="14"/>
        <v>100</v>
      </c>
    </row>
    <row r="743" spans="1:23" ht="15" thickBot="1" x14ac:dyDescent="0.25">
      <c r="A743" s="2714"/>
      <c r="B743" s="2713"/>
      <c r="C743" s="2713"/>
      <c r="D743" s="2182" t="s">
        <v>1812</v>
      </c>
      <c r="E743" s="2712" t="s">
        <v>63</v>
      </c>
      <c r="F743" s="2756"/>
      <c r="G743" s="2725">
        <v>2325</v>
      </c>
      <c r="H743" s="2725">
        <v>2325</v>
      </c>
      <c r="I743" s="2710">
        <f t="shared" si="14"/>
        <v>100</v>
      </c>
    </row>
    <row r="744" spans="1:23" ht="16.5" thickTop="1" thickBot="1" x14ac:dyDescent="0.3">
      <c r="A744" s="3195" t="s">
        <v>1000</v>
      </c>
      <c r="B744" s="3196"/>
      <c r="C744" s="3196"/>
      <c r="D744" s="3196"/>
      <c r="E744" s="3196"/>
      <c r="F744" s="2709">
        <v>0</v>
      </c>
      <c r="G744" s="2709">
        <f>G741</f>
        <v>2519</v>
      </c>
      <c r="H744" s="2709">
        <f>H741</f>
        <v>2519</v>
      </c>
      <c r="I744" s="2708">
        <f t="shared" si="14"/>
        <v>100</v>
      </c>
      <c r="R744" s="1254">
        <f>F744</f>
        <v>0</v>
      </c>
      <c r="S744" s="1254">
        <f>G744</f>
        <v>2519</v>
      </c>
      <c r="T744" s="1254">
        <f>H744</f>
        <v>2519</v>
      </c>
    </row>
    <row r="745" spans="1:23" ht="15.75" thickTop="1" x14ac:dyDescent="0.25">
      <c r="A745" s="2742">
        <v>1212</v>
      </c>
      <c r="B745" s="2713">
        <v>3127</v>
      </c>
      <c r="C745" s="2727">
        <v>6351</v>
      </c>
      <c r="D745" s="2741"/>
      <c r="E745" s="2183" t="s">
        <v>1053</v>
      </c>
      <c r="F745" s="2740"/>
      <c r="G745" s="2740">
        <v>564</v>
      </c>
      <c r="H745" s="2740">
        <v>564</v>
      </c>
      <c r="I745" s="2739">
        <f t="shared" si="14"/>
        <v>100</v>
      </c>
      <c r="R745" s="1254"/>
      <c r="S745" s="1254"/>
      <c r="T745" s="1254"/>
    </row>
    <row r="746" spans="1:23" ht="15" thickBot="1" x14ac:dyDescent="0.25">
      <c r="A746" s="2738"/>
      <c r="B746" s="2737"/>
      <c r="C746" s="1269"/>
      <c r="D746" s="2420" t="s">
        <v>1951</v>
      </c>
      <c r="E746" s="2734" t="s">
        <v>645</v>
      </c>
      <c r="F746" s="2711"/>
      <c r="G746" s="2711">
        <v>564</v>
      </c>
      <c r="H746" s="2711">
        <v>564</v>
      </c>
      <c r="I746" s="2710">
        <f t="shared" si="14"/>
        <v>100</v>
      </c>
      <c r="R746" s="1254"/>
      <c r="S746" s="1254"/>
      <c r="T746" s="1254"/>
    </row>
    <row r="747" spans="1:23" ht="16.5" thickTop="1" thickBot="1" x14ac:dyDescent="0.3">
      <c r="A747" s="3202" t="s">
        <v>1001</v>
      </c>
      <c r="B747" s="3203"/>
      <c r="C747" s="3203"/>
      <c r="D747" s="3203"/>
      <c r="E747" s="3204"/>
      <c r="F747" s="2709">
        <v>0</v>
      </c>
      <c r="G747" s="2709">
        <f>G745</f>
        <v>564</v>
      </c>
      <c r="H747" s="2709">
        <f>SUM(H745)</f>
        <v>564</v>
      </c>
      <c r="I747" s="2708">
        <f t="shared" si="14"/>
        <v>100</v>
      </c>
      <c r="U747" s="1254">
        <f>F747</f>
        <v>0</v>
      </c>
      <c r="V747" s="1254">
        <f>G747</f>
        <v>564</v>
      </c>
      <c r="W747" s="1254">
        <f>H747</f>
        <v>564</v>
      </c>
    </row>
    <row r="748" spans="1:23" ht="13.5" thickTop="1" x14ac:dyDescent="0.2"/>
    <row r="749" spans="1:23" ht="13.5" thickBot="1" x14ac:dyDescent="0.25">
      <c r="A749" s="2163" t="s">
        <v>297</v>
      </c>
      <c r="I749" s="2699" t="s">
        <v>148</v>
      </c>
    </row>
    <row r="750" spans="1:23" ht="14.25" thickTop="1" thickBot="1" x14ac:dyDescent="0.25">
      <c r="A750" s="1302" t="s">
        <v>565</v>
      </c>
      <c r="B750" s="1299" t="s">
        <v>149</v>
      </c>
      <c r="C750" s="1301" t="s">
        <v>150</v>
      </c>
      <c r="D750" s="1324" t="s">
        <v>639</v>
      </c>
      <c r="E750" s="1324" t="s">
        <v>151</v>
      </c>
      <c r="F750" s="1324" t="s">
        <v>569</v>
      </c>
      <c r="G750" s="1324" t="s">
        <v>570</v>
      </c>
      <c r="H750" s="2198" t="s">
        <v>797</v>
      </c>
      <c r="I750" s="2723" t="s">
        <v>798</v>
      </c>
    </row>
    <row r="751" spans="1:23" ht="14.25" thickTop="1" thickBot="1" x14ac:dyDescent="0.25">
      <c r="A751" s="1297">
        <v>1</v>
      </c>
      <c r="B751" s="1296">
        <v>2</v>
      </c>
      <c r="C751" s="1296">
        <v>3</v>
      </c>
      <c r="D751" s="1296">
        <v>4</v>
      </c>
      <c r="E751" s="1296">
        <v>5</v>
      </c>
      <c r="F751" s="1295">
        <v>6</v>
      </c>
      <c r="G751" s="1295">
        <v>7</v>
      </c>
      <c r="H751" s="1446">
        <v>8</v>
      </c>
      <c r="I751" s="1294" t="s">
        <v>689</v>
      </c>
    </row>
    <row r="752" spans="1:23" ht="15.75" thickTop="1" x14ac:dyDescent="0.25">
      <c r="A752" s="2722">
        <v>1216</v>
      </c>
      <c r="B752" s="2721">
        <v>3127</v>
      </c>
      <c r="C752" s="2721">
        <v>5331</v>
      </c>
      <c r="D752" s="2720"/>
      <c r="E752" s="2719" t="s">
        <v>858</v>
      </c>
      <c r="F752" s="2718"/>
      <c r="G752" s="2718">
        <f>G753+G754</f>
        <v>1646</v>
      </c>
      <c r="H752" s="2718">
        <f>H753+H754</f>
        <v>1646</v>
      </c>
      <c r="I752" s="2717">
        <f>(H752/G752)*100</f>
        <v>100</v>
      </c>
    </row>
    <row r="753" spans="1:23" ht="14.25" x14ac:dyDescent="0.2">
      <c r="A753" s="2714"/>
      <c r="B753" s="2713"/>
      <c r="C753" s="2713"/>
      <c r="D753" s="2191" t="s">
        <v>1811</v>
      </c>
      <c r="E753" s="2716" t="s">
        <v>717</v>
      </c>
      <c r="F753" s="2711"/>
      <c r="G753" s="2711">
        <v>172</v>
      </c>
      <c r="H753" s="2711">
        <v>172</v>
      </c>
      <c r="I753" s="2710">
        <f>(H753/G753)*100</f>
        <v>100</v>
      </c>
    </row>
    <row r="754" spans="1:23" ht="15" thickBot="1" x14ac:dyDescent="0.25">
      <c r="A754" s="2714"/>
      <c r="B754" s="2713"/>
      <c r="C754" s="2713"/>
      <c r="D754" s="2182" t="s">
        <v>1812</v>
      </c>
      <c r="E754" s="2712" t="s">
        <v>63</v>
      </c>
      <c r="F754" s="2711"/>
      <c r="G754" s="2711">
        <v>1474</v>
      </c>
      <c r="H754" s="2711">
        <v>1474</v>
      </c>
      <c r="I754" s="2710">
        <f>(H754/G754)*100</f>
        <v>100</v>
      </c>
    </row>
    <row r="755" spans="1:23" ht="16.5" thickTop="1" thickBot="1" x14ac:dyDescent="0.3">
      <c r="A755" s="3195" t="s">
        <v>1000</v>
      </c>
      <c r="B755" s="3196"/>
      <c r="C755" s="3196"/>
      <c r="D755" s="3196"/>
      <c r="E755" s="3196"/>
      <c r="F755" s="2709">
        <v>0</v>
      </c>
      <c r="G755" s="2709">
        <f>G752</f>
        <v>1646</v>
      </c>
      <c r="H755" s="2709">
        <f>H752</f>
        <v>1646</v>
      </c>
      <c r="I755" s="2708">
        <f>(H755/G755)*100</f>
        <v>100</v>
      </c>
      <c r="J755" s="1254">
        <f>F755</f>
        <v>0</v>
      </c>
      <c r="K755" s="1254" t="e">
        <f>G755+#REF!</f>
        <v>#REF!</v>
      </c>
      <c r="L755" s="1254" t="e">
        <f>H755+#REF!</f>
        <v>#REF!</v>
      </c>
      <c r="R755" s="1254">
        <f>F755</f>
        <v>0</v>
      </c>
      <c r="S755" s="1254">
        <f>G755</f>
        <v>1646</v>
      </c>
      <c r="T755" s="1254">
        <f>H755</f>
        <v>1646</v>
      </c>
      <c r="U755" s="1254"/>
      <c r="V755" s="1254"/>
      <c r="W755" s="1254"/>
    </row>
    <row r="756" spans="1:23" s="1292" customFormat="1" ht="13.5" thickTop="1" x14ac:dyDescent="0.2">
      <c r="A756" s="1249"/>
      <c r="B756" s="2326"/>
      <c r="C756" s="1249"/>
      <c r="D756" s="2344"/>
      <c r="E756" s="1249"/>
      <c r="F756" s="1254"/>
      <c r="G756" s="1254"/>
      <c r="H756" s="1254"/>
      <c r="I756" s="2699"/>
    </row>
    <row r="757" spans="1:23" ht="13.5" thickBot="1" x14ac:dyDescent="0.25">
      <c r="A757" s="2163" t="s">
        <v>1122</v>
      </c>
      <c r="I757" s="2699" t="s">
        <v>148</v>
      </c>
    </row>
    <row r="758" spans="1:23" ht="14.25" thickTop="1" thickBot="1" x14ac:dyDescent="0.25">
      <c r="A758" s="1302" t="s">
        <v>565</v>
      </c>
      <c r="B758" s="1299" t="s">
        <v>149</v>
      </c>
      <c r="C758" s="1301" t="s">
        <v>150</v>
      </c>
      <c r="D758" s="1324" t="s">
        <v>639</v>
      </c>
      <c r="E758" s="1324" t="s">
        <v>151</v>
      </c>
      <c r="F758" s="1324" t="s">
        <v>569</v>
      </c>
      <c r="G758" s="1324" t="s">
        <v>570</v>
      </c>
      <c r="H758" s="2198" t="s">
        <v>797</v>
      </c>
      <c r="I758" s="2723" t="s">
        <v>798</v>
      </c>
    </row>
    <row r="759" spans="1:23" ht="14.25" thickTop="1" thickBot="1" x14ac:dyDescent="0.25">
      <c r="A759" s="1297">
        <v>1</v>
      </c>
      <c r="B759" s="1296">
        <v>2</v>
      </c>
      <c r="C759" s="1296">
        <v>3</v>
      </c>
      <c r="D759" s="1296">
        <v>4</v>
      </c>
      <c r="E759" s="1296">
        <v>5</v>
      </c>
      <c r="F759" s="1295">
        <v>6</v>
      </c>
      <c r="G759" s="1295">
        <v>7</v>
      </c>
      <c r="H759" s="1446">
        <v>8</v>
      </c>
      <c r="I759" s="1294" t="s">
        <v>689</v>
      </c>
    </row>
    <row r="760" spans="1:23" ht="15.75" thickTop="1" x14ac:dyDescent="0.25">
      <c r="A760" s="2722">
        <v>1218</v>
      </c>
      <c r="B760" s="2721">
        <v>3124</v>
      </c>
      <c r="C760" s="2721">
        <v>5331</v>
      </c>
      <c r="D760" s="2720"/>
      <c r="E760" s="2719" t="s">
        <v>858</v>
      </c>
      <c r="F760" s="2718"/>
      <c r="G760" s="2718">
        <f>G761+G762+G763</f>
        <v>1622</v>
      </c>
      <c r="H760" s="2718">
        <f>H761+H762+H763</f>
        <v>1622</v>
      </c>
      <c r="I760" s="2717">
        <f t="shared" ref="I760:I767" si="15">(H760/G760)*100</f>
        <v>100</v>
      </c>
    </row>
    <row r="761" spans="1:23" ht="14.25" x14ac:dyDescent="0.2">
      <c r="A761" s="2714"/>
      <c r="B761" s="2713"/>
      <c r="C761" s="2713"/>
      <c r="D761" s="2191" t="s">
        <v>1811</v>
      </c>
      <c r="E761" s="2716" t="s">
        <v>717</v>
      </c>
      <c r="F761" s="2711"/>
      <c r="G761" s="2711">
        <v>276</v>
      </c>
      <c r="H761" s="2711">
        <v>276</v>
      </c>
      <c r="I761" s="2724">
        <f t="shared" si="15"/>
        <v>100</v>
      </c>
    </row>
    <row r="762" spans="1:23" ht="14.25" x14ac:dyDescent="0.2">
      <c r="A762" s="2714"/>
      <c r="B762" s="2713"/>
      <c r="C762" s="2713"/>
      <c r="D762" s="2420" t="s">
        <v>1951</v>
      </c>
      <c r="E762" s="2734" t="s">
        <v>645</v>
      </c>
      <c r="F762" s="2647"/>
      <c r="G762" s="1317">
        <v>75</v>
      </c>
      <c r="H762" s="1317">
        <v>75</v>
      </c>
      <c r="I762" s="1316">
        <f t="shared" si="15"/>
        <v>100</v>
      </c>
    </row>
    <row r="763" spans="1:23" ht="15" thickBot="1" x14ac:dyDescent="0.25">
      <c r="A763" s="2714"/>
      <c r="B763" s="2713"/>
      <c r="C763" s="2713"/>
      <c r="D763" s="2182" t="s">
        <v>1812</v>
      </c>
      <c r="E763" s="2712" t="s">
        <v>63</v>
      </c>
      <c r="F763" s="2711"/>
      <c r="G763" s="2711">
        <v>1271</v>
      </c>
      <c r="H763" s="2711">
        <v>1271</v>
      </c>
      <c r="I763" s="2724">
        <f t="shared" si="15"/>
        <v>100</v>
      </c>
    </row>
    <row r="764" spans="1:23" ht="16.5" thickTop="1" thickBot="1" x14ac:dyDescent="0.3">
      <c r="A764" s="3195" t="s">
        <v>1000</v>
      </c>
      <c r="B764" s="3196"/>
      <c r="C764" s="3196"/>
      <c r="D764" s="3196"/>
      <c r="E764" s="3196"/>
      <c r="F764" s="2709">
        <v>0</v>
      </c>
      <c r="G764" s="2709">
        <f>G760</f>
        <v>1622</v>
      </c>
      <c r="H764" s="2709">
        <f>H760</f>
        <v>1622</v>
      </c>
      <c r="I764" s="2708">
        <f t="shared" si="15"/>
        <v>100</v>
      </c>
      <c r="R764" s="1254">
        <f>F764</f>
        <v>0</v>
      </c>
      <c r="S764" s="1254">
        <f>G764</f>
        <v>1622</v>
      </c>
      <c r="T764" s="1254">
        <f>H764</f>
        <v>1622</v>
      </c>
    </row>
    <row r="765" spans="1:23" ht="15.75" thickTop="1" x14ac:dyDescent="0.25">
      <c r="A765" s="2742">
        <v>1218</v>
      </c>
      <c r="B765" s="2713">
        <v>3124</v>
      </c>
      <c r="C765" s="2727">
        <v>6351</v>
      </c>
      <c r="D765" s="2741"/>
      <c r="E765" s="2183" t="s">
        <v>1053</v>
      </c>
      <c r="F765" s="2740"/>
      <c r="G765" s="2740">
        <v>381</v>
      </c>
      <c r="H765" s="2740">
        <v>381</v>
      </c>
      <c r="I765" s="2739">
        <f t="shared" si="15"/>
        <v>100</v>
      </c>
      <c r="R765" s="1254"/>
      <c r="S765" s="1254"/>
      <c r="T765" s="1254"/>
    </row>
    <row r="766" spans="1:23" ht="15" thickBot="1" x14ac:dyDescent="0.25">
      <c r="A766" s="2738"/>
      <c r="B766" s="2737"/>
      <c r="C766" s="1269"/>
      <c r="D766" s="2420" t="s">
        <v>1951</v>
      </c>
      <c r="E766" s="2734" t="s">
        <v>645</v>
      </c>
      <c r="F766" s="2647"/>
      <c r="G766" s="1317">
        <v>381</v>
      </c>
      <c r="H766" s="1317">
        <v>381</v>
      </c>
      <c r="I766" s="1316">
        <f t="shared" si="15"/>
        <v>100</v>
      </c>
      <c r="R766" s="1254"/>
      <c r="S766" s="1254"/>
      <c r="T766" s="1254"/>
    </row>
    <row r="767" spans="1:23" ht="16.5" thickTop="1" thickBot="1" x14ac:dyDescent="0.3">
      <c r="A767" s="3202" t="s">
        <v>1001</v>
      </c>
      <c r="B767" s="3203"/>
      <c r="C767" s="3203"/>
      <c r="D767" s="3203"/>
      <c r="E767" s="3204"/>
      <c r="F767" s="2709">
        <v>0</v>
      </c>
      <c r="G767" s="2709">
        <f>G765</f>
        <v>381</v>
      </c>
      <c r="H767" s="2709">
        <f>SUM(H765)</f>
        <v>381</v>
      </c>
      <c r="I767" s="2708">
        <f t="shared" si="15"/>
        <v>100</v>
      </c>
      <c r="U767" s="1254">
        <f>F767</f>
        <v>0</v>
      </c>
      <c r="V767" s="1254">
        <f>G767</f>
        <v>381</v>
      </c>
      <c r="W767" s="1254">
        <f>H767</f>
        <v>381</v>
      </c>
    </row>
    <row r="768" spans="1:23" ht="15.75" thickTop="1" x14ac:dyDescent="0.25">
      <c r="A768" s="1417"/>
      <c r="B768" s="1417"/>
      <c r="C768" s="1417"/>
      <c r="D768" s="1417"/>
      <c r="E768" s="1417"/>
      <c r="F768" s="2701"/>
      <c r="G768" s="2701"/>
      <c r="H768" s="2701"/>
      <c r="I768" s="2700"/>
      <c r="R768" s="1254"/>
      <c r="S768" s="1254"/>
      <c r="T768" s="1254"/>
    </row>
    <row r="769" spans="1:20" ht="13.5" thickBot="1" x14ac:dyDescent="0.25">
      <c r="A769" s="2163" t="s">
        <v>127</v>
      </c>
      <c r="I769" s="2699" t="s">
        <v>148</v>
      </c>
    </row>
    <row r="770" spans="1:20" ht="14.25" thickTop="1" thickBot="1" x14ac:dyDescent="0.25">
      <c r="A770" s="1302" t="s">
        <v>565</v>
      </c>
      <c r="B770" s="1299" t="s">
        <v>149</v>
      </c>
      <c r="C770" s="1301" t="s">
        <v>150</v>
      </c>
      <c r="D770" s="1324" t="s">
        <v>639</v>
      </c>
      <c r="E770" s="1324" t="s">
        <v>151</v>
      </c>
      <c r="F770" s="1324" t="s">
        <v>569</v>
      </c>
      <c r="G770" s="1324" t="s">
        <v>570</v>
      </c>
      <c r="H770" s="2198" t="s">
        <v>797</v>
      </c>
      <c r="I770" s="2723" t="s">
        <v>798</v>
      </c>
    </row>
    <row r="771" spans="1:20" ht="14.25" thickTop="1" thickBot="1" x14ac:dyDescent="0.25">
      <c r="A771" s="1297">
        <v>1</v>
      </c>
      <c r="B771" s="1296">
        <v>2</v>
      </c>
      <c r="C771" s="1296">
        <v>3</v>
      </c>
      <c r="D771" s="1296">
        <v>4</v>
      </c>
      <c r="E771" s="1296">
        <v>5</v>
      </c>
      <c r="F771" s="1295">
        <v>6</v>
      </c>
      <c r="G771" s="1295">
        <v>7</v>
      </c>
      <c r="H771" s="1446">
        <v>8</v>
      </c>
      <c r="I771" s="1294" t="s">
        <v>689</v>
      </c>
    </row>
    <row r="772" spans="1:20" ht="15.75" thickTop="1" x14ac:dyDescent="0.25">
      <c r="A772" s="2722">
        <v>1222</v>
      </c>
      <c r="B772" s="2721">
        <v>3124</v>
      </c>
      <c r="C772" s="2721">
        <v>5331</v>
      </c>
      <c r="D772" s="2720"/>
      <c r="E772" s="2719" t="s">
        <v>858</v>
      </c>
      <c r="F772" s="2718"/>
      <c r="G772" s="2718">
        <f>G773+G774</f>
        <v>911</v>
      </c>
      <c r="H772" s="2718">
        <f>H773+H774</f>
        <v>911</v>
      </c>
      <c r="I772" s="2717">
        <f>(H772/G772)*100</f>
        <v>100</v>
      </c>
    </row>
    <row r="773" spans="1:20" ht="14.25" x14ac:dyDescent="0.2">
      <c r="A773" s="2714"/>
      <c r="B773" s="2713"/>
      <c r="C773" s="2713"/>
      <c r="D773" s="2191" t="s">
        <v>1811</v>
      </c>
      <c r="E773" s="2716" t="s">
        <v>717</v>
      </c>
      <c r="F773" s="2711"/>
      <c r="G773" s="2711">
        <v>74</v>
      </c>
      <c r="H773" s="2711">
        <v>74</v>
      </c>
      <c r="I773" s="2710">
        <f>(H773/G773)*100</f>
        <v>100</v>
      </c>
    </row>
    <row r="774" spans="1:20" ht="15" thickBot="1" x14ac:dyDescent="0.25">
      <c r="A774" s="2714"/>
      <c r="B774" s="2713"/>
      <c r="C774" s="2713"/>
      <c r="D774" s="2182" t="s">
        <v>1812</v>
      </c>
      <c r="E774" s="2712" t="s">
        <v>63</v>
      </c>
      <c r="F774" s="2711"/>
      <c r="G774" s="2711">
        <v>837</v>
      </c>
      <c r="H774" s="2711">
        <v>837</v>
      </c>
      <c r="I774" s="2710">
        <f>(H774/G774)*100</f>
        <v>100</v>
      </c>
    </row>
    <row r="775" spans="1:20" ht="16.5" thickTop="1" thickBot="1" x14ac:dyDescent="0.3">
      <c r="A775" s="3195" t="s">
        <v>1000</v>
      </c>
      <c r="B775" s="3196"/>
      <c r="C775" s="3196"/>
      <c r="D775" s="3196"/>
      <c r="E775" s="3196"/>
      <c r="F775" s="2709">
        <f>F772</f>
        <v>0</v>
      </c>
      <c r="G775" s="2709">
        <f>G772</f>
        <v>911</v>
      </c>
      <c r="H775" s="2709">
        <f>H772</f>
        <v>911</v>
      </c>
      <c r="I775" s="2708">
        <f>(H775/G775)*100</f>
        <v>100</v>
      </c>
      <c r="R775" s="1254">
        <f>F775</f>
        <v>0</v>
      </c>
      <c r="S775" s="1254">
        <f>G775</f>
        <v>911</v>
      </c>
      <c r="T775" s="1254">
        <f>H775</f>
        <v>911</v>
      </c>
    </row>
    <row r="776" spans="1:20" ht="15.75" thickTop="1" x14ac:dyDescent="0.25">
      <c r="A776" s="1417"/>
      <c r="B776" s="1417"/>
      <c r="C776" s="1417"/>
      <c r="D776" s="1417"/>
      <c r="E776" s="1417"/>
      <c r="F776" s="2701"/>
      <c r="G776" s="2701"/>
      <c r="H776" s="2701"/>
      <c r="I776" s="2700"/>
      <c r="R776" s="1254"/>
      <c r="S776" s="1254"/>
      <c r="T776" s="1254"/>
    </row>
    <row r="777" spans="1:20" ht="13.5" thickBot="1" x14ac:dyDescent="0.25">
      <c r="A777" s="2163" t="s">
        <v>128</v>
      </c>
      <c r="I777" s="2699" t="s">
        <v>148</v>
      </c>
    </row>
    <row r="778" spans="1:20" ht="18" customHeight="1" thickTop="1" thickBot="1" x14ac:dyDescent="0.25">
      <c r="A778" s="1302" t="s">
        <v>565</v>
      </c>
      <c r="B778" s="1299" t="s">
        <v>149</v>
      </c>
      <c r="C778" s="1301" t="s">
        <v>150</v>
      </c>
      <c r="D778" s="1324" t="s">
        <v>639</v>
      </c>
      <c r="E778" s="1324" t="s">
        <v>151</v>
      </c>
      <c r="F778" s="1324" t="s">
        <v>569</v>
      </c>
      <c r="G778" s="1324" t="s">
        <v>570</v>
      </c>
      <c r="H778" s="2198" t="s">
        <v>797</v>
      </c>
      <c r="I778" s="2723" t="s">
        <v>798</v>
      </c>
    </row>
    <row r="779" spans="1:20" ht="14.25" thickTop="1" thickBot="1" x14ac:dyDescent="0.25">
      <c r="A779" s="1297">
        <v>1</v>
      </c>
      <c r="B779" s="1296">
        <v>2</v>
      </c>
      <c r="C779" s="1296">
        <v>3</v>
      </c>
      <c r="D779" s="1296">
        <v>4</v>
      </c>
      <c r="E779" s="1296">
        <v>5</v>
      </c>
      <c r="F779" s="1295">
        <v>6</v>
      </c>
      <c r="G779" s="1295">
        <v>7</v>
      </c>
      <c r="H779" s="1446">
        <v>8</v>
      </c>
      <c r="I779" s="1294" t="s">
        <v>689</v>
      </c>
    </row>
    <row r="780" spans="1:20" ht="15.75" thickTop="1" x14ac:dyDescent="0.25">
      <c r="A780" s="2722">
        <v>1223</v>
      </c>
      <c r="B780" s="2721">
        <v>3127</v>
      </c>
      <c r="C780" s="2721">
        <v>5331</v>
      </c>
      <c r="D780" s="2720"/>
      <c r="E780" s="2719" t="s">
        <v>858</v>
      </c>
      <c r="F780" s="2718"/>
      <c r="G780" s="2718">
        <f>G781+G782+G783</f>
        <v>3290</v>
      </c>
      <c r="H780" s="2718">
        <f>H781+H782+H783</f>
        <v>3290</v>
      </c>
      <c r="I780" s="2717">
        <f t="shared" ref="I780:I787" si="16">(H780/G780)*100</f>
        <v>100</v>
      </c>
    </row>
    <row r="781" spans="1:20" ht="15" x14ac:dyDescent="0.25">
      <c r="A781" s="2714"/>
      <c r="B781" s="2713"/>
      <c r="C781" s="2713"/>
      <c r="D781" s="2191" t="s">
        <v>1811</v>
      </c>
      <c r="E781" s="2716" t="s">
        <v>717</v>
      </c>
      <c r="F781" s="2729"/>
      <c r="G781" s="2715">
        <v>550</v>
      </c>
      <c r="H781" s="2715">
        <v>550</v>
      </c>
      <c r="I781" s="2710">
        <f t="shared" si="16"/>
        <v>100</v>
      </c>
    </row>
    <row r="782" spans="1:20" ht="15" x14ac:dyDescent="0.25">
      <c r="A782" s="2714"/>
      <c r="B782" s="2713"/>
      <c r="C782" s="2713"/>
      <c r="D782" s="2420" t="s">
        <v>1951</v>
      </c>
      <c r="E782" s="2734" t="s">
        <v>645</v>
      </c>
      <c r="F782" s="2729"/>
      <c r="G782" s="2715">
        <v>252</v>
      </c>
      <c r="H782" s="2715">
        <v>252</v>
      </c>
      <c r="I782" s="2710">
        <f t="shared" si="16"/>
        <v>100</v>
      </c>
    </row>
    <row r="783" spans="1:20" ht="15" thickBot="1" x14ac:dyDescent="0.25">
      <c r="A783" s="2714"/>
      <c r="B783" s="2713"/>
      <c r="C783" s="2713"/>
      <c r="D783" s="2182" t="s">
        <v>1812</v>
      </c>
      <c r="E783" s="2712" t="s">
        <v>63</v>
      </c>
      <c r="F783" s="2715"/>
      <c r="G783" s="2711">
        <v>2488</v>
      </c>
      <c r="H783" s="2711">
        <v>2488</v>
      </c>
      <c r="I783" s="2710">
        <f t="shared" si="16"/>
        <v>100</v>
      </c>
    </row>
    <row r="784" spans="1:20" ht="16.5" thickTop="1" thickBot="1" x14ac:dyDescent="0.3">
      <c r="A784" s="3195" t="s">
        <v>1000</v>
      </c>
      <c r="B784" s="3196"/>
      <c r="C784" s="3196"/>
      <c r="D784" s="3196"/>
      <c r="E784" s="3196"/>
      <c r="F784" s="2709">
        <v>0</v>
      </c>
      <c r="G784" s="2709">
        <f>G780</f>
        <v>3290</v>
      </c>
      <c r="H784" s="2709">
        <f>H780</f>
        <v>3290</v>
      </c>
      <c r="I784" s="2708">
        <f t="shared" si="16"/>
        <v>100</v>
      </c>
      <c r="R784" s="1254">
        <f>F784</f>
        <v>0</v>
      </c>
      <c r="S784" s="1254">
        <f>G784</f>
        <v>3290</v>
      </c>
      <c r="T784" s="1254">
        <f>H784</f>
        <v>3290</v>
      </c>
    </row>
    <row r="785" spans="1:23" ht="15.75" thickTop="1" x14ac:dyDescent="0.25">
      <c r="A785" s="2742">
        <v>1223</v>
      </c>
      <c r="B785" s="2713">
        <v>3124</v>
      </c>
      <c r="C785" s="2727">
        <v>6351</v>
      </c>
      <c r="D785" s="2741"/>
      <c r="E785" s="2183" t="s">
        <v>1053</v>
      </c>
      <c r="F785" s="2740"/>
      <c r="G785" s="2740">
        <v>928</v>
      </c>
      <c r="H785" s="2740">
        <v>928</v>
      </c>
      <c r="I785" s="2739">
        <f t="shared" si="16"/>
        <v>100</v>
      </c>
      <c r="R785" s="1254"/>
      <c r="S785" s="1254"/>
      <c r="T785" s="1254"/>
    </row>
    <row r="786" spans="1:23" ht="15" thickBot="1" x14ac:dyDescent="0.25">
      <c r="A786" s="2738"/>
      <c r="B786" s="2737"/>
      <c r="C786" s="1269"/>
      <c r="D786" s="2420" t="s">
        <v>1951</v>
      </c>
      <c r="E786" s="2734" t="s">
        <v>645</v>
      </c>
      <c r="F786" s="2647"/>
      <c r="G786" s="1317">
        <v>928</v>
      </c>
      <c r="H786" s="1317">
        <v>928</v>
      </c>
      <c r="I786" s="1316">
        <f t="shared" si="16"/>
        <v>100</v>
      </c>
      <c r="R786" s="1254"/>
      <c r="S786" s="1254"/>
      <c r="T786" s="1254"/>
    </row>
    <row r="787" spans="1:23" ht="16.5" thickTop="1" thickBot="1" x14ac:dyDescent="0.3">
      <c r="A787" s="3202" t="s">
        <v>1001</v>
      </c>
      <c r="B787" s="3203"/>
      <c r="C787" s="3203"/>
      <c r="D787" s="3203"/>
      <c r="E787" s="3204"/>
      <c r="F787" s="2709">
        <v>0</v>
      </c>
      <c r="G787" s="2709">
        <f>G785</f>
        <v>928</v>
      </c>
      <c r="H787" s="2709">
        <f>SUM(H785)</f>
        <v>928</v>
      </c>
      <c r="I787" s="2708">
        <f t="shared" si="16"/>
        <v>100</v>
      </c>
      <c r="U787" s="1254">
        <f>F787</f>
        <v>0</v>
      </c>
      <c r="V787" s="1254">
        <f>G787</f>
        <v>928</v>
      </c>
      <c r="W787" s="1254">
        <f>H787</f>
        <v>928</v>
      </c>
    </row>
    <row r="788" spans="1:23" s="1298" customFormat="1" ht="13.5" thickTop="1" x14ac:dyDescent="0.2">
      <c r="A788" s="1249"/>
      <c r="B788" s="2326"/>
      <c r="C788" s="1249"/>
      <c r="D788" s="2344"/>
      <c r="E788" s="1249"/>
      <c r="F788" s="1254"/>
      <c r="G788" s="1254"/>
      <c r="H788" s="1254"/>
      <c r="I788" s="2699"/>
    </row>
    <row r="789" spans="1:23" ht="13.5" thickBot="1" x14ac:dyDescent="0.25">
      <c r="A789" s="2163" t="s">
        <v>129</v>
      </c>
      <c r="I789" s="2699" t="s">
        <v>148</v>
      </c>
    </row>
    <row r="790" spans="1:23" ht="14.25" thickTop="1" thickBot="1" x14ac:dyDescent="0.25">
      <c r="A790" s="1302" t="s">
        <v>565</v>
      </c>
      <c r="B790" s="1299" t="s">
        <v>149</v>
      </c>
      <c r="C790" s="1301" t="s">
        <v>150</v>
      </c>
      <c r="D790" s="1324" t="s">
        <v>639</v>
      </c>
      <c r="E790" s="1324" t="s">
        <v>151</v>
      </c>
      <c r="F790" s="1324" t="s">
        <v>569</v>
      </c>
      <c r="G790" s="1324" t="s">
        <v>570</v>
      </c>
      <c r="H790" s="2198" t="s">
        <v>797</v>
      </c>
      <c r="I790" s="2723" t="s">
        <v>798</v>
      </c>
    </row>
    <row r="791" spans="1:23" ht="14.25" thickTop="1" thickBot="1" x14ac:dyDescent="0.25">
      <c r="A791" s="1297">
        <v>1</v>
      </c>
      <c r="B791" s="1296">
        <v>2</v>
      </c>
      <c r="C791" s="1296">
        <v>3</v>
      </c>
      <c r="D791" s="1296">
        <v>4</v>
      </c>
      <c r="E791" s="1296">
        <v>5</v>
      </c>
      <c r="F791" s="1295">
        <v>6</v>
      </c>
      <c r="G791" s="1295">
        <v>7</v>
      </c>
      <c r="H791" s="1446">
        <v>8</v>
      </c>
      <c r="I791" s="1294" t="s">
        <v>689</v>
      </c>
    </row>
    <row r="792" spans="1:23" ht="12.75" customHeight="1" thickTop="1" x14ac:dyDescent="0.25">
      <c r="A792" s="2722">
        <v>1225</v>
      </c>
      <c r="B792" s="2721">
        <v>3124</v>
      </c>
      <c r="C792" s="2721">
        <v>5331</v>
      </c>
      <c r="D792" s="2720"/>
      <c r="E792" s="2719" t="s">
        <v>858</v>
      </c>
      <c r="F792" s="2718"/>
      <c r="G792" s="2718">
        <f>G793+G794+G795</f>
        <v>2911</v>
      </c>
      <c r="H792" s="2718">
        <f>H793+H794+H795</f>
        <v>2911</v>
      </c>
      <c r="I792" s="2717">
        <f>(H792/G792)*100</f>
        <v>100</v>
      </c>
    </row>
    <row r="793" spans="1:23" ht="14.25" x14ac:dyDescent="0.2">
      <c r="A793" s="2714"/>
      <c r="B793" s="2713"/>
      <c r="C793" s="2713"/>
      <c r="D793" s="2191" t="s">
        <v>1811</v>
      </c>
      <c r="E793" s="2716" t="s">
        <v>717</v>
      </c>
      <c r="F793" s="2715"/>
      <c r="G793" s="2711">
        <v>510</v>
      </c>
      <c r="H793" s="2711">
        <v>510</v>
      </c>
      <c r="I793" s="2710">
        <f>(H793/G793)*100</f>
        <v>100</v>
      </c>
    </row>
    <row r="794" spans="1:23" ht="14.25" x14ac:dyDescent="0.2">
      <c r="A794" s="2714"/>
      <c r="B794" s="2713"/>
      <c r="C794" s="2713"/>
      <c r="D794" s="2182" t="s">
        <v>1812</v>
      </c>
      <c r="E794" s="2712" t="s">
        <v>63</v>
      </c>
      <c r="F794" s="2715"/>
      <c r="G794" s="2711">
        <v>2359</v>
      </c>
      <c r="H794" s="2711">
        <v>2359</v>
      </c>
      <c r="I794" s="2710">
        <f>(H794/G794)*100</f>
        <v>100</v>
      </c>
    </row>
    <row r="795" spans="1:23" ht="15.75" customHeight="1" thickBot="1" x14ac:dyDescent="0.25">
      <c r="A795" s="2714"/>
      <c r="B795" s="2727"/>
      <c r="C795" s="2727"/>
      <c r="D795" s="2420" t="s">
        <v>1817</v>
      </c>
      <c r="E795" s="2638" t="s">
        <v>1160</v>
      </c>
      <c r="F795" s="2756"/>
      <c r="G795" s="2725">
        <v>42</v>
      </c>
      <c r="H795" s="2725">
        <v>42</v>
      </c>
      <c r="I795" s="2710">
        <f>(H795/G795)*100</f>
        <v>100</v>
      </c>
    </row>
    <row r="796" spans="1:23" ht="16.5" thickTop="1" thickBot="1" x14ac:dyDescent="0.3">
      <c r="A796" s="3195" t="s">
        <v>1000</v>
      </c>
      <c r="B796" s="3196"/>
      <c r="C796" s="3196"/>
      <c r="D796" s="3196"/>
      <c r="E796" s="3196"/>
      <c r="F796" s="2709">
        <v>0</v>
      </c>
      <c r="G796" s="2709">
        <f>G792</f>
        <v>2911</v>
      </c>
      <c r="H796" s="2709">
        <f>H792</f>
        <v>2911</v>
      </c>
      <c r="I796" s="2708">
        <f>(H796/G796)*100</f>
        <v>100</v>
      </c>
      <c r="R796" s="1254">
        <f>F796</f>
        <v>0</v>
      </c>
      <c r="S796" s="1254">
        <f>G796</f>
        <v>2911</v>
      </c>
      <c r="T796" s="1254">
        <f>H796</f>
        <v>2911</v>
      </c>
    </row>
    <row r="797" spans="1:23" ht="13.5" thickTop="1" x14ac:dyDescent="0.2"/>
    <row r="798" spans="1:23" s="2402" customFormat="1" ht="13.5" thickBot="1" x14ac:dyDescent="0.25">
      <c r="A798" s="2206" t="s">
        <v>1754</v>
      </c>
      <c r="B798" s="2755"/>
      <c r="D798" s="2754"/>
      <c r="F798" s="2753"/>
      <c r="G798" s="2753"/>
      <c r="H798" s="2753"/>
      <c r="I798" s="2752" t="s">
        <v>148</v>
      </c>
    </row>
    <row r="799" spans="1:23" ht="14.25" thickTop="1" thickBot="1" x14ac:dyDescent="0.25">
      <c r="A799" s="1302" t="s">
        <v>565</v>
      </c>
      <c r="B799" s="1299" t="s">
        <v>149</v>
      </c>
      <c r="C799" s="1301" t="s">
        <v>150</v>
      </c>
      <c r="D799" s="1324" t="s">
        <v>639</v>
      </c>
      <c r="E799" s="1324" t="s">
        <v>151</v>
      </c>
      <c r="F799" s="1324" t="s">
        <v>569</v>
      </c>
      <c r="G799" s="1324" t="s">
        <v>570</v>
      </c>
      <c r="H799" s="2198" t="s">
        <v>797</v>
      </c>
      <c r="I799" s="2723" t="s">
        <v>798</v>
      </c>
    </row>
    <row r="800" spans="1:23" ht="14.25" thickTop="1" thickBot="1" x14ac:dyDescent="0.25">
      <c r="A800" s="1297">
        <v>1</v>
      </c>
      <c r="B800" s="1296">
        <v>2</v>
      </c>
      <c r="C800" s="1296">
        <v>3</v>
      </c>
      <c r="D800" s="1296">
        <v>4</v>
      </c>
      <c r="E800" s="1296">
        <v>5</v>
      </c>
      <c r="F800" s="1295">
        <v>6</v>
      </c>
      <c r="G800" s="1295">
        <v>7</v>
      </c>
      <c r="H800" s="1446">
        <v>8</v>
      </c>
      <c r="I800" s="1294" t="s">
        <v>689</v>
      </c>
    </row>
    <row r="801" spans="1:23" ht="15.75" thickTop="1" x14ac:dyDescent="0.25">
      <c r="A801" s="2714">
        <v>1226</v>
      </c>
      <c r="B801" s="2713">
        <v>3127</v>
      </c>
      <c r="C801" s="2713">
        <v>5331</v>
      </c>
      <c r="D801" s="2733"/>
      <c r="E801" s="2730" t="s">
        <v>858</v>
      </c>
      <c r="F801" s="2729"/>
      <c r="G801" s="2729">
        <f>G802+G803+G804+G805</f>
        <v>7479</v>
      </c>
      <c r="H801" s="2729">
        <f>H802+H803+H804+H805</f>
        <v>7479</v>
      </c>
      <c r="I801" s="2732">
        <f>(H801/G801)*100</f>
        <v>100</v>
      </c>
    </row>
    <row r="802" spans="1:23" ht="14.25" x14ac:dyDescent="0.2">
      <c r="A802" s="2714"/>
      <c r="B802" s="2713"/>
      <c r="C802" s="2713"/>
      <c r="D802" s="2191" t="s">
        <v>1811</v>
      </c>
      <c r="E802" s="2716" t="s">
        <v>717</v>
      </c>
      <c r="F802" s="2711"/>
      <c r="G802" s="2711">
        <v>2346</v>
      </c>
      <c r="H802" s="2711">
        <v>2346</v>
      </c>
      <c r="I802" s="2710">
        <f>(H802/G802)*100</f>
        <v>100</v>
      </c>
    </row>
    <row r="803" spans="1:23" ht="15" x14ac:dyDescent="0.25">
      <c r="A803" s="2714"/>
      <c r="B803" s="2713"/>
      <c r="C803" s="2713"/>
      <c r="D803" s="2420" t="s">
        <v>1951</v>
      </c>
      <c r="E803" s="2734" t="s">
        <v>645</v>
      </c>
      <c r="F803" s="2729"/>
      <c r="G803" s="2715">
        <v>249</v>
      </c>
      <c r="H803" s="2715">
        <v>249</v>
      </c>
      <c r="I803" s="2710">
        <f>(H803/G803)*100</f>
        <v>100</v>
      </c>
    </row>
    <row r="804" spans="1:23" ht="14.25" x14ac:dyDescent="0.2">
      <c r="A804" s="2714"/>
      <c r="B804" s="2713"/>
      <c r="C804" s="2713"/>
      <c r="D804" s="2182" t="s">
        <v>1812</v>
      </c>
      <c r="E804" s="2712" t="s">
        <v>63</v>
      </c>
      <c r="F804" s="2711"/>
      <c r="G804" s="2711">
        <v>4521</v>
      </c>
      <c r="H804" s="2711">
        <v>4521</v>
      </c>
      <c r="I804" s="2710">
        <v>100</v>
      </c>
    </row>
    <row r="805" spans="1:23" ht="15" thickBot="1" x14ac:dyDescent="0.25">
      <c r="A805" s="2714"/>
      <c r="B805" s="2713"/>
      <c r="C805" s="2713"/>
      <c r="D805" s="2182" t="s">
        <v>1817</v>
      </c>
      <c r="E805" s="2712" t="s">
        <v>66</v>
      </c>
      <c r="F805" s="2725"/>
      <c r="G805" s="2725">
        <v>363</v>
      </c>
      <c r="H805" s="2725">
        <v>363</v>
      </c>
      <c r="I805" s="2724">
        <f>(H805/G805)*100</f>
        <v>100</v>
      </c>
    </row>
    <row r="806" spans="1:23" ht="16.5" thickTop="1" thickBot="1" x14ac:dyDescent="0.3">
      <c r="A806" s="3195" t="s">
        <v>1000</v>
      </c>
      <c r="B806" s="3196"/>
      <c r="C806" s="3196"/>
      <c r="D806" s="3196"/>
      <c r="E806" s="3196"/>
      <c r="F806" s="2709">
        <v>0</v>
      </c>
      <c r="G806" s="2709">
        <f>G801</f>
        <v>7479</v>
      </c>
      <c r="H806" s="2709">
        <f>H801</f>
        <v>7479</v>
      </c>
      <c r="I806" s="2708">
        <f>(H806/G806)*100</f>
        <v>100</v>
      </c>
      <c r="R806" s="1254">
        <f>F806</f>
        <v>0</v>
      </c>
      <c r="S806" s="1254">
        <f>G806</f>
        <v>7479</v>
      </c>
      <c r="T806" s="1254">
        <f>H806</f>
        <v>7479</v>
      </c>
    </row>
    <row r="807" spans="1:23" ht="15.75" thickTop="1" x14ac:dyDescent="0.25">
      <c r="A807" s="2742">
        <v>1226</v>
      </c>
      <c r="B807" s="2713">
        <v>3127</v>
      </c>
      <c r="C807" s="2727">
        <v>6351</v>
      </c>
      <c r="D807" s="2741"/>
      <c r="E807" s="2183" t="s">
        <v>1053</v>
      </c>
      <c r="F807" s="2740"/>
      <c r="G807" s="2740">
        <v>2731</v>
      </c>
      <c r="H807" s="2740">
        <v>2731</v>
      </c>
      <c r="I807" s="2739">
        <f>(H807/G807)*100</f>
        <v>100</v>
      </c>
      <c r="R807" s="1254"/>
      <c r="S807" s="1254"/>
      <c r="T807" s="1254"/>
    </row>
    <row r="808" spans="1:23" ht="15" thickBot="1" x14ac:dyDescent="0.25">
      <c r="A808" s="2738"/>
      <c r="B808" s="2737"/>
      <c r="C808" s="1269"/>
      <c r="D808" s="2420" t="s">
        <v>1951</v>
      </c>
      <c r="E808" s="2734" t="s">
        <v>645</v>
      </c>
      <c r="F808" s="2647"/>
      <c r="G808" s="1317">
        <v>2731</v>
      </c>
      <c r="H808" s="1317">
        <v>2731</v>
      </c>
      <c r="I808" s="1316">
        <f>(H808/G808)*100</f>
        <v>100</v>
      </c>
      <c r="R808" s="1254"/>
      <c r="S808" s="1254"/>
      <c r="T808" s="1254"/>
    </row>
    <row r="809" spans="1:23" ht="16.5" thickTop="1" thickBot="1" x14ac:dyDescent="0.3">
      <c r="A809" s="3202" t="s">
        <v>1001</v>
      </c>
      <c r="B809" s="3203"/>
      <c r="C809" s="3203"/>
      <c r="D809" s="3203"/>
      <c r="E809" s="3204"/>
      <c r="F809" s="2709">
        <v>0</v>
      </c>
      <c r="G809" s="2709">
        <f>G807</f>
        <v>2731</v>
      </c>
      <c r="H809" s="2709">
        <f>SUM(H807)</f>
        <v>2731</v>
      </c>
      <c r="I809" s="2708">
        <f>(H809/G809)*100</f>
        <v>100</v>
      </c>
      <c r="U809" s="1254">
        <f>F809</f>
        <v>0</v>
      </c>
      <c r="V809" s="1254">
        <f>G809</f>
        <v>2731</v>
      </c>
      <c r="W809" s="1254">
        <f>H809</f>
        <v>2731</v>
      </c>
    </row>
    <row r="810" spans="1:23" ht="15.75" thickTop="1" x14ac:dyDescent="0.25">
      <c r="A810" s="1417"/>
      <c r="B810" s="1417"/>
      <c r="C810" s="1417"/>
      <c r="D810" s="1417"/>
      <c r="E810" s="1417"/>
      <c r="F810" s="2701"/>
      <c r="G810" s="2701"/>
      <c r="H810" s="2701"/>
      <c r="I810" s="2700"/>
      <c r="R810" s="1254"/>
      <c r="S810" s="1254"/>
      <c r="T810" s="1254"/>
    </row>
    <row r="811" spans="1:23" ht="15" x14ac:dyDescent="0.25">
      <c r="A811" s="1417"/>
      <c r="B811" s="1417"/>
      <c r="C811" s="1417"/>
      <c r="D811" s="1417"/>
      <c r="E811" s="1417"/>
      <c r="F811" s="2701"/>
      <c r="G811" s="2701"/>
      <c r="H811" s="2701"/>
      <c r="I811" s="2700"/>
      <c r="R811" s="1254"/>
      <c r="S811" s="1254"/>
      <c r="T811" s="1254"/>
    </row>
    <row r="812" spans="1:23" ht="13.5" thickBot="1" x14ac:dyDescent="0.25">
      <c r="A812" s="2163" t="s">
        <v>973</v>
      </c>
      <c r="I812" s="2699" t="s">
        <v>148</v>
      </c>
    </row>
    <row r="813" spans="1:23" ht="14.25" thickTop="1" thickBot="1" x14ac:dyDescent="0.25">
      <c r="A813" s="1302" t="s">
        <v>565</v>
      </c>
      <c r="B813" s="1299" t="s">
        <v>149</v>
      </c>
      <c r="C813" s="1301" t="s">
        <v>150</v>
      </c>
      <c r="D813" s="1324" t="s">
        <v>639</v>
      </c>
      <c r="E813" s="1324" t="s">
        <v>151</v>
      </c>
      <c r="F813" s="1324" t="s">
        <v>569</v>
      </c>
      <c r="G813" s="1324" t="s">
        <v>570</v>
      </c>
      <c r="H813" s="2198" t="s">
        <v>797</v>
      </c>
      <c r="I813" s="2723" t="s">
        <v>798</v>
      </c>
    </row>
    <row r="814" spans="1:23" ht="14.25" thickTop="1" thickBot="1" x14ac:dyDescent="0.25">
      <c r="A814" s="1297">
        <v>1</v>
      </c>
      <c r="B814" s="1296">
        <v>2</v>
      </c>
      <c r="C814" s="1296">
        <v>3</v>
      </c>
      <c r="D814" s="1296">
        <v>4</v>
      </c>
      <c r="E814" s="1296">
        <v>5</v>
      </c>
      <c r="F814" s="1295">
        <v>6</v>
      </c>
      <c r="G814" s="1295">
        <v>7</v>
      </c>
      <c r="H814" s="1446">
        <v>8</v>
      </c>
      <c r="I814" s="1294" t="s">
        <v>689</v>
      </c>
    </row>
    <row r="815" spans="1:23" ht="18" customHeight="1" thickTop="1" x14ac:dyDescent="0.25">
      <c r="A815" s="2722">
        <v>1300</v>
      </c>
      <c r="B815" s="2721">
        <v>3231</v>
      </c>
      <c r="C815" s="2721">
        <v>5331</v>
      </c>
      <c r="D815" s="2720"/>
      <c r="E815" s="2719" t="s">
        <v>858</v>
      </c>
      <c r="F815" s="2718"/>
      <c r="G815" s="2718">
        <f>G816+G817</f>
        <v>136</v>
      </c>
      <c r="H815" s="2718">
        <f>H816+H817</f>
        <v>136</v>
      </c>
      <c r="I815" s="2717">
        <f>(H815/G815)*100</f>
        <v>100</v>
      </c>
    </row>
    <row r="816" spans="1:23" ht="14.25" x14ac:dyDescent="0.2">
      <c r="A816" s="2714"/>
      <c r="B816" s="2713"/>
      <c r="C816" s="2713"/>
      <c r="D816" s="2191" t="s">
        <v>1811</v>
      </c>
      <c r="E816" s="2716" t="s">
        <v>717</v>
      </c>
      <c r="F816" s="2711"/>
      <c r="G816" s="2711">
        <v>106</v>
      </c>
      <c r="H816" s="2711">
        <v>106</v>
      </c>
      <c r="I816" s="2710">
        <f>(H816/G816)*100</f>
        <v>100</v>
      </c>
      <c r="R816" s="1254"/>
      <c r="S816" s="1254"/>
      <c r="T816" s="1254"/>
    </row>
    <row r="817" spans="1:20" ht="15.75" thickBot="1" x14ac:dyDescent="0.3">
      <c r="A817" s="2714"/>
      <c r="B817" s="2713"/>
      <c r="C817" s="2713"/>
      <c r="D817" s="2420" t="s">
        <v>1951</v>
      </c>
      <c r="E817" s="2734" t="s">
        <v>645</v>
      </c>
      <c r="F817" s="2729"/>
      <c r="G817" s="2715">
        <v>30</v>
      </c>
      <c r="H817" s="2715">
        <v>30</v>
      </c>
      <c r="I817" s="2710">
        <f>(H817/G817)*100</f>
        <v>100</v>
      </c>
      <c r="R817" s="1254"/>
      <c r="S817" s="1254"/>
      <c r="T817" s="1254"/>
    </row>
    <row r="818" spans="1:20" ht="16.5" thickTop="1" thickBot="1" x14ac:dyDescent="0.3">
      <c r="A818" s="3195" t="s">
        <v>1000</v>
      </c>
      <c r="B818" s="3196"/>
      <c r="C818" s="3196"/>
      <c r="D818" s="3196"/>
      <c r="E818" s="3196"/>
      <c r="F818" s="2709">
        <f>SUM(F815)</f>
        <v>0</v>
      </c>
      <c r="G818" s="2709">
        <f>G815</f>
        <v>136</v>
      </c>
      <c r="H818" s="2709">
        <f>H815</f>
        <v>136</v>
      </c>
      <c r="I818" s="2708">
        <f>(H818/G818)*100</f>
        <v>100</v>
      </c>
      <c r="R818" s="1254">
        <f>F818</f>
        <v>0</v>
      </c>
      <c r="S818" s="1254">
        <f>G818</f>
        <v>136</v>
      </c>
      <c r="T818" s="1254">
        <f>H818</f>
        <v>136</v>
      </c>
    </row>
    <row r="819" spans="1:20" ht="15.75" thickTop="1" x14ac:dyDescent="0.25">
      <c r="A819" s="1417"/>
      <c r="B819" s="1417"/>
      <c r="C819" s="1417"/>
      <c r="D819" s="1417"/>
      <c r="E819" s="1417"/>
      <c r="F819" s="2701"/>
      <c r="G819" s="2701"/>
      <c r="H819" s="2701"/>
      <c r="I819" s="2700"/>
      <c r="R819" s="1254"/>
      <c r="S819" s="1254"/>
      <c r="T819" s="1254"/>
    </row>
    <row r="820" spans="1:20" ht="15" customHeight="1" thickBot="1" x14ac:dyDescent="0.25">
      <c r="A820" s="2163" t="s">
        <v>974</v>
      </c>
      <c r="I820" s="2699" t="s">
        <v>148</v>
      </c>
    </row>
    <row r="821" spans="1:20" ht="14.25" thickTop="1" thickBot="1" x14ac:dyDescent="0.25">
      <c r="A821" s="1302" t="s">
        <v>565</v>
      </c>
      <c r="B821" s="1299" t="s">
        <v>149</v>
      </c>
      <c r="C821" s="1301" t="s">
        <v>150</v>
      </c>
      <c r="D821" s="1324" t="s">
        <v>639</v>
      </c>
      <c r="E821" s="1324" t="s">
        <v>151</v>
      </c>
      <c r="F821" s="1324" t="s">
        <v>569</v>
      </c>
      <c r="G821" s="1324" t="s">
        <v>570</v>
      </c>
      <c r="H821" s="2198" t="s">
        <v>797</v>
      </c>
      <c r="I821" s="2723" t="s">
        <v>798</v>
      </c>
    </row>
    <row r="822" spans="1:20" ht="14.25" thickTop="1" thickBot="1" x14ac:dyDescent="0.25">
      <c r="A822" s="1297">
        <v>1</v>
      </c>
      <c r="B822" s="1296">
        <v>2</v>
      </c>
      <c r="C822" s="1296">
        <v>3</v>
      </c>
      <c r="D822" s="1296">
        <v>4</v>
      </c>
      <c r="E822" s="1296">
        <v>5</v>
      </c>
      <c r="F822" s="1295">
        <v>6</v>
      </c>
      <c r="G822" s="1295">
        <v>7</v>
      </c>
      <c r="H822" s="1446">
        <v>8</v>
      </c>
      <c r="I822" s="1294" t="s">
        <v>689</v>
      </c>
    </row>
    <row r="823" spans="1:20" ht="15.75" thickTop="1" x14ac:dyDescent="0.25">
      <c r="A823" s="2722">
        <v>1301</v>
      </c>
      <c r="B823" s="2721">
        <v>3231</v>
      </c>
      <c r="C823" s="2721">
        <v>5331</v>
      </c>
      <c r="D823" s="2720"/>
      <c r="E823" s="2719" t="s">
        <v>858</v>
      </c>
      <c r="F823" s="2718"/>
      <c r="G823" s="2718">
        <v>617</v>
      </c>
      <c r="H823" s="2718">
        <v>617</v>
      </c>
      <c r="I823" s="2717">
        <f>(H823/G823)*100</f>
        <v>100</v>
      </c>
    </row>
    <row r="824" spans="1:20" ht="15" thickBot="1" x14ac:dyDescent="0.25">
      <c r="A824" s="2714"/>
      <c r="B824" s="2713"/>
      <c r="C824" s="2713"/>
      <c r="D824" s="2191" t="s">
        <v>1811</v>
      </c>
      <c r="E824" s="2716" t="s">
        <v>717</v>
      </c>
      <c r="F824" s="2711"/>
      <c r="G824" s="2711">
        <v>617</v>
      </c>
      <c r="H824" s="2711">
        <v>617</v>
      </c>
      <c r="I824" s="2710">
        <f>(H824/G824)*100</f>
        <v>100</v>
      </c>
    </row>
    <row r="825" spans="1:20" ht="16.5" thickTop="1" thickBot="1" x14ac:dyDescent="0.3">
      <c r="A825" s="3195" t="s">
        <v>1000</v>
      </c>
      <c r="B825" s="3196"/>
      <c r="C825" s="3196"/>
      <c r="D825" s="3196"/>
      <c r="E825" s="3196"/>
      <c r="F825" s="2709">
        <f>SUM(F823)</f>
        <v>0</v>
      </c>
      <c r="G825" s="2709">
        <f>G823</f>
        <v>617</v>
      </c>
      <c r="H825" s="2709">
        <f>H823</f>
        <v>617</v>
      </c>
      <c r="I825" s="2708">
        <f>(H825/G825)*100</f>
        <v>100</v>
      </c>
      <c r="R825" s="1254">
        <f>F825</f>
        <v>0</v>
      </c>
      <c r="S825" s="1254">
        <f>G825</f>
        <v>617</v>
      </c>
      <c r="T825" s="1254">
        <f>H825</f>
        <v>617</v>
      </c>
    </row>
    <row r="826" spans="1:20" s="1292" customFormat="1" ht="13.5" thickTop="1" x14ac:dyDescent="0.2">
      <c r="A826" s="1249"/>
      <c r="B826" s="2326"/>
      <c r="C826" s="1249"/>
      <c r="D826" s="2344"/>
      <c r="E826" s="1249"/>
      <c r="F826" s="1254"/>
      <c r="G826" s="1254"/>
      <c r="H826" s="1254"/>
      <c r="I826" s="2699"/>
    </row>
    <row r="827" spans="1:20" ht="13.5" thickBot="1" x14ac:dyDescent="0.25">
      <c r="A827" s="2163" t="s">
        <v>130</v>
      </c>
      <c r="I827" s="2699" t="s">
        <v>148</v>
      </c>
    </row>
    <row r="828" spans="1:20" ht="14.25" thickTop="1" thickBot="1" x14ac:dyDescent="0.25">
      <c r="A828" s="1302" t="s">
        <v>565</v>
      </c>
      <c r="B828" s="1299" t="s">
        <v>149</v>
      </c>
      <c r="C828" s="1301" t="s">
        <v>150</v>
      </c>
      <c r="D828" s="1324" t="s">
        <v>639</v>
      </c>
      <c r="E828" s="1324" t="s">
        <v>151</v>
      </c>
      <c r="F828" s="1324" t="s">
        <v>569</v>
      </c>
      <c r="G828" s="1324" t="s">
        <v>570</v>
      </c>
      <c r="H828" s="2198" t="s">
        <v>797</v>
      </c>
      <c r="I828" s="2723" t="s">
        <v>798</v>
      </c>
    </row>
    <row r="829" spans="1:20" ht="14.25" thickTop="1" thickBot="1" x14ac:dyDescent="0.25">
      <c r="A829" s="1297">
        <v>1</v>
      </c>
      <c r="B829" s="1296">
        <v>2</v>
      </c>
      <c r="C829" s="1296">
        <v>3</v>
      </c>
      <c r="D829" s="1296">
        <v>4</v>
      </c>
      <c r="E829" s="1296">
        <v>5</v>
      </c>
      <c r="F829" s="1295">
        <v>6</v>
      </c>
      <c r="G829" s="1295">
        <v>7</v>
      </c>
      <c r="H829" s="1446">
        <v>8</v>
      </c>
      <c r="I829" s="1294" t="s">
        <v>689</v>
      </c>
    </row>
    <row r="830" spans="1:20" ht="15.75" thickTop="1" x14ac:dyDescent="0.25">
      <c r="A830" s="2722">
        <v>1302</v>
      </c>
      <c r="B830" s="2721">
        <v>3231</v>
      </c>
      <c r="C830" s="2721">
        <v>5331</v>
      </c>
      <c r="D830" s="2720"/>
      <c r="E830" s="2719" t="s">
        <v>858</v>
      </c>
      <c r="F830" s="2718"/>
      <c r="G830" s="2718">
        <v>69</v>
      </c>
      <c r="H830" s="2718">
        <v>69</v>
      </c>
      <c r="I830" s="2717">
        <f>(H830/G830)*100</f>
        <v>100</v>
      </c>
    </row>
    <row r="831" spans="1:20" ht="15" thickBot="1" x14ac:dyDescent="0.25">
      <c r="A831" s="2714"/>
      <c r="B831" s="2713"/>
      <c r="C831" s="2713"/>
      <c r="D831" s="2191" t="s">
        <v>1811</v>
      </c>
      <c r="E831" s="2716" t="s">
        <v>717</v>
      </c>
      <c r="F831" s="2711"/>
      <c r="G831" s="2711">
        <v>69</v>
      </c>
      <c r="H831" s="2711">
        <v>69</v>
      </c>
      <c r="I831" s="2710">
        <f>(H831/G831)*100</f>
        <v>100</v>
      </c>
    </row>
    <row r="832" spans="1:20" ht="16.5" thickTop="1" thickBot="1" x14ac:dyDescent="0.3">
      <c r="A832" s="3195" t="s">
        <v>1000</v>
      </c>
      <c r="B832" s="3196"/>
      <c r="C832" s="3196"/>
      <c r="D832" s="3196"/>
      <c r="E832" s="3196"/>
      <c r="F832" s="2709">
        <f>F830</f>
        <v>0</v>
      </c>
      <c r="G832" s="2709">
        <v>69</v>
      </c>
      <c r="H832" s="2709">
        <v>69</v>
      </c>
      <c r="I832" s="2708">
        <f>(H832/G832)*100</f>
        <v>100</v>
      </c>
      <c r="R832" s="1254">
        <f>F832</f>
        <v>0</v>
      </c>
      <c r="S832" s="1254">
        <f>G832</f>
        <v>69</v>
      </c>
      <c r="T832" s="1254">
        <f>H832</f>
        <v>69</v>
      </c>
    </row>
    <row r="833" spans="1:20" s="1292" customFormat="1" ht="13.5" thickTop="1" x14ac:dyDescent="0.2">
      <c r="A833" s="1249"/>
      <c r="B833" s="2326"/>
      <c r="C833" s="1249"/>
      <c r="D833" s="2344"/>
      <c r="E833" s="1249"/>
      <c r="F833" s="1254"/>
      <c r="G833" s="1254"/>
      <c r="H833" s="1254"/>
      <c r="I833" s="2699"/>
    </row>
    <row r="834" spans="1:20" ht="13.5" customHeight="1" thickBot="1" x14ac:dyDescent="0.25">
      <c r="A834" s="2163" t="s">
        <v>586</v>
      </c>
      <c r="I834" s="2699" t="s">
        <v>148</v>
      </c>
    </row>
    <row r="835" spans="1:20" ht="13.5" customHeight="1" thickTop="1" thickBot="1" x14ac:dyDescent="0.25">
      <c r="A835" s="1302" t="s">
        <v>565</v>
      </c>
      <c r="B835" s="1299" t="s">
        <v>149</v>
      </c>
      <c r="C835" s="1301" t="s">
        <v>150</v>
      </c>
      <c r="D835" s="1324" t="s">
        <v>639</v>
      </c>
      <c r="E835" s="1324" t="s">
        <v>151</v>
      </c>
      <c r="F835" s="1324" t="s">
        <v>569</v>
      </c>
      <c r="G835" s="1324" t="s">
        <v>570</v>
      </c>
      <c r="H835" s="2198" t="s">
        <v>797</v>
      </c>
      <c r="I835" s="2723" t="s">
        <v>798</v>
      </c>
    </row>
    <row r="836" spans="1:20" ht="14.25" thickTop="1" thickBot="1" x14ac:dyDescent="0.25">
      <c r="A836" s="1297">
        <v>1</v>
      </c>
      <c r="B836" s="1296">
        <v>2</v>
      </c>
      <c r="C836" s="1296">
        <v>3</v>
      </c>
      <c r="D836" s="1296">
        <v>4</v>
      </c>
      <c r="E836" s="1296">
        <v>5</v>
      </c>
      <c r="F836" s="1295">
        <v>6</v>
      </c>
      <c r="G836" s="1295">
        <v>7</v>
      </c>
      <c r="H836" s="1446">
        <v>8</v>
      </c>
      <c r="I836" s="1294" t="s">
        <v>689</v>
      </c>
    </row>
    <row r="837" spans="1:20" ht="15.75" thickTop="1" x14ac:dyDescent="0.25">
      <c r="A837" s="2722">
        <v>1303</v>
      </c>
      <c r="B837" s="2721">
        <v>3231</v>
      </c>
      <c r="C837" s="2721">
        <v>5331</v>
      </c>
      <c r="D837" s="2720"/>
      <c r="E837" s="2719" t="s">
        <v>858</v>
      </c>
      <c r="F837" s="2718"/>
      <c r="G837" s="2718">
        <v>75</v>
      </c>
      <c r="H837" s="2718">
        <v>75</v>
      </c>
      <c r="I837" s="2717">
        <f>(H837/G837)*100</f>
        <v>100</v>
      </c>
    </row>
    <row r="838" spans="1:20" ht="15" thickBot="1" x14ac:dyDescent="0.25">
      <c r="A838" s="2714"/>
      <c r="B838" s="2713"/>
      <c r="C838" s="2713"/>
      <c r="D838" s="2191" t="s">
        <v>1811</v>
      </c>
      <c r="E838" s="2716" t="s">
        <v>717</v>
      </c>
      <c r="F838" s="2711"/>
      <c r="G838" s="2711">
        <v>75</v>
      </c>
      <c r="H838" s="2711">
        <v>75</v>
      </c>
      <c r="I838" s="2710">
        <f>(H838/G838)*100</f>
        <v>100</v>
      </c>
    </row>
    <row r="839" spans="1:20" ht="16.5" thickTop="1" thickBot="1" x14ac:dyDescent="0.3">
      <c r="A839" s="3195" t="s">
        <v>1000</v>
      </c>
      <c r="B839" s="3196"/>
      <c r="C839" s="3196"/>
      <c r="D839" s="3196"/>
      <c r="E839" s="3196"/>
      <c r="F839" s="2709">
        <v>0</v>
      </c>
      <c r="G839" s="2709">
        <v>75</v>
      </c>
      <c r="H839" s="2709">
        <v>75</v>
      </c>
      <c r="I839" s="2708">
        <f>(H839/G839)*100</f>
        <v>100</v>
      </c>
      <c r="R839" s="1254">
        <f>F839</f>
        <v>0</v>
      </c>
      <c r="S839" s="1254">
        <f>G839</f>
        <v>75</v>
      </c>
      <c r="T839" s="1254">
        <f>H839</f>
        <v>75</v>
      </c>
    </row>
    <row r="840" spans="1:20" ht="15.75" thickTop="1" x14ac:dyDescent="0.25">
      <c r="A840" s="1417"/>
      <c r="B840" s="1417"/>
      <c r="C840" s="1417"/>
      <c r="D840" s="1417"/>
      <c r="E840" s="1417"/>
      <c r="F840" s="2701"/>
      <c r="G840" s="2701"/>
      <c r="H840" s="2701"/>
      <c r="I840" s="2700"/>
      <c r="R840" s="1254"/>
      <c r="S840" s="1254"/>
      <c r="T840" s="1254"/>
    </row>
    <row r="841" spans="1:20" ht="13.5" thickBot="1" x14ac:dyDescent="0.25">
      <c r="A841" s="2163" t="s">
        <v>131</v>
      </c>
      <c r="I841" s="2699" t="s">
        <v>148</v>
      </c>
    </row>
    <row r="842" spans="1:20" ht="14.25" thickTop="1" thickBot="1" x14ac:dyDescent="0.25">
      <c r="A842" s="1302" t="s">
        <v>565</v>
      </c>
      <c r="B842" s="1299" t="s">
        <v>149</v>
      </c>
      <c r="C842" s="1301" t="s">
        <v>150</v>
      </c>
      <c r="D842" s="1324" t="s">
        <v>639</v>
      </c>
      <c r="E842" s="1324" t="s">
        <v>151</v>
      </c>
      <c r="F842" s="1324" t="s">
        <v>569</v>
      </c>
      <c r="G842" s="1324" t="s">
        <v>570</v>
      </c>
      <c r="H842" s="2198" t="s">
        <v>797</v>
      </c>
      <c r="I842" s="2723" t="s">
        <v>798</v>
      </c>
    </row>
    <row r="843" spans="1:20" ht="14.25" thickTop="1" thickBot="1" x14ac:dyDescent="0.25">
      <c r="A843" s="1297">
        <v>1</v>
      </c>
      <c r="B843" s="1296">
        <v>2</v>
      </c>
      <c r="C843" s="1296">
        <v>3</v>
      </c>
      <c r="D843" s="1296">
        <v>4</v>
      </c>
      <c r="E843" s="1296">
        <v>5</v>
      </c>
      <c r="F843" s="1295">
        <v>6</v>
      </c>
      <c r="G843" s="1295">
        <v>7</v>
      </c>
      <c r="H843" s="1446">
        <v>8</v>
      </c>
      <c r="I843" s="1294" t="s">
        <v>689</v>
      </c>
    </row>
    <row r="844" spans="1:20" ht="18" customHeight="1" thickTop="1" x14ac:dyDescent="0.25">
      <c r="A844" s="2722">
        <v>1304</v>
      </c>
      <c r="B844" s="2721">
        <v>3231</v>
      </c>
      <c r="C844" s="2721">
        <v>5331</v>
      </c>
      <c r="D844" s="2720"/>
      <c r="E844" s="2719" t="s">
        <v>858</v>
      </c>
      <c r="F844" s="2718"/>
      <c r="G844" s="2718">
        <f>G845+G846</f>
        <v>77</v>
      </c>
      <c r="H844" s="2718">
        <f>H845+H846</f>
        <v>77</v>
      </c>
      <c r="I844" s="2717">
        <f>(H844/G844)*100</f>
        <v>100</v>
      </c>
    </row>
    <row r="845" spans="1:20" ht="14.25" x14ac:dyDescent="0.2">
      <c r="A845" s="2714"/>
      <c r="B845" s="2713"/>
      <c r="C845" s="2713"/>
      <c r="D845" s="2191" t="s">
        <v>1811</v>
      </c>
      <c r="E845" s="2716" t="s">
        <v>717</v>
      </c>
      <c r="F845" s="2711"/>
      <c r="G845" s="2711">
        <v>4</v>
      </c>
      <c r="H845" s="2711">
        <v>4</v>
      </c>
      <c r="I845" s="2710">
        <f>(H845/G845)*100</f>
        <v>100</v>
      </c>
    </row>
    <row r="846" spans="1:20" ht="15" thickBot="1" x14ac:dyDescent="0.25">
      <c r="A846" s="2714"/>
      <c r="B846" s="2713"/>
      <c r="C846" s="2713"/>
      <c r="D846" s="2182" t="s">
        <v>1812</v>
      </c>
      <c r="E846" s="2712" t="s">
        <v>63</v>
      </c>
      <c r="F846" s="2711"/>
      <c r="G846" s="2711">
        <v>73</v>
      </c>
      <c r="H846" s="2711">
        <v>73</v>
      </c>
      <c r="I846" s="2710">
        <f>(H846/G846)*100</f>
        <v>100</v>
      </c>
    </row>
    <row r="847" spans="1:20" ht="16.5" thickTop="1" thickBot="1" x14ac:dyDescent="0.3">
      <c r="A847" s="3195" t="s">
        <v>1000</v>
      </c>
      <c r="B847" s="3196"/>
      <c r="C847" s="3196"/>
      <c r="D847" s="3196"/>
      <c r="E847" s="3196"/>
      <c r="F847" s="2709">
        <v>0</v>
      </c>
      <c r="G847" s="2709">
        <v>77</v>
      </c>
      <c r="H847" s="2709">
        <v>77</v>
      </c>
      <c r="I847" s="2708">
        <f>(H847/G847)*100</f>
        <v>100</v>
      </c>
      <c r="R847" s="1254">
        <f>F847</f>
        <v>0</v>
      </c>
      <c r="S847" s="1254">
        <f>G847</f>
        <v>77</v>
      </c>
      <c r="T847" s="1254">
        <f>H847</f>
        <v>77</v>
      </c>
    </row>
    <row r="848" spans="1:20" s="1292" customFormat="1" ht="13.5" thickTop="1" x14ac:dyDescent="0.2">
      <c r="A848" s="1249"/>
      <c r="B848" s="2326"/>
      <c r="C848" s="1249"/>
      <c r="D848" s="2344"/>
      <c r="E848" s="1249"/>
      <c r="F848" s="1254"/>
      <c r="G848" s="1254"/>
      <c r="H848" s="1254"/>
      <c r="I848" s="2699"/>
    </row>
    <row r="849" spans="1:20" ht="13.5" thickBot="1" x14ac:dyDescent="0.25">
      <c r="A849" s="2163" t="s">
        <v>132</v>
      </c>
      <c r="I849" s="2699" t="s">
        <v>148</v>
      </c>
    </row>
    <row r="850" spans="1:20" ht="14.25" thickTop="1" thickBot="1" x14ac:dyDescent="0.25">
      <c r="A850" s="1302" t="s">
        <v>565</v>
      </c>
      <c r="B850" s="1299" t="s">
        <v>149</v>
      </c>
      <c r="C850" s="1301" t="s">
        <v>150</v>
      </c>
      <c r="D850" s="1324" t="s">
        <v>639</v>
      </c>
      <c r="E850" s="1324" t="s">
        <v>151</v>
      </c>
      <c r="F850" s="1324" t="s">
        <v>569</v>
      </c>
      <c r="G850" s="1324" t="s">
        <v>570</v>
      </c>
      <c r="H850" s="2198" t="s">
        <v>797</v>
      </c>
      <c r="I850" s="2723" t="s">
        <v>798</v>
      </c>
    </row>
    <row r="851" spans="1:20" ht="14.25" thickTop="1" thickBot="1" x14ac:dyDescent="0.25">
      <c r="A851" s="1297">
        <v>1</v>
      </c>
      <c r="B851" s="1296">
        <v>2</v>
      </c>
      <c r="C851" s="1296">
        <v>3</v>
      </c>
      <c r="D851" s="1296">
        <v>4</v>
      </c>
      <c r="E851" s="1296">
        <v>5</v>
      </c>
      <c r="F851" s="1295">
        <v>6</v>
      </c>
      <c r="G851" s="1295">
        <v>7</v>
      </c>
      <c r="H851" s="1446">
        <v>8</v>
      </c>
      <c r="I851" s="1294" t="s">
        <v>689</v>
      </c>
    </row>
    <row r="852" spans="1:20" ht="15.75" thickTop="1" x14ac:dyDescent="0.25">
      <c r="A852" s="2722">
        <v>1305</v>
      </c>
      <c r="B852" s="2721">
        <v>3231</v>
      </c>
      <c r="C852" s="2721">
        <v>5331</v>
      </c>
      <c r="D852" s="2720"/>
      <c r="E852" s="2719" t="s">
        <v>858</v>
      </c>
      <c r="F852" s="2718"/>
      <c r="G852" s="2718">
        <f>G853+G854</f>
        <v>42</v>
      </c>
      <c r="H852" s="2718">
        <f>H853+H854</f>
        <v>42</v>
      </c>
      <c r="I852" s="2717">
        <f>(H852/G852)*100</f>
        <v>100</v>
      </c>
    </row>
    <row r="853" spans="1:20" ht="14.25" x14ac:dyDescent="0.2">
      <c r="A853" s="2714"/>
      <c r="B853" s="2713"/>
      <c r="C853" s="2713"/>
      <c r="D853" s="2191" t="s">
        <v>1811</v>
      </c>
      <c r="E853" s="2716" t="s">
        <v>717</v>
      </c>
      <c r="F853" s="2711"/>
      <c r="G853" s="2711">
        <v>5</v>
      </c>
      <c r="H853" s="2711">
        <v>5</v>
      </c>
      <c r="I853" s="2710">
        <f>(H853/G853)*100</f>
        <v>100</v>
      </c>
    </row>
    <row r="854" spans="1:20" ht="12.75" customHeight="1" thickBot="1" x14ac:dyDescent="0.25">
      <c r="A854" s="2714"/>
      <c r="B854" s="2713"/>
      <c r="C854" s="2713"/>
      <c r="D854" s="2182" t="s">
        <v>1812</v>
      </c>
      <c r="E854" s="2712" t="s">
        <v>63</v>
      </c>
      <c r="F854" s="2711"/>
      <c r="G854" s="2711">
        <v>37</v>
      </c>
      <c r="H854" s="2711">
        <v>37</v>
      </c>
      <c r="I854" s="2710">
        <f>(H854/G854)*100</f>
        <v>100</v>
      </c>
    </row>
    <row r="855" spans="1:20" ht="16.5" thickTop="1" thickBot="1" x14ac:dyDescent="0.3">
      <c r="A855" s="3195" t="s">
        <v>1000</v>
      </c>
      <c r="B855" s="3196"/>
      <c r="C855" s="3196"/>
      <c r="D855" s="3196"/>
      <c r="E855" s="3196"/>
      <c r="F855" s="2709">
        <f>F852</f>
        <v>0</v>
      </c>
      <c r="G855" s="2709">
        <v>42</v>
      </c>
      <c r="H855" s="2709">
        <v>42</v>
      </c>
      <c r="I855" s="2708">
        <f>(H855/G855)*100</f>
        <v>100</v>
      </c>
      <c r="R855" s="1254">
        <f>F855</f>
        <v>0</v>
      </c>
      <c r="S855" s="1254">
        <f>G855</f>
        <v>42</v>
      </c>
      <c r="T855" s="1254">
        <f>H855</f>
        <v>42</v>
      </c>
    </row>
    <row r="856" spans="1:20" s="1292" customFormat="1" ht="13.5" thickTop="1" x14ac:dyDescent="0.2">
      <c r="A856" s="1249"/>
      <c r="B856" s="2326"/>
      <c r="C856" s="1249"/>
      <c r="D856" s="2344"/>
      <c r="E856" s="1249"/>
      <c r="F856" s="1254"/>
      <c r="G856" s="1254"/>
      <c r="H856" s="1254"/>
      <c r="I856" s="2699"/>
    </row>
    <row r="857" spans="1:20" ht="13.5" thickBot="1" x14ac:dyDescent="0.25">
      <c r="A857" s="2163" t="s">
        <v>975</v>
      </c>
      <c r="I857" s="2699" t="s">
        <v>148</v>
      </c>
    </row>
    <row r="858" spans="1:20" ht="14.25" thickTop="1" thickBot="1" x14ac:dyDescent="0.25">
      <c r="A858" s="1302" t="s">
        <v>565</v>
      </c>
      <c r="B858" s="1299" t="s">
        <v>149</v>
      </c>
      <c r="C858" s="1301" t="s">
        <v>150</v>
      </c>
      <c r="D858" s="1324" t="s">
        <v>639</v>
      </c>
      <c r="E858" s="1324" t="s">
        <v>151</v>
      </c>
      <c r="F858" s="1324" t="s">
        <v>569</v>
      </c>
      <c r="G858" s="1324" t="s">
        <v>570</v>
      </c>
      <c r="H858" s="2198" t="s">
        <v>797</v>
      </c>
      <c r="I858" s="2723" t="s">
        <v>798</v>
      </c>
    </row>
    <row r="859" spans="1:20" ht="14.25" thickTop="1" thickBot="1" x14ac:dyDescent="0.25">
      <c r="A859" s="1297">
        <v>1</v>
      </c>
      <c r="B859" s="1296">
        <v>2</v>
      </c>
      <c r="C859" s="1296">
        <v>3</v>
      </c>
      <c r="D859" s="1296">
        <v>4</v>
      </c>
      <c r="E859" s="1296">
        <v>5</v>
      </c>
      <c r="F859" s="1295">
        <v>6</v>
      </c>
      <c r="G859" s="1295">
        <v>7</v>
      </c>
      <c r="H859" s="1446">
        <v>8</v>
      </c>
      <c r="I859" s="1294" t="s">
        <v>689</v>
      </c>
    </row>
    <row r="860" spans="1:20" ht="15.75" thickTop="1" x14ac:dyDescent="0.25">
      <c r="A860" s="2722">
        <v>1306</v>
      </c>
      <c r="B860" s="2721">
        <v>3231</v>
      </c>
      <c r="C860" s="2721">
        <v>5331</v>
      </c>
      <c r="D860" s="2720"/>
      <c r="E860" s="2719" t="s">
        <v>858</v>
      </c>
      <c r="F860" s="2718"/>
      <c r="G860" s="2718">
        <v>65</v>
      </c>
      <c r="H860" s="2718">
        <v>65</v>
      </c>
      <c r="I860" s="2717">
        <f>(H860/G860)*100</f>
        <v>100</v>
      </c>
    </row>
    <row r="861" spans="1:20" ht="15" thickBot="1" x14ac:dyDescent="0.25">
      <c r="A861" s="2714"/>
      <c r="B861" s="2713"/>
      <c r="C861" s="2713"/>
      <c r="D861" s="2182" t="s">
        <v>1812</v>
      </c>
      <c r="E861" s="2712" t="s">
        <v>63</v>
      </c>
      <c r="F861" s="2711"/>
      <c r="G861" s="2711">
        <v>65</v>
      </c>
      <c r="H861" s="2711">
        <v>65</v>
      </c>
      <c r="I861" s="2710">
        <f>(H861/G861)*100</f>
        <v>100</v>
      </c>
    </row>
    <row r="862" spans="1:20" ht="16.5" thickTop="1" thickBot="1" x14ac:dyDescent="0.3">
      <c r="A862" s="3195" t="s">
        <v>1000</v>
      </c>
      <c r="B862" s="3196"/>
      <c r="C862" s="3196"/>
      <c r="D862" s="3196"/>
      <c r="E862" s="3196"/>
      <c r="F862" s="2709">
        <v>0</v>
      </c>
      <c r="G862" s="2709">
        <v>65</v>
      </c>
      <c r="H862" s="2709">
        <v>65</v>
      </c>
      <c r="I862" s="2708">
        <f>(H862/G862)*100</f>
        <v>100</v>
      </c>
      <c r="R862" s="1254">
        <f>F862</f>
        <v>0</v>
      </c>
      <c r="S862" s="1254">
        <f>G862</f>
        <v>65</v>
      </c>
      <c r="T862" s="1254">
        <f>H862</f>
        <v>65</v>
      </c>
    </row>
    <row r="863" spans="1:20" s="1292" customFormat="1" ht="13.5" thickTop="1" x14ac:dyDescent="0.2">
      <c r="A863" s="1249"/>
      <c r="B863" s="2326"/>
      <c r="C863" s="1249"/>
      <c r="D863" s="2344"/>
      <c r="E863" s="1249"/>
      <c r="F863" s="1254"/>
      <c r="G863" s="1254"/>
      <c r="H863" s="1254"/>
      <c r="I863" s="2699"/>
    </row>
    <row r="864" spans="1:20" s="1292" customFormat="1" x14ac:dyDescent="0.2">
      <c r="A864" s="1249"/>
      <c r="B864" s="2326"/>
      <c r="C864" s="1249"/>
      <c r="D864" s="2344"/>
      <c r="E864" s="1249"/>
      <c r="F864" s="1254"/>
      <c r="G864" s="1254"/>
      <c r="H864" s="1254"/>
      <c r="I864" s="2699"/>
    </row>
    <row r="865" spans="1:20" ht="13.5" thickBot="1" x14ac:dyDescent="0.25">
      <c r="A865" s="2163" t="s">
        <v>976</v>
      </c>
      <c r="I865" s="2699" t="s">
        <v>148</v>
      </c>
    </row>
    <row r="866" spans="1:20" ht="14.25" thickTop="1" thickBot="1" x14ac:dyDescent="0.25">
      <c r="A866" s="1302" t="s">
        <v>565</v>
      </c>
      <c r="B866" s="1299" t="s">
        <v>149</v>
      </c>
      <c r="C866" s="1301" t="s">
        <v>150</v>
      </c>
      <c r="D866" s="1324" t="s">
        <v>639</v>
      </c>
      <c r="E866" s="1324" t="s">
        <v>151</v>
      </c>
      <c r="F866" s="1324" t="s">
        <v>569</v>
      </c>
      <c r="G866" s="1324" t="s">
        <v>570</v>
      </c>
      <c r="H866" s="2198" t="s">
        <v>797</v>
      </c>
      <c r="I866" s="2723" t="s">
        <v>798</v>
      </c>
    </row>
    <row r="867" spans="1:20" ht="14.25" thickTop="1" thickBot="1" x14ac:dyDescent="0.25">
      <c r="A867" s="1297">
        <v>1</v>
      </c>
      <c r="B867" s="1296">
        <v>2</v>
      </c>
      <c r="C867" s="1296">
        <v>3</v>
      </c>
      <c r="D867" s="1296">
        <v>4</v>
      </c>
      <c r="E867" s="1296">
        <v>5</v>
      </c>
      <c r="F867" s="1295">
        <v>6</v>
      </c>
      <c r="G867" s="1295">
        <v>7</v>
      </c>
      <c r="H867" s="1446">
        <v>8</v>
      </c>
      <c r="I867" s="1294" t="s">
        <v>689</v>
      </c>
    </row>
    <row r="868" spans="1:20" ht="15.75" thickTop="1" x14ac:dyDescent="0.25">
      <c r="A868" s="2722">
        <v>1307</v>
      </c>
      <c r="B868" s="2721">
        <v>3231</v>
      </c>
      <c r="C868" s="2721">
        <v>5331</v>
      </c>
      <c r="D868" s="2720"/>
      <c r="E868" s="2719" t="s">
        <v>858</v>
      </c>
      <c r="F868" s="2718"/>
      <c r="G868" s="2718">
        <f>G869+G870</f>
        <v>148</v>
      </c>
      <c r="H868" s="2718">
        <f>H869+H870</f>
        <v>148</v>
      </c>
      <c r="I868" s="2717">
        <f>(H868/G868)*100</f>
        <v>100</v>
      </c>
    </row>
    <row r="869" spans="1:20" ht="14.25" x14ac:dyDescent="0.2">
      <c r="A869" s="2714"/>
      <c r="B869" s="2713"/>
      <c r="C869" s="2713"/>
      <c r="D869" s="2191" t="s">
        <v>1811</v>
      </c>
      <c r="E869" s="2716" t="s">
        <v>717</v>
      </c>
      <c r="F869" s="2711"/>
      <c r="G869" s="2711">
        <v>6</v>
      </c>
      <c r="H869" s="2711">
        <v>6</v>
      </c>
      <c r="I869" s="2710">
        <f>(H869/G869)*100</f>
        <v>100</v>
      </c>
    </row>
    <row r="870" spans="1:20" ht="15" thickBot="1" x14ac:dyDescent="0.25">
      <c r="A870" s="2714"/>
      <c r="B870" s="2713"/>
      <c r="C870" s="2713"/>
      <c r="D870" s="2182" t="s">
        <v>1812</v>
      </c>
      <c r="E870" s="2712" t="s">
        <v>63</v>
      </c>
      <c r="F870" s="2711"/>
      <c r="G870" s="2711">
        <v>142</v>
      </c>
      <c r="H870" s="2711">
        <v>142</v>
      </c>
      <c r="I870" s="2710">
        <f>(H870/G870)*100</f>
        <v>100</v>
      </c>
    </row>
    <row r="871" spans="1:20" ht="16.5" thickTop="1" thickBot="1" x14ac:dyDescent="0.3">
      <c r="A871" s="3195" t="s">
        <v>1000</v>
      </c>
      <c r="B871" s="3196"/>
      <c r="C871" s="3196"/>
      <c r="D871" s="3196"/>
      <c r="E871" s="3196"/>
      <c r="F871" s="2709">
        <f>F868</f>
        <v>0</v>
      </c>
      <c r="G871" s="2709">
        <v>148</v>
      </c>
      <c r="H871" s="2709">
        <v>148</v>
      </c>
      <c r="I871" s="2708">
        <f>(H871/G871)*100</f>
        <v>100</v>
      </c>
      <c r="R871" s="1254">
        <f>F871</f>
        <v>0</v>
      </c>
      <c r="S871" s="1254">
        <f>G871</f>
        <v>148</v>
      </c>
      <c r="T871" s="1254">
        <f>H871</f>
        <v>148</v>
      </c>
    </row>
    <row r="872" spans="1:20" s="1292" customFormat="1" ht="13.5" thickTop="1" x14ac:dyDescent="0.2">
      <c r="A872" s="1249"/>
      <c r="B872" s="2326"/>
      <c r="C872" s="1249"/>
      <c r="D872" s="2344"/>
      <c r="E872" s="1249"/>
      <c r="F872" s="1254"/>
      <c r="G872" s="1254"/>
      <c r="H872" s="1254"/>
      <c r="I872" s="2699"/>
    </row>
    <row r="873" spans="1:20" s="1292" customFormat="1" x14ac:dyDescent="0.2">
      <c r="A873" s="1249"/>
      <c r="B873" s="2326"/>
      <c r="C873" s="1249"/>
      <c r="D873" s="2344"/>
      <c r="E873" s="1249"/>
      <c r="F873" s="1254"/>
      <c r="G873" s="1254"/>
      <c r="H873" s="1254"/>
      <c r="I873" s="2699"/>
    </row>
    <row r="874" spans="1:20" ht="13.5" thickBot="1" x14ac:dyDescent="0.25">
      <c r="A874" s="2163" t="s">
        <v>977</v>
      </c>
      <c r="I874" s="2699" t="s">
        <v>148</v>
      </c>
    </row>
    <row r="875" spans="1:20" ht="14.25" thickTop="1" thickBot="1" x14ac:dyDescent="0.25">
      <c r="A875" s="1302" t="s">
        <v>565</v>
      </c>
      <c r="B875" s="1299" t="s">
        <v>149</v>
      </c>
      <c r="C875" s="1301" t="s">
        <v>150</v>
      </c>
      <c r="D875" s="1324" t="s">
        <v>639</v>
      </c>
      <c r="E875" s="1324" t="s">
        <v>151</v>
      </c>
      <c r="F875" s="1324" t="s">
        <v>569</v>
      </c>
      <c r="G875" s="1324" t="s">
        <v>570</v>
      </c>
      <c r="H875" s="2198" t="s">
        <v>797</v>
      </c>
      <c r="I875" s="2723" t="s">
        <v>798</v>
      </c>
    </row>
    <row r="876" spans="1:20" ht="14.25" thickTop="1" thickBot="1" x14ac:dyDescent="0.25">
      <c r="A876" s="1297">
        <v>1</v>
      </c>
      <c r="B876" s="1296">
        <v>2</v>
      </c>
      <c r="C876" s="1296">
        <v>3</v>
      </c>
      <c r="D876" s="1296">
        <v>4</v>
      </c>
      <c r="E876" s="1296">
        <v>5</v>
      </c>
      <c r="F876" s="1295">
        <v>6</v>
      </c>
      <c r="G876" s="1295">
        <v>7</v>
      </c>
      <c r="H876" s="1446">
        <v>8</v>
      </c>
      <c r="I876" s="1294" t="s">
        <v>689</v>
      </c>
    </row>
    <row r="877" spans="1:20" ht="15.75" thickTop="1" x14ac:dyDescent="0.25">
      <c r="A877" s="2722">
        <v>1308</v>
      </c>
      <c r="B877" s="2721">
        <v>3231</v>
      </c>
      <c r="C877" s="2721">
        <v>5331</v>
      </c>
      <c r="D877" s="2720"/>
      <c r="E877" s="2719" t="s">
        <v>858</v>
      </c>
      <c r="F877" s="2718"/>
      <c r="G877" s="2718">
        <v>19</v>
      </c>
      <c r="H877" s="2718">
        <v>19</v>
      </c>
      <c r="I877" s="2717">
        <f>(H877/G877)*100</f>
        <v>100</v>
      </c>
    </row>
    <row r="878" spans="1:20" ht="15" thickBot="1" x14ac:dyDescent="0.25">
      <c r="A878" s="2714"/>
      <c r="B878" s="2713"/>
      <c r="C878" s="2713"/>
      <c r="D878" s="2182" t="s">
        <v>1812</v>
      </c>
      <c r="E878" s="2712" t="s">
        <v>63</v>
      </c>
      <c r="F878" s="2711"/>
      <c r="G878" s="2711">
        <v>19</v>
      </c>
      <c r="H878" s="2711">
        <v>19</v>
      </c>
      <c r="I878" s="2710">
        <v>100</v>
      </c>
    </row>
    <row r="879" spans="1:20" ht="16.5" thickTop="1" thickBot="1" x14ac:dyDescent="0.3">
      <c r="A879" s="3195" t="s">
        <v>1000</v>
      </c>
      <c r="B879" s="3196"/>
      <c r="C879" s="3196"/>
      <c r="D879" s="3196"/>
      <c r="E879" s="3196"/>
      <c r="F879" s="2709">
        <f>SUM(F877)</f>
        <v>0</v>
      </c>
      <c r="G879" s="2709">
        <v>19</v>
      </c>
      <c r="H879" s="2709">
        <v>19</v>
      </c>
      <c r="I879" s="2708">
        <f>(H879/G879)*100</f>
        <v>100</v>
      </c>
      <c r="R879" s="1254">
        <f>F879</f>
        <v>0</v>
      </c>
      <c r="S879" s="1254">
        <f>G879</f>
        <v>19</v>
      </c>
      <c r="T879" s="1254">
        <f>H879</f>
        <v>19</v>
      </c>
    </row>
    <row r="880" spans="1:20" ht="16.5" customHeight="1" thickTop="1" x14ac:dyDescent="0.25">
      <c r="A880" s="1417"/>
      <c r="B880" s="1417"/>
      <c r="C880" s="1417"/>
      <c r="D880" s="1417"/>
      <c r="E880" s="1417"/>
      <c r="F880" s="2701"/>
      <c r="G880" s="2701"/>
      <c r="H880" s="2701"/>
      <c r="I880" s="2700"/>
      <c r="R880" s="1254"/>
      <c r="S880" s="1254"/>
      <c r="T880" s="1254"/>
    </row>
    <row r="881" spans="1:20" ht="16.5" customHeight="1" x14ac:dyDescent="0.25">
      <c r="A881" s="1417"/>
      <c r="B881" s="1417"/>
      <c r="C881" s="1417"/>
      <c r="D881" s="1417"/>
      <c r="E881" s="1417"/>
      <c r="F881" s="2701"/>
      <c r="G881" s="2701"/>
      <c r="H881" s="2701"/>
      <c r="I881" s="2700"/>
      <c r="R881" s="1254"/>
      <c r="S881" s="1254"/>
      <c r="T881" s="1254"/>
    </row>
    <row r="882" spans="1:20" ht="15" customHeight="1" x14ac:dyDescent="0.25">
      <c r="A882" s="1417"/>
      <c r="B882" s="1417"/>
      <c r="C882" s="1417"/>
      <c r="D882" s="1417"/>
      <c r="E882" s="1417"/>
      <c r="F882" s="2701"/>
      <c r="G882" s="2701"/>
      <c r="H882" s="2701"/>
      <c r="I882" s="2700"/>
      <c r="R882" s="1254"/>
      <c r="S882" s="1254"/>
      <c r="T882" s="1254"/>
    </row>
    <row r="883" spans="1:20" ht="15" customHeight="1" x14ac:dyDescent="0.25">
      <c r="A883" s="1417"/>
      <c r="B883" s="1417"/>
      <c r="C883" s="1417"/>
      <c r="D883" s="1417"/>
      <c r="E883" s="1417"/>
      <c r="F883" s="2701"/>
      <c r="G883" s="2701"/>
      <c r="H883" s="2701"/>
      <c r="I883" s="2700"/>
      <c r="R883" s="1254"/>
      <c r="S883" s="1254"/>
      <c r="T883" s="1254"/>
    </row>
    <row r="884" spans="1:20" ht="13.5" thickBot="1" x14ac:dyDescent="0.25">
      <c r="A884" s="2163" t="s">
        <v>133</v>
      </c>
      <c r="I884" s="2699" t="s">
        <v>148</v>
      </c>
    </row>
    <row r="885" spans="1:20" ht="14.25" thickTop="1" thickBot="1" x14ac:dyDescent="0.25">
      <c r="A885" s="1302" t="s">
        <v>565</v>
      </c>
      <c r="B885" s="1299" t="s">
        <v>149</v>
      </c>
      <c r="C885" s="1301" t="s">
        <v>150</v>
      </c>
      <c r="D885" s="1324" t="s">
        <v>639</v>
      </c>
      <c r="E885" s="1324" t="s">
        <v>151</v>
      </c>
      <c r="F885" s="1324" t="s">
        <v>569</v>
      </c>
      <c r="G885" s="1324" t="s">
        <v>570</v>
      </c>
      <c r="H885" s="2198" t="s">
        <v>797</v>
      </c>
      <c r="I885" s="2723" t="s">
        <v>798</v>
      </c>
    </row>
    <row r="886" spans="1:20" ht="14.25" thickTop="1" thickBot="1" x14ac:dyDescent="0.25">
      <c r="A886" s="1297">
        <v>1</v>
      </c>
      <c r="B886" s="1296">
        <v>2</v>
      </c>
      <c r="C886" s="1296">
        <v>3</v>
      </c>
      <c r="D886" s="1296">
        <v>4</v>
      </c>
      <c r="E886" s="1296">
        <v>5</v>
      </c>
      <c r="F886" s="1295">
        <v>6</v>
      </c>
      <c r="G886" s="1295">
        <v>7</v>
      </c>
      <c r="H886" s="1446">
        <v>8</v>
      </c>
      <c r="I886" s="1294" t="s">
        <v>689</v>
      </c>
    </row>
    <row r="887" spans="1:20" ht="15.75" thickTop="1" x14ac:dyDescent="0.25">
      <c r="A887" s="2722">
        <v>1309</v>
      </c>
      <c r="B887" s="2721">
        <v>3231</v>
      </c>
      <c r="C887" s="2721">
        <v>5331</v>
      </c>
      <c r="D887" s="2720"/>
      <c r="E887" s="2719" t="s">
        <v>858</v>
      </c>
      <c r="F887" s="2718"/>
      <c r="G887" s="2718">
        <f>G888+G889</f>
        <v>206</v>
      </c>
      <c r="H887" s="2718">
        <f>H888+H889</f>
        <v>206</v>
      </c>
      <c r="I887" s="2717">
        <f>(H887/G887)*100</f>
        <v>100</v>
      </c>
    </row>
    <row r="888" spans="1:20" ht="14.25" x14ac:dyDescent="0.2">
      <c r="A888" s="2714"/>
      <c r="B888" s="2713"/>
      <c r="C888" s="2713"/>
      <c r="D888" s="2191" t="s">
        <v>1811</v>
      </c>
      <c r="E888" s="2716" t="s">
        <v>717</v>
      </c>
      <c r="F888" s="2711"/>
      <c r="G888" s="2711">
        <v>141</v>
      </c>
      <c r="H888" s="2711">
        <v>141</v>
      </c>
      <c r="I888" s="2710">
        <f>(H888/G888)*100</f>
        <v>100</v>
      </c>
      <c r="Q888" s="1254"/>
    </row>
    <row r="889" spans="1:20" ht="15" thickBot="1" x14ac:dyDescent="0.25">
      <c r="A889" s="2714"/>
      <c r="B889" s="2713"/>
      <c r="C889" s="2713"/>
      <c r="D889" s="2182" t="s">
        <v>1812</v>
      </c>
      <c r="E889" s="2712" t="s">
        <v>63</v>
      </c>
      <c r="F889" s="2711"/>
      <c r="G889" s="2711">
        <v>65</v>
      </c>
      <c r="H889" s="2711">
        <v>65</v>
      </c>
      <c r="I889" s="2710">
        <f>(H889/G889)*100</f>
        <v>100</v>
      </c>
    </row>
    <row r="890" spans="1:20" s="1298" customFormat="1" ht="16.5" thickTop="1" thickBot="1" x14ac:dyDescent="0.3">
      <c r="A890" s="3195" t="s">
        <v>1000</v>
      </c>
      <c r="B890" s="3196"/>
      <c r="C890" s="3196"/>
      <c r="D890" s="3196"/>
      <c r="E890" s="3196"/>
      <c r="F890" s="2709">
        <v>0</v>
      </c>
      <c r="G890" s="2709">
        <v>206</v>
      </c>
      <c r="H890" s="2709">
        <v>206</v>
      </c>
      <c r="I890" s="2708">
        <f>(H890/G890)*100</f>
        <v>100</v>
      </c>
      <c r="R890" s="1254">
        <f>F890</f>
        <v>0</v>
      </c>
      <c r="S890" s="1254">
        <f>G890</f>
        <v>206</v>
      </c>
      <c r="T890" s="1254">
        <f>H890</f>
        <v>206</v>
      </c>
    </row>
    <row r="891" spans="1:20" s="1298" customFormat="1" ht="15.75" thickTop="1" x14ac:dyDescent="0.25">
      <c r="A891" s="1417"/>
      <c r="B891" s="1417"/>
      <c r="C891" s="1417"/>
      <c r="D891" s="1417"/>
      <c r="E891" s="1417"/>
      <c r="F891" s="2701"/>
      <c r="G891" s="2701"/>
      <c r="H891" s="2701"/>
      <c r="I891" s="2700"/>
      <c r="R891" s="1254"/>
      <c r="S891" s="1254"/>
      <c r="T891" s="1254"/>
    </row>
    <row r="892" spans="1:20" ht="13.5" thickBot="1" x14ac:dyDescent="0.25">
      <c r="A892" s="2163" t="s">
        <v>182</v>
      </c>
      <c r="I892" s="2699" t="s">
        <v>148</v>
      </c>
    </row>
    <row r="893" spans="1:20" ht="14.25" thickTop="1" thickBot="1" x14ac:dyDescent="0.25">
      <c r="A893" s="1302" t="s">
        <v>565</v>
      </c>
      <c r="B893" s="1299" t="s">
        <v>149</v>
      </c>
      <c r="C893" s="1301" t="s">
        <v>150</v>
      </c>
      <c r="D893" s="1324" t="s">
        <v>639</v>
      </c>
      <c r="E893" s="1324" t="s">
        <v>151</v>
      </c>
      <c r="F893" s="1324" t="s">
        <v>569</v>
      </c>
      <c r="G893" s="1324" t="s">
        <v>570</v>
      </c>
      <c r="H893" s="2198" t="s">
        <v>797</v>
      </c>
      <c r="I893" s="2723" t="s">
        <v>798</v>
      </c>
    </row>
    <row r="894" spans="1:20" ht="14.25" thickTop="1" thickBot="1" x14ac:dyDescent="0.25">
      <c r="A894" s="1297">
        <v>1</v>
      </c>
      <c r="B894" s="1296">
        <v>2</v>
      </c>
      <c r="C894" s="1296">
        <v>3</v>
      </c>
      <c r="D894" s="1296">
        <v>4</v>
      </c>
      <c r="E894" s="1296">
        <v>5</v>
      </c>
      <c r="F894" s="1295">
        <v>6</v>
      </c>
      <c r="G894" s="1295">
        <v>7</v>
      </c>
      <c r="H894" s="1446">
        <v>8</v>
      </c>
      <c r="I894" s="1294" t="s">
        <v>689</v>
      </c>
    </row>
    <row r="895" spans="1:20" ht="15.75" thickTop="1" x14ac:dyDescent="0.25">
      <c r="A895" s="2722">
        <v>1310</v>
      </c>
      <c r="B895" s="2721">
        <v>3231</v>
      </c>
      <c r="C895" s="2721">
        <v>5331</v>
      </c>
      <c r="D895" s="2720"/>
      <c r="E895" s="2719" t="s">
        <v>858</v>
      </c>
      <c r="F895" s="2718"/>
      <c r="G895" s="2718">
        <f>G896+G897</f>
        <v>47</v>
      </c>
      <c r="H895" s="2718">
        <f>H896+H897</f>
        <v>47</v>
      </c>
      <c r="I895" s="2717">
        <f>(H895/G895)*100</f>
        <v>100</v>
      </c>
    </row>
    <row r="896" spans="1:20" ht="14.25" x14ac:dyDescent="0.2">
      <c r="A896" s="2714"/>
      <c r="B896" s="2713"/>
      <c r="C896" s="2713"/>
      <c r="D896" s="2191" t="s">
        <v>1811</v>
      </c>
      <c r="E896" s="2716" t="s">
        <v>717</v>
      </c>
      <c r="F896" s="2711"/>
      <c r="G896" s="2711">
        <v>11</v>
      </c>
      <c r="H896" s="2711">
        <v>11</v>
      </c>
      <c r="I896" s="2710">
        <f>(H896/G896)*100</f>
        <v>100</v>
      </c>
    </row>
    <row r="897" spans="1:20" ht="15" thickBot="1" x14ac:dyDescent="0.25">
      <c r="A897" s="2714"/>
      <c r="B897" s="2713"/>
      <c r="C897" s="2713"/>
      <c r="D897" s="2182" t="s">
        <v>1812</v>
      </c>
      <c r="E897" s="2712" t="s">
        <v>63</v>
      </c>
      <c r="F897" s="2711"/>
      <c r="G897" s="2711">
        <v>36</v>
      </c>
      <c r="H897" s="2711">
        <v>36</v>
      </c>
      <c r="I897" s="2710">
        <f>(H897/G897)*100</f>
        <v>100</v>
      </c>
    </row>
    <row r="898" spans="1:20" ht="16.5" thickTop="1" thickBot="1" x14ac:dyDescent="0.3">
      <c r="A898" s="3195" t="s">
        <v>1000</v>
      </c>
      <c r="B898" s="3196"/>
      <c r="C898" s="3196"/>
      <c r="D898" s="3196"/>
      <c r="E898" s="3196"/>
      <c r="F898" s="2709">
        <f>SUM(F895)</f>
        <v>0</v>
      </c>
      <c r="G898" s="2709">
        <v>47</v>
      </c>
      <c r="H898" s="2709">
        <v>47</v>
      </c>
      <c r="I898" s="2708">
        <f>(H898/G898)*100</f>
        <v>100</v>
      </c>
      <c r="R898" s="1254">
        <f>F898</f>
        <v>0</v>
      </c>
      <c r="S898" s="1254">
        <f>G898</f>
        <v>47</v>
      </c>
      <c r="T898" s="1254">
        <f>H898</f>
        <v>47</v>
      </c>
    </row>
    <row r="899" spans="1:20" s="1298" customFormat="1" ht="14.45" customHeight="1" thickTop="1" x14ac:dyDescent="0.2">
      <c r="A899" s="1249"/>
      <c r="B899" s="2326"/>
      <c r="C899" s="1249"/>
      <c r="D899" s="2344"/>
      <c r="E899" s="1249"/>
      <c r="F899" s="1254"/>
      <c r="G899" s="1254"/>
      <c r="H899" s="1254"/>
      <c r="I899" s="2699"/>
    </row>
    <row r="900" spans="1:20" ht="13.5" thickBot="1" x14ac:dyDescent="0.25">
      <c r="A900" s="2163" t="s">
        <v>978</v>
      </c>
      <c r="I900" s="2699" t="s">
        <v>148</v>
      </c>
    </row>
    <row r="901" spans="1:20" ht="14.25" thickTop="1" thickBot="1" x14ac:dyDescent="0.25">
      <c r="A901" s="1302" t="s">
        <v>565</v>
      </c>
      <c r="B901" s="1299" t="s">
        <v>149</v>
      </c>
      <c r="C901" s="1301" t="s">
        <v>150</v>
      </c>
      <c r="D901" s="1324" t="s">
        <v>639</v>
      </c>
      <c r="E901" s="1324" t="s">
        <v>151</v>
      </c>
      <c r="F901" s="1324" t="s">
        <v>569</v>
      </c>
      <c r="G901" s="1324" t="s">
        <v>570</v>
      </c>
      <c r="H901" s="2198" t="s">
        <v>797</v>
      </c>
      <c r="I901" s="2723" t="s">
        <v>798</v>
      </c>
    </row>
    <row r="902" spans="1:20" s="2402" customFormat="1" ht="14.25" thickTop="1" thickBot="1" x14ac:dyDescent="0.25">
      <c r="A902" s="1297">
        <v>1</v>
      </c>
      <c r="B902" s="1296">
        <v>2</v>
      </c>
      <c r="C902" s="1296">
        <v>3</v>
      </c>
      <c r="D902" s="1296">
        <v>4</v>
      </c>
      <c r="E902" s="1296">
        <v>5</v>
      </c>
      <c r="F902" s="1295">
        <v>6</v>
      </c>
      <c r="G902" s="1295">
        <v>7</v>
      </c>
      <c r="H902" s="1446">
        <v>8</v>
      </c>
      <c r="I902" s="1294" t="s">
        <v>689</v>
      </c>
    </row>
    <row r="903" spans="1:20" ht="15.75" thickTop="1" x14ac:dyDescent="0.25">
      <c r="A903" s="2722">
        <v>1311</v>
      </c>
      <c r="B903" s="2721">
        <v>3231</v>
      </c>
      <c r="C903" s="2721">
        <v>5331</v>
      </c>
      <c r="D903" s="2720"/>
      <c r="E903" s="2719" t="s">
        <v>858</v>
      </c>
      <c r="F903" s="2718"/>
      <c r="G903" s="2718">
        <f>G904+G905</f>
        <v>566</v>
      </c>
      <c r="H903" s="2718">
        <f>H904+H905</f>
        <v>566</v>
      </c>
      <c r="I903" s="2717">
        <f>(H903/G903)*100</f>
        <v>100</v>
      </c>
    </row>
    <row r="904" spans="1:20" ht="14.25" x14ac:dyDescent="0.2">
      <c r="A904" s="2714"/>
      <c r="B904" s="2713"/>
      <c r="C904" s="2713"/>
      <c r="D904" s="2191" t="s">
        <v>1811</v>
      </c>
      <c r="E904" s="2716" t="s">
        <v>717</v>
      </c>
      <c r="F904" s="2711"/>
      <c r="G904" s="2711">
        <v>70</v>
      </c>
      <c r="H904" s="2711">
        <v>70</v>
      </c>
      <c r="I904" s="2710">
        <f>(H904/G904)*100</f>
        <v>100</v>
      </c>
    </row>
    <row r="905" spans="1:20" ht="15.75" thickBot="1" x14ac:dyDescent="0.3">
      <c r="A905" s="2714"/>
      <c r="B905" s="2713"/>
      <c r="C905" s="2713"/>
      <c r="D905" s="2420" t="s">
        <v>1951</v>
      </c>
      <c r="E905" s="2734" t="s">
        <v>645</v>
      </c>
      <c r="F905" s="2729"/>
      <c r="G905" s="2715">
        <v>496</v>
      </c>
      <c r="H905" s="2715">
        <v>496</v>
      </c>
      <c r="I905" s="2710">
        <f>(H905/G905)*100</f>
        <v>100</v>
      </c>
    </row>
    <row r="906" spans="1:20" ht="16.5" thickTop="1" thickBot="1" x14ac:dyDescent="0.3">
      <c r="A906" s="3195" t="s">
        <v>1000</v>
      </c>
      <c r="B906" s="3196"/>
      <c r="C906" s="3196"/>
      <c r="D906" s="3196"/>
      <c r="E906" s="3196"/>
      <c r="F906" s="2709">
        <f>SUM(F903)</f>
        <v>0</v>
      </c>
      <c r="G906" s="2709">
        <v>566</v>
      </c>
      <c r="H906" s="2709">
        <v>566</v>
      </c>
      <c r="I906" s="2708">
        <f>(H906/G906)*100</f>
        <v>100</v>
      </c>
      <c r="R906" s="1254">
        <f>F906</f>
        <v>0</v>
      </c>
      <c r="S906" s="1254">
        <f>G906</f>
        <v>566</v>
      </c>
      <c r="T906" s="1254">
        <f>H906</f>
        <v>566</v>
      </c>
    </row>
    <row r="907" spans="1:20" s="1298" customFormat="1" ht="13.5" thickTop="1" x14ac:dyDescent="0.2">
      <c r="A907" s="1249"/>
      <c r="B907" s="2326"/>
      <c r="C907" s="1249"/>
      <c r="D907" s="2344"/>
      <c r="E907" s="1249"/>
      <c r="F907" s="1254"/>
      <c r="G907" s="1254"/>
      <c r="H907" s="1254"/>
      <c r="I907" s="2699"/>
    </row>
    <row r="908" spans="1:20" ht="13.5" thickBot="1" x14ac:dyDescent="0.25">
      <c r="A908" s="2163" t="s">
        <v>979</v>
      </c>
      <c r="I908" s="2699" t="s">
        <v>148</v>
      </c>
    </row>
    <row r="909" spans="1:20" ht="14.25" thickTop="1" thickBot="1" x14ac:dyDescent="0.25">
      <c r="A909" s="1302" t="s">
        <v>565</v>
      </c>
      <c r="B909" s="1299" t="s">
        <v>149</v>
      </c>
      <c r="C909" s="1301" t="s">
        <v>150</v>
      </c>
      <c r="D909" s="1324" t="s">
        <v>639</v>
      </c>
      <c r="E909" s="1324" t="s">
        <v>151</v>
      </c>
      <c r="F909" s="1324" t="s">
        <v>569</v>
      </c>
      <c r="G909" s="1324" t="s">
        <v>570</v>
      </c>
      <c r="H909" s="2198" t="s">
        <v>797</v>
      </c>
      <c r="I909" s="2723" t="s">
        <v>798</v>
      </c>
    </row>
    <row r="910" spans="1:20" ht="14.25" thickTop="1" thickBot="1" x14ac:dyDescent="0.25">
      <c r="A910" s="1297">
        <v>1</v>
      </c>
      <c r="B910" s="1296">
        <v>2</v>
      </c>
      <c r="C910" s="1296">
        <v>3</v>
      </c>
      <c r="D910" s="1296">
        <v>4</v>
      </c>
      <c r="E910" s="1296">
        <v>5</v>
      </c>
      <c r="F910" s="1295">
        <v>6</v>
      </c>
      <c r="G910" s="1295">
        <v>7</v>
      </c>
      <c r="H910" s="1446">
        <v>8</v>
      </c>
      <c r="I910" s="1294" t="s">
        <v>689</v>
      </c>
    </row>
    <row r="911" spans="1:20" ht="15.75" thickTop="1" x14ac:dyDescent="0.25">
      <c r="A911" s="2722">
        <v>1312</v>
      </c>
      <c r="B911" s="2721">
        <v>3231</v>
      </c>
      <c r="C911" s="2721">
        <v>5331</v>
      </c>
      <c r="D911" s="2720"/>
      <c r="E911" s="2719" t="s">
        <v>858</v>
      </c>
      <c r="F911" s="2751"/>
      <c r="G911" s="2751">
        <f>G912+G913</f>
        <v>117</v>
      </c>
      <c r="H911" s="2751">
        <f>H912+H913</f>
        <v>117</v>
      </c>
      <c r="I911" s="2750">
        <f>(H911/G911)*100</f>
        <v>100</v>
      </c>
    </row>
    <row r="912" spans="1:20" ht="14.25" x14ac:dyDescent="0.2">
      <c r="A912" s="2714"/>
      <c r="B912" s="2713"/>
      <c r="C912" s="2713"/>
      <c r="D912" s="2191" t="s">
        <v>1811</v>
      </c>
      <c r="E912" s="2716" t="s">
        <v>717</v>
      </c>
      <c r="F912" s="2715"/>
      <c r="G912" s="2715">
        <v>25</v>
      </c>
      <c r="H912" s="2715">
        <v>25</v>
      </c>
      <c r="I912" s="2749">
        <f>(H912/G912)*100</f>
        <v>100</v>
      </c>
    </row>
    <row r="913" spans="1:20" ht="15" thickBot="1" x14ac:dyDescent="0.25">
      <c r="A913" s="2714"/>
      <c r="B913" s="2713"/>
      <c r="C913" s="2713"/>
      <c r="D913" s="2182" t="s">
        <v>1812</v>
      </c>
      <c r="E913" s="2712" t="s">
        <v>63</v>
      </c>
      <c r="F913" s="2715"/>
      <c r="G913" s="2715">
        <v>92</v>
      </c>
      <c r="H913" s="2715">
        <v>92</v>
      </c>
      <c r="I913" s="2749">
        <f>(H913/G913)*100</f>
        <v>100</v>
      </c>
    </row>
    <row r="914" spans="1:20" ht="16.5" thickTop="1" thickBot="1" x14ac:dyDescent="0.3">
      <c r="A914" s="3195" t="s">
        <v>1000</v>
      </c>
      <c r="B914" s="3196"/>
      <c r="C914" s="3196"/>
      <c r="D914" s="3196"/>
      <c r="E914" s="3196"/>
      <c r="F914" s="2748">
        <f>SUM(F911)</f>
        <v>0</v>
      </c>
      <c r="G914" s="2748">
        <v>117</v>
      </c>
      <c r="H914" s="2748">
        <v>117</v>
      </c>
      <c r="I914" s="2747">
        <f>(H914/G914)*100</f>
        <v>100</v>
      </c>
      <c r="R914" s="1254">
        <f>F914</f>
        <v>0</v>
      </c>
      <c r="S914" s="1254">
        <f>G914</f>
        <v>117</v>
      </c>
      <c r="T914" s="1254">
        <f>H914</f>
        <v>117</v>
      </c>
    </row>
    <row r="915" spans="1:20" s="1292" customFormat="1" ht="13.5" thickTop="1" x14ac:dyDescent="0.2">
      <c r="A915" s="1249"/>
      <c r="B915" s="2326"/>
      <c r="C915" s="1249"/>
      <c r="D915" s="2344"/>
      <c r="E915" s="1249"/>
      <c r="F915" s="1254"/>
      <c r="G915" s="1254"/>
      <c r="H915" s="1254"/>
      <c r="I915" s="2699"/>
    </row>
    <row r="916" spans="1:20" ht="13.5" thickBot="1" x14ac:dyDescent="0.25">
      <c r="A916" s="2163" t="s">
        <v>2001</v>
      </c>
      <c r="I916" s="2699" t="s">
        <v>148</v>
      </c>
    </row>
    <row r="917" spans="1:20" ht="14.25" thickTop="1" thickBot="1" x14ac:dyDescent="0.25">
      <c r="A917" s="1302" t="s">
        <v>565</v>
      </c>
      <c r="B917" s="1299" t="s">
        <v>149</v>
      </c>
      <c r="C917" s="1301" t="s">
        <v>150</v>
      </c>
      <c r="D917" s="1324" t="s">
        <v>639</v>
      </c>
      <c r="E917" s="1324" t="s">
        <v>151</v>
      </c>
      <c r="F917" s="1324" t="s">
        <v>569</v>
      </c>
      <c r="G917" s="1324" t="s">
        <v>570</v>
      </c>
      <c r="H917" s="2198" t="s">
        <v>797</v>
      </c>
      <c r="I917" s="2723" t="s">
        <v>798</v>
      </c>
    </row>
    <row r="918" spans="1:20" ht="14.25" thickTop="1" thickBot="1" x14ac:dyDescent="0.25">
      <c r="A918" s="1297">
        <v>1</v>
      </c>
      <c r="B918" s="1296">
        <v>2</v>
      </c>
      <c r="C918" s="1296">
        <v>3</v>
      </c>
      <c r="D918" s="1296">
        <v>4</v>
      </c>
      <c r="E918" s="1296">
        <v>5</v>
      </c>
      <c r="F918" s="1295">
        <v>6</v>
      </c>
      <c r="G918" s="1295">
        <v>7</v>
      </c>
      <c r="H918" s="1446">
        <v>8</v>
      </c>
      <c r="I918" s="1294" t="s">
        <v>689</v>
      </c>
    </row>
    <row r="919" spans="1:20" ht="15.75" thickTop="1" x14ac:dyDescent="0.25">
      <c r="A919" s="2722">
        <v>1313</v>
      </c>
      <c r="B919" s="2721">
        <v>3231</v>
      </c>
      <c r="C919" s="2721">
        <v>5331</v>
      </c>
      <c r="D919" s="2720"/>
      <c r="E919" s="2719" t="s">
        <v>858</v>
      </c>
      <c r="F919" s="2718"/>
      <c r="G919" s="2718">
        <f>G920+G921+G922</f>
        <v>489</v>
      </c>
      <c r="H919" s="2718">
        <f>H920+H921+H922</f>
        <v>489</v>
      </c>
      <c r="I919" s="2717">
        <f>(H919/G919)*100</f>
        <v>100</v>
      </c>
    </row>
    <row r="920" spans="1:20" ht="14.25" x14ac:dyDescent="0.2">
      <c r="A920" s="2714"/>
      <c r="B920" s="2713"/>
      <c r="C920" s="2713"/>
      <c r="D920" s="2191" t="s">
        <v>1811</v>
      </c>
      <c r="E920" s="2716" t="s">
        <v>717</v>
      </c>
      <c r="F920" s="2711"/>
      <c r="G920" s="2711">
        <v>45</v>
      </c>
      <c r="H920" s="2711">
        <v>45</v>
      </c>
      <c r="I920" s="2710">
        <f>(H920/G920)*100</f>
        <v>100</v>
      </c>
    </row>
    <row r="921" spans="1:20" ht="14.25" x14ac:dyDescent="0.2">
      <c r="A921" s="2714"/>
      <c r="B921" s="2713"/>
      <c r="C921" s="2713"/>
      <c r="D921" s="2182" t="s">
        <v>1812</v>
      </c>
      <c r="E921" s="2712" t="s">
        <v>63</v>
      </c>
      <c r="F921" s="2711"/>
      <c r="G921" s="2711">
        <v>244</v>
      </c>
      <c r="H921" s="2711">
        <v>244</v>
      </c>
      <c r="I921" s="2710">
        <f>(H921/G921)*100</f>
        <v>100</v>
      </c>
    </row>
    <row r="922" spans="1:20" ht="15" thickBot="1" x14ac:dyDescent="0.25">
      <c r="A922" s="2714"/>
      <c r="B922" s="2713"/>
      <c r="C922" s="2713"/>
      <c r="D922" s="2306" t="s">
        <v>1901</v>
      </c>
      <c r="E922" s="2746" t="s">
        <v>2000</v>
      </c>
      <c r="F922" s="2725"/>
      <c r="G922" s="2725">
        <v>200</v>
      </c>
      <c r="H922" s="2725">
        <v>200</v>
      </c>
      <c r="I922" s="2724">
        <f>(H922/G922)*100</f>
        <v>100</v>
      </c>
    </row>
    <row r="923" spans="1:20" ht="16.5" thickTop="1" thickBot="1" x14ac:dyDescent="0.3">
      <c r="A923" s="3195" t="s">
        <v>1000</v>
      </c>
      <c r="B923" s="3196"/>
      <c r="C923" s="3196"/>
      <c r="D923" s="3196"/>
      <c r="E923" s="3196"/>
      <c r="F923" s="2709">
        <f>SUM(F919)</f>
        <v>0</v>
      </c>
      <c r="G923" s="2709">
        <f>G919</f>
        <v>489</v>
      </c>
      <c r="H923" s="2709">
        <f>H919</f>
        <v>489</v>
      </c>
      <c r="I923" s="2708">
        <f>(H923/G923)*100</f>
        <v>100</v>
      </c>
      <c r="R923" s="1254">
        <f>F923</f>
        <v>0</v>
      </c>
      <c r="S923" s="1254">
        <f>G923</f>
        <v>489</v>
      </c>
      <c r="T923" s="1254">
        <f>H923</f>
        <v>489</v>
      </c>
    </row>
    <row r="924" spans="1:20" s="1298" customFormat="1" ht="13.5" thickTop="1" x14ac:dyDescent="0.2">
      <c r="A924" s="1249"/>
      <c r="B924" s="2326"/>
      <c r="C924" s="1249"/>
      <c r="D924" s="2344"/>
      <c r="E924" s="1249"/>
      <c r="F924" s="1254"/>
      <c r="G924" s="1254"/>
      <c r="H924" s="1254"/>
      <c r="I924" s="2699"/>
    </row>
    <row r="925" spans="1:20" ht="13.5" thickBot="1" x14ac:dyDescent="0.25">
      <c r="A925" s="2163" t="s">
        <v>134</v>
      </c>
      <c r="I925" s="2699" t="s">
        <v>148</v>
      </c>
    </row>
    <row r="926" spans="1:20" ht="14.25" thickTop="1" thickBot="1" x14ac:dyDescent="0.25">
      <c r="A926" s="1302" t="s">
        <v>565</v>
      </c>
      <c r="B926" s="1299" t="s">
        <v>149</v>
      </c>
      <c r="C926" s="1301" t="s">
        <v>150</v>
      </c>
      <c r="D926" s="1324" t="s">
        <v>639</v>
      </c>
      <c r="E926" s="1324" t="s">
        <v>151</v>
      </c>
      <c r="F926" s="1324" t="s">
        <v>569</v>
      </c>
      <c r="G926" s="1324" t="s">
        <v>570</v>
      </c>
      <c r="H926" s="2198" t="s">
        <v>797</v>
      </c>
      <c r="I926" s="2723" t="s">
        <v>798</v>
      </c>
    </row>
    <row r="927" spans="1:20" ht="14.25" thickTop="1" thickBot="1" x14ac:dyDescent="0.25">
      <c r="A927" s="1297">
        <v>1</v>
      </c>
      <c r="B927" s="1296">
        <v>2</v>
      </c>
      <c r="C927" s="1296">
        <v>3</v>
      </c>
      <c r="D927" s="1296">
        <v>4</v>
      </c>
      <c r="E927" s="1296">
        <v>5</v>
      </c>
      <c r="F927" s="1295">
        <v>6</v>
      </c>
      <c r="G927" s="1295">
        <v>7</v>
      </c>
      <c r="H927" s="1446">
        <v>8</v>
      </c>
      <c r="I927" s="1294" t="s">
        <v>689</v>
      </c>
    </row>
    <row r="928" spans="1:20" ht="15.75" thickTop="1" x14ac:dyDescent="0.25">
      <c r="A928" s="2722">
        <v>1314</v>
      </c>
      <c r="B928" s="2721">
        <v>3231</v>
      </c>
      <c r="C928" s="2721">
        <v>5331</v>
      </c>
      <c r="D928" s="2720"/>
      <c r="E928" s="2719" t="s">
        <v>858</v>
      </c>
      <c r="F928" s="2718"/>
      <c r="G928" s="2718">
        <f>G929+G930</f>
        <v>147</v>
      </c>
      <c r="H928" s="2718">
        <f>H929+H930</f>
        <v>147</v>
      </c>
      <c r="I928" s="2717">
        <f>(H928/G928)*100</f>
        <v>100</v>
      </c>
    </row>
    <row r="929" spans="1:20" ht="14.25" x14ac:dyDescent="0.2">
      <c r="A929" s="2714"/>
      <c r="B929" s="2713"/>
      <c r="C929" s="2713"/>
      <c r="D929" s="2191" t="s">
        <v>1811</v>
      </c>
      <c r="E929" s="2716" t="s">
        <v>717</v>
      </c>
      <c r="F929" s="2711"/>
      <c r="G929" s="2711">
        <v>30</v>
      </c>
      <c r="H929" s="2711">
        <v>30</v>
      </c>
      <c r="I929" s="2710">
        <f>(H929/G929)*100</f>
        <v>100</v>
      </c>
    </row>
    <row r="930" spans="1:20" ht="15" thickBot="1" x14ac:dyDescent="0.25">
      <c r="A930" s="2714"/>
      <c r="B930" s="2713"/>
      <c r="C930" s="2713"/>
      <c r="D930" s="2182" t="s">
        <v>1812</v>
      </c>
      <c r="E930" s="2712" t="s">
        <v>63</v>
      </c>
      <c r="F930" s="2711"/>
      <c r="G930" s="2711">
        <v>117</v>
      </c>
      <c r="H930" s="2711">
        <v>117</v>
      </c>
      <c r="I930" s="2710">
        <f>(H930/G930)*100</f>
        <v>100</v>
      </c>
    </row>
    <row r="931" spans="1:20" ht="16.5" thickTop="1" thickBot="1" x14ac:dyDescent="0.3">
      <c r="A931" s="3195" t="s">
        <v>1000</v>
      </c>
      <c r="B931" s="3196"/>
      <c r="C931" s="3196"/>
      <c r="D931" s="3196"/>
      <c r="E931" s="3196"/>
      <c r="F931" s="2709">
        <f>SUM(F928)</f>
        <v>0</v>
      </c>
      <c r="G931" s="2709">
        <v>147</v>
      </c>
      <c r="H931" s="2709">
        <v>147</v>
      </c>
      <c r="I931" s="2708">
        <f>(H931/G931)*100</f>
        <v>100</v>
      </c>
      <c r="R931" s="1254">
        <f>F931</f>
        <v>0</v>
      </c>
      <c r="S931" s="1254">
        <f>G931</f>
        <v>147</v>
      </c>
      <c r="T931" s="1254">
        <f>H931</f>
        <v>147</v>
      </c>
    </row>
    <row r="932" spans="1:20" ht="13.5" thickTop="1" x14ac:dyDescent="0.2"/>
    <row r="933" spans="1:20" ht="13.5" thickBot="1" x14ac:dyDescent="0.25">
      <c r="A933" s="2163" t="s">
        <v>1048</v>
      </c>
      <c r="I933" s="2699" t="s">
        <v>148</v>
      </c>
    </row>
    <row r="934" spans="1:20" ht="14.25" thickTop="1" thickBot="1" x14ac:dyDescent="0.25">
      <c r="A934" s="1302" t="s">
        <v>565</v>
      </c>
      <c r="B934" s="1299" t="s">
        <v>149</v>
      </c>
      <c r="C934" s="1301" t="s">
        <v>150</v>
      </c>
      <c r="D934" s="1324" t="s">
        <v>639</v>
      </c>
      <c r="E934" s="1324" t="s">
        <v>151</v>
      </c>
      <c r="F934" s="1324" t="s">
        <v>569</v>
      </c>
      <c r="G934" s="1324" t="s">
        <v>570</v>
      </c>
      <c r="H934" s="2198" t="s">
        <v>797</v>
      </c>
      <c r="I934" s="2723" t="s">
        <v>798</v>
      </c>
    </row>
    <row r="935" spans="1:20" ht="14.25" thickTop="1" thickBot="1" x14ac:dyDescent="0.25">
      <c r="A935" s="1297">
        <v>1</v>
      </c>
      <c r="B935" s="1296">
        <v>2</v>
      </c>
      <c r="C935" s="1296">
        <v>3</v>
      </c>
      <c r="D935" s="1296">
        <v>4</v>
      </c>
      <c r="E935" s="1296">
        <v>5</v>
      </c>
      <c r="F935" s="1295">
        <v>6</v>
      </c>
      <c r="G935" s="1295">
        <v>7</v>
      </c>
      <c r="H935" s="1446">
        <v>8</v>
      </c>
      <c r="I935" s="1294" t="s">
        <v>689</v>
      </c>
    </row>
    <row r="936" spans="1:20" ht="15.75" thickTop="1" x14ac:dyDescent="0.25">
      <c r="A936" s="2722">
        <v>1315</v>
      </c>
      <c r="B936" s="2721">
        <v>3231</v>
      </c>
      <c r="C936" s="2721">
        <v>5331</v>
      </c>
      <c r="D936" s="2720"/>
      <c r="E936" s="2719" t="s">
        <v>858</v>
      </c>
      <c r="F936" s="2718"/>
      <c r="G936" s="2718">
        <f>G937+G938</f>
        <v>109</v>
      </c>
      <c r="H936" s="2718">
        <f>H937+H938</f>
        <v>109</v>
      </c>
      <c r="I936" s="2717">
        <f>(H936/G936)*100</f>
        <v>100</v>
      </c>
    </row>
    <row r="937" spans="1:20" ht="14.25" x14ac:dyDescent="0.2">
      <c r="A937" s="2714"/>
      <c r="B937" s="2713"/>
      <c r="C937" s="2713"/>
      <c r="D937" s="2191" t="s">
        <v>1811</v>
      </c>
      <c r="E937" s="2716" t="s">
        <v>717</v>
      </c>
      <c r="F937" s="2711"/>
      <c r="G937" s="2711">
        <v>35</v>
      </c>
      <c r="H937" s="2711">
        <v>35</v>
      </c>
      <c r="I937" s="2710">
        <f>(H937/G937)*100</f>
        <v>100</v>
      </c>
    </row>
    <row r="938" spans="1:20" ht="15" thickBot="1" x14ac:dyDescent="0.25">
      <c r="A938" s="2714"/>
      <c r="B938" s="2713"/>
      <c r="C938" s="2713"/>
      <c r="D938" s="2182" t="s">
        <v>1812</v>
      </c>
      <c r="E938" s="2712" t="s">
        <v>63</v>
      </c>
      <c r="F938" s="2711"/>
      <c r="G938" s="2711">
        <v>74</v>
      </c>
      <c r="H938" s="2711">
        <v>74</v>
      </c>
      <c r="I938" s="2710">
        <f>(H938/G938)*100</f>
        <v>100</v>
      </c>
    </row>
    <row r="939" spans="1:20" ht="16.5" thickTop="1" thickBot="1" x14ac:dyDescent="0.3">
      <c r="A939" s="3195" t="s">
        <v>1000</v>
      </c>
      <c r="B939" s="3196"/>
      <c r="C939" s="3196"/>
      <c r="D939" s="3196"/>
      <c r="E939" s="3196"/>
      <c r="F939" s="2709">
        <f>SUM(F936)</f>
        <v>0</v>
      </c>
      <c r="G939" s="2709">
        <v>109</v>
      </c>
      <c r="H939" s="2709">
        <v>109</v>
      </c>
      <c r="I939" s="2708">
        <f>(H939/G939)*100</f>
        <v>100</v>
      </c>
      <c r="R939" s="1254">
        <f>F939</f>
        <v>0</v>
      </c>
      <c r="S939" s="1254">
        <f>G939</f>
        <v>109</v>
      </c>
      <c r="T939" s="1254">
        <f>H939</f>
        <v>109</v>
      </c>
    </row>
    <row r="940" spans="1:20" ht="13.5" thickTop="1" x14ac:dyDescent="0.2"/>
    <row r="941" spans="1:20" ht="13.5" thickBot="1" x14ac:dyDescent="0.25">
      <c r="A941" s="2163" t="s">
        <v>187</v>
      </c>
      <c r="I941" s="2699" t="s">
        <v>148</v>
      </c>
    </row>
    <row r="942" spans="1:20" ht="14.25" thickTop="1" thickBot="1" x14ac:dyDescent="0.25">
      <c r="A942" s="1302" t="s">
        <v>565</v>
      </c>
      <c r="B942" s="1299" t="s">
        <v>149</v>
      </c>
      <c r="C942" s="1301" t="s">
        <v>150</v>
      </c>
      <c r="D942" s="1324" t="s">
        <v>639</v>
      </c>
      <c r="E942" s="1324" t="s">
        <v>151</v>
      </c>
      <c r="F942" s="1324" t="s">
        <v>569</v>
      </c>
      <c r="G942" s="1324" t="s">
        <v>570</v>
      </c>
      <c r="H942" s="2198" t="s">
        <v>797</v>
      </c>
      <c r="I942" s="2723" t="s">
        <v>798</v>
      </c>
    </row>
    <row r="943" spans="1:20" ht="14.25" thickTop="1" thickBot="1" x14ac:dyDescent="0.25">
      <c r="A943" s="1297">
        <v>1</v>
      </c>
      <c r="B943" s="1296">
        <v>2</v>
      </c>
      <c r="C943" s="1296">
        <v>3</v>
      </c>
      <c r="D943" s="1296">
        <v>4</v>
      </c>
      <c r="E943" s="1296">
        <v>5</v>
      </c>
      <c r="F943" s="1295">
        <v>6</v>
      </c>
      <c r="G943" s="1295">
        <v>7</v>
      </c>
      <c r="H943" s="1446">
        <v>8</v>
      </c>
      <c r="I943" s="1294" t="s">
        <v>689</v>
      </c>
    </row>
    <row r="944" spans="1:20" ht="15.75" thickTop="1" x14ac:dyDescent="0.25">
      <c r="A944" s="2714">
        <v>1350</v>
      </c>
      <c r="B944" s="2727">
        <v>3233</v>
      </c>
      <c r="C944" s="2726">
        <v>5331</v>
      </c>
      <c r="D944" s="2745"/>
      <c r="E944" s="2183" t="s">
        <v>858</v>
      </c>
      <c r="F944" s="2744"/>
      <c r="G944" s="2744">
        <f>G945+G946+G947</f>
        <v>1199</v>
      </c>
      <c r="H944" s="2744">
        <f>H945+H946+H947</f>
        <v>1199</v>
      </c>
      <c r="I944" s="2728">
        <v>100</v>
      </c>
    </row>
    <row r="945" spans="1:20" ht="18" customHeight="1" x14ac:dyDescent="0.2">
      <c r="A945" s="2714"/>
      <c r="B945" s="2713"/>
      <c r="C945" s="2713"/>
      <c r="D945" s="2191" t="s">
        <v>1811</v>
      </c>
      <c r="E945" s="2716" t="s">
        <v>717</v>
      </c>
      <c r="F945" s="2711"/>
      <c r="G945" s="2711">
        <v>306</v>
      </c>
      <c r="H945" s="2711">
        <v>306</v>
      </c>
      <c r="I945" s="2710">
        <f>(H945/G945)*100</f>
        <v>100</v>
      </c>
    </row>
    <row r="946" spans="1:20" ht="14.25" x14ac:dyDescent="0.2">
      <c r="A946" s="2714"/>
      <c r="B946" s="2713"/>
      <c r="C946" s="2743"/>
      <c r="D946" s="2182" t="s">
        <v>1812</v>
      </c>
      <c r="E946" s="2712" t="s">
        <v>63</v>
      </c>
      <c r="F946" s="2711"/>
      <c r="G946" s="2711">
        <v>785</v>
      </c>
      <c r="H946" s="2711">
        <v>785</v>
      </c>
      <c r="I946" s="2710">
        <f>(H946/G946)*100</f>
        <v>100</v>
      </c>
    </row>
    <row r="947" spans="1:20" ht="15" thickBot="1" x14ac:dyDescent="0.25">
      <c r="A947" s="2714"/>
      <c r="B947" s="2713"/>
      <c r="C947" s="2743"/>
      <c r="D947" s="2182" t="s">
        <v>1841</v>
      </c>
      <c r="E947" s="2712" t="s">
        <v>23</v>
      </c>
      <c r="F947" s="2711"/>
      <c r="G947" s="2711">
        <v>108</v>
      </c>
      <c r="H947" s="2711">
        <v>108</v>
      </c>
      <c r="I947" s="2710">
        <f>(H947/G947)*100</f>
        <v>100</v>
      </c>
    </row>
    <row r="948" spans="1:20" ht="16.5" thickTop="1" thickBot="1" x14ac:dyDescent="0.3">
      <c r="A948" s="3195" t="s">
        <v>1000</v>
      </c>
      <c r="B948" s="3196"/>
      <c r="C948" s="3196"/>
      <c r="D948" s="3196"/>
      <c r="E948" s="3196"/>
      <c r="F948" s="2709">
        <v>0</v>
      </c>
      <c r="G948" s="2709">
        <f>G944</f>
        <v>1199</v>
      </c>
      <c r="H948" s="2709">
        <f>H944</f>
        <v>1199</v>
      </c>
      <c r="I948" s="2708">
        <f>(H948/G948)*100</f>
        <v>100</v>
      </c>
      <c r="R948" s="1254">
        <f>F948</f>
        <v>0</v>
      </c>
      <c r="S948" s="1254">
        <f>G948</f>
        <v>1199</v>
      </c>
      <c r="T948" s="1254">
        <f>H948</f>
        <v>1199</v>
      </c>
    </row>
    <row r="949" spans="1:20" s="1292" customFormat="1" ht="13.5" thickTop="1" x14ac:dyDescent="0.2">
      <c r="A949" s="1249"/>
      <c r="B949" s="2326"/>
      <c r="C949" s="1249"/>
      <c r="D949" s="2344"/>
      <c r="E949" s="1249"/>
      <c r="F949" s="1254"/>
      <c r="G949" s="1254"/>
      <c r="H949" s="1254"/>
      <c r="I949" s="2699"/>
    </row>
    <row r="950" spans="1:20" ht="13.5" thickBot="1" x14ac:dyDescent="0.25">
      <c r="A950" s="2163" t="s">
        <v>330</v>
      </c>
      <c r="I950" s="2699" t="s">
        <v>148</v>
      </c>
    </row>
    <row r="951" spans="1:20" ht="14.25" thickTop="1" thickBot="1" x14ac:dyDescent="0.25">
      <c r="A951" s="1302" t="s">
        <v>565</v>
      </c>
      <c r="B951" s="1299" t="s">
        <v>149</v>
      </c>
      <c r="C951" s="1301" t="s">
        <v>150</v>
      </c>
      <c r="D951" s="1324" t="s">
        <v>639</v>
      </c>
      <c r="E951" s="1324" t="s">
        <v>151</v>
      </c>
      <c r="F951" s="1324" t="s">
        <v>569</v>
      </c>
      <c r="G951" s="1324" t="s">
        <v>570</v>
      </c>
      <c r="H951" s="2198" t="s">
        <v>797</v>
      </c>
      <c r="I951" s="2723" t="s">
        <v>798</v>
      </c>
    </row>
    <row r="952" spans="1:20" ht="18" customHeight="1" thickTop="1" thickBot="1" x14ac:dyDescent="0.25">
      <c r="A952" s="1297">
        <v>1</v>
      </c>
      <c r="B952" s="1296">
        <v>2</v>
      </c>
      <c r="C952" s="1296">
        <v>3</v>
      </c>
      <c r="D952" s="1296">
        <v>4</v>
      </c>
      <c r="E952" s="1296">
        <v>5</v>
      </c>
      <c r="F952" s="1295">
        <v>6</v>
      </c>
      <c r="G952" s="1295">
        <v>7</v>
      </c>
      <c r="H952" s="1446">
        <v>8</v>
      </c>
      <c r="I952" s="1294" t="s">
        <v>689</v>
      </c>
    </row>
    <row r="953" spans="1:20" ht="18" customHeight="1" thickTop="1" x14ac:dyDescent="0.25">
      <c r="A953" s="2714">
        <v>1351</v>
      </c>
      <c r="B953" s="2713">
        <v>3233</v>
      </c>
      <c r="C953" s="2713">
        <v>5331</v>
      </c>
      <c r="D953" s="2733"/>
      <c r="E953" s="2730" t="s">
        <v>858</v>
      </c>
      <c r="F953" s="2729"/>
      <c r="G953" s="2729">
        <f>G954+G955</f>
        <v>202</v>
      </c>
      <c r="H953" s="2729">
        <f>H954+H955</f>
        <v>202</v>
      </c>
      <c r="I953" s="2732">
        <v>100</v>
      </c>
    </row>
    <row r="954" spans="1:20" ht="14.25" x14ac:dyDescent="0.2">
      <c r="A954" s="2714"/>
      <c r="B954" s="2713"/>
      <c r="C954" s="2713"/>
      <c r="D954" s="2191" t="s">
        <v>1811</v>
      </c>
      <c r="E954" s="2716" t="s">
        <v>717</v>
      </c>
      <c r="F954" s="2711"/>
      <c r="G954" s="2711">
        <v>3</v>
      </c>
      <c r="H954" s="2711">
        <v>3</v>
      </c>
      <c r="I954" s="2710">
        <f>(H954/G954)*100</f>
        <v>100</v>
      </c>
    </row>
    <row r="955" spans="1:20" ht="15" thickBot="1" x14ac:dyDescent="0.25">
      <c r="A955" s="2714"/>
      <c r="B955" s="2713"/>
      <c r="C955" s="2713"/>
      <c r="D955" s="2182" t="s">
        <v>1812</v>
      </c>
      <c r="E955" s="2712" t="s">
        <v>63</v>
      </c>
      <c r="F955" s="2711"/>
      <c r="G955" s="2711">
        <v>199</v>
      </c>
      <c r="H955" s="2711">
        <v>199</v>
      </c>
      <c r="I955" s="2710">
        <f>(H955/G955)*100</f>
        <v>100</v>
      </c>
    </row>
    <row r="956" spans="1:20" ht="16.5" thickTop="1" thickBot="1" x14ac:dyDescent="0.3">
      <c r="A956" s="3195" t="s">
        <v>1000</v>
      </c>
      <c r="B956" s="3196"/>
      <c r="C956" s="3196"/>
      <c r="D956" s="3196"/>
      <c r="E956" s="3196"/>
      <c r="F956" s="2709">
        <f>F953</f>
        <v>0</v>
      </c>
      <c r="G956" s="2709">
        <v>202</v>
      </c>
      <c r="H956" s="2709">
        <v>202</v>
      </c>
      <c r="I956" s="2708">
        <f>(H956/G956)*100</f>
        <v>100</v>
      </c>
      <c r="R956" s="1254">
        <f>F956</f>
        <v>0</v>
      </c>
      <c r="S956" s="1254">
        <f>G956</f>
        <v>202</v>
      </c>
      <c r="T956" s="1254">
        <f>H956</f>
        <v>202</v>
      </c>
    </row>
    <row r="957" spans="1:20" s="1298" customFormat="1" ht="13.5" thickTop="1" x14ac:dyDescent="0.2">
      <c r="A957" s="1249"/>
      <c r="B957" s="2326"/>
      <c r="C957" s="1249"/>
      <c r="D957" s="2344"/>
      <c r="E957" s="1249"/>
      <c r="F957" s="1254"/>
      <c r="G957" s="1254"/>
      <c r="H957" s="1254"/>
      <c r="I957" s="2699"/>
    </row>
    <row r="958" spans="1:20" ht="13.15" customHeight="1" thickBot="1" x14ac:dyDescent="0.25">
      <c r="A958" s="2163" t="s">
        <v>111</v>
      </c>
      <c r="I958" s="2699" t="s">
        <v>148</v>
      </c>
    </row>
    <row r="959" spans="1:20" ht="14.25" thickTop="1" thickBot="1" x14ac:dyDescent="0.25">
      <c r="A959" s="1302" t="s">
        <v>565</v>
      </c>
      <c r="B959" s="1299" t="s">
        <v>149</v>
      </c>
      <c r="C959" s="1301" t="s">
        <v>150</v>
      </c>
      <c r="D959" s="1324" t="s">
        <v>639</v>
      </c>
      <c r="E959" s="1324" t="s">
        <v>151</v>
      </c>
      <c r="F959" s="1324" t="s">
        <v>569</v>
      </c>
      <c r="G959" s="1324" t="s">
        <v>570</v>
      </c>
      <c r="H959" s="2198" t="s">
        <v>797</v>
      </c>
      <c r="I959" s="2723" t="s">
        <v>798</v>
      </c>
    </row>
    <row r="960" spans="1:20" ht="14.25" thickTop="1" thickBot="1" x14ac:dyDescent="0.25">
      <c r="A960" s="1297">
        <v>1</v>
      </c>
      <c r="B960" s="1296">
        <v>2</v>
      </c>
      <c r="C960" s="1296">
        <v>3</v>
      </c>
      <c r="D960" s="1296">
        <v>4</v>
      </c>
      <c r="E960" s="1296">
        <v>5</v>
      </c>
      <c r="F960" s="1295">
        <v>6</v>
      </c>
      <c r="G960" s="1295">
        <v>7</v>
      </c>
      <c r="H960" s="1446">
        <v>8</v>
      </c>
      <c r="I960" s="1294" t="s">
        <v>689</v>
      </c>
    </row>
    <row r="961" spans="1:20" ht="15.75" thickTop="1" x14ac:dyDescent="0.25">
      <c r="A961" s="2714">
        <v>1352</v>
      </c>
      <c r="B961" s="2713">
        <v>3233</v>
      </c>
      <c r="C961" s="2713">
        <v>5331</v>
      </c>
      <c r="D961" s="2733"/>
      <c r="E961" s="2730" t="s">
        <v>858</v>
      </c>
      <c r="F961" s="2729"/>
      <c r="G961" s="2729">
        <f>G962+G963</f>
        <v>351</v>
      </c>
      <c r="H961" s="2729">
        <f>H962+H963</f>
        <v>351</v>
      </c>
      <c r="I961" s="2732">
        <v>100</v>
      </c>
    </row>
    <row r="962" spans="1:20" ht="14.25" x14ac:dyDescent="0.2">
      <c r="A962" s="2714"/>
      <c r="B962" s="2713"/>
      <c r="C962" s="2713"/>
      <c r="D962" s="2191" t="s">
        <v>1811</v>
      </c>
      <c r="E962" s="2716" t="s">
        <v>717</v>
      </c>
      <c r="F962" s="2715"/>
      <c r="G962" s="2711">
        <v>45</v>
      </c>
      <c r="H962" s="2711">
        <v>45</v>
      </c>
      <c r="I962" s="2710">
        <f>(H962/G962)*100</f>
        <v>100</v>
      </c>
    </row>
    <row r="963" spans="1:20" ht="15" thickBot="1" x14ac:dyDescent="0.25">
      <c r="A963" s="2714"/>
      <c r="B963" s="2713"/>
      <c r="C963" s="2713"/>
      <c r="D963" s="2182" t="s">
        <v>1812</v>
      </c>
      <c r="E963" s="2712" t="s">
        <v>63</v>
      </c>
      <c r="F963" s="2711"/>
      <c r="G963" s="2711">
        <v>306</v>
      </c>
      <c r="H963" s="2711">
        <v>306</v>
      </c>
      <c r="I963" s="2710">
        <f>(H963/G963)*100</f>
        <v>100</v>
      </c>
    </row>
    <row r="964" spans="1:20" ht="16.5" thickTop="1" thickBot="1" x14ac:dyDescent="0.3">
      <c r="A964" s="3195" t="s">
        <v>1000</v>
      </c>
      <c r="B964" s="3196"/>
      <c r="C964" s="3196"/>
      <c r="D964" s="3196"/>
      <c r="E964" s="3196"/>
      <c r="F964" s="2709">
        <f>F961</f>
        <v>0</v>
      </c>
      <c r="G964" s="2709">
        <v>351</v>
      </c>
      <c r="H964" s="2709">
        <v>351</v>
      </c>
      <c r="I964" s="2708">
        <f>(H964/G964)*100</f>
        <v>100</v>
      </c>
      <c r="R964" s="1254">
        <f>F964</f>
        <v>0</v>
      </c>
      <c r="S964" s="1254">
        <f>G964</f>
        <v>351</v>
      </c>
      <c r="T964" s="1254">
        <f>H964</f>
        <v>351</v>
      </c>
    </row>
    <row r="965" spans="1:20" s="1292" customFormat="1" ht="13.5" thickTop="1" x14ac:dyDescent="0.2">
      <c r="A965" s="1249"/>
      <c r="B965" s="2326"/>
      <c r="C965" s="1249"/>
      <c r="D965" s="2344"/>
      <c r="E965" s="1249"/>
      <c r="F965" s="1254"/>
      <c r="G965" s="1254"/>
      <c r="H965" s="1254"/>
      <c r="I965" s="2699"/>
    </row>
    <row r="966" spans="1:20" ht="13.5" thickBot="1" x14ac:dyDescent="0.25">
      <c r="A966" s="2163" t="s">
        <v>602</v>
      </c>
      <c r="I966" s="2699" t="s">
        <v>148</v>
      </c>
    </row>
    <row r="967" spans="1:20" ht="14.25" thickTop="1" thickBot="1" x14ac:dyDescent="0.25">
      <c r="A967" s="1302" t="s">
        <v>565</v>
      </c>
      <c r="B967" s="1299" t="s">
        <v>149</v>
      </c>
      <c r="C967" s="1301" t="s">
        <v>150</v>
      </c>
      <c r="D967" s="1324" t="s">
        <v>639</v>
      </c>
      <c r="E967" s="1324" t="s">
        <v>151</v>
      </c>
      <c r="F967" s="1324" t="s">
        <v>569</v>
      </c>
      <c r="G967" s="1324" t="s">
        <v>570</v>
      </c>
      <c r="H967" s="2198" t="s">
        <v>797</v>
      </c>
      <c r="I967" s="2723" t="s">
        <v>798</v>
      </c>
    </row>
    <row r="968" spans="1:20" ht="14.25" thickTop="1" thickBot="1" x14ac:dyDescent="0.25">
      <c r="A968" s="1297">
        <v>1</v>
      </c>
      <c r="B968" s="1296">
        <v>2</v>
      </c>
      <c r="C968" s="1296">
        <v>3</v>
      </c>
      <c r="D968" s="1296">
        <v>4</v>
      </c>
      <c r="E968" s="1296">
        <v>5</v>
      </c>
      <c r="F968" s="1295">
        <v>6</v>
      </c>
      <c r="G968" s="1295">
        <v>7</v>
      </c>
      <c r="H968" s="1446">
        <v>8</v>
      </c>
      <c r="I968" s="1294" t="s">
        <v>689</v>
      </c>
    </row>
    <row r="969" spans="1:20" ht="15.75" thickTop="1" x14ac:dyDescent="0.25">
      <c r="A969" s="2714">
        <v>1353</v>
      </c>
      <c r="B969" s="2713">
        <v>3233</v>
      </c>
      <c r="C969" s="2713">
        <v>5331</v>
      </c>
      <c r="D969" s="2733"/>
      <c r="E969" s="2730" t="s">
        <v>858</v>
      </c>
      <c r="F969" s="2729"/>
      <c r="G969" s="2729">
        <f>G970+G971</f>
        <v>586</v>
      </c>
      <c r="H969" s="2729">
        <f>H970+H971</f>
        <v>586</v>
      </c>
      <c r="I969" s="2732">
        <v>100</v>
      </c>
    </row>
    <row r="970" spans="1:20" ht="14.25" x14ac:dyDescent="0.2">
      <c r="A970" s="2714"/>
      <c r="B970" s="2713"/>
      <c r="C970" s="2713"/>
      <c r="D970" s="2191" t="s">
        <v>1811</v>
      </c>
      <c r="E970" s="2716" t="s">
        <v>717</v>
      </c>
      <c r="F970" s="2711"/>
      <c r="G970" s="2711">
        <v>45</v>
      </c>
      <c r="H970" s="2711">
        <v>45</v>
      </c>
      <c r="I970" s="2710">
        <f>(H970/G970)*100</f>
        <v>100</v>
      </c>
    </row>
    <row r="971" spans="1:20" ht="15" thickBot="1" x14ac:dyDescent="0.25">
      <c r="A971" s="2714"/>
      <c r="B971" s="2713"/>
      <c r="C971" s="2713"/>
      <c r="D971" s="2182" t="s">
        <v>1812</v>
      </c>
      <c r="E971" s="2716" t="s">
        <v>753</v>
      </c>
      <c r="F971" s="2711"/>
      <c r="G971" s="2711">
        <v>541</v>
      </c>
      <c r="H971" s="2711">
        <v>541</v>
      </c>
      <c r="I971" s="2710">
        <f>(H971/G971)*100</f>
        <v>100</v>
      </c>
    </row>
    <row r="972" spans="1:20" s="1298" customFormat="1" ht="16.5" thickTop="1" thickBot="1" x14ac:dyDescent="0.3">
      <c r="A972" s="3195" t="s">
        <v>1000</v>
      </c>
      <c r="B972" s="3196"/>
      <c r="C972" s="3196"/>
      <c r="D972" s="3196"/>
      <c r="E972" s="3196"/>
      <c r="F972" s="2709">
        <v>0</v>
      </c>
      <c r="G972" s="2709">
        <f>G969</f>
        <v>586</v>
      </c>
      <c r="H972" s="2709">
        <f>H969</f>
        <v>586</v>
      </c>
      <c r="I972" s="2708">
        <f>(H972/G972)*100</f>
        <v>100</v>
      </c>
      <c r="R972" s="1254">
        <f>F972</f>
        <v>0</v>
      </c>
      <c r="S972" s="1254">
        <f>G972</f>
        <v>586</v>
      </c>
      <c r="T972" s="1254">
        <f>H972</f>
        <v>586</v>
      </c>
    </row>
    <row r="973" spans="1:20" s="1292" customFormat="1" ht="13.5" thickTop="1" x14ac:dyDescent="0.2">
      <c r="A973" s="1249"/>
      <c r="B973" s="2326"/>
      <c r="C973" s="1249"/>
      <c r="D973" s="2344"/>
      <c r="E973" s="1249"/>
      <c r="F973" s="1254"/>
      <c r="G973" s="1254"/>
      <c r="H973" s="1254"/>
      <c r="I973" s="2699"/>
    </row>
    <row r="974" spans="1:20" ht="13.5" thickBot="1" x14ac:dyDescent="0.25">
      <c r="A974" s="2163" t="s">
        <v>112</v>
      </c>
      <c r="I974" s="2699" t="s">
        <v>148</v>
      </c>
    </row>
    <row r="975" spans="1:20" ht="14.25" thickTop="1" thickBot="1" x14ac:dyDescent="0.25">
      <c r="A975" s="1302" t="s">
        <v>565</v>
      </c>
      <c r="B975" s="1299" t="s">
        <v>149</v>
      </c>
      <c r="C975" s="1301" t="s">
        <v>150</v>
      </c>
      <c r="D975" s="1324" t="s">
        <v>639</v>
      </c>
      <c r="E975" s="1324" t="s">
        <v>151</v>
      </c>
      <c r="F975" s="1324" t="s">
        <v>569</v>
      </c>
      <c r="G975" s="1324" t="s">
        <v>570</v>
      </c>
      <c r="H975" s="2198" t="s">
        <v>797</v>
      </c>
      <c r="I975" s="2723" t="s">
        <v>798</v>
      </c>
    </row>
    <row r="976" spans="1:20" ht="14.25" thickTop="1" thickBot="1" x14ac:dyDescent="0.25">
      <c r="A976" s="1297">
        <v>1</v>
      </c>
      <c r="B976" s="1296">
        <v>2</v>
      </c>
      <c r="C976" s="1296">
        <v>3</v>
      </c>
      <c r="D976" s="1296">
        <v>4</v>
      </c>
      <c r="E976" s="1296">
        <v>5</v>
      </c>
      <c r="F976" s="1295">
        <v>6</v>
      </c>
      <c r="G976" s="1295">
        <v>7</v>
      </c>
      <c r="H976" s="1446">
        <v>8</v>
      </c>
      <c r="I976" s="1294" t="s">
        <v>689</v>
      </c>
    </row>
    <row r="977" spans="1:23" ht="15.75" thickTop="1" x14ac:dyDescent="0.25">
      <c r="A977" s="2714">
        <v>1354</v>
      </c>
      <c r="B977" s="2713">
        <v>3233</v>
      </c>
      <c r="C977" s="2713">
        <v>5331</v>
      </c>
      <c r="D977" s="2733"/>
      <c r="E977" s="2730" t="s">
        <v>858</v>
      </c>
      <c r="F977" s="2729"/>
      <c r="G977" s="2729">
        <f>G978+G979</f>
        <v>391</v>
      </c>
      <c r="H977" s="2729">
        <f>H978+H979</f>
        <v>391</v>
      </c>
      <c r="I977" s="2732">
        <v>100</v>
      </c>
    </row>
    <row r="978" spans="1:23" ht="14.25" x14ac:dyDescent="0.2">
      <c r="A978" s="2714"/>
      <c r="B978" s="2713"/>
      <c r="C978" s="2713"/>
      <c r="D978" s="2191" t="s">
        <v>1811</v>
      </c>
      <c r="E978" s="2716" t="s">
        <v>717</v>
      </c>
      <c r="F978" s="2711"/>
      <c r="G978" s="2711">
        <v>6</v>
      </c>
      <c r="H978" s="2711">
        <v>6</v>
      </c>
      <c r="I978" s="2710">
        <f>(H978/G978)*100</f>
        <v>100</v>
      </c>
    </row>
    <row r="979" spans="1:23" ht="15" thickBot="1" x14ac:dyDescent="0.25">
      <c r="A979" s="2714"/>
      <c r="B979" s="2713"/>
      <c r="C979" s="2713"/>
      <c r="D979" s="2182" t="s">
        <v>1812</v>
      </c>
      <c r="E979" s="2712" t="s">
        <v>63</v>
      </c>
      <c r="F979" s="2711"/>
      <c r="G979" s="2711">
        <v>385</v>
      </c>
      <c r="H979" s="2711">
        <v>385</v>
      </c>
      <c r="I979" s="2710">
        <f>(H979/G979)*100</f>
        <v>100</v>
      </c>
    </row>
    <row r="980" spans="1:23" s="1298" customFormat="1" ht="16.5" thickTop="1" thickBot="1" x14ac:dyDescent="0.3">
      <c r="A980" s="3195" t="s">
        <v>1000</v>
      </c>
      <c r="B980" s="3196"/>
      <c r="C980" s="3196"/>
      <c r="D980" s="3196"/>
      <c r="E980" s="3196"/>
      <c r="F980" s="2709">
        <f>F977</f>
        <v>0</v>
      </c>
      <c r="G980" s="2709">
        <f>G977</f>
        <v>391</v>
      </c>
      <c r="H980" s="2709">
        <f>H977</f>
        <v>391</v>
      </c>
      <c r="I980" s="2708">
        <f>(H980/G980)*100</f>
        <v>100</v>
      </c>
      <c r="R980" s="1254">
        <f>F980</f>
        <v>0</v>
      </c>
      <c r="S980" s="1254">
        <f>G980</f>
        <v>391</v>
      </c>
      <c r="T980" s="1254">
        <f>H980</f>
        <v>391</v>
      </c>
    </row>
    <row r="981" spans="1:23" s="1292" customFormat="1" ht="13.5" thickTop="1" x14ac:dyDescent="0.2">
      <c r="A981" s="1249"/>
      <c r="B981" s="2326"/>
      <c r="C981" s="1249"/>
      <c r="D981" s="2344"/>
      <c r="E981" s="1249"/>
      <c r="F981" s="1254"/>
      <c r="G981" s="1254"/>
      <c r="H981" s="1254"/>
      <c r="I981" s="2699"/>
    </row>
    <row r="982" spans="1:23" ht="13.5" thickBot="1" x14ac:dyDescent="0.25">
      <c r="A982" s="2163" t="s">
        <v>615</v>
      </c>
      <c r="I982" s="2699" t="s">
        <v>148</v>
      </c>
    </row>
    <row r="983" spans="1:23" ht="14.25" thickTop="1" thickBot="1" x14ac:dyDescent="0.25">
      <c r="A983" s="1302" t="s">
        <v>565</v>
      </c>
      <c r="B983" s="1299" t="s">
        <v>149</v>
      </c>
      <c r="C983" s="1301" t="s">
        <v>150</v>
      </c>
      <c r="D983" s="1324" t="s">
        <v>639</v>
      </c>
      <c r="E983" s="1324" t="s">
        <v>151</v>
      </c>
      <c r="F983" s="1324" t="s">
        <v>569</v>
      </c>
      <c r="G983" s="1324" t="s">
        <v>570</v>
      </c>
      <c r="H983" s="2198" t="s">
        <v>797</v>
      </c>
      <c r="I983" s="2723" t="s">
        <v>798</v>
      </c>
    </row>
    <row r="984" spans="1:23" ht="14.25" thickTop="1" thickBot="1" x14ac:dyDescent="0.25">
      <c r="A984" s="1297">
        <v>1</v>
      </c>
      <c r="B984" s="1296">
        <v>2</v>
      </c>
      <c r="C984" s="1296">
        <v>3</v>
      </c>
      <c r="D984" s="1296">
        <v>4</v>
      </c>
      <c r="E984" s="1296">
        <v>5</v>
      </c>
      <c r="F984" s="1295">
        <v>6</v>
      </c>
      <c r="G984" s="1295">
        <v>7</v>
      </c>
      <c r="H984" s="1446">
        <v>8</v>
      </c>
      <c r="I984" s="1294" t="s">
        <v>689</v>
      </c>
    </row>
    <row r="985" spans="1:23" ht="15.75" thickTop="1" x14ac:dyDescent="0.25">
      <c r="A985" s="2714">
        <v>1400</v>
      </c>
      <c r="B985" s="2713">
        <v>3133</v>
      </c>
      <c r="C985" s="2713">
        <v>5331</v>
      </c>
      <c r="D985" s="2733"/>
      <c r="E985" s="2730" t="s">
        <v>858</v>
      </c>
      <c r="F985" s="2729"/>
      <c r="G985" s="2729">
        <f>G986+G987</f>
        <v>3030</v>
      </c>
      <c r="H985" s="2729">
        <f>H986+H987</f>
        <v>3030</v>
      </c>
      <c r="I985" s="2732">
        <v>100</v>
      </c>
    </row>
    <row r="986" spans="1:23" ht="14.25" x14ac:dyDescent="0.2">
      <c r="A986" s="2714"/>
      <c r="B986" s="2713"/>
      <c r="C986" s="2713"/>
      <c r="D986" s="2191" t="s">
        <v>1811</v>
      </c>
      <c r="E986" s="2716" t="s">
        <v>717</v>
      </c>
      <c r="F986" s="2711"/>
      <c r="G986" s="2711">
        <v>301</v>
      </c>
      <c r="H986" s="2711">
        <v>301</v>
      </c>
      <c r="I986" s="2710">
        <f t="shared" ref="I986:I991" si="17">(H986/G986)*100</f>
        <v>100</v>
      </c>
    </row>
    <row r="987" spans="1:23" ht="15" thickBot="1" x14ac:dyDescent="0.25">
      <c r="A987" s="2714"/>
      <c r="B987" s="2713"/>
      <c r="C987" s="2713"/>
      <c r="D987" s="2182" t="s">
        <v>1812</v>
      </c>
      <c r="E987" s="2734" t="s">
        <v>806</v>
      </c>
      <c r="F987" s="2647"/>
      <c r="G987" s="1317">
        <v>2729</v>
      </c>
      <c r="H987" s="1317">
        <v>2729</v>
      </c>
      <c r="I987" s="1316">
        <f t="shared" si="17"/>
        <v>100</v>
      </c>
    </row>
    <row r="988" spans="1:23" ht="16.5" thickTop="1" thickBot="1" x14ac:dyDescent="0.3">
      <c r="A988" s="3195" t="s">
        <v>1000</v>
      </c>
      <c r="B988" s="3196"/>
      <c r="C988" s="3196"/>
      <c r="D988" s="3196"/>
      <c r="E988" s="3196"/>
      <c r="F988" s="2709">
        <v>0</v>
      </c>
      <c r="G988" s="2709">
        <f>G985</f>
        <v>3030</v>
      </c>
      <c r="H988" s="2709">
        <f>H985</f>
        <v>3030</v>
      </c>
      <c r="I988" s="2708">
        <f t="shared" si="17"/>
        <v>100</v>
      </c>
      <c r="R988" s="1254">
        <f>F988</f>
        <v>0</v>
      </c>
      <c r="S988" s="1254">
        <f>G988</f>
        <v>3030</v>
      </c>
      <c r="T988" s="1254">
        <f>H988</f>
        <v>3030</v>
      </c>
    </row>
    <row r="989" spans="1:23" ht="15.75" thickTop="1" x14ac:dyDescent="0.25">
      <c r="A989" s="2742">
        <v>1400</v>
      </c>
      <c r="B989" s="2713">
        <v>3133</v>
      </c>
      <c r="C989" s="2727">
        <v>6351</v>
      </c>
      <c r="D989" s="2741"/>
      <c r="E989" s="2183" t="s">
        <v>1053</v>
      </c>
      <c r="F989" s="2740"/>
      <c r="G989" s="2740">
        <v>800</v>
      </c>
      <c r="H989" s="2740">
        <v>800</v>
      </c>
      <c r="I989" s="2739">
        <f t="shared" si="17"/>
        <v>100</v>
      </c>
      <c r="R989" s="1254"/>
      <c r="S989" s="1254"/>
      <c r="T989" s="1254"/>
    </row>
    <row r="990" spans="1:23" ht="15" thickBot="1" x14ac:dyDescent="0.25">
      <c r="A990" s="2738"/>
      <c r="B990" s="2737"/>
      <c r="C990" s="1269"/>
      <c r="D990" s="2420" t="s">
        <v>1951</v>
      </c>
      <c r="E990" s="2734" t="s">
        <v>645</v>
      </c>
      <c r="F990" s="2647"/>
      <c r="G990" s="1317">
        <v>800</v>
      </c>
      <c r="H990" s="1317">
        <v>800</v>
      </c>
      <c r="I990" s="1316">
        <f t="shared" si="17"/>
        <v>100</v>
      </c>
      <c r="R990" s="1254"/>
      <c r="S990" s="1254"/>
      <c r="T990" s="1254"/>
    </row>
    <row r="991" spans="1:23" ht="16.5" thickTop="1" thickBot="1" x14ac:dyDescent="0.3">
      <c r="A991" s="3202" t="s">
        <v>1001</v>
      </c>
      <c r="B991" s="3203"/>
      <c r="C991" s="3203"/>
      <c r="D991" s="3203"/>
      <c r="E991" s="3204"/>
      <c r="F991" s="2709">
        <v>0</v>
      </c>
      <c r="G991" s="2709">
        <f>G989</f>
        <v>800</v>
      </c>
      <c r="H991" s="2709">
        <f>SUM(H989)</f>
        <v>800</v>
      </c>
      <c r="I991" s="2708">
        <f t="shared" si="17"/>
        <v>100</v>
      </c>
      <c r="U991" s="1254">
        <f>F991</f>
        <v>0</v>
      </c>
      <c r="V991" s="1254">
        <f>G991</f>
        <v>800</v>
      </c>
      <c r="W991" s="1254">
        <f>H991</f>
        <v>800</v>
      </c>
    </row>
    <row r="992" spans="1:23" ht="13.5" thickTop="1" x14ac:dyDescent="0.2"/>
    <row r="993" spans="1:20" ht="13.5" thickBot="1" x14ac:dyDescent="0.25">
      <c r="A993" s="2163" t="s">
        <v>616</v>
      </c>
      <c r="B993" s="2736"/>
      <c r="C993" s="2163"/>
      <c r="D993" s="2735"/>
      <c r="E993" s="2163"/>
      <c r="I993" s="2699" t="s">
        <v>148</v>
      </c>
    </row>
    <row r="994" spans="1:20" ht="14.25" thickTop="1" thickBot="1" x14ac:dyDescent="0.25">
      <c r="A994" s="1302" t="s">
        <v>565</v>
      </c>
      <c r="B994" s="1299" t="s">
        <v>149</v>
      </c>
      <c r="C994" s="1301" t="s">
        <v>150</v>
      </c>
      <c r="D994" s="1324" t="s">
        <v>639</v>
      </c>
      <c r="E994" s="1324" t="s">
        <v>151</v>
      </c>
      <c r="F994" s="1324" t="s">
        <v>569</v>
      </c>
      <c r="G994" s="1324" t="s">
        <v>570</v>
      </c>
      <c r="H994" s="2198" t="s">
        <v>797</v>
      </c>
      <c r="I994" s="2723" t="s">
        <v>798</v>
      </c>
    </row>
    <row r="995" spans="1:20" ht="14.25" thickTop="1" thickBot="1" x14ac:dyDescent="0.25">
      <c r="A995" s="1297">
        <v>1</v>
      </c>
      <c r="B995" s="1296">
        <v>2</v>
      </c>
      <c r="C995" s="1296">
        <v>3</v>
      </c>
      <c r="D995" s="1296">
        <v>4</v>
      </c>
      <c r="E995" s="1296">
        <v>5</v>
      </c>
      <c r="F995" s="1295">
        <v>6</v>
      </c>
      <c r="G995" s="1295">
        <v>7</v>
      </c>
      <c r="H995" s="1446">
        <v>8</v>
      </c>
      <c r="I995" s="1294" t="s">
        <v>689</v>
      </c>
    </row>
    <row r="996" spans="1:20" ht="15.75" thickTop="1" x14ac:dyDescent="0.25">
      <c r="A996" s="2714">
        <v>1401</v>
      </c>
      <c r="B996" s="2713">
        <v>3133</v>
      </c>
      <c r="C996" s="2713">
        <v>5331</v>
      </c>
      <c r="D996" s="2733"/>
      <c r="E996" s="2730" t="s">
        <v>858</v>
      </c>
      <c r="F996" s="2729"/>
      <c r="G996" s="2729">
        <f>G997+G998</f>
        <v>1088</v>
      </c>
      <c r="H996" s="2729">
        <f>H997+H998</f>
        <v>1088</v>
      </c>
      <c r="I996" s="2732">
        <v>100</v>
      </c>
    </row>
    <row r="997" spans="1:20" ht="14.25" x14ac:dyDescent="0.2">
      <c r="A997" s="2714"/>
      <c r="B997" s="2713"/>
      <c r="C997" s="2713"/>
      <c r="D997" s="2191" t="s">
        <v>1811</v>
      </c>
      <c r="E997" s="2716" t="s">
        <v>717</v>
      </c>
      <c r="F997" s="2711"/>
      <c r="G997" s="2711">
        <v>174</v>
      </c>
      <c r="H997" s="2711">
        <v>174</v>
      </c>
      <c r="I997" s="2710">
        <f>(H997/G997)*100</f>
        <v>100</v>
      </c>
    </row>
    <row r="998" spans="1:20" ht="15" thickBot="1" x14ac:dyDescent="0.25">
      <c r="A998" s="2714"/>
      <c r="B998" s="2713"/>
      <c r="C998" s="2713"/>
      <c r="D998" s="2182" t="s">
        <v>1812</v>
      </c>
      <c r="E998" s="2712" t="s">
        <v>63</v>
      </c>
      <c r="F998" s="2711"/>
      <c r="G998" s="2711">
        <v>914</v>
      </c>
      <c r="H998" s="2711">
        <v>914</v>
      </c>
      <c r="I998" s="2710">
        <f>(H998/G998)*100</f>
        <v>100</v>
      </c>
    </row>
    <row r="999" spans="1:20" ht="16.5" thickTop="1" thickBot="1" x14ac:dyDescent="0.3">
      <c r="A999" s="3195" t="s">
        <v>1000</v>
      </c>
      <c r="B999" s="3196"/>
      <c r="C999" s="3196"/>
      <c r="D999" s="3196"/>
      <c r="E999" s="3196"/>
      <c r="F999" s="2709">
        <f>F996</f>
        <v>0</v>
      </c>
      <c r="G999" s="2709">
        <f>G996</f>
        <v>1088</v>
      </c>
      <c r="H999" s="2709">
        <f>H996</f>
        <v>1088</v>
      </c>
      <c r="I999" s="2708">
        <f>(H999/G999)*100</f>
        <v>100</v>
      </c>
      <c r="R999" s="1254">
        <f>F999</f>
        <v>0</v>
      </c>
      <c r="S999" s="1254">
        <f>G999</f>
        <v>1088</v>
      </c>
      <c r="T999" s="1254">
        <f>H999</f>
        <v>1088</v>
      </c>
    </row>
    <row r="1000" spans="1:20" ht="13.5" thickTop="1" x14ac:dyDescent="0.2"/>
    <row r="1001" spans="1:20" ht="13.5" thickBot="1" x14ac:dyDescent="0.25">
      <c r="A1001" s="2163" t="s">
        <v>617</v>
      </c>
      <c r="I1001" s="2699" t="s">
        <v>148</v>
      </c>
    </row>
    <row r="1002" spans="1:20" ht="14.25" thickTop="1" thickBot="1" x14ac:dyDescent="0.25">
      <c r="A1002" s="1302" t="s">
        <v>565</v>
      </c>
      <c r="B1002" s="1299" t="s">
        <v>149</v>
      </c>
      <c r="C1002" s="1301" t="s">
        <v>150</v>
      </c>
      <c r="D1002" s="1324" t="s">
        <v>639</v>
      </c>
      <c r="E1002" s="1324" t="s">
        <v>151</v>
      </c>
      <c r="F1002" s="1324" t="s">
        <v>569</v>
      </c>
      <c r="G1002" s="1324" t="s">
        <v>570</v>
      </c>
      <c r="H1002" s="2198" t="s">
        <v>797</v>
      </c>
      <c r="I1002" s="2723" t="s">
        <v>798</v>
      </c>
    </row>
    <row r="1003" spans="1:20" ht="14.25" thickTop="1" thickBot="1" x14ac:dyDescent="0.25">
      <c r="A1003" s="1297">
        <v>1</v>
      </c>
      <c r="B1003" s="1296">
        <v>2</v>
      </c>
      <c r="C1003" s="1296">
        <v>3</v>
      </c>
      <c r="D1003" s="1296">
        <v>4</v>
      </c>
      <c r="E1003" s="1296">
        <v>5</v>
      </c>
      <c r="F1003" s="1295">
        <v>6</v>
      </c>
      <c r="G1003" s="1295">
        <v>7</v>
      </c>
      <c r="H1003" s="1446">
        <v>8</v>
      </c>
      <c r="I1003" s="1294" t="s">
        <v>689</v>
      </c>
    </row>
    <row r="1004" spans="1:20" ht="15.75" thickTop="1" x14ac:dyDescent="0.25">
      <c r="A1004" s="2714">
        <v>1402</v>
      </c>
      <c r="B1004" s="2713">
        <v>3133</v>
      </c>
      <c r="C1004" s="2713">
        <v>5331</v>
      </c>
      <c r="D1004" s="2733"/>
      <c r="E1004" s="2730" t="s">
        <v>858</v>
      </c>
      <c r="F1004" s="2729"/>
      <c r="G1004" s="2729">
        <f>G1005+G1006</f>
        <v>1279</v>
      </c>
      <c r="H1004" s="2729">
        <f>H1005+H1006</f>
        <v>1279</v>
      </c>
      <c r="I1004" s="2732">
        <v>100</v>
      </c>
    </row>
    <row r="1005" spans="1:20" ht="14.25" x14ac:dyDescent="0.2">
      <c r="A1005" s="2714"/>
      <c r="B1005" s="2713"/>
      <c r="C1005" s="2713"/>
      <c r="D1005" s="2191" t="s">
        <v>1811</v>
      </c>
      <c r="E1005" s="2716" t="s">
        <v>717</v>
      </c>
      <c r="F1005" s="2711"/>
      <c r="G1005" s="2711">
        <v>25</v>
      </c>
      <c r="H1005" s="2711">
        <v>25</v>
      </c>
      <c r="I1005" s="2710">
        <f>(H1005/G1005)*100</f>
        <v>100</v>
      </c>
    </row>
    <row r="1006" spans="1:20" ht="15" thickBot="1" x14ac:dyDescent="0.25">
      <c r="A1006" s="2714"/>
      <c r="B1006" s="2713"/>
      <c r="C1006" s="2713"/>
      <c r="D1006" s="2182" t="s">
        <v>1812</v>
      </c>
      <c r="E1006" s="2712" t="s">
        <v>63</v>
      </c>
      <c r="F1006" s="2711"/>
      <c r="G1006" s="2711">
        <v>1254</v>
      </c>
      <c r="H1006" s="2711">
        <v>1254</v>
      </c>
      <c r="I1006" s="2710">
        <f>(H1006/G1006)*100</f>
        <v>100</v>
      </c>
    </row>
    <row r="1007" spans="1:20" ht="16.5" thickTop="1" thickBot="1" x14ac:dyDescent="0.3">
      <c r="A1007" s="3195" t="s">
        <v>1000</v>
      </c>
      <c r="B1007" s="3196"/>
      <c r="C1007" s="3196"/>
      <c r="D1007" s="3196"/>
      <c r="E1007" s="3196"/>
      <c r="F1007" s="2709">
        <f>F1004</f>
        <v>0</v>
      </c>
      <c r="G1007" s="2709">
        <f>G1004</f>
        <v>1279</v>
      </c>
      <c r="H1007" s="2709">
        <f>H1004</f>
        <v>1279</v>
      </c>
      <c r="I1007" s="2708">
        <f>(H1007/G1007)*100</f>
        <v>100</v>
      </c>
      <c r="R1007" s="1254">
        <f>F1007</f>
        <v>0</v>
      </c>
      <c r="S1007" s="1254">
        <f>G1007</f>
        <v>1279</v>
      </c>
      <c r="T1007" s="1254">
        <f>H1007</f>
        <v>1279</v>
      </c>
    </row>
    <row r="1008" spans="1:20" ht="13.5" thickTop="1" x14ac:dyDescent="0.2"/>
    <row r="1009" spans="1:20" ht="13.5" thickBot="1" x14ac:dyDescent="0.25">
      <c r="A1009" s="2163" t="s">
        <v>618</v>
      </c>
      <c r="I1009" s="2699" t="s">
        <v>148</v>
      </c>
    </row>
    <row r="1010" spans="1:20" ht="14.25" thickTop="1" thickBot="1" x14ac:dyDescent="0.25">
      <c r="A1010" s="1302" t="s">
        <v>565</v>
      </c>
      <c r="B1010" s="1299" t="s">
        <v>149</v>
      </c>
      <c r="C1010" s="1301" t="s">
        <v>150</v>
      </c>
      <c r="D1010" s="1324" t="s">
        <v>639</v>
      </c>
      <c r="E1010" s="1324" t="s">
        <v>151</v>
      </c>
      <c r="F1010" s="1324" t="s">
        <v>569</v>
      </c>
      <c r="G1010" s="1324" t="s">
        <v>570</v>
      </c>
      <c r="H1010" s="2198" t="s">
        <v>797</v>
      </c>
      <c r="I1010" s="2723" t="s">
        <v>798</v>
      </c>
    </row>
    <row r="1011" spans="1:20" ht="14.25" thickTop="1" thickBot="1" x14ac:dyDescent="0.25">
      <c r="A1011" s="1297">
        <v>1</v>
      </c>
      <c r="B1011" s="1296">
        <v>2</v>
      </c>
      <c r="C1011" s="1296">
        <v>3</v>
      </c>
      <c r="D1011" s="1296">
        <v>4</v>
      </c>
      <c r="E1011" s="1296">
        <v>5</v>
      </c>
      <c r="F1011" s="1295">
        <v>6</v>
      </c>
      <c r="G1011" s="1295">
        <v>7</v>
      </c>
      <c r="H1011" s="1446">
        <v>8</v>
      </c>
      <c r="I1011" s="1294" t="s">
        <v>689</v>
      </c>
    </row>
    <row r="1012" spans="1:20" ht="15.75" thickTop="1" x14ac:dyDescent="0.25">
      <c r="A1012" s="2714">
        <v>1403</v>
      </c>
      <c r="B1012" s="2713">
        <v>3133</v>
      </c>
      <c r="C1012" s="2713">
        <v>5331</v>
      </c>
      <c r="D1012" s="2733"/>
      <c r="E1012" s="2730" t="s">
        <v>858</v>
      </c>
      <c r="F1012" s="2729"/>
      <c r="G1012" s="2729">
        <f>G1013+G1014</f>
        <v>1422</v>
      </c>
      <c r="H1012" s="2729">
        <f>H1013+H1014</f>
        <v>1422</v>
      </c>
      <c r="I1012" s="2732">
        <v>100</v>
      </c>
    </row>
    <row r="1013" spans="1:20" ht="14.25" x14ac:dyDescent="0.2">
      <c r="A1013" s="2714"/>
      <c r="B1013" s="2713"/>
      <c r="C1013" s="2713"/>
      <c r="D1013" s="2191" t="s">
        <v>1811</v>
      </c>
      <c r="E1013" s="2716" t="s">
        <v>717</v>
      </c>
      <c r="F1013" s="2711"/>
      <c r="G1013" s="2711">
        <v>67</v>
      </c>
      <c r="H1013" s="2711">
        <v>67</v>
      </c>
      <c r="I1013" s="2710">
        <f>(H1013/G1013)*100</f>
        <v>100</v>
      </c>
    </row>
    <row r="1014" spans="1:20" ht="15" thickBot="1" x14ac:dyDescent="0.25">
      <c r="A1014" s="2714"/>
      <c r="B1014" s="2713"/>
      <c r="C1014" s="2713"/>
      <c r="D1014" s="2182" t="s">
        <v>1812</v>
      </c>
      <c r="E1014" s="2712" t="s">
        <v>63</v>
      </c>
      <c r="F1014" s="2711"/>
      <c r="G1014" s="2711">
        <v>1355</v>
      </c>
      <c r="H1014" s="2711">
        <v>1355</v>
      </c>
      <c r="I1014" s="2710">
        <f>(H1014/G1014)*100</f>
        <v>100</v>
      </c>
    </row>
    <row r="1015" spans="1:20" ht="16.5" thickTop="1" thickBot="1" x14ac:dyDescent="0.3">
      <c r="A1015" s="3195" t="s">
        <v>1000</v>
      </c>
      <c r="B1015" s="3196"/>
      <c r="C1015" s="3196"/>
      <c r="D1015" s="3196"/>
      <c r="E1015" s="3196"/>
      <c r="F1015" s="2709">
        <f>F1012</f>
        <v>0</v>
      </c>
      <c r="G1015" s="2709">
        <f>G1012</f>
        <v>1422</v>
      </c>
      <c r="H1015" s="2709">
        <f>H1012</f>
        <v>1422</v>
      </c>
      <c r="I1015" s="2708">
        <f>(H1015/G1015)*100</f>
        <v>100</v>
      </c>
      <c r="R1015" s="1254">
        <f>F1015</f>
        <v>0</v>
      </c>
      <c r="S1015" s="1254">
        <f>G1015</f>
        <v>1422</v>
      </c>
      <c r="T1015" s="1254">
        <f>H1015</f>
        <v>1422</v>
      </c>
    </row>
    <row r="1016" spans="1:20" ht="13.5" thickTop="1" x14ac:dyDescent="0.2"/>
    <row r="1017" spans="1:20" ht="13.5" thickBot="1" x14ac:dyDescent="0.25">
      <c r="A1017" s="2163" t="s">
        <v>686</v>
      </c>
      <c r="I1017" s="2699" t="s">
        <v>148</v>
      </c>
    </row>
    <row r="1018" spans="1:20" ht="14.25" thickTop="1" thickBot="1" x14ac:dyDescent="0.25">
      <c r="A1018" s="1302" t="s">
        <v>565</v>
      </c>
      <c r="B1018" s="1299" t="s">
        <v>149</v>
      </c>
      <c r="C1018" s="1301" t="s">
        <v>150</v>
      </c>
      <c r="D1018" s="1324" t="s">
        <v>639</v>
      </c>
      <c r="E1018" s="1324" t="s">
        <v>151</v>
      </c>
      <c r="F1018" s="1324" t="s">
        <v>569</v>
      </c>
      <c r="G1018" s="1324" t="s">
        <v>570</v>
      </c>
      <c r="H1018" s="2198" t="s">
        <v>797</v>
      </c>
      <c r="I1018" s="2723" t="s">
        <v>798</v>
      </c>
    </row>
    <row r="1019" spans="1:20" ht="14.25" thickTop="1" thickBot="1" x14ac:dyDescent="0.25">
      <c r="A1019" s="1297">
        <v>1</v>
      </c>
      <c r="B1019" s="1296">
        <v>2</v>
      </c>
      <c r="C1019" s="1296">
        <v>3</v>
      </c>
      <c r="D1019" s="1296">
        <v>4</v>
      </c>
      <c r="E1019" s="1296">
        <v>5</v>
      </c>
      <c r="F1019" s="1295">
        <v>6</v>
      </c>
      <c r="G1019" s="1295">
        <v>7</v>
      </c>
      <c r="H1019" s="1446">
        <v>8</v>
      </c>
      <c r="I1019" s="1294" t="s">
        <v>689</v>
      </c>
    </row>
    <row r="1020" spans="1:20" ht="15.75" thickTop="1" x14ac:dyDescent="0.25">
      <c r="A1020" s="2714">
        <v>1404</v>
      </c>
      <c r="B1020" s="2713">
        <v>3133</v>
      </c>
      <c r="C1020" s="2713">
        <v>5331</v>
      </c>
      <c r="D1020" s="2733"/>
      <c r="E1020" s="2730" t="s">
        <v>858</v>
      </c>
      <c r="F1020" s="2729"/>
      <c r="G1020" s="2729">
        <f>G1021+G1022</f>
        <v>1157</v>
      </c>
      <c r="H1020" s="2729">
        <f>H1021+H1022</f>
        <v>1157</v>
      </c>
      <c r="I1020" s="2732">
        <v>100</v>
      </c>
    </row>
    <row r="1021" spans="1:20" ht="14.25" x14ac:dyDescent="0.2">
      <c r="A1021" s="2714"/>
      <c r="B1021" s="2713"/>
      <c r="C1021" s="2713"/>
      <c r="D1021" s="2191" t="s">
        <v>1811</v>
      </c>
      <c r="E1021" s="2716" t="s">
        <v>717</v>
      </c>
      <c r="F1021" s="2711"/>
      <c r="G1021" s="2711">
        <v>149</v>
      </c>
      <c r="H1021" s="2711">
        <v>149</v>
      </c>
      <c r="I1021" s="2710">
        <f>(H1021/G1021)*100</f>
        <v>100</v>
      </c>
    </row>
    <row r="1022" spans="1:20" ht="15" thickBot="1" x14ac:dyDescent="0.25">
      <c r="A1022" s="2714"/>
      <c r="B1022" s="2713"/>
      <c r="C1022" s="2713"/>
      <c r="D1022" s="2182" t="s">
        <v>1812</v>
      </c>
      <c r="E1022" s="2712" t="s">
        <v>63</v>
      </c>
      <c r="F1022" s="2711"/>
      <c r="G1022" s="2711">
        <v>1008</v>
      </c>
      <c r="H1022" s="2711">
        <v>1008</v>
      </c>
      <c r="I1022" s="2710">
        <f>(H1022/G1022)*100</f>
        <v>100</v>
      </c>
    </row>
    <row r="1023" spans="1:20" ht="16.5" thickTop="1" thickBot="1" x14ac:dyDescent="0.3">
      <c r="A1023" s="3195" t="s">
        <v>1000</v>
      </c>
      <c r="B1023" s="3196"/>
      <c r="C1023" s="3196"/>
      <c r="D1023" s="3196"/>
      <c r="E1023" s="3196"/>
      <c r="F1023" s="2709">
        <f>F1020</f>
        <v>0</v>
      </c>
      <c r="G1023" s="2709">
        <f>G1020</f>
        <v>1157</v>
      </c>
      <c r="H1023" s="2709">
        <f>H1020</f>
        <v>1157</v>
      </c>
      <c r="I1023" s="2708">
        <f>(H1023/G1023)*100</f>
        <v>100</v>
      </c>
      <c r="R1023" s="1254">
        <f>F1023</f>
        <v>0</v>
      </c>
      <c r="S1023" s="1254">
        <f>G1023</f>
        <v>1157</v>
      </c>
      <c r="T1023" s="1254">
        <f>H1023</f>
        <v>1157</v>
      </c>
    </row>
    <row r="1024" spans="1:20" ht="13.5" thickTop="1" x14ac:dyDescent="0.2"/>
    <row r="1032" spans="1:20" ht="13.5" thickBot="1" x14ac:dyDescent="0.25">
      <c r="A1032" s="2163" t="s">
        <v>813</v>
      </c>
      <c r="I1032" s="2699" t="s">
        <v>148</v>
      </c>
    </row>
    <row r="1033" spans="1:20" ht="14.25" thickTop="1" thickBot="1" x14ac:dyDescent="0.25">
      <c r="A1033" s="1302" t="s">
        <v>565</v>
      </c>
      <c r="B1033" s="1299" t="s">
        <v>149</v>
      </c>
      <c r="C1033" s="1301" t="s">
        <v>150</v>
      </c>
      <c r="D1033" s="1324" t="s">
        <v>639</v>
      </c>
      <c r="E1033" s="1324" t="s">
        <v>151</v>
      </c>
      <c r="F1033" s="1324" t="s">
        <v>569</v>
      </c>
      <c r="G1033" s="1324" t="s">
        <v>570</v>
      </c>
      <c r="H1033" s="2198" t="s">
        <v>797</v>
      </c>
      <c r="I1033" s="2723" t="s">
        <v>798</v>
      </c>
    </row>
    <row r="1034" spans="1:20" ht="14.25" thickTop="1" thickBot="1" x14ac:dyDescent="0.25">
      <c r="A1034" s="1297">
        <v>1</v>
      </c>
      <c r="B1034" s="1296">
        <v>2</v>
      </c>
      <c r="C1034" s="1296">
        <v>3</v>
      </c>
      <c r="D1034" s="1296">
        <v>4</v>
      </c>
      <c r="E1034" s="1296">
        <v>5</v>
      </c>
      <c r="F1034" s="1295">
        <v>6</v>
      </c>
      <c r="G1034" s="1295">
        <v>7</v>
      </c>
      <c r="H1034" s="1446">
        <v>8</v>
      </c>
      <c r="I1034" s="1294" t="s">
        <v>689</v>
      </c>
    </row>
    <row r="1035" spans="1:20" ht="15.75" thickTop="1" x14ac:dyDescent="0.25">
      <c r="A1035" s="2714">
        <v>1405</v>
      </c>
      <c r="B1035" s="2713">
        <v>3133</v>
      </c>
      <c r="C1035" s="2713">
        <v>5331</v>
      </c>
      <c r="D1035" s="2733"/>
      <c r="E1035" s="2719" t="s">
        <v>858</v>
      </c>
      <c r="F1035" s="2729"/>
      <c r="G1035" s="2729">
        <f>G1036+G1037+G1038</f>
        <v>1549</v>
      </c>
      <c r="H1035" s="2729">
        <f>H1036+H1037+H1038</f>
        <v>1549</v>
      </c>
      <c r="I1035" s="2732">
        <f>(H1035/G1035)*100</f>
        <v>100</v>
      </c>
    </row>
    <row r="1036" spans="1:20" ht="14.25" x14ac:dyDescent="0.2">
      <c r="A1036" s="2714"/>
      <c r="B1036" s="2713"/>
      <c r="C1036" s="2713"/>
      <c r="D1036" s="2191" t="s">
        <v>1811</v>
      </c>
      <c r="E1036" s="2716" t="s">
        <v>717</v>
      </c>
      <c r="F1036" s="2711"/>
      <c r="G1036" s="2711">
        <v>10</v>
      </c>
      <c r="H1036" s="2711">
        <v>10</v>
      </c>
      <c r="I1036" s="2710">
        <f>(H1036/G1036)*100</f>
        <v>100</v>
      </c>
    </row>
    <row r="1037" spans="1:20" ht="15" x14ac:dyDescent="0.25">
      <c r="A1037" s="2714"/>
      <c r="B1037" s="2713"/>
      <c r="C1037" s="2713"/>
      <c r="D1037" s="2420" t="s">
        <v>1951</v>
      </c>
      <c r="E1037" s="2734" t="s">
        <v>645</v>
      </c>
      <c r="F1037" s="2729"/>
      <c r="G1037" s="2715">
        <v>269</v>
      </c>
      <c r="H1037" s="2715">
        <v>269</v>
      </c>
      <c r="I1037" s="2710">
        <f>(H1037/G1037)*100</f>
        <v>100</v>
      </c>
    </row>
    <row r="1038" spans="1:20" ht="15" thickBot="1" x14ac:dyDescent="0.25">
      <c r="A1038" s="2714"/>
      <c r="B1038" s="2713"/>
      <c r="C1038" s="2713"/>
      <c r="D1038" s="2182" t="s">
        <v>1812</v>
      </c>
      <c r="E1038" s="2712" t="s">
        <v>63</v>
      </c>
      <c r="F1038" s="2711"/>
      <c r="G1038" s="2711">
        <v>1270</v>
      </c>
      <c r="H1038" s="2711">
        <v>1270</v>
      </c>
      <c r="I1038" s="2710">
        <v>100</v>
      </c>
    </row>
    <row r="1039" spans="1:20" ht="16.5" thickTop="1" thickBot="1" x14ac:dyDescent="0.3">
      <c r="A1039" s="3195" t="s">
        <v>1000</v>
      </c>
      <c r="B1039" s="3196"/>
      <c r="C1039" s="3196"/>
      <c r="D1039" s="3196"/>
      <c r="E1039" s="3196"/>
      <c r="F1039" s="2709">
        <f>F1035</f>
        <v>0</v>
      </c>
      <c r="G1039" s="2709">
        <f>G1035</f>
        <v>1549</v>
      </c>
      <c r="H1039" s="2709">
        <f>H1035</f>
        <v>1549</v>
      </c>
      <c r="I1039" s="2708">
        <f>(H1039/G1039)*100</f>
        <v>100</v>
      </c>
      <c r="R1039" s="1254">
        <f>F1039</f>
        <v>0</v>
      </c>
      <c r="S1039" s="1254">
        <f>G1039</f>
        <v>1549</v>
      </c>
      <c r="T1039" s="1254">
        <f>H1039</f>
        <v>1549</v>
      </c>
    </row>
    <row r="1040" spans="1:20" ht="15.75" thickTop="1" x14ac:dyDescent="0.25">
      <c r="A1040" s="1417"/>
      <c r="B1040" s="1417"/>
      <c r="C1040" s="1417"/>
      <c r="D1040" s="1417"/>
      <c r="E1040" s="1417"/>
      <c r="F1040" s="2701"/>
      <c r="G1040" s="2701"/>
      <c r="H1040" s="2701"/>
      <c r="I1040" s="2700"/>
      <c r="R1040" s="1254"/>
      <c r="S1040" s="1254"/>
      <c r="T1040" s="1254"/>
    </row>
    <row r="1041" spans="1:20" ht="13.5" thickBot="1" x14ac:dyDescent="0.25">
      <c r="A1041" s="2163" t="s">
        <v>814</v>
      </c>
      <c r="I1041" s="2699" t="s">
        <v>148</v>
      </c>
      <c r="S1041" s="1254"/>
    </row>
    <row r="1042" spans="1:20" ht="14.25" thickTop="1" thickBot="1" x14ac:dyDescent="0.25">
      <c r="A1042" s="1302" t="s">
        <v>565</v>
      </c>
      <c r="B1042" s="1299" t="s">
        <v>149</v>
      </c>
      <c r="C1042" s="1301" t="s">
        <v>150</v>
      </c>
      <c r="D1042" s="1324" t="s">
        <v>639</v>
      </c>
      <c r="E1042" s="1324" t="s">
        <v>151</v>
      </c>
      <c r="F1042" s="1324" t="s">
        <v>569</v>
      </c>
      <c r="G1042" s="1324" t="s">
        <v>570</v>
      </c>
      <c r="H1042" s="2198" t="s">
        <v>797</v>
      </c>
      <c r="I1042" s="2723" t="s">
        <v>798</v>
      </c>
    </row>
    <row r="1043" spans="1:20" ht="14.25" thickTop="1" thickBot="1" x14ac:dyDescent="0.25">
      <c r="A1043" s="1297">
        <v>1</v>
      </c>
      <c r="B1043" s="1296">
        <v>2</v>
      </c>
      <c r="C1043" s="1296">
        <v>3</v>
      </c>
      <c r="D1043" s="1296">
        <v>4</v>
      </c>
      <c r="E1043" s="1296">
        <v>5</v>
      </c>
      <c r="F1043" s="1295">
        <v>6</v>
      </c>
      <c r="G1043" s="1295">
        <v>7</v>
      </c>
      <c r="H1043" s="1446">
        <v>8</v>
      </c>
      <c r="I1043" s="1294" t="s">
        <v>689</v>
      </c>
    </row>
    <row r="1044" spans="1:20" ht="15.75" thickTop="1" x14ac:dyDescent="0.25">
      <c r="A1044" s="2714">
        <v>1407</v>
      </c>
      <c r="B1044" s="2713">
        <v>3133</v>
      </c>
      <c r="C1044" s="2713">
        <v>5331</v>
      </c>
      <c r="D1044" s="2733"/>
      <c r="E1044" s="2719" t="s">
        <v>858</v>
      </c>
      <c r="F1044" s="2729"/>
      <c r="G1044" s="2729">
        <f>G1045+G1046</f>
        <v>1236</v>
      </c>
      <c r="H1044" s="2729">
        <f>H1045+H1046</f>
        <v>1236</v>
      </c>
      <c r="I1044" s="2732">
        <f>(H1044/G1044)*100</f>
        <v>100</v>
      </c>
    </row>
    <row r="1045" spans="1:20" ht="14.25" x14ac:dyDescent="0.2">
      <c r="A1045" s="2714"/>
      <c r="B1045" s="2713"/>
      <c r="C1045" s="2713"/>
      <c r="D1045" s="2191" t="s">
        <v>1811</v>
      </c>
      <c r="E1045" s="2716" t="s">
        <v>717</v>
      </c>
      <c r="F1045" s="2711"/>
      <c r="G1045" s="2711">
        <v>50</v>
      </c>
      <c r="H1045" s="2711">
        <v>50</v>
      </c>
      <c r="I1045" s="2710">
        <f>(H1045/G1045)*100</f>
        <v>100</v>
      </c>
    </row>
    <row r="1046" spans="1:20" ht="15" thickBot="1" x14ac:dyDescent="0.25">
      <c r="A1046" s="2714"/>
      <c r="B1046" s="2713"/>
      <c r="C1046" s="2713"/>
      <c r="D1046" s="2182" t="s">
        <v>1812</v>
      </c>
      <c r="E1046" s="2712" t="s">
        <v>63</v>
      </c>
      <c r="F1046" s="2711"/>
      <c r="G1046" s="2711">
        <v>1186</v>
      </c>
      <c r="H1046" s="2711">
        <v>1186</v>
      </c>
      <c r="I1046" s="2710">
        <f>(H1046/G1046)*100</f>
        <v>100</v>
      </c>
    </row>
    <row r="1047" spans="1:20" ht="16.5" thickTop="1" thickBot="1" x14ac:dyDescent="0.3">
      <c r="A1047" s="3195" t="s">
        <v>1000</v>
      </c>
      <c r="B1047" s="3196"/>
      <c r="C1047" s="3196"/>
      <c r="D1047" s="3196"/>
      <c r="E1047" s="3196"/>
      <c r="F1047" s="2709">
        <f>SUM(F1044)</f>
        <v>0</v>
      </c>
      <c r="G1047" s="2709">
        <f>G1044</f>
        <v>1236</v>
      </c>
      <c r="H1047" s="2709">
        <f>H1044</f>
        <v>1236</v>
      </c>
      <c r="I1047" s="2708">
        <f>(H1047/G1047)*100</f>
        <v>100</v>
      </c>
      <c r="R1047" s="1254">
        <f>F1047</f>
        <v>0</v>
      </c>
      <c r="S1047" s="1254">
        <f>G1047</f>
        <v>1236</v>
      </c>
      <c r="T1047" s="1254">
        <f>H1047</f>
        <v>1236</v>
      </c>
    </row>
    <row r="1048" spans="1:20" ht="13.5" thickTop="1" x14ac:dyDescent="0.2"/>
    <row r="1050" spans="1:20" ht="13.5" thickBot="1" x14ac:dyDescent="0.25">
      <c r="A1050" s="2163" t="s">
        <v>1999</v>
      </c>
      <c r="I1050" s="2699" t="s">
        <v>148</v>
      </c>
    </row>
    <row r="1051" spans="1:20" ht="14.25" thickTop="1" thickBot="1" x14ac:dyDescent="0.25">
      <c r="A1051" s="1302" t="s">
        <v>565</v>
      </c>
      <c r="B1051" s="1299" t="s">
        <v>149</v>
      </c>
      <c r="C1051" s="1301" t="s">
        <v>150</v>
      </c>
      <c r="D1051" s="1324" t="s">
        <v>639</v>
      </c>
      <c r="E1051" s="1324" t="s">
        <v>151</v>
      </c>
      <c r="F1051" s="1324" t="s">
        <v>569</v>
      </c>
      <c r="G1051" s="1324" t="s">
        <v>570</v>
      </c>
      <c r="H1051" s="2198" t="s">
        <v>797</v>
      </c>
      <c r="I1051" s="2723" t="s">
        <v>798</v>
      </c>
    </row>
    <row r="1052" spans="1:20" ht="14.25" thickTop="1" thickBot="1" x14ac:dyDescent="0.25">
      <c r="A1052" s="1297">
        <v>1</v>
      </c>
      <c r="B1052" s="1296">
        <v>2</v>
      </c>
      <c r="C1052" s="1296">
        <v>3</v>
      </c>
      <c r="D1052" s="1296">
        <v>4</v>
      </c>
      <c r="E1052" s="1296">
        <v>5</v>
      </c>
      <c r="F1052" s="1295">
        <v>6</v>
      </c>
      <c r="G1052" s="1295">
        <v>7</v>
      </c>
      <c r="H1052" s="1446">
        <v>8</v>
      </c>
      <c r="I1052" s="1294" t="s">
        <v>689</v>
      </c>
    </row>
    <row r="1053" spans="1:20" ht="15.75" thickTop="1" x14ac:dyDescent="0.25">
      <c r="A1053" s="2714">
        <v>1408</v>
      </c>
      <c r="B1053" s="2713">
        <v>3133</v>
      </c>
      <c r="C1053" s="2713">
        <v>5331</v>
      </c>
      <c r="D1053" s="2733"/>
      <c r="E1053" s="2730" t="s">
        <v>858</v>
      </c>
      <c r="F1053" s="2729"/>
      <c r="G1053" s="2729">
        <v>1379</v>
      </c>
      <c r="H1053" s="2729">
        <v>1379</v>
      </c>
      <c r="I1053" s="2732">
        <v>100</v>
      </c>
    </row>
    <row r="1054" spans="1:20" ht="15" thickBot="1" x14ac:dyDescent="0.25">
      <c r="A1054" s="2714"/>
      <c r="B1054" s="2713"/>
      <c r="C1054" s="2713"/>
      <c r="D1054" s="2182" t="s">
        <v>1812</v>
      </c>
      <c r="E1054" s="2712" t="s">
        <v>63</v>
      </c>
      <c r="F1054" s="2711"/>
      <c r="G1054" s="2711">
        <v>1379</v>
      </c>
      <c r="H1054" s="2711">
        <v>1379</v>
      </c>
      <c r="I1054" s="2710">
        <f>(H1054/G1054)*100</f>
        <v>100</v>
      </c>
    </row>
    <row r="1055" spans="1:20" ht="16.5" thickTop="1" thickBot="1" x14ac:dyDescent="0.3">
      <c r="A1055" s="3195" t="s">
        <v>1000</v>
      </c>
      <c r="B1055" s="3196"/>
      <c r="C1055" s="3196"/>
      <c r="D1055" s="3196"/>
      <c r="E1055" s="3196"/>
      <c r="F1055" s="2709">
        <f>F1053</f>
        <v>0</v>
      </c>
      <c r="G1055" s="2709">
        <v>1379</v>
      </c>
      <c r="H1055" s="2709">
        <v>1379</v>
      </c>
      <c r="I1055" s="2708">
        <f>(H1055/G1055)*100</f>
        <v>100</v>
      </c>
      <c r="R1055" s="1254">
        <f>F1055</f>
        <v>0</v>
      </c>
      <c r="S1055" s="1254">
        <f>G1055</f>
        <v>1379</v>
      </c>
      <c r="T1055" s="1254">
        <f>H1055</f>
        <v>1379</v>
      </c>
    </row>
    <row r="1056" spans="1:20" ht="13.5" thickTop="1" x14ac:dyDescent="0.2"/>
    <row r="1058" spans="1:20" ht="13.5" thickBot="1" x14ac:dyDescent="0.25">
      <c r="A1058" s="2163" t="s">
        <v>1292</v>
      </c>
      <c r="I1058" s="2699" t="s">
        <v>148</v>
      </c>
    </row>
    <row r="1059" spans="1:20" ht="14.25" thickTop="1" thickBot="1" x14ac:dyDescent="0.25">
      <c r="A1059" s="1302" t="s">
        <v>565</v>
      </c>
      <c r="B1059" s="1299" t="s">
        <v>149</v>
      </c>
      <c r="C1059" s="1301" t="s">
        <v>150</v>
      </c>
      <c r="D1059" s="1324" t="s">
        <v>639</v>
      </c>
      <c r="E1059" s="1324" t="s">
        <v>151</v>
      </c>
      <c r="F1059" s="1324" t="s">
        <v>569</v>
      </c>
      <c r="G1059" s="1324" t="s">
        <v>570</v>
      </c>
      <c r="H1059" s="2198" t="s">
        <v>797</v>
      </c>
      <c r="I1059" s="2723" t="s">
        <v>798</v>
      </c>
    </row>
    <row r="1060" spans="1:20" ht="14.25" thickTop="1" thickBot="1" x14ac:dyDescent="0.25">
      <c r="A1060" s="1297">
        <v>1</v>
      </c>
      <c r="B1060" s="1296">
        <v>2</v>
      </c>
      <c r="C1060" s="1296">
        <v>3</v>
      </c>
      <c r="D1060" s="1296">
        <v>4</v>
      </c>
      <c r="E1060" s="1296">
        <v>5</v>
      </c>
      <c r="F1060" s="1295">
        <v>6</v>
      </c>
      <c r="G1060" s="1295">
        <v>7</v>
      </c>
      <c r="H1060" s="1446">
        <v>8</v>
      </c>
      <c r="I1060" s="1294" t="s">
        <v>689</v>
      </c>
    </row>
    <row r="1061" spans="1:20" ht="15.75" thickTop="1" x14ac:dyDescent="0.25">
      <c r="A1061" s="2714">
        <v>1420</v>
      </c>
      <c r="B1061" s="2713">
        <v>3141</v>
      </c>
      <c r="C1061" s="2713">
        <v>5331</v>
      </c>
      <c r="D1061" s="2731"/>
      <c r="E1061" s="2730" t="s">
        <v>858</v>
      </c>
      <c r="F1061" s="2729"/>
      <c r="G1061" s="2729">
        <f>G1062+G1063+G1064</f>
        <v>5082</v>
      </c>
      <c r="H1061" s="2729">
        <f>H1062+H1063+H1064</f>
        <v>5082</v>
      </c>
      <c r="I1061" s="2728">
        <f>(H1061/G1061)*100</f>
        <v>100</v>
      </c>
    </row>
    <row r="1062" spans="1:20" ht="14.25" x14ac:dyDescent="0.2">
      <c r="A1062" s="2714"/>
      <c r="B1062" s="2713"/>
      <c r="C1062" s="2713"/>
      <c r="D1062" s="2191" t="s">
        <v>1811</v>
      </c>
      <c r="E1062" s="2716" t="s">
        <v>717</v>
      </c>
      <c r="F1062" s="2711"/>
      <c r="G1062" s="2711">
        <v>3000</v>
      </c>
      <c r="H1062" s="2711">
        <v>3000</v>
      </c>
      <c r="I1062" s="2710">
        <f>(H1062/G1062)*100</f>
        <v>100</v>
      </c>
    </row>
    <row r="1063" spans="1:20" ht="14.25" x14ac:dyDescent="0.2">
      <c r="A1063" s="2714"/>
      <c r="B1063" s="2713"/>
      <c r="C1063" s="2713"/>
      <c r="D1063" s="2182" t="s">
        <v>1812</v>
      </c>
      <c r="E1063" s="2712" t="s">
        <v>63</v>
      </c>
      <c r="F1063" s="2711"/>
      <c r="G1063" s="2711">
        <v>2009</v>
      </c>
      <c r="H1063" s="2711">
        <v>2009</v>
      </c>
      <c r="I1063" s="2710">
        <f>(H1063/G1063)*100</f>
        <v>100</v>
      </c>
    </row>
    <row r="1064" spans="1:20" ht="15" thickBot="1" x14ac:dyDescent="0.25">
      <c r="A1064" s="2714"/>
      <c r="B1064" s="2713"/>
      <c r="C1064" s="2713"/>
      <c r="D1064" s="2420" t="s">
        <v>1817</v>
      </c>
      <c r="E1064" s="2638" t="s">
        <v>1160</v>
      </c>
      <c r="F1064" s="2647"/>
      <c r="G1064" s="1317">
        <v>73</v>
      </c>
      <c r="H1064" s="1274">
        <v>73</v>
      </c>
      <c r="I1064" s="1316">
        <f>(H1064/G1064)*100</f>
        <v>100</v>
      </c>
    </row>
    <row r="1065" spans="1:20" ht="16.5" thickTop="1" thickBot="1" x14ac:dyDescent="0.3">
      <c r="A1065" s="3195" t="s">
        <v>1000</v>
      </c>
      <c r="B1065" s="3196"/>
      <c r="C1065" s="3196"/>
      <c r="D1065" s="3196"/>
      <c r="E1065" s="3196"/>
      <c r="F1065" s="2709">
        <f>F1061</f>
        <v>0</v>
      </c>
      <c r="G1065" s="2709">
        <f>G1061</f>
        <v>5082</v>
      </c>
      <c r="H1065" s="2709">
        <f>H1061</f>
        <v>5082</v>
      </c>
      <c r="I1065" s="2708">
        <f>(H1065/G1065)*100</f>
        <v>100</v>
      </c>
      <c r="R1065" s="1254">
        <f>F1065</f>
        <v>0</v>
      </c>
      <c r="S1065" s="1254">
        <f>G1065</f>
        <v>5082</v>
      </c>
      <c r="T1065" s="1254">
        <f>H1065</f>
        <v>5082</v>
      </c>
    </row>
    <row r="1066" spans="1:20" ht="13.5" thickTop="1" x14ac:dyDescent="0.2"/>
    <row r="1068" spans="1:20" ht="13.5" thickBot="1" x14ac:dyDescent="0.25">
      <c r="A1068" s="2163" t="s">
        <v>1013</v>
      </c>
      <c r="I1068" s="2699" t="s">
        <v>148</v>
      </c>
    </row>
    <row r="1069" spans="1:20" ht="14.25" thickTop="1" thickBot="1" x14ac:dyDescent="0.25">
      <c r="A1069" s="1302" t="s">
        <v>565</v>
      </c>
      <c r="B1069" s="1299" t="s">
        <v>149</v>
      </c>
      <c r="C1069" s="1301" t="s">
        <v>150</v>
      </c>
      <c r="D1069" s="1324" t="s">
        <v>639</v>
      </c>
      <c r="E1069" s="1324" t="s">
        <v>151</v>
      </c>
      <c r="F1069" s="1324" t="s">
        <v>569</v>
      </c>
      <c r="G1069" s="1324" t="s">
        <v>570</v>
      </c>
      <c r="H1069" s="2198" t="s">
        <v>797</v>
      </c>
      <c r="I1069" s="2723" t="s">
        <v>798</v>
      </c>
    </row>
    <row r="1070" spans="1:20" ht="14.25" thickTop="1" thickBot="1" x14ac:dyDescent="0.25">
      <c r="A1070" s="1297">
        <v>1</v>
      </c>
      <c r="B1070" s="1296">
        <v>2</v>
      </c>
      <c r="C1070" s="1296">
        <v>3</v>
      </c>
      <c r="D1070" s="1296">
        <v>4</v>
      </c>
      <c r="E1070" s="1296">
        <v>5</v>
      </c>
      <c r="F1070" s="1295">
        <v>6</v>
      </c>
      <c r="G1070" s="1295">
        <v>7</v>
      </c>
      <c r="H1070" s="1446">
        <v>8</v>
      </c>
      <c r="I1070" s="1294" t="s">
        <v>689</v>
      </c>
    </row>
    <row r="1071" spans="1:20" ht="15.75" thickTop="1" x14ac:dyDescent="0.25">
      <c r="A1071" s="2722">
        <v>1450</v>
      </c>
      <c r="B1071" s="2721">
        <v>3146</v>
      </c>
      <c r="C1071" s="2721">
        <v>5331</v>
      </c>
      <c r="D1071" s="2720"/>
      <c r="E1071" s="2719" t="s">
        <v>858</v>
      </c>
      <c r="F1071" s="2718"/>
      <c r="G1071" s="2718">
        <f>G1072+G1073</f>
        <v>2693</v>
      </c>
      <c r="H1071" s="2718">
        <f>H1072+H1073</f>
        <v>2693</v>
      </c>
      <c r="I1071" s="2717">
        <f>(H1071/G1071)*100</f>
        <v>100</v>
      </c>
    </row>
    <row r="1072" spans="1:20" ht="14.25" x14ac:dyDescent="0.2">
      <c r="A1072" s="2714"/>
      <c r="B1072" s="2713"/>
      <c r="C1072" s="2713"/>
      <c r="D1072" s="2191" t="s">
        <v>1811</v>
      </c>
      <c r="E1072" s="2716" t="s">
        <v>717</v>
      </c>
      <c r="F1072" s="2711"/>
      <c r="G1072" s="2711">
        <v>18</v>
      </c>
      <c r="H1072" s="2711">
        <v>18</v>
      </c>
      <c r="I1072" s="2710">
        <f>(H1072/G1072)*100</f>
        <v>100</v>
      </c>
    </row>
    <row r="1073" spans="1:23" ht="15" thickBot="1" x14ac:dyDescent="0.25">
      <c r="A1073" s="2714"/>
      <c r="B1073" s="2727"/>
      <c r="C1073" s="2726"/>
      <c r="D1073" s="2182" t="s">
        <v>1812</v>
      </c>
      <c r="E1073" s="2712" t="s">
        <v>63</v>
      </c>
      <c r="F1073" s="2725"/>
      <c r="G1073" s="2725">
        <v>2675</v>
      </c>
      <c r="H1073" s="2725">
        <v>2675</v>
      </c>
      <c r="I1073" s="2724">
        <f>(H1073/G1073)*100</f>
        <v>100</v>
      </c>
    </row>
    <row r="1074" spans="1:23" ht="16.5" thickTop="1" thickBot="1" x14ac:dyDescent="0.3">
      <c r="A1074" s="3195" t="s">
        <v>1000</v>
      </c>
      <c r="B1074" s="3196"/>
      <c r="C1074" s="3196"/>
      <c r="D1074" s="3196"/>
      <c r="E1074" s="3196"/>
      <c r="F1074" s="2709">
        <f>F1071</f>
        <v>0</v>
      </c>
      <c r="G1074" s="2709">
        <f>G1071</f>
        <v>2693</v>
      </c>
      <c r="H1074" s="2709">
        <f>H1071</f>
        <v>2693</v>
      </c>
      <c r="I1074" s="2708">
        <f>(H1074/G1074)*100</f>
        <v>100</v>
      </c>
      <c r="R1074" s="1254">
        <f>F1074</f>
        <v>0</v>
      </c>
      <c r="S1074" s="1254">
        <f>G1074</f>
        <v>2693</v>
      </c>
      <c r="T1074" s="1254">
        <f>H1074</f>
        <v>2693</v>
      </c>
    </row>
    <row r="1075" spans="1:23" ht="15.75" thickTop="1" x14ac:dyDescent="0.25">
      <c r="A1075" s="1417"/>
      <c r="B1075" s="1417"/>
      <c r="C1075" s="1417"/>
      <c r="D1075" s="1417"/>
      <c r="E1075" s="1417"/>
      <c r="F1075" s="2701"/>
      <c r="G1075" s="2701"/>
      <c r="H1075" s="2701"/>
      <c r="I1075" s="2700"/>
      <c r="R1075" s="1254"/>
      <c r="S1075" s="1254"/>
      <c r="T1075" s="1254"/>
    </row>
    <row r="1076" spans="1:23" ht="13.5" thickBot="1" x14ac:dyDescent="0.25">
      <c r="A1076" s="2163" t="s">
        <v>1293</v>
      </c>
      <c r="I1076" s="2699" t="s">
        <v>148</v>
      </c>
    </row>
    <row r="1077" spans="1:23" ht="14.25" thickTop="1" thickBot="1" x14ac:dyDescent="0.25">
      <c r="A1077" s="1302" t="s">
        <v>565</v>
      </c>
      <c r="B1077" s="1299" t="s">
        <v>149</v>
      </c>
      <c r="C1077" s="1301" t="s">
        <v>150</v>
      </c>
      <c r="D1077" s="1324" t="s">
        <v>639</v>
      </c>
      <c r="E1077" s="1324" t="s">
        <v>151</v>
      </c>
      <c r="F1077" s="1324" t="s">
        <v>569</v>
      </c>
      <c r="G1077" s="1324" t="s">
        <v>570</v>
      </c>
      <c r="H1077" s="2198" t="s">
        <v>797</v>
      </c>
      <c r="I1077" s="2723" t="s">
        <v>798</v>
      </c>
    </row>
    <row r="1078" spans="1:23" ht="14.25" thickTop="1" thickBot="1" x14ac:dyDescent="0.25">
      <c r="A1078" s="1297">
        <v>1</v>
      </c>
      <c r="B1078" s="1296">
        <v>2</v>
      </c>
      <c r="C1078" s="1296">
        <v>3</v>
      </c>
      <c r="D1078" s="1296">
        <v>4</v>
      </c>
      <c r="E1078" s="1296">
        <v>5</v>
      </c>
      <c r="F1078" s="1295">
        <v>6</v>
      </c>
      <c r="G1078" s="1295">
        <v>7</v>
      </c>
      <c r="H1078" s="1446">
        <v>8</v>
      </c>
      <c r="I1078" s="1294" t="s">
        <v>689</v>
      </c>
    </row>
    <row r="1079" spans="1:23" ht="15.75" thickTop="1" x14ac:dyDescent="0.25">
      <c r="A1079" s="2722">
        <v>1465</v>
      </c>
      <c r="B1079" s="2721">
        <v>3294</v>
      </c>
      <c r="C1079" s="2721">
        <v>5331</v>
      </c>
      <c r="D1079" s="2720"/>
      <c r="E1079" s="2719" t="s">
        <v>858</v>
      </c>
      <c r="F1079" s="2718"/>
      <c r="G1079" s="2718">
        <f>G1080+G1081</f>
        <v>1211</v>
      </c>
      <c r="H1079" s="2718">
        <f>H1080+H1081</f>
        <v>1211</v>
      </c>
      <c r="I1079" s="2717">
        <f>(H1079/G1079)*100</f>
        <v>100</v>
      </c>
    </row>
    <row r="1080" spans="1:23" ht="14.25" x14ac:dyDescent="0.2">
      <c r="A1080" s="2714"/>
      <c r="B1080" s="2713"/>
      <c r="C1080" s="2713"/>
      <c r="D1080" s="2191" t="s">
        <v>1811</v>
      </c>
      <c r="E1080" s="2716" t="s">
        <v>717</v>
      </c>
      <c r="F1080" s="2715"/>
      <c r="G1080" s="2715">
        <v>334</v>
      </c>
      <c r="H1080" s="2715">
        <v>334</v>
      </c>
      <c r="I1080" s="2710">
        <f>(H1080/G1080)*100</f>
        <v>100</v>
      </c>
    </row>
    <row r="1081" spans="1:23" ht="15" thickBot="1" x14ac:dyDescent="0.25">
      <c r="A1081" s="2714"/>
      <c r="B1081" s="2713"/>
      <c r="C1081" s="2713"/>
      <c r="D1081" s="2182" t="s">
        <v>1812</v>
      </c>
      <c r="E1081" s="2712" t="s">
        <v>63</v>
      </c>
      <c r="F1081" s="2711"/>
      <c r="G1081" s="2711">
        <v>877</v>
      </c>
      <c r="H1081" s="2711">
        <v>877</v>
      </c>
      <c r="I1081" s="2710">
        <f>(H1081/G1081)*100</f>
        <v>100</v>
      </c>
    </row>
    <row r="1082" spans="1:23" ht="16.5" thickTop="1" thickBot="1" x14ac:dyDescent="0.3">
      <c r="A1082" s="3195" t="s">
        <v>1000</v>
      </c>
      <c r="B1082" s="3196"/>
      <c r="C1082" s="3196"/>
      <c r="D1082" s="3196"/>
      <c r="E1082" s="3196"/>
      <c r="F1082" s="2709">
        <f>F1079</f>
        <v>0</v>
      </c>
      <c r="G1082" s="2709">
        <f>G1079</f>
        <v>1211</v>
      </c>
      <c r="H1082" s="2709">
        <f>H1079</f>
        <v>1211</v>
      </c>
      <c r="I1082" s="2708">
        <f>(H1082/G1082)*100</f>
        <v>100</v>
      </c>
      <c r="J1082" s="1254">
        <f>F1082</f>
        <v>0</v>
      </c>
      <c r="K1082" s="1254" t="e">
        <f>G1082+#REF!</f>
        <v>#REF!</v>
      </c>
      <c r="L1082" s="1254" t="e">
        <f>H1082+#REF!</f>
        <v>#REF!</v>
      </c>
      <c r="R1082" s="1254">
        <f>F1082</f>
        <v>0</v>
      </c>
      <c r="S1082" s="1254">
        <f>G1082</f>
        <v>1211</v>
      </c>
      <c r="T1082" s="1254">
        <f>H1082</f>
        <v>1211</v>
      </c>
      <c r="U1082" s="1254"/>
      <c r="V1082" s="1254"/>
      <c r="W1082" s="1254"/>
    </row>
    <row r="1083" spans="1:23" ht="13.5" thickTop="1" x14ac:dyDescent="0.2">
      <c r="R1083" s="2171">
        <f t="shared" ref="R1083:W1083" si="18">SUM(R9:R1082)</f>
        <v>0</v>
      </c>
      <c r="S1083" s="2171">
        <f t="shared" si="18"/>
        <v>306280</v>
      </c>
      <c r="T1083" s="2171">
        <f t="shared" si="18"/>
        <v>306280</v>
      </c>
      <c r="U1083" s="2171">
        <f t="shared" si="18"/>
        <v>0</v>
      </c>
      <c r="V1083" s="2171">
        <f t="shared" si="18"/>
        <v>10707</v>
      </c>
      <c r="W1083" s="2171">
        <f t="shared" si="18"/>
        <v>10707</v>
      </c>
    </row>
    <row r="1084" spans="1:23" x14ac:dyDescent="0.2">
      <c r="R1084" s="2132"/>
      <c r="S1084" s="2132"/>
      <c r="T1084" s="2132"/>
      <c r="U1084" s="2132"/>
      <c r="V1084" s="2132"/>
      <c r="W1084" s="2132"/>
    </row>
    <row r="1085" spans="1:23" x14ac:dyDescent="0.2">
      <c r="R1085" s="2171"/>
      <c r="S1085" s="2171"/>
      <c r="T1085" s="2171">
        <f>S1083+V1083</f>
        <v>316987</v>
      </c>
      <c r="U1085" s="2171">
        <f>T1083+W1083</f>
        <v>316987</v>
      </c>
      <c r="V1085" s="2171"/>
      <c r="W1085" s="2171"/>
    </row>
    <row r="1086" spans="1:23" x14ac:dyDescent="0.2">
      <c r="R1086" s="2171"/>
      <c r="S1086" s="2132"/>
      <c r="T1086" s="2132">
        <v>316987482</v>
      </c>
      <c r="U1086" s="2132">
        <v>316987482</v>
      </c>
      <c r="V1086" s="2132"/>
      <c r="W1086" s="2132"/>
    </row>
    <row r="1087" spans="1:23" ht="14.25" x14ac:dyDescent="0.2">
      <c r="A1087" s="1309"/>
      <c r="B1087" s="1330"/>
      <c r="C1087" s="1280"/>
      <c r="D1087" s="2420"/>
      <c r="E1087" s="2513"/>
      <c r="F1087" s="2647"/>
      <c r="G1087" s="1318"/>
      <c r="H1087" s="2704"/>
      <c r="I1087" s="2703"/>
      <c r="R1087" s="1309"/>
      <c r="S1087" s="1309"/>
      <c r="T1087" s="1309"/>
    </row>
    <row r="1088" spans="1:23" ht="15" x14ac:dyDescent="0.25">
      <c r="A1088" s="1309"/>
      <c r="B1088" s="1330"/>
      <c r="C1088" s="2297"/>
      <c r="D1088" s="2420"/>
      <c r="E1088" s="1280"/>
      <c r="F1088" s="2647"/>
      <c r="G1088" s="1318"/>
      <c r="H1088" s="2704"/>
      <c r="I1088" s="2703"/>
    </row>
    <row r="1089" spans="1:20" ht="15" x14ac:dyDescent="0.25">
      <c r="A1089" s="1309"/>
      <c r="B1089" s="1330"/>
      <c r="C1089" s="2297"/>
      <c r="D1089" s="2420"/>
      <c r="E1089" s="1280"/>
      <c r="F1089" s="2647"/>
      <c r="G1089" s="1318"/>
      <c r="H1089" s="2704"/>
      <c r="I1089" s="2703"/>
      <c r="R1089" s="1254"/>
      <c r="S1089" s="1254"/>
      <c r="T1089" s="1254"/>
    </row>
    <row r="1090" spans="1:20" ht="14.25" x14ac:dyDescent="0.2">
      <c r="A1090" s="1309"/>
      <c r="B1090" s="1330"/>
      <c r="C1090" s="1330"/>
      <c r="D1090" s="2420"/>
      <c r="E1090" s="1287"/>
      <c r="F1090" s="2647"/>
      <c r="G1090" s="1318"/>
      <c r="H1090" s="2704"/>
      <c r="I1090" s="2703"/>
    </row>
    <row r="1091" spans="1:20" ht="14.25" x14ac:dyDescent="0.2">
      <c r="A1091" s="1309"/>
      <c r="B1091" s="1330"/>
      <c r="C1091" s="1330"/>
      <c r="D1091" s="2420"/>
      <c r="E1091" s="1287"/>
      <c r="F1091" s="2647"/>
      <c r="G1091" s="1318"/>
      <c r="H1091" s="2704"/>
      <c r="I1091" s="2703"/>
    </row>
    <row r="1092" spans="1:20" ht="14.25" x14ac:dyDescent="0.2">
      <c r="A1092" s="1309"/>
      <c r="B1092" s="1330"/>
      <c r="C1092" s="1330"/>
      <c r="D1092" s="2420"/>
      <c r="E1092" s="1287"/>
      <c r="F1092" s="2647"/>
      <c r="G1092" s="1318"/>
      <c r="H1092" s="2704"/>
      <c r="I1092" s="2703"/>
    </row>
    <row r="1093" spans="1:20" ht="14.25" x14ac:dyDescent="0.2">
      <c r="A1093" s="1309"/>
      <c r="B1093" s="1330"/>
      <c r="C1093" s="1330"/>
      <c r="D1093" s="2706"/>
      <c r="E1093" s="2707"/>
      <c r="F1093" s="2647"/>
      <c r="G1093" s="1318"/>
      <c r="H1093" s="2704"/>
      <c r="I1093" s="2703"/>
    </row>
    <row r="1094" spans="1:20" ht="14.25" x14ac:dyDescent="0.2">
      <c r="A1094" s="1309"/>
      <c r="B1094" s="1330"/>
      <c r="C1094" s="1330"/>
      <c r="D1094" s="2706"/>
      <c r="E1094" s="2705"/>
      <c r="F1094" s="2647"/>
      <c r="G1094" s="1318"/>
      <c r="H1094" s="2704"/>
      <c r="I1094" s="2703"/>
    </row>
    <row r="1095" spans="1:20" ht="15" x14ac:dyDescent="0.25">
      <c r="A1095" s="1417"/>
      <c r="B1095" s="2702"/>
      <c r="C1095" s="2702"/>
      <c r="D1095" s="2702"/>
      <c r="E1095" s="2702"/>
      <c r="F1095" s="2701"/>
      <c r="G1095" s="2701"/>
      <c r="H1095" s="2701"/>
      <c r="I1095" s="2700"/>
      <c r="R1095" s="1254"/>
      <c r="S1095" s="1254"/>
      <c r="T1095" s="1254"/>
    </row>
    <row r="1106" spans="2:20" x14ac:dyDescent="0.2">
      <c r="B1106" s="1249"/>
      <c r="D1106" s="1249"/>
      <c r="F1106" s="1249"/>
      <c r="G1106" s="1249"/>
      <c r="H1106" s="1249"/>
      <c r="I1106" s="1249"/>
      <c r="R1106" s="2171"/>
      <c r="S1106" s="2171"/>
      <c r="T1106" s="2171"/>
    </row>
  </sheetData>
  <mergeCells count="128">
    <mergeCell ref="A1055:E1055"/>
    <mergeCell ref="A1065:E1065"/>
    <mergeCell ref="A1074:E1074"/>
    <mergeCell ref="A1082:E1082"/>
    <mergeCell ref="A1023:E1023"/>
    <mergeCell ref="A1039:E1039"/>
    <mergeCell ref="A1047:E1047"/>
    <mergeCell ref="A931:E931"/>
    <mergeCell ref="A939:E939"/>
    <mergeCell ref="A948:E948"/>
    <mergeCell ref="A1007:E1007"/>
    <mergeCell ref="A1015:E1015"/>
    <mergeCell ref="A980:E980"/>
    <mergeCell ref="A988:E988"/>
    <mergeCell ref="A999:E999"/>
    <mergeCell ref="A991:E991"/>
    <mergeCell ref="A956:E956"/>
    <mergeCell ref="A964:E964"/>
    <mergeCell ref="A972:E972"/>
    <mergeCell ref="A906:E906"/>
    <mergeCell ref="A914:E914"/>
    <mergeCell ref="A923:E923"/>
    <mergeCell ref="A879:E879"/>
    <mergeCell ref="A890:E890"/>
    <mergeCell ref="A898:E898"/>
    <mergeCell ref="A855:E855"/>
    <mergeCell ref="A862:E862"/>
    <mergeCell ref="A871:E871"/>
    <mergeCell ref="A832:E832"/>
    <mergeCell ref="A839:E839"/>
    <mergeCell ref="A847:E847"/>
    <mergeCell ref="A818:E818"/>
    <mergeCell ref="A825:E825"/>
    <mergeCell ref="A784:E784"/>
    <mergeCell ref="A796:E796"/>
    <mergeCell ref="A806:E806"/>
    <mergeCell ref="A809:E809"/>
    <mergeCell ref="A747:E747"/>
    <mergeCell ref="A787:E787"/>
    <mergeCell ref="A775:E775"/>
    <mergeCell ref="A755:E755"/>
    <mergeCell ref="A764:E764"/>
    <mergeCell ref="A767:E767"/>
    <mergeCell ref="A721:E721"/>
    <mergeCell ref="A729:E729"/>
    <mergeCell ref="A744:E744"/>
    <mergeCell ref="A693:E693"/>
    <mergeCell ref="A702:E702"/>
    <mergeCell ref="A712:E712"/>
    <mergeCell ref="A661:E661"/>
    <mergeCell ref="A683:E683"/>
    <mergeCell ref="A680:E680"/>
    <mergeCell ref="A650:E650"/>
    <mergeCell ref="A658:E658"/>
    <mergeCell ref="A671:E671"/>
    <mergeCell ref="A630:E630"/>
    <mergeCell ref="A641:E641"/>
    <mergeCell ref="A604:E604"/>
    <mergeCell ref="A612:E612"/>
    <mergeCell ref="A620:E620"/>
    <mergeCell ref="A633:E633"/>
    <mergeCell ref="A535:E535"/>
    <mergeCell ref="A466:E466"/>
    <mergeCell ref="A474:E474"/>
    <mergeCell ref="A574:E574"/>
    <mergeCell ref="A584:E584"/>
    <mergeCell ref="A595:E595"/>
    <mergeCell ref="A544:E544"/>
    <mergeCell ref="A553:E553"/>
    <mergeCell ref="A565:E565"/>
    <mergeCell ref="A556:E556"/>
    <mergeCell ref="A523:E523"/>
    <mergeCell ref="A532:E532"/>
    <mergeCell ref="A486:E486"/>
    <mergeCell ref="A494:E494"/>
    <mergeCell ref="A502:E502"/>
    <mergeCell ref="A505:E505"/>
    <mergeCell ref="A406:E406"/>
    <mergeCell ref="A366:E366"/>
    <mergeCell ref="A375:E375"/>
    <mergeCell ref="A378:E378"/>
    <mergeCell ref="A387:E387"/>
    <mergeCell ref="A514:E514"/>
    <mergeCell ref="A269:E269"/>
    <mergeCell ref="A277:E277"/>
    <mergeCell ref="A285:E285"/>
    <mergeCell ref="A449:E449"/>
    <mergeCell ref="A457:E457"/>
    <mergeCell ref="A477:E477"/>
    <mergeCell ref="A439:E439"/>
    <mergeCell ref="A415:E415"/>
    <mergeCell ref="A423:E423"/>
    <mergeCell ref="A431:E431"/>
    <mergeCell ref="A396:E396"/>
    <mergeCell ref="A346:E346"/>
    <mergeCell ref="A357:E357"/>
    <mergeCell ref="A319:E319"/>
    <mergeCell ref="A328:E328"/>
    <mergeCell ref="A338:E338"/>
    <mergeCell ref="A310:E310"/>
    <mergeCell ref="A266:E266"/>
    <mergeCell ref="A219:E219"/>
    <mergeCell ref="A229:E229"/>
    <mergeCell ref="A203:E203"/>
    <mergeCell ref="A248:E248"/>
    <mergeCell ref="A258:E258"/>
    <mergeCell ref="A238:E238"/>
    <mergeCell ref="A293:E293"/>
    <mergeCell ref="A301:E301"/>
    <mergeCell ref="A154:E154"/>
    <mergeCell ref="A162:E162"/>
    <mergeCell ref="A123:E123"/>
    <mergeCell ref="A132:E132"/>
    <mergeCell ref="A142:E142"/>
    <mergeCell ref="A195:E195"/>
    <mergeCell ref="A177:E177"/>
    <mergeCell ref="A186:E186"/>
    <mergeCell ref="A211:E211"/>
    <mergeCell ref="A17:E17"/>
    <mergeCell ref="A26:E26"/>
    <mergeCell ref="A50:E50"/>
    <mergeCell ref="A63:E63"/>
    <mergeCell ref="A39:E39"/>
    <mergeCell ref="A95:E95"/>
    <mergeCell ref="A104:E104"/>
    <mergeCell ref="A114:E114"/>
    <mergeCell ref="A74:E74"/>
    <mergeCell ref="A86:E86"/>
  </mergeCells>
  <pageMargins left="0.98425196850393704" right="0.98425196850393704" top="0.98425196850393704" bottom="0.98425196850393704" header="0.51181102362204722" footer="0.51181102362204722"/>
  <pageSetup paperSize="9" scale="66" firstPageNumber="114" fitToHeight="0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 &amp;"Arial,Kurzíva"Strana &amp;P (Celkem 473)</oddFooter>
  </headerFooter>
  <rowBreaks count="1" manualBreakCount="1">
    <brk id="956" max="1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4"/>
  <sheetViews>
    <sheetView showGridLines="0" view="pageBreakPreview" zoomScaleNormal="100" zoomScaleSheetLayoutView="100" workbookViewId="0">
      <selection activeCell="E38" sqref="E38"/>
    </sheetView>
  </sheetViews>
  <sheetFormatPr defaultRowHeight="12.75" x14ac:dyDescent="0.2"/>
  <cols>
    <col min="1" max="1" width="5.7109375" style="1371" customWidth="1"/>
    <col min="2" max="2" width="6.7109375" style="1371" customWidth="1"/>
    <col min="3" max="3" width="10.28515625" style="1371" customWidth="1"/>
    <col min="4" max="4" width="46.42578125" style="1372" customWidth="1"/>
    <col min="5" max="5" width="15.42578125" style="1373" customWidth="1"/>
    <col min="6" max="6" width="14.85546875" style="1373" customWidth="1"/>
    <col min="7" max="7" width="13.85546875" style="1373" customWidth="1"/>
    <col min="8" max="8" width="8.5703125" style="1374" customWidth="1"/>
    <col min="9" max="9" width="9.140625" style="1372"/>
    <col min="10" max="12" width="16" style="1372" bestFit="1" customWidth="1"/>
    <col min="13" max="256" width="9.140625" style="1372"/>
    <col min="257" max="257" width="5.7109375" style="1372" customWidth="1"/>
    <col min="258" max="258" width="6.7109375" style="1372" customWidth="1"/>
    <col min="259" max="259" width="10.28515625" style="1372" customWidth="1"/>
    <col min="260" max="260" width="46.42578125" style="1372" customWidth="1"/>
    <col min="261" max="261" width="13.85546875" style="1372" customWidth="1"/>
    <col min="262" max="262" width="14.85546875" style="1372" customWidth="1"/>
    <col min="263" max="263" width="13.85546875" style="1372" customWidth="1"/>
    <col min="264" max="264" width="8.5703125" style="1372" customWidth="1"/>
    <col min="265" max="265" width="9.140625" style="1372"/>
    <col min="266" max="268" width="16" style="1372" bestFit="1" customWidth="1"/>
    <col min="269" max="512" width="9.140625" style="1372"/>
    <col min="513" max="513" width="5.7109375" style="1372" customWidth="1"/>
    <col min="514" max="514" width="6.7109375" style="1372" customWidth="1"/>
    <col min="515" max="515" width="10.28515625" style="1372" customWidth="1"/>
    <col min="516" max="516" width="46.42578125" style="1372" customWidth="1"/>
    <col min="517" max="517" width="13.85546875" style="1372" customWidth="1"/>
    <col min="518" max="518" width="14.85546875" style="1372" customWidth="1"/>
    <col min="519" max="519" width="13.85546875" style="1372" customWidth="1"/>
    <col min="520" max="520" width="8.5703125" style="1372" customWidth="1"/>
    <col min="521" max="521" width="9.140625" style="1372"/>
    <col min="522" max="524" width="16" style="1372" bestFit="1" customWidth="1"/>
    <col min="525" max="768" width="9.140625" style="1372"/>
    <col min="769" max="769" width="5.7109375" style="1372" customWidth="1"/>
    <col min="770" max="770" width="6.7109375" style="1372" customWidth="1"/>
    <col min="771" max="771" width="10.28515625" style="1372" customWidth="1"/>
    <col min="772" max="772" width="46.42578125" style="1372" customWidth="1"/>
    <col min="773" max="773" width="13.85546875" style="1372" customWidth="1"/>
    <col min="774" max="774" width="14.85546875" style="1372" customWidth="1"/>
    <col min="775" max="775" width="13.85546875" style="1372" customWidth="1"/>
    <col min="776" max="776" width="8.5703125" style="1372" customWidth="1"/>
    <col min="777" max="777" width="9.140625" style="1372"/>
    <col min="778" max="780" width="16" style="1372" bestFit="1" customWidth="1"/>
    <col min="781" max="1024" width="9.140625" style="1372"/>
    <col min="1025" max="1025" width="5.7109375" style="1372" customWidth="1"/>
    <col min="1026" max="1026" width="6.7109375" style="1372" customWidth="1"/>
    <col min="1027" max="1027" width="10.28515625" style="1372" customWidth="1"/>
    <col min="1028" max="1028" width="46.42578125" style="1372" customWidth="1"/>
    <col min="1029" max="1029" width="13.85546875" style="1372" customWidth="1"/>
    <col min="1030" max="1030" width="14.85546875" style="1372" customWidth="1"/>
    <col min="1031" max="1031" width="13.85546875" style="1372" customWidth="1"/>
    <col min="1032" max="1032" width="8.5703125" style="1372" customWidth="1"/>
    <col min="1033" max="1033" width="9.140625" style="1372"/>
    <col min="1034" max="1036" width="16" style="1372" bestFit="1" customWidth="1"/>
    <col min="1037" max="1280" width="9.140625" style="1372"/>
    <col min="1281" max="1281" width="5.7109375" style="1372" customWidth="1"/>
    <col min="1282" max="1282" width="6.7109375" style="1372" customWidth="1"/>
    <col min="1283" max="1283" width="10.28515625" style="1372" customWidth="1"/>
    <col min="1284" max="1284" width="46.42578125" style="1372" customWidth="1"/>
    <col min="1285" max="1285" width="13.85546875" style="1372" customWidth="1"/>
    <col min="1286" max="1286" width="14.85546875" style="1372" customWidth="1"/>
    <col min="1287" max="1287" width="13.85546875" style="1372" customWidth="1"/>
    <col min="1288" max="1288" width="8.5703125" style="1372" customWidth="1"/>
    <col min="1289" max="1289" width="9.140625" style="1372"/>
    <col min="1290" max="1292" width="16" style="1372" bestFit="1" customWidth="1"/>
    <col min="1293" max="1536" width="9.140625" style="1372"/>
    <col min="1537" max="1537" width="5.7109375" style="1372" customWidth="1"/>
    <col min="1538" max="1538" width="6.7109375" style="1372" customWidth="1"/>
    <col min="1539" max="1539" width="10.28515625" style="1372" customWidth="1"/>
    <col min="1540" max="1540" width="46.42578125" style="1372" customWidth="1"/>
    <col min="1541" max="1541" width="13.85546875" style="1372" customWidth="1"/>
    <col min="1542" max="1542" width="14.85546875" style="1372" customWidth="1"/>
    <col min="1543" max="1543" width="13.85546875" style="1372" customWidth="1"/>
    <col min="1544" max="1544" width="8.5703125" style="1372" customWidth="1"/>
    <col min="1545" max="1545" width="9.140625" style="1372"/>
    <col min="1546" max="1548" width="16" style="1372" bestFit="1" customWidth="1"/>
    <col min="1549" max="1792" width="9.140625" style="1372"/>
    <col min="1793" max="1793" width="5.7109375" style="1372" customWidth="1"/>
    <col min="1794" max="1794" width="6.7109375" style="1372" customWidth="1"/>
    <col min="1795" max="1795" width="10.28515625" style="1372" customWidth="1"/>
    <col min="1796" max="1796" width="46.42578125" style="1372" customWidth="1"/>
    <col min="1797" max="1797" width="13.85546875" style="1372" customWidth="1"/>
    <col min="1798" max="1798" width="14.85546875" style="1372" customWidth="1"/>
    <col min="1799" max="1799" width="13.85546875" style="1372" customWidth="1"/>
    <col min="1800" max="1800" width="8.5703125" style="1372" customWidth="1"/>
    <col min="1801" max="1801" width="9.140625" style="1372"/>
    <col min="1802" max="1804" width="16" style="1372" bestFit="1" customWidth="1"/>
    <col min="1805" max="2048" width="9.140625" style="1372"/>
    <col min="2049" max="2049" width="5.7109375" style="1372" customWidth="1"/>
    <col min="2050" max="2050" width="6.7109375" style="1372" customWidth="1"/>
    <col min="2051" max="2051" width="10.28515625" style="1372" customWidth="1"/>
    <col min="2052" max="2052" width="46.42578125" style="1372" customWidth="1"/>
    <col min="2053" max="2053" width="13.85546875" style="1372" customWidth="1"/>
    <col min="2054" max="2054" width="14.85546875" style="1372" customWidth="1"/>
    <col min="2055" max="2055" width="13.85546875" style="1372" customWidth="1"/>
    <col min="2056" max="2056" width="8.5703125" style="1372" customWidth="1"/>
    <col min="2057" max="2057" width="9.140625" style="1372"/>
    <col min="2058" max="2060" width="16" style="1372" bestFit="1" customWidth="1"/>
    <col min="2061" max="2304" width="9.140625" style="1372"/>
    <col min="2305" max="2305" width="5.7109375" style="1372" customWidth="1"/>
    <col min="2306" max="2306" width="6.7109375" style="1372" customWidth="1"/>
    <col min="2307" max="2307" width="10.28515625" style="1372" customWidth="1"/>
    <col min="2308" max="2308" width="46.42578125" style="1372" customWidth="1"/>
    <col min="2309" max="2309" width="13.85546875" style="1372" customWidth="1"/>
    <col min="2310" max="2310" width="14.85546875" style="1372" customWidth="1"/>
    <col min="2311" max="2311" width="13.85546875" style="1372" customWidth="1"/>
    <col min="2312" max="2312" width="8.5703125" style="1372" customWidth="1"/>
    <col min="2313" max="2313" width="9.140625" style="1372"/>
    <col min="2314" max="2316" width="16" style="1372" bestFit="1" customWidth="1"/>
    <col min="2317" max="2560" width="9.140625" style="1372"/>
    <col min="2561" max="2561" width="5.7109375" style="1372" customWidth="1"/>
    <col min="2562" max="2562" width="6.7109375" style="1372" customWidth="1"/>
    <col min="2563" max="2563" width="10.28515625" style="1372" customWidth="1"/>
    <col min="2564" max="2564" width="46.42578125" style="1372" customWidth="1"/>
    <col min="2565" max="2565" width="13.85546875" style="1372" customWidth="1"/>
    <col min="2566" max="2566" width="14.85546875" style="1372" customWidth="1"/>
    <col min="2567" max="2567" width="13.85546875" style="1372" customWidth="1"/>
    <col min="2568" max="2568" width="8.5703125" style="1372" customWidth="1"/>
    <col min="2569" max="2569" width="9.140625" style="1372"/>
    <col min="2570" max="2572" width="16" style="1372" bestFit="1" customWidth="1"/>
    <col min="2573" max="2816" width="9.140625" style="1372"/>
    <col min="2817" max="2817" width="5.7109375" style="1372" customWidth="1"/>
    <col min="2818" max="2818" width="6.7109375" style="1372" customWidth="1"/>
    <col min="2819" max="2819" width="10.28515625" style="1372" customWidth="1"/>
    <col min="2820" max="2820" width="46.42578125" style="1372" customWidth="1"/>
    <col min="2821" max="2821" width="13.85546875" style="1372" customWidth="1"/>
    <col min="2822" max="2822" width="14.85546875" style="1372" customWidth="1"/>
    <col min="2823" max="2823" width="13.85546875" style="1372" customWidth="1"/>
    <col min="2824" max="2824" width="8.5703125" style="1372" customWidth="1"/>
    <col min="2825" max="2825" width="9.140625" style="1372"/>
    <col min="2826" max="2828" width="16" style="1372" bestFit="1" customWidth="1"/>
    <col min="2829" max="3072" width="9.140625" style="1372"/>
    <col min="3073" max="3073" width="5.7109375" style="1372" customWidth="1"/>
    <col min="3074" max="3074" width="6.7109375" style="1372" customWidth="1"/>
    <col min="3075" max="3075" width="10.28515625" style="1372" customWidth="1"/>
    <col min="3076" max="3076" width="46.42578125" style="1372" customWidth="1"/>
    <col min="3077" max="3077" width="13.85546875" style="1372" customWidth="1"/>
    <col min="3078" max="3078" width="14.85546875" style="1372" customWidth="1"/>
    <col min="3079" max="3079" width="13.85546875" style="1372" customWidth="1"/>
    <col min="3080" max="3080" width="8.5703125" style="1372" customWidth="1"/>
    <col min="3081" max="3081" width="9.140625" style="1372"/>
    <col min="3082" max="3084" width="16" style="1372" bestFit="1" customWidth="1"/>
    <col min="3085" max="3328" width="9.140625" style="1372"/>
    <col min="3329" max="3329" width="5.7109375" style="1372" customWidth="1"/>
    <col min="3330" max="3330" width="6.7109375" style="1372" customWidth="1"/>
    <col min="3331" max="3331" width="10.28515625" style="1372" customWidth="1"/>
    <col min="3332" max="3332" width="46.42578125" style="1372" customWidth="1"/>
    <col min="3333" max="3333" width="13.85546875" style="1372" customWidth="1"/>
    <col min="3334" max="3334" width="14.85546875" style="1372" customWidth="1"/>
    <col min="3335" max="3335" width="13.85546875" style="1372" customWidth="1"/>
    <col min="3336" max="3336" width="8.5703125" style="1372" customWidth="1"/>
    <col min="3337" max="3337" width="9.140625" style="1372"/>
    <col min="3338" max="3340" width="16" style="1372" bestFit="1" customWidth="1"/>
    <col min="3341" max="3584" width="9.140625" style="1372"/>
    <col min="3585" max="3585" width="5.7109375" style="1372" customWidth="1"/>
    <col min="3586" max="3586" width="6.7109375" style="1372" customWidth="1"/>
    <col min="3587" max="3587" width="10.28515625" style="1372" customWidth="1"/>
    <col min="3588" max="3588" width="46.42578125" style="1372" customWidth="1"/>
    <col min="3589" max="3589" width="13.85546875" style="1372" customWidth="1"/>
    <col min="3590" max="3590" width="14.85546875" style="1372" customWidth="1"/>
    <col min="3591" max="3591" width="13.85546875" style="1372" customWidth="1"/>
    <col min="3592" max="3592" width="8.5703125" style="1372" customWidth="1"/>
    <col min="3593" max="3593" width="9.140625" style="1372"/>
    <col min="3594" max="3596" width="16" style="1372" bestFit="1" customWidth="1"/>
    <col min="3597" max="3840" width="9.140625" style="1372"/>
    <col min="3841" max="3841" width="5.7109375" style="1372" customWidth="1"/>
    <col min="3842" max="3842" width="6.7109375" style="1372" customWidth="1"/>
    <col min="3843" max="3843" width="10.28515625" style="1372" customWidth="1"/>
    <col min="3844" max="3844" width="46.42578125" style="1372" customWidth="1"/>
    <col min="3845" max="3845" width="13.85546875" style="1372" customWidth="1"/>
    <col min="3846" max="3846" width="14.85546875" style="1372" customWidth="1"/>
    <col min="3847" max="3847" width="13.85546875" style="1372" customWidth="1"/>
    <col min="3848" max="3848" width="8.5703125" style="1372" customWidth="1"/>
    <col min="3849" max="3849" width="9.140625" style="1372"/>
    <col min="3850" max="3852" width="16" style="1372" bestFit="1" customWidth="1"/>
    <col min="3853" max="4096" width="9.140625" style="1372"/>
    <col min="4097" max="4097" width="5.7109375" style="1372" customWidth="1"/>
    <col min="4098" max="4098" width="6.7109375" style="1372" customWidth="1"/>
    <col min="4099" max="4099" width="10.28515625" style="1372" customWidth="1"/>
    <col min="4100" max="4100" width="46.42578125" style="1372" customWidth="1"/>
    <col min="4101" max="4101" width="13.85546875" style="1372" customWidth="1"/>
    <col min="4102" max="4102" width="14.85546875" style="1372" customWidth="1"/>
    <col min="4103" max="4103" width="13.85546875" style="1372" customWidth="1"/>
    <col min="4104" max="4104" width="8.5703125" style="1372" customWidth="1"/>
    <col min="4105" max="4105" width="9.140625" style="1372"/>
    <col min="4106" max="4108" width="16" style="1372" bestFit="1" customWidth="1"/>
    <col min="4109" max="4352" width="9.140625" style="1372"/>
    <col min="4353" max="4353" width="5.7109375" style="1372" customWidth="1"/>
    <col min="4354" max="4354" width="6.7109375" style="1372" customWidth="1"/>
    <col min="4355" max="4355" width="10.28515625" style="1372" customWidth="1"/>
    <col min="4356" max="4356" width="46.42578125" style="1372" customWidth="1"/>
    <col min="4357" max="4357" width="13.85546875" style="1372" customWidth="1"/>
    <col min="4358" max="4358" width="14.85546875" style="1372" customWidth="1"/>
    <col min="4359" max="4359" width="13.85546875" style="1372" customWidth="1"/>
    <col min="4360" max="4360" width="8.5703125" style="1372" customWidth="1"/>
    <col min="4361" max="4361" width="9.140625" style="1372"/>
    <col min="4362" max="4364" width="16" style="1372" bestFit="1" customWidth="1"/>
    <col min="4365" max="4608" width="9.140625" style="1372"/>
    <col min="4609" max="4609" width="5.7109375" style="1372" customWidth="1"/>
    <col min="4610" max="4610" width="6.7109375" style="1372" customWidth="1"/>
    <col min="4611" max="4611" width="10.28515625" style="1372" customWidth="1"/>
    <col min="4612" max="4612" width="46.42578125" style="1372" customWidth="1"/>
    <col min="4613" max="4613" width="13.85546875" style="1372" customWidth="1"/>
    <col min="4614" max="4614" width="14.85546875" style="1372" customWidth="1"/>
    <col min="4615" max="4615" width="13.85546875" style="1372" customWidth="1"/>
    <col min="4616" max="4616" width="8.5703125" style="1372" customWidth="1"/>
    <col min="4617" max="4617" width="9.140625" style="1372"/>
    <col min="4618" max="4620" width="16" style="1372" bestFit="1" customWidth="1"/>
    <col min="4621" max="4864" width="9.140625" style="1372"/>
    <col min="4865" max="4865" width="5.7109375" style="1372" customWidth="1"/>
    <col min="4866" max="4866" width="6.7109375" style="1372" customWidth="1"/>
    <col min="4867" max="4867" width="10.28515625" style="1372" customWidth="1"/>
    <col min="4868" max="4868" width="46.42578125" style="1372" customWidth="1"/>
    <col min="4869" max="4869" width="13.85546875" style="1372" customWidth="1"/>
    <col min="4870" max="4870" width="14.85546875" style="1372" customWidth="1"/>
    <col min="4871" max="4871" width="13.85546875" style="1372" customWidth="1"/>
    <col min="4872" max="4872" width="8.5703125" style="1372" customWidth="1"/>
    <col min="4873" max="4873" width="9.140625" style="1372"/>
    <col min="4874" max="4876" width="16" style="1372" bestFit="1" customWidth="1"/>
    <col min="4877" max="5120" width="9.140625" style="1372"/>
    <col min="5121" max="5121" width="5.7109375" style="1372" customWidth="1"/>
    <col min="5122" max="5122" width="6.7109375" style="1372" customWidth="1"/>
    <col min="5123" max="5123" width="10.28515625" style="1372" customWidth="1"/>
    <col min="5124" max="5124" width="46.42578125" style="1372" customWidth="1"/>
    <col min="5125" max="5125" width="13.85546875" style="1372" customWidth="1"/>
    <col min="5126" max="5126" width="14.85546875" style="1372" customWidth="1"/>
    <col min="5127" max="5127" width="13.85546875" style="1372" customWidth="1"/>
    <col min="5128" max="5128" width="8.5703125" style="1372" customWidth="1"/>
    <col min="5129" max="5129" width="9.140625" style="1372"/>
    <col min="5130" max="5132" width="16" style="1372" bestFit="1" customWidth="1"/>
    <col min="5133" max="5376" width="9.140625" style="1372"/>
    <col min="5377" max="5377" width="5.7109375" style="1372" customWidth="1"/>
    <col min="5378" max="5378" width="6.7109375" style="1372" customWidth="1"/>
    <col min="5379" max="5379" width="10.28515625" style="1372" customWidth="1"/>
    <col min="5380" max="5380" width="46.42578125" style="1372" customWidth="1"/>
    <col min="5381" max="5381" width="13.85546875" style="1372" customWidth="1"/>
    <col min="5382" max="5382" width="14.85546875" style="1372" customWidth="1"/>
    <col min="5383" max="5383" width="13.85546875" style="1372" customWidth="1"/>
    <col min="5384" max="5384" width="8.5703125" style="1372" customWidth="1"/>
    <col min="5385" max="5385" width="9.140625" style="1372"/>
    <col min="5386" max="5388" width="16" style="1372" bestFit="1" customWidth="1"/>
    <col min="5389" max="5632" width="9.140625" style="1372"/>
    <col min="5633" max="5633" width="5.7109375" style="1372" customWidth="1"/>
    <col min="5634" max="5634" width="6.7109375" style="1372" customWidth="1"/>
    <col min="5635" max="5635" width="10.28515625" style="1372" customWidth="1"/>
    <col min="5636" max="5636" width="46.42578125" style="1372" customWidth="1"/>
    <col min="5637" max="5637" width="13.85546875" style="1372" customWidth="1"/>
    <col min="5638" max="5638" width="14.85546875" style="1372" customWidth="1"/>
    <col min="5639" max="5639" width="13.85546875" style="1372" customWidth="1"/>
    <col min="5640" max="5640" width="8.5703125" style="1372" customWidth="1"/>
    <col min="5641" max="5641" width="9.140625" style="1372"/>
    <col min="5642" max="5644" width="16" style="1372" bestFit="1" customWidth="1"/>
    <col min="5645" max="5888" width="9.140625" style="1372"/>
    <col min="5889" max="5889" width="5.7109375" style="1372" customWidth="1"/>
    <col min="5890" max="5890" width="6.7109375" style="1372" customWidth="1"/>
    <col min="5891" max="5891" width="10.28515625" style="1372" customWidth="1"/>
    <col min="5892" max="5892" width="46.42578125" style="1372" customWidth="1"/>
    <col min="5893" max="5893" width="13.85546875" style="1372" customWidth="1"/>
    <col min="5894" max="5894" width="14.85546875" style="1372" customWidth="1"/>
    <col min="5895" max="5895" width="13.85546875" style="1372" customWidth="1"/>
    <col min="5896" max="5896" width="8.5703125" style="1372" customWidth="1"/>
    <col min="5897" max="5897" width="9.140625" style="1372"/>
    <col min="5898" max="5900" width="16" style="1372" bestFit="1" customWidth="1"/>
    <col min="5901" max="6144" width="9.140625" style="1372"/>
    <col min="6145" max="6145" width="5.7109375" style="1372" customWidth="1"/>
    <col min="6146" max="6146" width="6.7109375" style="1372" customWidth="1"/>
    <col min="6147" max="6147" width="10.28515625" style="1372" customWidth="1"/>
    <col min="6148" max="6148" width="46.42578125" style="1372" customWidth="1"/>
    <col min="6149" max="6149" width="13.85546875" style="1372" customWidth="1"/>
    <col min="6150" max="6150" width="14.85546875" style="1372" customWidth="1"/>
    <col min="6151" max="6151" width="13.85546875" style="1372" customWidth="1"/>
    <col min="6152" max="6152" width="8.5703125" style="1372" customWidth="1"/>
    <col min="6153" max="6153" width="9.140625" style="1372"/>
    <col min="6154" max="6156" width="16" style="1372" bestFit="1" customWidth="1"/>
    <col min="6157" max="6400" width="9.140625" style="1372"/>
    <col min="6401" max="6401" width="5.7109375" style="1372" customWidth="1"/>
    <col min="6402" max="6402" width="6.7109375" style="1372" customWidth="1"/>
    <col min="6403" max="6403" width="10.28515625" style="1372" customWidth="1"/>
    <col min="6404" max="6404" width="46.42578125" style="1372" customWidth="1"/>
    <col min="6405" max="6405" width="13.85546875" style="1372" customWidth="1"/>
    <col min="6406" max="6406" width="14.85546875" style="1372" customWidth="1"/>
    <col min="6407" max="6407" width="13.85546875" style="1372" customWidth="1"/>
    <col min="6408" max="6408" width="8.5703125" style="1372" customWidth="1"/>
    <col min="6409" max="6409" width="9.140625" style="1372"/>
    <col min="6410" max="6412" width="16" style="1372" bestFit="1" customWidth="1"/>
    <col min="6413" max="6656" width="9.140625" style="1372"/>
    <col min="6657" max="6657" width="5.7109375" style="1372" customWidth="1"/>
    <col min="6658" max="6658" width="6.7109375" style="1372" customWidth="1"/>
    <col min="6659" max="6659" width="10.28515625" style="1372" customWidth="1"/>
    <col min="6660" max="6660" width="46.42578125" style="1372" customWidth="1"/>
    <col min="6661" max="6661" width="13.85546875" style="1372" customWidth="1"/>
    <col min="6662" max="6662" width="14.85546875" style="1372" customWidth="1"/>
    <col min="6663" max="6663" width="13.85546875" style="1372" customWidth="1"/>
    <col min="6664" max="6664" width="8.5703125" style="1372" customWidth="1"/>
    <col min="6665" max="6665" width="9.140625" style="1372"/>
    <col min="6666" max="6668" width="16" style="1372" bestFit="1" customWidth="1"/>
    <col min="6669" max="6912" width="9.140625" style="1372"/>
    <col min="6913" max="6913" width="5.7109375" style="1372" customWidth="1"/>
    <col min="6914" max="6914" width="6.7109375" style="1372" customWidth="1"/>
    <col min="6915" max="6915" width="10.28515625" style="1372" customWidth="1"/>
    <col min="6916" max="6916" width="46.42578125" style="1372" customWidth="1"/>
    <col min="6917" max="6917" width="13.85546875" style="1372" customWidth="1"/>
    <col min="6918" max="6918" width="14.85546875" style="1372" customWidth="1"/>
    <col min="6919" max="6919" width="13.85546875" style="1372" customWidth="1"/>
    <col min="6920" max="6920" width="8.5703125" style="1372" customWidth="1"/>
    <col min="6921" max="6921" width="9.140625" style="1372"/>
    <col min="6922" max="6924" width="16" style="1372" bestFit="1" customWidth="1"/>
    <col min="6925" max="7168" width="9.140625" style="1372"/>
    <col min="7169" max="7169" width="5.7109375" style="1372" customWidth="1"/>
    <col min="7170" max="7170" width="6.7109375" style="1372" customWidth="1"/>
    <col min="7171" max="7171" width="10.28515625" style="1372" customWidth="1"/>
    <col min="7172" max="7172" width="46.42578125" style="1372" customWidth="1"/>
    <col min="7173" max="7173" width="13.85546875" style="1372" customWidth="1"/>
    <col min="7174" max="7174" width="14.85546875" style="1372" customWidth="1"/>
    <col min="7175" max="7175" width="13.85546875" style="1372" customWidth="1"/>
    <col min="7176" max="7176" width="8.5703125" style="1372" customWidth="1"/>
    <col min="7177" max="7177" width="9.140625" style="1372"/>
    <col min="7178" max="7180" width="16" style="1372" bestFit="1" customWidth="1"/>
    <col min="7181" max="7424" width="9.140625" style="1372"/>
    <col min="7425" max="7425" width="5.7109375" style="1372" customWidth="1"/>
    <col min="7426" max="7426" width="6.7109375" style="1372" customWidth="1"/>
    <col min="7427" max="7427" width="10.28515625" style="1372" customWidth="1"/>
    <col min="7428" max="7428" width="46.42578125" style="1372" customWidth="1"/>
    <col min="7429" max="7429" width="13.85546875" style="1372" customWidth="1"/>
    <col min="7430" max="7430" width="14.85546875" style="1372" customWidth="1"/>
    <col min="7431" max="7431" width="13.85546875" style="1372" customWidth="1"/>
    <col min="7432" max="7432" width="8.5703125" style="1372" customWidth="1"/>
    <col min="7433" max="7433" width="9.140625" style="1372"/>
    <col min="7434" max="7436" width="16" style="1372" bestFit="1" customWidth="1"/>
    <col min="7437" max="7680" width="9.140625" style="1372"/>
    <col min="7681" max="7681" width="5.7109375" style="1372" customWidth="1"/>
    <col min="7682" max="7682" width="6.7109375" style="1372" customWidth="1"/>
    <col min="7683" max="7683" width="10.28515625" style="1372" customWidth="1"/>
    <col min="7684" max="7684" width="46.42578125" style="1372" customWidth="1"/>
    <col min="7685" max="7685" width="13.85546875" style="1372" customWidth="1"/>
    <col min="7686" max="7686" width="14.85546875" style="1372" customWidth="1"/>
    <col min="7687" max="7687" width="13.85546875" style="1372" customWidth="1"/>
    <col min="7688" max="7688" width="8.5703125" style="1372" customWidth="1"/>
    <col min="7689" max="7689" width="9.140625" style="1372"/>
    <col min="7690" max="7692" width="16" style="1372" bestFit="1" customWidth="1"/>
    <col min="7693" max="7936" width="9.140625" style="1372"/>
    <col min="7937" max="7937" width="5.7109375" style="1372" customWidth="1"/>
    <col min="7938" max="7938" width="6.7109375" style="1372" customWidth="1"/>
    <col min="7939" max="7939" width="10.28515625" style="1372" customWidth="1"/>
    <col min="7940" max="7940" width="46.42578125" style="1372" customWidth="1"/>
    <col min="7941" max="7941" width="13.85546875" style="1372" customWidth="1"/>
    <col min="7942" max="7942" width="14.85546875" style="1372" customWidth="1"/>
    <col min="7943" max="7943" width="13.85546875" style="1372" customWidth="1"/>
    <col min="7944" max="7944" width="8.5703125" style="1372" customWidth="1"/>
    <col min="7945" max="7945" width="9.140625" style="1372"/>
    <col min="7946" max="7948" width="16" style="1372" bestFit="1" customWidth="1"/>
    <col min="7949" max="8192" width="9.140625" style="1372"/>
    <col min="8193" max="8193" width="5.7109375" style="1372" customWidth="1"/>
    <col min="8194" max="8194" width="6.7109375" style="1372" customWidth="1"/>
    <col min="8195" max="8195" width="10.28515625" style="1372" customWidth="1"/>
    <col min="8196" max="8196" width="46.42578125" style="1372" customWidth="1"/>
    <col min="8197" max="8197" width="13.85546875" style="1372" customWidth="1"/>
    <col min="8198" max="8198" width="14.85546875" style="1372" customWidth="1"/>
    <col min="8199" max="8199" width="13.85546875" style="1372" customWidth="1"/>
    <col min="8200" max="8200" width="8.5703125" style="1372" customWidth="1"/>
    <col min="8201" max="8201" width="9.140625" style="1372"/>
    <col min="8202" max="8204" width="16" style="1372" bestFit="1" customWidth="1"/>
    <col min="8205" max="8448" width="9.140625" style="1372"/>
    <col min="8449" max="8449" width="5.7109375" style="1372" customWidth="1"/>
    <col min="8450" max="8450" width="6.7109375" style="1372" customWidth="1"/>
    <col min="8451" max="8451" width="10.28515625" style="1372" customWidth="1"/>
    <col min="8452" max="8452" width="46.42578125" style="1372" customWidth="1"/>
    <col min="8453" max="8453" width="13.85546875" style="1372" customWidth="1"/>
    <col min="8454" max="8454" width="14.85546875" style="1372" customWidth="1"/>
    <col min="8455" max="8455" width="13.85546875" style="1372" customWidth="1"/>
    <col min="8456" max="8456" width="8.5703125" style="1372" customWidth="1"/>
    <col min="8457" max="8457" width="9.140625" style="1372"/>
    <col min="8458" max="8460" width="16" style="1372" bestFit="1" customWidth="1"/>
    <col min="8461" max="8704" width="9.140625" style="1372"/>
    <col min="8705" max="8705" width="5.7109375" style="1372" customWidth="1"/>
    <col min="8706" max="8706" width="6.7109375" style="1372" customWidth="1"/>
    <col min="8707" max="8707" width="10.28515625" style="1372" customWidth="1"/>
    <col min="8708" max="8708" width="46.42578125" style="1372" customWidth="1"/>
    <col min="8709" max="8709" width="13.85546875" style="1372" customWidth="1"/>
    <col min="8710" max="8710" width="14.85546875" style="1372" customWidth="1"/>
    <col min="8711" max="8711" width="13.85546875" style="1372" customWidth="1"/>
    <col min="8712" max="8712" width="8.5703125" style="1372" customWidth="1"/>
    <col min="8713" max="8713" width="9.140625" style="1372"/>
    <col min="8714" max="8716" width="16" style="1372" bestFit="1" customWidth="1"/>
    <col min="8717" max="8960" width="9.140625" style="1372"/>
    <col min="8961" max="8961" width="5.7109375" style="1372" customWidth="1"/>
    <col min="8962" max="8962" width="6.7109375" style="1372" customWidth="1"/>
    <col min="8963" max="8963" width="10.28515625" style="1372" customWidth="1"/>
    <col min="8964" max="8964" width="46.42578125" style="1372" customWidth="1"/>
    <col min="8965" max="8965" width="13.85546875" style="1372" customWidth="1"/>
    <col min="8966" max="8966" width="14.85546875" style="1372" customWidth="1"/>
    <col min="8967" max="8967" width="13.85546875" style="1372" customWidth="1"/>
    <col min="8968" max="8968" width="8.5703125" style="1372" customWidth="1"/>
    <col min="8969" max="8969" width="9.140625" style="1372"/>
    <col min="8970" max="8972" width="16" style="1372" bestFit="1" customWidth="1"/>
    <col min="8973" max="9216" width="9.140625" style="1372"/>
    <col min="9217" max="9217" width="5.7109375" style="1372" customWidth="1"/>
    <col min="9218" max="9218" width="6.7109375" style="1372" customWidth="1"/>
    <col min="9219" max="9219" width="10.28515625" style="1372" customWidth="1"/>
    <col min="9220" max="9220" width="46.42578125" style="1372" customWidth="1"/>
    <col min="9221" max="9221" width="13.85546875" style="1372" customWidth="1"/>
    <col min="9222" max="9222" width="14.85546875" style="1372" customWidth="1"/>
    <col min="9223" max="9223" width="13.85546875" style="1372" customWidth="1"/>
    <col min="9224" max="9224" width="8.5703125" style="1372" customWidth="1"/>
    <col min="9225" max="9225" width="9.140625" style="1372"/>
    <col min="9226" max="9228" width="16" style="1372" bestFit="1" customWidth="1"/>
    <col min="9229" max="9472" width="9.140625" style="1372"/>
    <col min="9473" max="9473" width="5.7109375" style="1372" customWidth="1"/>
    <col min="9474" max="9474" width="6.7109375" style="1372" customWidth="1"/>
    <col min="9475" max="9475" width="10.28515625" style="1372" customWidth="1"/>
    <col min="9476" max="9476" width="46.42578125" style="1372" customWidth="1"/>
    <col min="9477" max="9477" width="13.85546875" style="1372" customWidth="1"/>
    <col min="9478" max="9478" width="14.85546875" style="1372" customWidth="1"/>
    <col min="9479" max="9479" width="13.85546875" style="1372" customWidth="1"/>
    <col min="9480" max="9480" width="8.5703125" style="1372" customWidth="1"/>
    <col min="9481" max="9481" width="9.140625" style="1372"/>
    <col min="9482" max="9484" width="16" style="1372" bestFit="1" customWidth="1"/>
    <col min="9485" max="9728" width="9.140625" style="1372"/>
    <col min="9729" max="9729" width="5.7109375" style="1372" customWidth="1"/>
    <col min="9730" max="9730" width="6.7109375" style="1372" customWidth="1"/>
    <col min="9731" max="9731" width="10.28515625" style="1372" customWidth="1"/>
    <col min="9732" max="9732" width="46.42578125" style="1372" customWidth="1"/>
    <col min="9733" max="9733" width="13.85546875" style="1372" customWidth="1"/>
    <col min="9734" max="9734" width="14.85546875" style="1372" customWidth="1"/>
    <col min="9735" max="9735" width="13.85546875" style="1372" customWidth="1"/>
    <col min="9736" max="9736" width="8.5703125" style="1372" customWidth="1"/>
    <col min="9737" max="9737" width="9.140625" style="1372"/>
    <col min="9738" max="9740" width="16" style="1372" bestFit="1" customWidth="1"/>
    <col min="9741" max="9984" width="9.140625" style="1372"/>
    <col min="9985" max="9985" width="5.7109375" style="1372" customWidth="1"/>
    <col min="9986" max="9986" width="6.7109375" style="1372" customWidth="1"/>
    <col min="9987" max="9987" width="10.28515625" style="1372" customWidth="1"/>
    <col min="9988" max="9988" width="46.42578125" style="1372" customWidth="1"/>
    <col min="9989" max="9989" width="13.85546875" style="1372" customWidth="1"/>
    <col min="9990" max="9990" width="14.85546875" style="1372" customWidth="1"/>
    <col min="9991" max="9991" width="13.85546875" style="1372" customWidth="1"/>
    <col min="9992" max="9992" width="8.5703125" style="1372" customWidth="1"/>
    <col min="9993" max="9993" width="9.140625" style="1372"/>
    <col min="9994" max="9996" width="16" style="1372" bestFit="1" customWidth="1"/>
    <col min="9997" max="10240" width="9.140625" style="1372"/>
    <col min="10241" max="10241" width="5.7109375" style="1372" customWidth="1"/>
    <col min="10242" max="10242" width="6.7109375" style="1372" customWidth="1"/>
    <col min="10243" max="10243" width="10.28515625" style="1372" customWidth="1"/>
    <col min="10244" max="10244" width="46.42578125" style="1372" customWidth="1"/>
    <col min="10245" max="10245" width="13.85546875" style="1372" customWidth="1"/>
    <col min="10246" max="10246" width="14.85546875" style="1372" customWidth="1"/>
    <col min="10247" max="10247" width="13.85546875" style="1372" customWidth="1"/>
    <col min="10248" max="10248" width="8.5703125" style="1372" customWidth="1"/>
    <col min="10249" max="10249" width="9.140625" style="1372"/>
    <col min="10250" max="10252" width="16" style="1372" bestFit="1" customWidth="1"/>
    <col min="10253" max="10496" width="9.140625" style="1372"/>
    <col min="10497" max="10497" width="5.7109375" style="1372" customWidth="1"/>
    <col min="10498" max="10498" width="6.7109375" style="1372" customWidth="1"/>
    <col min="10499" max="10499" width="10.28515625" style="1372" customWidth="1"/>
    <col min="10500" max="10500" width="46.42578125" style="1372" customWidth="1"/>
    <col min="10501" max="10501" width="13.85546875" style="1372" customWidth="1"/>
    <col min="10502" max="10502" width="14.85546875" style="1372" customWidth="1"/>
    <col min="10503" max="10503" width="13.85546875" style="1372" customWidth="1"/>
    <col min="10504" max="10504" width="8.5703125" style="1372" customWidth="1"/>
    <col min="10505" max="10505" width="9.140625" style="1372"/>
    <col min="10506" max="10508" width="16" style="1372" bestFit="1" customWidth="1"/>
    <col min="10509" max="10752" width="9.140625" style="1372"/>
    <col min="10753" max="10753" width="5.7109375" style="1372" customWidth="1"/>
    <col min="10754" max="10754" width="6.7109375" style="1372" customWidth="1"/>
    <col min="10755" max="10755" width="10.28515625" style="1372" customWidth="1"/>
    <col min="10756" max="10756" width="46.42578125" style="1372" customWidth="1"/>
    <col min="10757" max="10757" width="13.85546875" style="1372" customWidth="1"/>
    <col min="10758" max="10758" width="14.85546875" style="1372" customWidth="1"/>
    <col min="10759" max="10759" width="13.85546875" style="1372" customWidth="1"/>
    <col min="10760" max="10760" width="8.5703125" style="1372" customWidth="1"/>
    <col min="10761" max="10761" width="9.140625" style="1372"/>
    <col min="10762" max="10764" width="16" style="1372" bestFit="1" customWidth="1"/>
    <col min="10765" max="11008" width="9.140625" style="1372"/>
    <col min="11009" max="11009" width="5.7109375" style="1372" customWidth="1"/>
    <col min="11010" max="11010" width="6.7109375" style="1372" customWidth="1"/>
    <col min="11011" max="11011" width="10.28515625" style="1372" customWidth="1"/>
    <col min="11012" max="11012" width="46.42578125" style="1372" customWidth="1"/>
    <col min="11013" max="11013" width="13.85546875" style="1372" customWidth="1"/>
    <col min="11014" max="11014" width="14.85546875" style="1372" customWidth="1"/>
    <col min="11015" max="11015" width="13.85546875" style="1372" customWidth="1"/>
    <col min="11016" max="11016" width="8.5703125" style="1372" customWidth="1"/>
    <col min="11017" max="11017" width="9.140625" style="1372"/>
    <col min="11018" max="11020" width="16" style="1372" bestFit="1" customWidth="1"/>
    <col min="11021" max="11264" width="9.140625" style="1372"/>
    <col min="11265" max="11265" width="5.7109375" style="1372" customWidth="1"/>
    <col min="11266" max="11266" width="6.7109375" style="1372" customWidth="1"/>
    <col min="11267" max="11267" width="10.28515625" style="1372" customWidth="1"/>
    <col min="11268" max="11268" width="46.42578125" style="1372" customWidth="1"/>
    <col min="11269" max="11269" width="13.85546875" style="1372" customWidth="1"/>
    <col min="11270" max="11270" width="14.85546875" style="1372" customWidth="1"/>
    <col min="11271" max="11271" width="13.85546875" style="1372" customWidth="1"/>
    <col min="11272" max="11272" width="8.5703125" style="1372" customWidth="1"/>
    <col min="11273" max="11273" width="9.140625" style="1372"/>
    <col min="11274" max="11276" width="16" style="1372" bestFit="1" customWidth="1"/>
    <col min="11277" max="11520" width="9.140625" style="1372"/>
    <col min="11521" max="11521" width="5.7109375" style="1372" customWidth="1"/>
    <col min="11522" max="11522" width="6.7109375" style="1372" customWidth="1"/>
    <col min="11523" max="11523" width="10.28515625" style="1372" customWidth="1"/>
    <col min="11524" max="11524" width="46.42578125" style="1372" customWidth="1"/>
    <col min="11525" max="11525" width="13.85546875" style="1372" customWidth="1"/>
    <col min="11526" max="11526" width="14.85546875" style="1372" customWidth="1"/>
    <col min="11527" max="11527" width="13.85546875" style="1372" customWidth="1"/>
    <col min="11528" max="11528" width="8.5703125" style="1372" customWidth="1"/>
    <col min="11529" max="11529" width="9.140625" style="1372"/>
    <col min="11530" max="11532" width="16" style="1372" bestFit="1" customWidth="1"/>
    <col min="11533" max="11776" width="9.140625" style="1372"/>
    <col min="11777" max="11777" width="5.7109375" style="1372" customWidth="1"/>
    <col min="11778" max="11778" width="6.7109375" style="1372" customWidth="1"/>
    <col min="11779" max="11779" width="10.28515625" style="1372" customWidth="1"/>
    <col min="11780" max="11780" width="46.42578125" style="1372" customWidth="1"/>
    <col min="11781" max="11781" width="13.85546875" style="1372" customWidth="1"/>
    <col min="11782" max="11782" width="14.85546875" style="1372" customWidth="1"/>
    <col min="11783" max="11783" width="13.85546875" style="1372" customWidth="1"/>
    <col min="11784" max="11784" width="8.5703125" style="1372" customWidth="1"/>
    <col min="11785" max="11785" width="9.140625" style="1372"/>
    <col min="11786" max="11788" width="16" style="1372" bestFit="1" customWidth="1"/>
    <col min="11789" max="12032" width="9.140625" style="1372"/>
    <col min="12033" max="12033" width="5.7109375" style="1372" customWidth="1"/>
    <col min="12034" max="12034" width="6.7109375" style="1372" customWidth="1"/>
    <col min="12035" max="12035" width="10.28515625" style="1372" customWidth="1"/>
    <col min="12036" max="12036" width="46.42578125" style="1372" customWidth="1"/>
    <col min="12037" max="12037" width="13.85546875" style="1372" customWidth="1"/>
    <col min="12038" max="12038" width="14.85546875" style="1372" customWidth="1"/>
    <col min="12039" max="12039" width="13.85546875" style="1372" customWidth="1"/>
    <col min="12040" max="12040" width="8.5703125" style="1372" customWidth="1"/>
    <col min="12041" max="12041" width="9.140625" style="1372"/>
    <col min="12042" max="12044" width="16" style="1372" bestFit="1" customWidth="1"/>
    <col min="12045" max="12288" width="9.140625" style="1372"/>
    <col min="12289" max="12289" width="5.7109375" style="1372" customWidth="1"/>
    <col min="12290" max="12290" width="6.7109375" style="1372" customWidth="1"/>
    <col min="12291" max="12291" width="10.28515625" style="1372" customWidth="1"/>
    <col min="12292" max="12292" width="46.42578125" style="1372" customWidth="1"/>
    <col min="12293" max="12293" width="13.85546875" style="1372" customWidth="1"/>
    <col min="12294" max="12294" width="14.85546875" style="1372" customWidth="1"/>
    <col min="12295" max="12295" width="13.85546875" style="1372" customWidth="1"/>
    <col min="12296" max="12296" width="8.5703125" style="1372" customWidth="1"/>
    <col min="12297" max="12297" width="9.140625" style="1372"/>
    <col min="12298" max="12300" width="16" style="1372" bestFit="1" customWidth="1"/>
    <col min="12301" max="12544" width="9.140625" style="1372"/>
    <col min="12545" max="12545" width="5.7109375" style="1372" customWidth="1"/>
    <col min="12546" max="12546" width="6.7109375" style="1372" customWidth="1"/>
    <col min="12547" max="12547" width="10.28515625" style="1372" customWidth="1"/>
    <col min="12548" max="12548" width="46.42578125" style="1372" customWidth="1"/>
    <col min="12549" max="12549" width="13.85546875" style="1372" customWidth="1"/>
    <col min="12550" max="12550" width="14.85546875" style="1372" customWidth="1"/>
    <col min="12551" max="12551" width="13.85546875" style="1372" customWidth="1"/>
    <col min="12552" max="12552" width="8.5703125" style="1372" customWidth="1"/>
    <col min="12553" max="12553" width="9.140625" style="1372"/>
    <col min="12554" max="12556" width="16" style="1372" bestFit="1" customWidth="1"/>
    <col min="12557" max="12800" width="9.140625" style="1372"/>
    <col min="12801" max="12801" width="5.7109375" style="1372" customWidth="1"/>
    <col min="12802" max="12802" width="6.7109375" style="1372" customWidth="1"/>
    <col min="12803" max="12803" width="10.28515625" style="1372" customWidth="1"/>
    <col min="12804" max="12804" width="46.42578125" style="1372" customWidth="1"/>
    <col min="12805" max="12805" width="13.85546875" style="1372" customWidth="1"/>
    <col min="12806" max="12806" width="14.85546875" style="1372" customWidth="1"/>
    <col min="12807" max="12807" width="13.85546875" style="1372" customWidth="1"/>
    <col min="12808" max="12808" width="8.5703125" style="1372" customWidth="1"/>
    <col min="12809" max="12809" width="9.140625" style="1372"/>
    <col min="12810" max="12812" width="16" style="1372" bestFit="1" customWidth="1"/>
    <col min="12813" max="13056" width="9.140625" style="1372"/>
    <col min="13057" max="13057" width="5.7109375" style="1372" customWidth="1"/>
    <col min="13058" max="13058" width="6.7109375" style="1372" customWidth="1"/>
    <col min="13059" max="13059" width="10.28515625" style="1372" customWidth="1"/>
    <col min="13060" max="13060" width="46.42578125" style="1372" customWidth="1"/>
    <col min="13061" max="13061" width="13.85546875" style="1372" customWidth="1"/>
    <col min="13062" max="13062" width="14.85546875" style="1372" customWidth="1"/>
    <col min="13063" max="13063" width="13.85546875" style="1372" customWidth="1"/>
    <col min="13064" max="13064" width="8.5703125" style="1372" customWidth="1"/>
    <col min="13065" max="13065" width="9.140625" style="1372"/>
    <col min="13066" max="13068" width="16" style="1372" bestFit="1" customWidth="1"/>
    <col min="13069" max="13312" width="9.140625" style="1372"/>
    <col min="13313" max="13313" width="5.7109375" style="1372" customWidth="1"/>
    <col min="13314" max="13314" width="6.7109375" style="1372" customWidth="1"/>
    <col min="13315" max="13315" width="10.28515625" style="1372" customWidth="1"/>
    <col min="13316" max="13316" width="46.42578125" style="1372" customWidth="1"/>
    <col min="13317" max="13317" width="13.85546875" style="1372" customWidth="1"/>
    <col min="13318" max="13318" width="14.85546875" style="1372" customWidth="1"/>
    <col min="13319" max="13319" width="13.85546875" style="1372" customWidth="1"/>
    <col min="13320" max="13320" width="8.5703125" style="1372" customWidth="1"/>
    <col min="13321" max="13321" width="9.140625" style="1372"/>
    <col min="13322" max="13324" width="16" style="1372" bestFit="1" customWidth="1"/>
    <col min="13325" max="13568" width="9.140625" style="1372"/>
    <col min="13569" max="13569" width="5.7109375" style="1372" customWidth="1"/>
    <col min="13570" max="13570" width="6.7109375" style="1372" customWidth="1"/>
    <col min="13571" max="13571" width="10.28515625" style="1372" customWidth="1"/>
    <col min="13572" max="13572" width="46.42578125" style="1372" customWidth="1"/>
    <col min="13573" max="13573" width="13.85546875" style="1372" customWidth="1"/>
    <col min="13574" max="13574" width="14.85546875" style="1372" customWidth="1"/>
    <col min="13575" max="13575" width="13.85546875" style="1372" customWidth="1"/>
    <col min="13576" max="13576" width="8.5703125" style="1372" customWidth="1"/>
    <col min="13577" max="13577" width="9.140625" style="1372"/>
    <col min="13578" max="13580" width="16" style="1372" bestFit="1" customWidth="1"/>
    <col min="13581" max="13824" width="9.140625" style="1372"/>
    <col min="13825" max="13825" width="5.7109375" style="1372" customWidth="1"/>
    <col min="13826" max="13826" width="6.7109375" style="1372" customWidth="1"/>
    <col min="13827" max="13827" width="10.28515625" style="1372" customWidth="1"/>
    <col min="13828" max="13828" width="46.42578125" style="1372" customWidth="1"/>
    <col min="13829" max="13829" width="13.85546875" style="1372" customWidth="1"/>
    <col min="13830" max="13830" width="14.85546875" style="1372" customWidth="1"/>
    <col min="13831" max="13831" width="13.85546875" style="1372" customWidth="1"/>
    <col min="13832" max="13832" width="8.5703125" style="1372" customWidth="1"/>
    <col min="13833" max="13833" width="9.140625" style="1372"/>
    <col min="13834" max="13836" width="16" style="1372" bestFit="1" customWidth="1"/>
    <col min="13837" max="14080" width="9.140625" style="1372"/>
    <col min="14081" max="14081" width="5.7109375" style="1372" customWidth="1"/>
    <col min="14082" max="14082" width="6.7109375" style="1372" customWidth="1"/>
    <col min="14083" max="14083" width="10.28515625" style="1372" customWidth="1"/>
    <col min="14084" max="14084" width="46.42578125" style="1372" customWidth="1"/>
    <col min="14085" max="14085" width="13.85546875" style="1372" customWidth="1"/>
    <col min="14086" max="14086" width="14.85546875" style="1372" customWidth="1"/>
    <col min="14087" max="14087" width="13.85546875" style="1372" customWidth="1"/>
    <col min="14088" max="14088" width="8.5703125" style="1372" customWidth="1"/>
    <col min="14089" max="14089" width="9.140625" style="1372"/>
    <col min="14090" max="14092" width="16" style="1372" bestFit="1" customWidth="1"/>
    <col min="14093" max="14336" width="9.140625" style="1372"/>
    <col min="14337" max="14337" width="5.7109375" style="1372" customWidth="1"/>
    <col min="14338" max="14338" width="6.7109375" style="1372" customWidth="1"/>
    <col min="14339" max="14339" width="10.28515625" style="1372" customWidth="1"/>
    <col min="14340" max="14340" width="46.42578125" style="1372" customWidth="1"/>
    <col min="14341" max="14341" width="13.85546875" style="1372" customWidth="1"/>
    <col min="14342" max="14342" width="14.85546875" style="1372" customWidth="1"/>
    <col min="14343" max="14343" width="13.85546875" style="1372" customWidth="1"/>
    <col min="14344" max="14344" width="8.5703125" style="1372" customWidth="1"/>
    <col min="14345" max="14345" width="9.140625" style="1372"/>
    <col min="14346" max="14348" width="16" style="1372" bestFit="1" customWidth="1"/>
    <col min="14349" max="14592" width="9.140625" style="1372"/>
    <col min="14593" max="14593" width="5.7109375" style="1372" customWidth="1"/>
    <col min="14594" max="14594" width="6.7109375" style="1372" customWidth="1"/>
    <col min="14595" max="14595" width="10.28515625" style="1372" customWidth="1"/>
    <col min="14596" max="14596" width="46.42578125" style="1372" customWidth="1"/>
    <col min="14597" max="14597" width="13.85546875" style="1372" customWidth="1"/>
    <col min="14598" max="14598" width="14.85546875" style="1372" customWidth="1"/>
    <col min="14599" max="14599" width="13.85546875" style="1372" customWidth="1"/>
    <col min="14600" max="14600" width="8.5703125" style="1372" customWidth="1"/>
    <col min="14601" max="14601" width="9.140625" style="1372"/>
    <col min="14602" max="14604" width="16" style="1372" bestFit="1" customWidth="1"/>
    <col min="14605" max="14848" width="9.140625" style="1372"/>
    <col min="14849" max="14849" width="5.7109375" style="1372" customWidth="1"/>
    <col min="14850" max="14850" width="6.7109375" style="1372" customWidth="1"/>
    <col min="14851" max="14851" width="10.28515625" style="1372" customWidth="1"/>
    <col min="14852" max="14852" width="46.42578125" style="1372" customWidth="1"/>
    <col min="14853" max="14853" width="13.85546875" style="1372" customWidth="1"/>
    <col min="14854" max="14854" width="14.85546875" style="1372" customWidth="1"/>
    <col min="14855" max="14855" width="13.85546875" style="1372" customWidth="1"/>
    <col min="14856" max="14856" width="8.5703125" style="1372" customWidth="1"/>
    <col min="14857" max="14857" width="9.140625" style="1372"/>
    <col min="14858" max="14860" width="16" style="1372" bestFit="1" customWidth="1"/>
    <col min="14861" max="15104" width="9.140625" style="1372"/>
    <col min="15105" max="15105" width="5.7109375" style="1372" customWidth="1"/>
    <col min="15106" max="15106" width="6.7109375" style="1372" customWidth="1"/>
    <col min="15107" max="15107" width="10.28515625" style="1372" customWidth="1"/>
    <col min="15108" max="15108" width="46.42578125" style="1372" customWidth="1"/>
    <col min="15109" max="15109" width="13.85546875" style="1372" customWidth="1"/>
    <col min="15110" max="15110" width="14.85546875" style="1372" customWidth="1"/>
    <col min="15111" max="15111" width="13.85546875" style="1372" customWidth="1"/>
    <col min="15112" max="15112" width="8.5703125" style="1372" customWidth="1"/>
    <col min="15113" max="15113" width="9.140625" style="1372"/>
    <col min="15114" max="15116" width="16" style="1372" bestFit="1" customWidth="1"/>
    <col min="15117" max="15360" width="9.140625" style="1372"/>
    <col min="15361" max="15361" width="5.7109375" style="1372" customWidth="1"/>
    <col min="15362" max="15362" width="6.7109375" style="1372" customWidth="1"/>
    <col min="15363" max="15363" width="10.28515625" style="1372" customWidth="1"/>
    <col min="15364" max="15364" width="46.42578125" style="1372" customWidth="1"/>
    <col min="15365" max="15365" width="13.85546875" style="1372" customWidth="1"/>
    <col min="15366" max="15366" width="14.85546875" style="1372" customWidth="1"/>
    <col min="15367" max="15367" width="13.85546875" style="1372" customWidth="1"/>
    <col min="15368" max="15368" width="8.5703125" style="1372" customWidth="1"/>
    <col min="15369" max="15369" width="9.140625" style="1372"/>
    <col min="15370" max="15372" width="16" style="1372" bestFit="1" customWidth="1"/>
    <col min="15373" max="15616" width="9.140625" style="1372"/>
    <col min="15617" max="15617" width="5.7109375" style="1372" customWidth="1"/>
    <col min="15618" max="15618" width="6.7109375" style="1372" customWidth="1"/>
    <col min="15619" max="15619" width="10.28515625" style="1372" customWidth="1"/>
    <col min="15620" max="15620" width="46.42578125" style="1372" customWidth="1"/>
    <col min="15621" max="15621" width="13.85546875" style="1372" customWidth="1"/>
    <col min="15622" max="15622" width="14.85546875" style="1372" customWidth="1"/>
    <col min="15623" max="15623" width="13.85546875" style="1372" customWidth="1"/>
    <col min="15624" max="15624" width="8.5703125" style="1372" customWidth="1"/>
    <col min="15625" max="15625" width="9.140625" style="1372"/>
    <col min="15626" max="15628" width="16" style="1372" bestFit="1" customWidth="1"/>
    <col min="15629" max="15872" width="9.140625" style="1372"/>
    <col min="15873" max="15873" width="5.7109375" style="1372" customWidth="1"/>
    <col min="15874" max="15874" width="6.7109375" style="1372" customWidth="1"/>
    <col min="15875" max="15875" width="10.28515625" style="1372" customWidth="1"/>
    <col min="15876" max="15876" width="46.42578125" style="1372" customWidth="1"/>
    <col min="15877" max="15877" width="13.85546875" style="1372" customWidth="1"/>
    <col min="15878" max="15878" width="14.85546875" style="1372" customWidth="1"/>
    <col min="15879" max="15879" width="13.85546875" style="1372" customWidth="1"/>
    <col min="15880" max="15880" width="8.5703125" style="1372" customWidth="1"/>
    <col min="15881" max="15881" width="9.140625" style="1372"/>
    <col min="15882" max="15884" width="16" style="1372" bestFit="1" customWidth="1"/>
    <col min="15885" max="16128" width="9.140625" style="1372"/>
    <col min="16129" max="16129" width="5.7109375" style="1372" customWidth="1"/>
    <col min="16130" max="16130" width="6.7109375" style="1372" customWidth="1"/>
    <col min="16131" max="16131" width="10.28515625" style="1372" customWidth="1"/>
    <col min="16132" max="16132" width="46.42578125" style="1372" customWidth="1"/>
    <col min="16133" max="16133" width="13.85546875" style="1372" customWidth="1"/>
    <col min="16134" max="16134" width="14.85546875" style="1372" customWidth="1"/>
    <col min="16135" max="16135" width="13.85546875" style="1372" customWidth="1"/>
    <col min="16136" max="16136" width="8.5703125" style="1372" customWidth="1"/>
    <col min="16137" max="16137" width="9.140625" style="1372"/>
    <col min="16138" max="16140" width="16" style="1372" bestFit="1" customWidth="1"/>
    <col min="16141" max="16384" width="9.140625" style="1372"/>
  </cols>
  <sheetData>
    <row r="1" spans="1:9" s="1249" customFormat="1" ht="18.75" thickBot="1" x14ac:dyDescent="0.3">
      <c r="A1" s="1342" t="s">
        <v>729</v>
      </c>
      <c r="B1" s="1341"/>
      <c r="C1" s="1367"/>
      <c r="D1" s="1340"/>
      <c r="E1" s="1339"/>
      <c r="F1" s="1338"/>
      <c r="G1" s="3205"/>
      <c r="H1" s="3206"/>
      <c r="I1" s="1254"/>
    </row>
    <row r="2" spans="1:9" s="1249" customFormat="1" ht="41.25" customHeight="1" x14ac:dyDescent="0.25">
      <c r="A2" s="1335"/>
      <c r="B2" s="1311"/>
      <c r="C2" s="1368"/>
      <c r="D2" s="1334"/>
      <c r="E2" s="1308"/>
      <c r="F2" s="1308"/>
      <c r="G2" s="3208" t="s">
        <v>115</v>
      </c>
      <c r="H2" s="3209"/>
      <c r="I2" s="1254"/>
    </row>
    <row r="3" spans="1:9" s="1249" customFormat="1" ht="12.75" customHeight="1" x14ac:dyDescent="0.25">
      <c r="A3" s="1337" t="s">
        <v>336</v>
      </c>
      <c r="B3" s="1311"/>
      <c r="C3" s="1370" t="s">
        <v>2009</v>
      </c>
      <c r="D3" s="1336"/>
      <c r="E3" s="1308"/>
      <c r="F3" s="2102"/>
      <c r="G3" s="1307"/>
      <c r="H3" s="1369"/>
    </row>
    <row r="4" spans="1:9" s="1249" customFormat="1" ht="12.75" customHeight="1" x14ac:dyDescent="0.25">
      <c r="A4" s="1335"/>
      <c r="B4" s="1311"/>
      <c r="C4" s="1370" t="s">
        <v>1450</v>
      </c>
      <c r="D4" s="1254"/>
      <c r="E4" s="1308"/>
      <c r="F4" s="2102"/>
      <c r="G4" s="1307"/>
      <c r="H4" s="1369"/>
    </row>
    <row r="5" spans="1:9" hidden="1" x14ac:dyDescent="0.2"/>
    <row r="6" spans="1:9" ht="18" x14ac:dyDescent="0.25">
      <c r="A6" s="1375" t="s">
        <v>687</v>
      </c>
    </row>
    <row r="7" spans="1:9" ht="12" customHeight="1" x14ac:dyDescent="0.25">
      <c r="A7" s="1376"/>
    </row>
    <row r="8" spans="1:9" ht="15" x14ac:dyDescent="0.25">
      <c r="A8" s="1417"/>
      <c r="B8" s="1417"/>
      <c r="C8" s="1417"/>
      <c r="D8" s="1417"/>
      <c r="E8" s="1393"/>
      <c r="F8" s="1393"/>
      <c r="G8" s="1393"/>
      <c r="H8" s="1418"/>
    </row>
    <row r="9" spans="1:9" ht="13.5" customHeight="1" thickBot="1" x14ac:dyDescent="0.3">
      <c r="A9" s="1377" t="s">
        <v>229</v>
      </c>
      <c r="B9" s="1400"/>
      <c r="C9" s="1400"/>
      <c r="D9" s="1400"/>
      <c r="E9" s="1400"/>
      <c r="F9" s="1400"/>
      <c r="G9" s="1400"/>
      <c r="H9" s="1400" t="s">
        <v>148</v>
      </c>
      <c r="I9" s="1400"/>
    </row>
    <row r="10" spans="1:9" ht="15.75" hidden="1" thickBot="1" x14ac:dyDescent="0.3">
      <c r="A10" s="1377"/>
      <c r="D10" s="1371"/>
      <c r="E10" s="1372"/>
      <c r="F10" s="1398"/>
      <c r="G10" s="1398"/>
      <c r="H10" s="1372" t="s">
        <v>148</v>
      </c>
    </row>
    <row r="11" spans="1:9" ht="25.5" thickTop="1" thickBot="1" x14ac:dyDescent="0.25">
      <c r="A11" s="1378" t="s">
        <v>149</v>
      </c>
      <c r="B11" s="1379" t="s">
        <v>688</v>
      </c>
      <c r="C11" s="1379" t="s">
        <v>345</v>
      </c>
      <c r="D11" s="1380" t="s">
        <v>151</v>
      </c>
      <c r="E11" s="1402" t="s">
        <v>569</v>
      </c>
      <c r="F11" s="1402" t="s">
        <v>570</v>
      </c>
      <c r="G11" s="1403" t="s">
        <v>797</v>
      </c>
      <c r="H11" s="1404" t="s">
        <v>798</v>
      </c>
    </row>
    <row r="12" spans="1:9" s="1292" customFormat="1" ht="13.5" thickTop="1" thickBot="1" x14ac:dyDescent="0.25">
      <c r="A12" s="1297">
        <v>1</v>
      </c>
      <c r="B12" s="1296">
        <v>2</v>
      </c>
      <c r="C12" s="1296">
        <v>3</v>
      </c>
      <c r="D12" s="1296">
        <v>4</v>
      </c>
      <c r="E12" s="1381">
        <v>5</v>
      </c>
      <c r="F12" s="1381">
        <v>6</v>
      </c>
      <c r="G12" s="1382">
        <v>7</v>
      </c>
      <c r="H12" s="1383" t="s">
        <v>54</v>
      </c>
    </row>
    <row r="13" spans="1:9" s="1292" customFormat="1" ht="15.75" hidden="1" thickTop="1" x14ac:dyDescent="0.25">
      <c r="A13" s="1420">
        <v>3636</v>
      </c>
      <c r="B13" s="1385">
        <v>5166</v>
      </c>
      <c r="C13" s="1385"/>
      <c r="D13" s="1405" t="s">
        <v>553</v>
      </c>
      <c r="E13" s="1389">
        <v>0</v>
      </c>
      <c r="F13" s="1422">
        <v>0</v>
      </c>
      <c r="G13" s="1422">
        <v>0</v>
      </c>
      <c r="H13" s="1390">
        <v>0</v>
      </c>
    </row>
    <row r="14" spans="1:9" ht="15.75" thickTop="1" x14ac:dyDescent="0.25">
      <c r="A14" s="1420">
        <v>3636</v>
      </c>
      <c r="B14" s="1385">
        <v>5166</v>
      </c>
      <c r="C14" s="1531" t="s">
        <v>1760</v>
      </c>
      <c r="D14" s="1405" t="s">
        <v>553</v>
      </c>
      <c r="E14" s="1389">
        <v>30</v>
      </c>
      <c r="F14" s="1422">
        <v>0</v>
      </c>
      <c r="G14" s="1422">
        <v>0</v>
      </c>
      <c r="H14" s="1390">
        <v>0</v>
      </c>
    </row>
    <row r="15" spans="1:9" ht="15" hidden="1" x14ac:dyDescent="0.25">
      <c r="A15" s="1426">
        <v>6330</v>
      </c>
      <c r="B15" s="1385">
        <v>5345</v>
      </c>
      <c r="C15" s="1531" t="s">
        <v>1787</v>
      </c>
      <c r="D15" s="1405" t="s">
        <v>693</v>
      </c>
      <c r="E15" s="1389"/>
      <c r="F15" s="1422"/>
      <c r="G15" s="1422"/>
      <c r="H15" s="1390">
        <v>0</v>
      </c>
    </row>
    <row r="16" spans="1:9" ht="15" hidden="1" x14ac:dyDescent="0.25">
      <c r="A16" s="1426">
        <v>3636</v>
      </c>
      <c r="B16" s="1385">
        <v>5167</v>
      </c>
      <c r="C16" s="1531" t="s">
        <v>1788</v>
      </c>
      <c r="D16" s="1405" t="s">
        <v>810</v>
      </c>
      <c r="E16" s="1389"/>
      <c r="F16" s="1422"/>
      <c r="G16" s="1422"/>
      <c r="H16" s="1390" t="e">
        <f>G16/F16*100</f>
        <v>#DIV/0!</v>
      </c>
    </row>
    <row r="17" spans="1:13" ht="15" hidden="1" x14ac:dyDescent="0.25">
      <c r="A17" s="1426">
        <v>3122</v>
      </c>
      <c r="B17" s="1385">
        <v>5169</v>
      </c>
      <c r="C17" s="1531" t="s">
        <v>2008</v>
      </c>
      <c r="D17" s="1405" t="s">
        <v>769</v>
      </c>
      <c r="E17" s="1389"/>
      <c r="F17" s="1422"/>
      <c r="G17" s="1422"/>
      <c r="H17" s="1390">
        <v>0</v>
      </c>
    </row>
    <row r="18" spans="1:13" ht="15" x14ac:dyDescent="0.25">
      <c r="A18" s="1426">
        <v>3636</v>
      </c>
      <c r="B18" s="1385">
        <v>5169</v>
      </c>
      <c r="C18" s="1531" t="s">
        <v>1760</v>
      </c>
      <c r="D18" s="1405" t="s">
        <v>769</v>
      </c>
      <c r="E18" s="1389">
        <v>50</v>
      </c>
      <c r="F18" s="1422">
        <v>2</v>
      </c>
      <c r="G18" s="1422">
        <v>1</v>
      </c>
      <c r="H18" s="1390">
        <f>G18/F18*100</f>
        <v>50</v>
      </c>
    </row>
    <row r="19" spans="1:13" ht="15.75" thickBot="1" x14ac:dyDescent="0.3">
      <c r="A19" s="1426">
        <v>3719</v>
      </c>
      <c r="B19" s="1385">
        <v>5169</v>
      </c>
      <c r="C19" s="1531" t="s">
        <v>1760</v>
      </c>
      <c r="D19" s="1405" t="s">
        <v>769</v>
      </c>
      <c r="E19" s="1389">
        <v>416</v>
      </c>
      <c r="F19" s="1422">
        <v>0</v>
      </c>
      <c r="G19" s="1422">
        <v>0</v>
      </c>
      <c r="H19" s="1390">
        <v>0</v>
      </c>
    </row>
    <row r="20" spans="1:13" ht="15.75" hidden="1" thickBot="1" x14ac:dyDescent="0.3">
      <c r="A20" s="1426">
        <v>6330</v>
      </c>
      <c r="B20" s="1428">
        <v>5345</v>
      </c>
      <c r="C20" s="1428"/>
      <c r="D20" s="1410" t="s">
        <v>693</v>
      </c>
      <c r="E20" s="1389"/>
      <c r="F20" s="1422"/>
      <c r="G20" s="1422"/>
      <c r="H20" s="1390" t="e">
        <f>G20/F20*100</f>
        <v>#DIV/0!</v>
      </c>
    </row>
    <row r="21" spans="1:13" ht="16.5" thickTop="1" thickBot="1" x14ac:dyDescent="0.3">
      <c r="A21" s="1406" t="s">
        <v>690</v>
      </c>
      <c r="B21" s="1407"/>
      <c r="C21" s="1407"/>
      <c r="D21" s="1408"/>
      <c r="E21" s="1387">
        <f>SUM(E13:E19)</f>
        <v>496</v>
      </c>
      <c r="F21" s="1387">
        <f>SUM(F13:F19)</f>
        <v>2</v>
      </c>
      <c r="G21" s="1387">
        <f>SUM(G13:G19)</f>
        <v>1</v>
      </c>
      <c r="H21" s="1391">
        <f>G21/F21*100</f>
        <v>50</v>
      </c>
    </row>
    <row r="22" spans="1:13" ht="18.75" thickTop="1" x14ac:dyDescent="0.25">
      <c r="A22" s="1375"/>
      <c r="D22" s="1371"/>
      <c r="E22" s="1372"/>
      <c r="F22" s="1398"/>
      <c r="G22" s="1398"/>
      <c r="H22" s="1398"/>
    </row>
    <row r="23" spans="1:13" ht="16.5" x14ac:dyDescent="0.25">
      <c r="A23" s="1429" t="s">
        <v>423</v>
      </c>
      <c r="B23" s="1430"/>
      <c r="C23" s="1431"/>
      <c r="D23" s="1432"/>
      <c r="E23" s="1433">
        <f>SUM(E24:E26)</f>
        <v>496</v>
      </c>
      <c r="F23" s="1433">
        <f>SUM(F24:F26)</f>
        <v>2</v>
      </c>
      <c r="G23" s="1433">
        <f>SUM(G24:G26)</f>
        <v>1</v>
      </c>
      <c r="H23" s="2824">
        <f>G23/F23*100</f>
        <v>50</v>
      </c>
      <c r="J23" s="1435">
        <f>J24+J25+J26</f>
        <v>496000</v>
      </c>
      <c r="K23" s="1435">
        <f>K24+K25+K26</f>
        <v>1681</v>
      </c>
      <c r="L23" s="1435">
        <f>L24+L25+L26</f>
        <v>719</v>
      </c>
    </row>
    <row r="24" spans="1:13" ht="15" x14ac:dyDescent="0.2">
      <c r="A24" s="1263" t="s">
        <v>242</v>
      </c>
      <c r="B24" s="1265"/>
      <c r="C24" s="1261"/>
      <c r="D24" s="1436"/>
      <c r="E24" s="1264">
        <f>E13+E14+E17+E18+E16+E19</f>
        <v>496</v>
      </c>
      <c r="F24" s="1264">
        <f>F13+F14+F17+F18+F16+F19</f>
        <v>2</v>
      </c>
      <c r="G24" s="1264">
        <f>G13+G14+G17+G18+G16+G19</f>
        <v>1</v>
      </c>
      <c r="H24" s="1434">
        <f>G24/F24*100</f>
        <v>50</v>
      </c>
      <c r="J24" s="1437">
        <v>496000</v>
      </c>
      <c r="K24" s="1437">
        <v>1681</v>
      </c>
      <c r="L24" s="1437">
        <v>719</v>
      </c>
    </row>
    <row r="25" spans="1:13" ht="15" x14ac:dyDescent="0.2">
      <c r="A25" s="1263" t="s">
        <v>243</v>
      </c>
      <c r="B25" s="1262"/>
      <c r="C25" s="1261"/>
      <c r="D25" s="1438"/>
      <c r="E25" s="1264">
        <v>0</v>
      </c>
      <c r="F25" s="1264">
        <v>0</v>
      </c>
      <c r="G25" s="1264">
        <v>0</v>
      </c>
      <c r="H25" s="1434">
        <v>0</v>
      </c>
      <c r="J25" s="1437">
        <v>0</v>
      </c>
      <c r="K25" s="1437">
        <v>0</v>
      </c>
      <c r="L25" s="1437">
        <v>0</v>
      </c>
      <c r="M25" s="1373"/>
    </row>
    <row r="26" spans="1:13" ht="15" x14ac:dyDescent="0.2">
      <c r="A26" s="1263" t="s">
        <v>424</v>
      </c>
      <c r="B26" s="1262"/>
      <c r="C26" s="1261"/>
      <c r="D26" s="1438"/>
      <c r="E26" s="1264">
        <f>E15</f>
        <v>0</v>
      </c>
      <c r="F26" s="1264">
        <f>F15</f>
        <v>0</v>
      </c>
      <c r="G26" s="1264">
        <f>G15</f>
        <v>0</v>
      </c>
      <c r="H26" s="1434">
        <v>0</v>
      </c>
      <c r="J26" s="1437">
        <v>0</v>
      </c>
      <c r="K26" s="1437">
        <v>0</v>
      </c>
      <c r="L26" s="1437">
        <v>0</v>
      </c>
    </row>
    <row r="27" spans="1:13" ht="15" x14ac:dyDescent="0.2">
      <c r="A27" s="1263"/>
      <c r="B27" s="1262"/>
      <c r="C27" s="1261"/>
      <c r="D27" s="1438"/>
      <c r="E27" s="1264"/>
      <c r="F27" s="1264"/>
      <c r="G27" s="1264"/>
      <c r="H27" s="1439"/>
      <c r="J27" s="1373"/>
      <c r="K27" s="1373"/>
      <c r="L27" s="1373"/>
    </row>
    <row r="28" spans="1:13" ht="24" thickBot="1" x14ac:dyDescent="0.4">
      <c r="A28" s="3148" t="s">
        <v>1351</v>
      </c>
      <c r="B28" s="3207"/>
      <c r="C28" s="3207"/>
      <c r="D28" s="3207"/>
      <c r="E28" s="1258">
        <f>SUM(E23)</f>
        <v>496</v>
      </c>
      <c r="F28" s="1258">
        <f>SUM(F23)</f>
        <v>2</v>
      </c>
      <c r="G28" s="1258">
        <f>SUM(G23)</f>
        <v>1</v>
      </c>
      <c r="H28" s="1440">
        <f>(G28/F28)*100</f>
        <v>50</v>
      </c>
      <c r="J28" s="1373"/>
      <c r="K28" s="1373"/>
      <c r="L28" s="1373"/>
    </row>
    <row r="29" spans="1:13" s="1441" customFormat="1" ht="13.5" thickTop="1" x14ac:dyDescent="0.2">
      <c r="A29" s="1371"/>
      <c r="B29" s="1371"/>
      <c r="C29" s="1371"/>
      <c r="D29" s="1372"/>
      <c r="E29" s="1373"/>
      <c r="F29" s="1373"/>
      <c r="G29" s="1373"/>
      <c r="H29" s="1374"/>
      <c r="J29" s="1442"/>
      <c r="K29" s="1442"/>
      <c r="L29" s="1442"/>
    </row>
    <row r="30" spans="1:13" s="1249" customFormat="1" x14ac:dyDescent="0.2">
      <c r="A30" s="1371"/>
      <c r="B30" s="1371"/>
      <c r="C30" s="1371"/>
      <c r="D30" s="1372"/>
      <c r="E30" s="1373"/>
      <c r="F30" s="1373"/>
      <c r="G30" s="1373"/>
      <c r="H30" s="1374"/>
    </row>
    <row r="31" spans="1:13" s="1249" customFormat="1" x14ac:dyDescent="0.2">
      <c r="A31" s="1371"/>
      <c r="B31" s="1371"/>
      <c r="C31" s="1371"/>
      <c r="D31" s="1372"/>
      <c r="E31" s="1373"/>
      <c r="F31" s="1373"/>
      <c r="G31" s="1373"/>
      <c r="H31" s="1374"/>
    </row>
    <row r="32" spans="1:13" s="1249" customFormat="1" x14ac:dyDescent="0.2">
      <c r="A32" s="1371"/>
      <c r="B32" s="1371"/>
      <c r="C32" s="1371"/>
      <c r="D32" s="1372"/>
      <c r="E32" s="1373"/>
      <c r="F32" s="1373"/>
      <c r="G32" s="1373"/>
      <c r="H32" s="1374"/>
    </row>
    <row r="33" spans="1:8" s="1249" customFormat="1" x14ac:dyDescent="0.2">
      <c r="A33" s="1371"/>
      <c r="B33" s="1371"/>
      <c r="C33" s="1371"/>
      <c r="D33" s="1372"/>
      <c r="E33" s="1373"/>
      <c r="F33" s="1373"/>
      <c r="G33" s="1373"/>
      <c r="H33" s="1374"/>
    </row>
    <row r="34" spans="1:8" s="1256" customFormat="1" ht="31.5" customHeight="1" x14ac:dyDescent="0.35">
      <c r="A34" s="1371"/>
      <c r="B34" s="1371"/>
      <c r="C34" s="1371"/>
      <c r="D34" s="1372"/>
      <c r="E34" s="1373"/>
      <c r="F34" s="1373"/>
      <c r="G34" s="1373"/>
      <c r="H34" s="1374"/>
    </row>
  </sheetData>
  <mergeCells count="3">
    <mergeCell ref="G1:H1"/>
    <mergeCell ref="A28:D28"/>
    <mergeCell ref="G2:H2"/>
  </mergeCells>
  <pageMargins left="0.98425196850393704" right="0.98425196850393704" top="0.98425196850393704" bottom="0.98425196850393704" header="0.51181102362204722" footer="0.51181102362204722"/>
  <pageSetup paperSize="9" scale="65" firstPageNumber="129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I20"/>
  <sheetViews>
    <sheetView showGridLines="0" zoomScaleNormal="100" workbookViewId="0">
      <selection activeCell="F21" sqref="F21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" style="401" bestFit="1" customWidth="1"/>
    <col min="4" max="4" width="46.42578125" style="345" customWidth="1"/>
    <col min="5" max="5" width="13.85546875" style="440" customWidth="1"/>
    <col min="6" max="6" width="14.85546875" style="440" customWidth="1"/>
    <col min="7" max="7" width="13.85546875" style="440" customWidth="1"/>
    <col min="8" max="8" width="6.42578125" style="345" customWidth="1"/>
    <col min="9" max="9" width="19.85546875" style="345" customWidth="1"/>
    <col min="10" max="16384" width="9.140625" style="345"/>
  </cols>
  <sheetData>
    <row r="1" spans="1:9" ht="18" x14ac:dyDescent="0.25">
      <c r="A1" s="456" t="s">
        <v>752</v>
      </c>
      <c r="B1" s="457"/>
      <c r="C1" s="457"/>
      <c r="D1" s="457"/>
      <c r="E1" s="457"/>
      <c r="F1" s="457"/>
      <c r="G1" s="406"/>
    </row>
    <row r="2" spans="1:9" ht="18" x14ac:dyDescent="0.25">
      <c r="A2" s="578" t="s">
        <v>722</v>
      </c>
      <c r="B2" s="579"/>
      <c r="C2" s="579"/>
      <c r="D2" s="579"/>
      <c r="E2" s="579"/>
      <c r="F2" s="579"/>
      <c r="G2" s="406"/>
      <c r="H2" s="529" t="s">
        <v>723</v>
      </c>
    </row>
    <row r="3" spans="1:9" ht="18" x14ac:dyDescent="0.25">
      <c r="B3" s="406"/>
      <c r="C3" s="406"/>
      <c r="D3" s="406"/>
      <c r="E3" s="406"/>
      <c r="F3" s="406"/>
      <c r="G3" s="406"/>
      <c r="H3" s="529"/>
    </row>
    <row r="4" spans="1:9" s="373" customFormat="1" ht="16.5" customHeight="1" x14ac:dyDescent="0.2">
      <c r="A4" s="67" t="s">
        <v>336</v>
      </c>
      <c r="B4" s="28"/>
      <c r="C4" s="503" t="s">
        <v>317</v>
      </c>
    </row>
    <row r="5" spans="1:9" s="373" customFormat="1" ht="12.75" customHeight="1" x14ac:dyDescent="0.25">
      <c r="A5" s="6"/>
      <c r="B5" s="28"/>
      <c r="C5" s="503" t="s">
        <v>318</v>
      </c>
    </row>
    <row r="6" spans="1:9" ht="18" x14ac:dyDescent="0.25">
      <c r="A6" s="407" t="s">
        <v>724</v>
      </c>
      <c r="B6" s="406"/>
      <c r="C6" s="406"/>
      <c r="D6" s="406"/>
      <c r="E6" s="406"/>
      <c r="F6" s="406"/>
      <c r="G6" s="406"/>
      <c r="H6" s="529"/>
    </row>
    <row r="7" spans="1:9" ht="18.75" thickBot="1" x14ac:dyDescent="0.3">
      <c r="A7" s="407"/>
      <c r="B7" s="406"/>
      <c r="C7" s="406"/>
      <c r="D7" s="406"/>
      <c r="E7" s="406"/>
      <c r="F7" s="406"/>
      <c r="G7" s="406"/>
      <c r="H7" s="563" t="s">
        <v>1101</v>
      </c>
    </row>
    <row r="8" spans="1:9" s="375" customFormat="1" ht="25.5" thickTop="1" thickBot="1" x14ac:dyDescent="0.25">
      <c r="A8" s="506" t="s">
        <v>149</v>
      </c>
      <c r="B8" s="507" t="s">
        <v>688</v>
      </c>
      <c r="C8" s="507" t="s">
        <v>345</v>
      </c>
      <c r="D8" s="508" t="s">
        <v>151</v>
      </c>
      <c r="E8" s="509" t="s">
        <v>569</v>
      </c>
      <c r="F8" s="509" t="s">
        <v>570</v>
      </c>
      <c r="G8" s="510" t="s">
        <v>797</v>
      </c>
      <c r="H8" s="511" t="s">
        <v>798</v>
      </c>
    </row>
    <row r="9" spans="1:9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12">
        <v>5</v>
      </c>
      <c r="F9" s="512">
        <v>6</v>
      </c>
      <c r="G9" s="513">
        <v>7</v>
      </c>
      <c r="H9" s="514" t="s">
        <v>54</v>
      </c>
    </row>
    <row r="10" spans="1:9" s="408" customFormat="1" ht="16.5" thickTop="1" thickBot="1" x14ac:dyDescent="0.25">
      <c r="A10" s="409">
        <v>6409</v>
      </c>
      <c r="B10" s="410">
        <v>5909</v>
      </c>
      <c r="C10" s="411"/>
      <c r="D10" s="412" t="s">
        <v>694</v>
      </c>
      <c r="E10" s="404">
        <v>0</v>
      </c>
      <c r="F10" s="404">
        <v>0</v>
      </c>
      <c r="G10" s="415">
        <v>0</v>
      </c>
      <c r="H10" s="582">
        <v>0</v>
      </c>
    </row>
    <row r="11" spans="1:9" s="336" customFormat="1" ht="16.5" thickTop="1" thickBot="1" x14ac:dyDescent="0.3">
      <c r="A11" s="3210" t="s">
        <v>690</v>
      </c>
      <c r="B11" s="3211"/>
      <c r="C11" s="3211"/>
      <c r="D11" s="3211"/>
      <c r="E11" s="528">
        <f>SUM(E10:E10)</f>
        <v>0</v>
      </c>
      <c r="F11" s="528">
        <f>SUM(F10:F10)</f>
        <v>0</v>
      </c>
      <c r="G11" s="580">
        <f>SUM(G10:G10)</f>
        <v>0</v>
      </c>
      <c r="H11" s="425">
        <v>0</v>
      </c>
      <c r="I11" s="535"/>
    </row>
    <row r="12" spans="1:9" ht="13.5" thickTop="1" x14ac:dyDescent="0.2">
      <c r="I12" s="440"/>
    </row>
    <row r="14" spans="1:9" s="557" customFormat="1" ht="16.5" x14ac:dyDescent="0.25">
      <c r="A14" s="536" t="s">
        <v>423</v>
      </c>
      <c r="B14" s="537"/>
      <c r="C14" s="538"/>
      <c r="D14" s="539"/>
      <c r="E14" s="540">
        <f>SUM(E15:E17)</f>
        <v>0</v>
      </c>
      <c r="F14" s="540">
        <f>F15+F16+F17+F18</f>
        <v>0</v>
      </c>
      <c r="G14" s="540">
        <f>G15+G16+G17+G18</f>
        <v>0</v>
      </c>
      <c r="H14" s="541">
        <v>0</v>
      </c>
    </row>
    <row r="15" spans="1:9" s="373" customFormat="1" ht="15" x14ac:dyDescent="0.2">
      <c r="A15" s="520" t="s">
        <v>242</v>
      </c>
      <c r="B15" s="542"/>
      <c r="C15" s="543"/>
      <c r="D15" s="544"/>
      <c r="E15" s="545">
        <f>E11</f>
        <v>0</v>
      </c>
      <c r="F15" s="545">
        <f>F11</f>
        <v>0</v>
      </c>
      <c r="G15" s="545">
        <f>G11</f>
        <v>0</v>
      </c>
      <c r="H15" s="546">
        <v>0</v>
      </c>
    </row>
    <row r="16" spans="1:9" s="373" customFormat="1" ht="15" x14ac:dyDescent="0.2">
      <c r="A16" s="520" t="s">
        <v>243</v>
      </c>
      <c r="B16" s="547"/>
      <c r="C16" s="543"/>
      <c r="D16" s="548"/>
      <c r="E16" s="545">
        <v>0</v>
      </c>
      <c r="F16" s="545">
        <v>0</v>
      </c>
      <c r="G16" s="545">
        <v>0</v>
      </c>
      <c r="H16" s="546">
        <v>0</v>
      </c>
    </row>
    <row r="17" spans="1:8" s="373" customFormat="1" ht="15" x14ac:dyDescent="0.2">
      <c r="A17" s="520" t="s">
        <v>424</v>
      </c>
      <c r="B17" s="547"/>
      <c r="C17" s="543"/>
      <c r="D17" s="548"/>
      <c r="E17" s="545">
        <v>0</v>
      </c>
      <c r="F17" s="545">
        <v>0</v>
      </c>
      <c r="G17" s="545">
        <v>0</v>
      </c>
      <c r="H17" s="562">
        <v>0</v>
      </c>
    </row>
    <row r="18" spans="1:8" s="373" customFormat="1" ht="15" x14ac:dyDescent="0.2">
      <c r="A18" s="520"/>
      <c r="B18" s="547"/>
      <c r="C18" s="543"/>
      <c r="D18" s="548"/>
      <c r="E18" s="545"/>
      <c r="F18" s="545"/>
      <c r="G18" s="545"/>
      <c r="H18" s="549"/>
    </row>
    <row r="19" spans="1:8" s="58" customFormat="1" ht="69" customHeight="1" thickBot="1" x14ac:dyDescent="0.4">
      <c r="A19" s="3076" t="s">
        <v>696</v>
      </c>
      <c r="B19" s="3212"/>
      <c r="C19" s="3212"/>
      <c r="D19" s="3212"/>
      <c r="E19" s="550">
        <f>SUM(E14)</f>
        <v>0</v>
      </c>
      <c r="F19" s="550">
        <f>SUM(F14)</f>
        <v>0</v>
      </c>
      <c r="G19" s="550">
        <f>SUM(G14)</f>
        <v>0</v>
      </c>
      <c r="H19" s="566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2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 enableFormatConditionsCalculation="0">
    <tabColor rgb="FF00B0F0"/>
  </sheetPr>
  <dimension ref="A1:L60"/>
  <sheetViews>
    <sheetView showGridLines="0" view="pageBreakPreview" zoomScaleNormal="100" zoomScaleSheetLayoutView="100" workbookViewId="0">
      <selection activeCell="D68" sqref="D68"/>
    </sheetView>
  </sheetViews>
  <sheetFormatPr defaultColWidth="9.140625" defaultRowHeight="12.75" x14ac:dyDescent="0.2"/>
  <cols>
    <col min="1" max="1" width="5.28515625" style="584" customWidth="1"/>
    <col min="2" max="2" width="5.42578125" style="1693" customWidth="1"/>
    <col min="3" max="3" width="8.7109375" style="842" customWidth="1"/>
    <col min="4" max="4" width="47.28515625" style="373" customWidth="1"/>
    <col min="5" max="6" width="14.28515625" style="374" customWidth="1"/>
    <col min="7" max="7" width="13.42578125" style="374" customWidth="1"/>
    <col min="8" max="8" width="8.140625" style="1920" customWidth="1"/>
    <col min="9" max="9" width="9.140625" style="373"/>
    <col min="10" max="10" width="16.7109375" style="373" customWidth="1"/>
    <col min="11" max="12" width="16.28515625" style="373" customWidth="1"/>
    <col min="13" max="16384" width="9.140625" style="373"/>
  </cols>
  <sheetData>
    <row r="1" spans="1:12" ht="18.75" thickBot="1" x14ac:dyDescent="0.3">
      <c r="A1" s="448" t="s">
        <v>354</v>
      </c>
      <c r="B1" s="449"/>
      <c r="C1" s="460"/>
      <c r="D1" s="1124"/>
      <c r="E1" s="452" t="s">
        <v>355</v>
      </c>
      <c r="H1" s="364"/>
    </row>
    <row r="2" spans="1:12" ht="12.75" customHeight="1" x14ac:dyDescent="0.25">
      <c r="A2" s="6"/>
      <c r="B2" s="28"/>
      <c r="C2" s="10"/>
      <c r="D2" s="1131"/>
      <c r="E2" s="303"/>
      <c r="F2" s="16"/>
      <c r="G2" s="17"/>
      <c r="H2" s="364"/>
    </row>
    <row r="3" spans="1:12" ht="12.75" customHeight="1" x14ac:dyDescent="0.25">
      <c r="A3" s="67" t="s">
        <v>336</v>
      </c>
      <c r="B3" s="28"/>
      <c r="C3" s="496" t="s">
        <v>1866</v>
      </c>
      <c r="D3" s="583"/>
      <c r="E3" s="303"/>
      <c r="F3" s="16"/>
      <c r="G3" s="17"/>
      <c r="H3" s="364"/>
    </row>
    <row r="4" spans="1:12" ht="12.75" customHeight="1" x14ac:dyDescent="0.25">
      <c r="A4" s="6"/>
      <c r="B4" s="28"/>
      <c r="C4" s="496" t="s">
        <v>335</v>
      </c>
      <c r="D4" s="374"/>
      <c r="E4" s="303"/>
      <c r="F4" s="16"/>
      <c r="G4" s="17"/>
      <c r="H4" s="364"/>
    </row>
    <row r="5" spans="1:12" ht="12.75" customHeight="1" x14ac:dyDescent="0.25">
      <c r="A5" s="6"/>
      <c r="B5" s="28"/>
      <c r="C5" s="10"/>
      <c r="D5" s="1131"/>
      <c r="E5" s="303"/>
      <c r="F5" s="16"/>
      <c r="G5" s="17"/>
      <c r="H5" s="364"/>
    </row>
    <row r="6" spans="1:12" ht="18" x14ac:dyDescent="0.25">
      <c r="A6" s="33" t="s">
        <v>799</v>
      </c>
      <c r="B6" s="28"/>
      <c r="C6" s="10"/>
      <c r="D6" s="1131"/>
      <c r="E6" s="303"/>
      <c r="F6" s="16"/>
      <c r="G6" s="17"/>
      <c r="H6" s="364"/>
    </row>
    <row r="7" spans="1:12" ht="13.5" thickBot="1" x14ac:dyDescent="0.25">
      <c r="B7" s="584"/>
      <c r="C7" s="585"/>
      <c r="F7" s="574"/>
      <c r="H7" s="1920" t="s">
        <v>148</v>
      </c>
    </row>
    <row r="8" spans="1:12" s="106" customFormat="1" ht="30" customHeight="1" thickTop="1" thickBot="1" x14ac:dyDescent="0.25">
      <c r="A8" s="586" t="s">
        <v>149</v>
      </c>
      <c r="B8" s="587" t="s">
        <v>150</v>
      </c>
      <c r="C8" s="588" t="s">
        <v>639</v>
      </c>
      <c r="D8" s="658" t="s">
        <v>151</v>
      </c>
      <c r="E8" s="658" t="s">
        <v>569</v>
      </c>
      <c r="F8" s="658" t="s">
        <v>570</v>
      </c>
      <c r="G8" s="658" t="s">
        <v>797</v>
      </c>
      <c r="H8" s="861" t="s">
        <v>798</v>
      </c>
    </row>
    <row r="9" spans="1:12" s="484" customFormat="1" thickTop="1" thickBot="1" x14ac:dyDescent="0.25">
      <c r="A9" s="525">
        <v>1</v>
      </c>
      <c r="B9" s="477">
        <v>2</v>
      </c>
      <c r="C9" s="477">
        <v>3</v>
      </c>
      <c r="D9" s="477">
        <v>4</v>
      </c>
      <c r="E9" s="862">
        <v>5</v>
      </c>
      <c r="F9" s="862">
        <v>6</v>
      </c>
      <c r="G9" s="526">
        <v>7</v>
      </c>
      <c r="H9" s="863" t="s">
        <v>659</v>
      </c>
      <c r="I9" s="864"/>
    </row>
    <row r="10" spans="1:12" s="875" customFormat="1" ht="15.75" thickTop="1" x14ac:dyDescent="0.25">
      <c r="A10" s="1250">
        <v>6113</v>
      </c>
      <c r="B10" s="1239">
        <v>5019</v>
      </c>
      <c r="C10" s="885"/>
      <c r="D10" s="1236" t="s">
        <v>1103</v>
      </c>
      <c r="E10" s="1243">
        <v>100</v>
      </c>
      <c r="F10" s="166">
        <v>100</v>
      </c>
      <c r="G10" s="363">
        <v>100</v>
      </c>
      <c r="H10" s="881">
        <f>(G10/F10)*100</f>
        <v>100</v>
      </c>
      <c r="J10" s="1986"/>
      <c r="K10" s="1986"/>
      <c r="L10" s="1986"/>
    </row>
    <row r="11" spans="1:12" s="875" customFormat="1" ht="15" x14ac:dyDescent="0.25">
      <c r="A11" s="1251">
        <v>6113</v>
      </c>
      <c r="B11" s="1240">
        <v>5021</v>
      </c>
      <c r="C11" s="886"/>
      <c r="D11" s="876" t="s">
        <v>356</v>
      </c>
      <c r="E11" s="1244">
        <v>4495</v>
      </c>
      <c r="F11" s="166">
        <v>4495</v>
      </c>
      <c r="G11" s="311">
        <v>4135</v>
      </c>
      <c r="H11" s="881">
        <f>(G11/F11)*100</f>
        <v>91.991101223581765</v>
      </c>
      <c r="J11" s="1986"/>
      <c r="K11" s="1986"/>
      <c r="L11" s="1986"/>
    </row>
    <row r="12" spans="1:12" s="875" customFormat="1" ht="15" x14ac:dyDescent="0.25">
      <c r="A12" s="1251">
        <v>6113</v>
      </c>
      <c r="B12" s="1240">
        <v>5023</v>
      </c>
      <c r="C12" s="886"/>
      <c r="D12" s="1237" t="s">
        <v>1298</v>
      </c>
      <c r="E12" s="1244">
        <v>11680</v>
      </c>
      <c r="F12" s="166">
        <v>11979</v>
      </c>
      <c r="G12" s="311">
        <v>11905</v>
      </c>
      <c r="H12" s="881">
        <f t="shared" ref="H12:H25" si="0">(G12/F12)*100</f>
        <v>99.382252274814249</v>
      </c>
      <c r="J12" s="1986"/>
      <c r="K12" s="1986"/>
      <c r="L12" s="1986"/>
    </row>
    <row r="13" spans="1:12" s="875" customFormat="1" ht="30" x14ac:dyDescent="0.2">
      <c r="A13" s="1251">
        <v>6113</v>
      </c>
      <c r="B13" s="1240">
        <v>5031</v>
      </c>
      <c r="C13" s="886"/>
      <c r="D13" s="1237" t="s">
        <v>1620</v>
      </c>
      <c r="E13" s="1244">
        <v>3094</v>
      </c>
      <c r="F13" s="1235">
        <v>3145</v>
      </c>
      <c r="G13" s="735">
        <v>3006</v>
      </c>
      <c r="H13" s="1247">
        <f t="shared" si="0"/>
        <v>95.580286168521468</v>
      </c>
      <c r="J13" s="1986"/>
      <c r="K13" s="1986"/>
      <c r="L13" s="1986"/>
    </row>
    <row r="14" spans="1:12" s="875" customFormat="1" ht="15" x14ac:dyDescent="0.25">
      <c r="A14" s="1251">
        <v>6113</v>
      </c>
      <c r="B14" s="1240">
        <v>5032</v>
      </c>
      <c r="C14" s="886"/>
      <c r="D14" s="1237" t="s">
        <v>1299</v>
      </c>
      <c r="E14" s="1244">
        <v>1430</v>
      </c>
      <c r="F14" s="166">
        <v>1457</v>
      </c>
      <c r="G14" s="311">
        <v>1459</v>
      </c>
      <c r="H14" s="881">
        <f t="shared" si="0"/>
        <v>100.13726835964309</v>
      </c>
      <c r="J14" s="1986"/>
      <c r="K14" s="1986"/>
      <c r="L14" s="1986"/>
    </row>
    <row r="15" spans="1:12" s="875" customFormat="1" ht="30" x14ac:dyDescent="0.2">
      <c r="A15" s="1251">
        <v>6113</v>
      </c>
      <c r="B15" s="1240">
        <v>5039</v>
      </c>
      <c r="C15" s="886"/>
      <c r="D15" s="1237" t="s">
        <v>1050</v>
      </c>
      <c r="E15" s="1244">
        <v>50</v>
      </c>
      <c r="F15" s="1235">
        <v>50</v>
      </c>
      <c r="G15" s="735">
        <v>33</v>
      </c>
      <c r="H15" s="1247">
        <f t="shared" si="0"/>
        <v>66</v>
      </c>
      <c r="J15" s="1986"/>
      <c r="K15" s="1986"/>
      <c r="L15" s="1986"/>
    </row>
    <row r="16" spans="1:12" s="875" customFormat="1" ht="15" x14ac:dyDescent="0.2">
      <c r="A16" s="1251">
        <v>6113</v>
      </c>
      <c r="B16" s="1240">
        <v>5041</v>
      </c>
      <c r="C16" s="886"/>
      <c r="D16" s="1237" t="s">
        <v>1604</v>
      </c>
      <c r="E16" s="1244">
        <v>516</v>
      </c>
      <c r="F16" s="1235">
        <v>516</v>
      </c>
      <c r="G16" s="735">
        <v>497</v>
      </c>
      <c r="H16" s="1247">
        <f t="shared" si="0"/>
        <v>96.31782945736434</v>
      </c>
      <c r="J16" s="1986"/>
      <c r="K16" s="1986"/>
      <c r="L16" s="1986"/>
    </row>
    <row r="17" spans="1:12" s="875" customFormat="1" ht="15" x14ac:dyDescent="0.25">
      <c r="A17" s="1251">
        <v>6113</v>
      </c>
      <c r="B17" s="1240">
        <v>5133</v>
      </c>
      <c r="C17" s="886"/>
      <c r="D17" s="876" t="s">
        <v>1773</v>
      </c>
      <c r="E17" s="1244">
        <v>0</v>
      </c>
      <c r="F17" s="1235">
        <v>1</v>
      </c>
      <c r="G17" s="735">
        <v>1</v>
      </c>
      <c r="H17" s="1247">
        <f t="shared" si="0"/>
        <v>100</v>
      </c>
      <c r="J17" s="1986"/>
      <c r="K17" s="1986"/>
      <c r="L17" s="1986"/>
    </row>
    <row r="18" spans="1:12" s="875" customFormat="1" ht="15" x14ac:dyDescent="0.25">
      <c r="A18" s="1251">
        <v>6113</v>
      </c>
      <c r="B18" s="1240">
        <v>5136</v>
      </c>
      <c r="C18" s="886"/>
      <c r="D18" s="1237" t="s">
        <v>552</v>
      </c>
      <c r="E18" s="1244">
        <v>63</v>
      </c>
      <c r="F18" s="166">
        <v>106</v>
      </c>
      <c r="G18" s="311">
        <v>106</v>
      </c>
      <c r="H18" s="881">
        <f t="shared" si="0"/>
        <v>100</v>
      </c>
      <c r="J18" s="1986"/>
      <c r="K18" s="1986"/>
      <c r="L18" s="1986"/>
    </row>
    <row r="19" spans="1:12" s="875" customFormat="1" ht="15" x14ac:dyDescent="0.25">
      <c r="A19" s="1251">
        <v>6113</v>
      </c>
      <c r="B19" s="1240">
        <v>5137</v>
      </c>
      <c r="C19" s="886"/>
      <c r="D19" s="1237" t="s">
        <v>142</v>
      </c>
      <c r="E19" s="1244">
        <v>30</v>
      </c>
      <c r="F19" s="166">
        <v>110</v>
      </c>
      <c r="G19" s="311">
        <v>76</v>
      </c>
      <c r="H19" s="881">
        <f t="shared" si="0"/>
        <v>69.090909090909093</v>
      </c>
      <c r="J19" s="1986"/>
      <c r="K19" s="1986"/>
      <c r="L19" s="1986"/>
    </row>
    <row r="20" spans="1:12" s="875" customFormat="1" ht="15" x14ac:dyDescent="0.25">
      <c r="A20" s="1251">
        <v>6113</v>
      </c>
      <c r="B20" s="1240">
        <v>5139</v>
      </c>
      <c r="C20" s="886"/>
      <c r="D20" s="1237" t="s">
        <v>566</v>
      </c>
      <c r="E20" s="1244">
        <v>500</v>
      </c>
      <c r="F20" s="166">
        <v>499</v>
      </c>
      <c r="G20" s="311">
        <v>291</v>
      </c>
      <c r="H20" s="881">
        <f t="shared" si="0"/>
        <v>58.316633266533067</v>
      </c>
      <c r="J20" s="1986"/>
      <c r="K20" s="1986"/>
      <c r="L20" s="1986"/>
    </row>
    <row r="21" spans="1:12" s="875" customFormat="1" ht="15" x14ac:dyDescent="0.25">
      <c r="A21" s="1251">
        <v>6113</v>
      </c>
      <c r="B21" s="1240">
        <v>5142</v>
      </c>
      <c r="C21" s="886"/>
      <c r="D21" s="1237" t="s">
        <v>1605</v>
      </c>
      <c r="E21" s="1244">
        <v>3</v>
      </c>
      <c r="F21" s="166">
        <v>3</v>
      </c>
      <c r="G21" s="311">
        <v>0</v>
      </c>
      <c r="H21" s="881">
        <f t="shared" si="0"/>
        <v>0</v>
      </c>
      <c r="J21" s="1986"/>
      <c r="K21" s="1986"/>
      <c r="L21" s="1986"/>
    </row>
    <row r="22" spans="1:12" s="875" customFormat="1" ht="15" x14ac:dyDescent="0.25">
      <c r="A22" s="1251">
        <v>6113</v>
      </c>
      <c r="B22" s="1240">
        <v>5151</v>
      </c>
      <c r="C22" s="886"/>
      <c r="D22" s="1237" t="s">
        <v>776</v>
      </c>
      <c r="E22" s="1244">
        <v>40</v>
      </c>
      <c r="F22" s="166">
        <v>40</v>
      </c>
      <c r="G22" s="311">
        <v>27</v>
      </c>
      <c r="H22" s="881">
        <f t="shared" si="0"/>
        <v>67.5</v>
      </c>
      <c r="J22" s="1986"/>
      <c r="K22" s="1986"/>
      <c r="L22" s="1986"/>
    </row>
    <row r="23" spans="1:12" s="875" customFormat="1" ht="15" x14ac:dyDescent="0.25">
      <c r="A23" s="1251">
        <v>6113</v>
      </c>
      <c r="B23" s="1240">
        <v>5152</v>
      </c>
      <c r="C23" s="886"/>
      <c r="D23" s="1237" t="s">
        <v>779</v>
      </c>
      <c r="E23" s="1244">
        <v>300</v>
      </c>
      <c r="F23" s="166">
        <v>300</v>
      </c>
      <c r="G23" s="311">
        <v>198</v>
      </c>
      <c r="H23" s="881">
        <f t="shared" si="0"/>
        <v>66</v>
      </c>
      <c r="J23" s="1986"/>
      <c r="K23" s="1986"/>
      <c r="L23" s="1986"/>
    </row>
    <row r="24" spans="1:12" s="875" customFormat="1" ht="15" x14ac:dyDescent="0.25">
      <c r="A24" s="1251">
        <v>6113</v>
      </c>
      <c r="B24" s="1240">
        <v>5154</v>
      </c>
      <c r="C24" s="886"/>
      <c r="D24" s="1237" t="s">
        <v>274</v>
      </c>
      <c r="E24" s="1244">
        <v>420</v>
      </c>
      <c r="F24" s="166">
        <v>420</v>
      </c>
      <c r="G24" s="311">
        <v>288</v>
      </c>
      <c r="H24" s="881">
        <f t="shared" si="0"/>
        <v>68.571428571428569</v>
      </c>
      <c r="J24" s="1986"/>
      <c r="K24" s="1986"/>
      <c r="L24" s="1986"/>
    </row>
    <row r="25" spans="1:12" s="875" customFormat="1" ht="15" x14ac:dyDescent="0.25">
      <c r="A25" s="1251">
        <v>6113</v>
      </c>
      <c r="B25" s="1240">
        <v>5156</v>
      </c>
      <c r="C25" s="886"/>
      <c r="D25" s="1237" t="s">
        <v>275</v>
      </c>
      <c r="E25" s="1244">
        <v>500</v>
      </c>
      <c r="F25" s="166">
        <v>500</v>
      </c>
      <c r="G25" s="311">
        <v>423</v>
      </c>
      <c r="H25" s="881">
        <f t="shared" si="0"/>
        <v>84.6</v>
      </c>
      <c r="J25" s="1986"/>
      <c r="K25" s="1986"/>
      <c r="L25" s="1986"/>
    </row>
    <row r="26" spans="1:12" s="875" customFormat="1" ht="15" x14ac:dyDescent="0.25">
      <c r="A26" s="1251">
        <v>6113</v>
      </c>
      <c r="B26" s="1240">
        <v>5161</v>
      </c>
      <c r="C26" s="886"/>
      <c r="D26" s="1237" t="s">
        <v>1607</v>
      </c>
      <c r="E26" s="1244">
        <v>3</v>
      </c>
      <c r="F26" s="166">
        <v>3</v>
      </c>
      <c r="G26" s="311">
        <v>0</v>
      </c>
      <c r="H26" s="881">
        <v>0</v>
      </c>
      <c r="J26" s="1986"/>
      <c r="K26" s="1986"/>
      <c r="L26" s="1986"/>
    </row>
    <row r="27" spans="1:12" s="875" customFormat="1" ht="15" x14ac:dyDescent="0.25">
      <c r="A27" s="1251">
        <v>6113</v>
      </c>
      <c r="B27" s="1240">
        <v>5162</v>
      </c>
      <c r="C27" s="886"/>
      <c r="D27" s="1237" t="s">
        <v>780</v>
      </c>
      <c r="E27" s="1244">
        <v>150</v>
      </c>
      <c r="F27" s="166">
        <v>147</v>
      </c>
      <c r="G27" s="311">
        <v>73</v>
      </c>
      <c r="H27" s="881">
        <f>(G27/F27)*100</f>
        <v>49.65986394557823</v>
      </c>
      <c r="J27" s="1986"/>
      <c r="K27" s="1986"/>
      <c r="L27" s="1986"/>
    </row>
    <row r="28" spans="1:12" s="875" customFormat="1" ht="15" x14ac:dyDescent="0.25">
      <c r="A28" s="1251">
        <v>6113</v>
      </c>
      <c r="B28" s="1240">
        <v>5163</v>
      </c>
      <c r="C28" s="886"/>
      <c r="D28" s="1237" t="s">
        <v>807</v>
      </c>
      <c r="E28" s="1244">
        <v>50</v>
      </c>
      <c r="F28" s="166">
        <v>50</v>
      </c>
      <c r="G28" s="311">
        <v>20</v>
      </c>
      <c r="H28" s="881">
        <f t="shared" ref="H28:H37" si="1">(G28/F28)*100</f>
        <v>40</v>
      </c>
      <c r="J28" s="1986"/>
      <c r="K28" s="1986"/>
      <c r="L28" s="1986"/>
    </row>
    <row r="29" spans="1:12" s="875" customFormat="1" ht="15" x14ac:dyDescent="0.25">
      <c r="A29" s="1251">
        <v>6113</v>
      </c>
      <c r="B29" s="1240">
        <v>5164</v>
      </c>
      <c r="C29" s="886"/>
      <c r="D29" s="1237" t="s">
        <v>157</v>
      </c>
      <c r="E29" s="1244">
        <v>20</v>
      </c>
      <c r="F29" s="166">
        <v>30</v>
      </c>
      <c r="G29" s="311">
        <v>24</v>
      </c>
      <c r="H29" s="881">
        <f t="shared" si="1"/>
        <v>80</v>
      </c>
      <c r="J29" s="1986"/>
      <c r="K29" s="1986"/>
      <c r="L29" s="1986"/>
    </row>
    <row r="30" spans="1:12" s="875" customFormat="1" ht="15" x14ac:dyDescent="0.25">
      <c r="A30" s="1251">
        <v>6113</v>
      </c>
      <c r="B30" s="1240">
        <v>5166</v>
      </c>
      <c r="C30" s="886"/>
      <c r="D30" s="1237" t="s">
        <v>553</v>
      </c>
      <c r="E30" s="1244">
        <v>20</v>
      </c>
      <c r="F30" s="166">
        <v>20</v>
      </c>
      <c r="G30" s="311">
        <v>0</v>
      </c>
      <c r="H30" s="881">
        <f t="shared" si="1"/>
        <v>0</v>
      </c>
      <c r="J30" s="1986"/>
      <c r="K30" s="1986"/>
      <c r="L30" s="1986"/>
    </row>
    <row r="31" spans="1:12" s="875" customFormat="1" ht="15" x14ac:dyDescent="0.25">
      <c r="A31" s="1251">
        <v>6113</v>
      </c>
      <c r="B31" s="1240">
        <v>5167</v>
      </c>
      <c r="C31" s="886"/>
      <c r="D31" s="1237" t="s">
        <v>810</v>
      </c>
      <c r="E31" s="1244">
        <v>50</v>
      </c>
      <c r="F31" s="166">
        <v>77</v>
      </c>
      <c r="G31" s="311">
        <v>69</v>
      </c>
      <c r="H31" s="881">
        <v>0</v>
      </c>
      <c r="J31" s="1986"/>
      <c r="K31" s="1986"/>
      <c r="L31" s="1986"/>
    </row>
    <row r="32" spans="1:12" s="875" customFormat="1" ht="30" x14ac:dyDescent="0.2">
      <c r="A32" s="2090">
        <v>6113</v>
      </c>
      <c r="B32" s="2091">
        <v>5168</v>
      </c>
      <c r="C32" s="886"/>
      <c r="D32" s="2089" t="s">
        <v>1606</v>
      </c>
      <c r="E32" s="2092">
        <v>0</v>
      </c>
      <c r="F32" s="1098">
        <v>3</v>
      </c>
      <c r="G32" s="434">
        <v>3</v>
      </c>
      <c r="H32" s="1099">
        <f t="shared" si="1"/>
        <v>100</v>
      </c>
      <c r="J32" s="1986"/>
      <c r="K32" s="1986"/>
      <c r="L32" s="1986"/>
    </row>
    <row r="33" spans="1:12" s="875" customFormat="1" ht="15" x14ac:dyDescent="0.25">
      <c r="A33" s="1251">
        <v>6113</v>
      </c>
      <c r="B33" s="1240">
        <v>5169</v>
      </c>
      <c r="C33" s="886"/>
      <c r="D33" s="1237" t="s">
        <v>769</v>
      </c>
      <c r="E33" s="1244">
        <v>1967</v>
      </c>
      <c r="F33" s="166">
        <v>1753</v>
      </c>
      <c r="G33" s="311">
        <v>711</v>
      </c>
      <c r="H33" s="881">
        <f>(G33/F33)*100</f>
        <v>40.559041642897888</v>
      </c>
      <c r="J33" s="1986"/>
      <c r="K33" s="1986"/>
      <c r="L33" s="1986"/>
    </row>
    <row r="34" spans="1:12" s="875" customFormat="1" ht="15" x14ac:dyDescent="0.25">
      <c r="A34" s="1251">
        <v>6113</v>
      </c>
      <c r="B34" s="1240">
        <v>5171</v>
      </c>
      <c r="C34" s="886"/>
      <c r="D34" s="1237" t="s">
        <v>811</v>
      </c>
      <c r="E34" s="1244">
        <v>265</v>
      </c>
      <c r="F34" s="166">
        <v>265</v>
      </c>
      <c r="G34" s="311">
        <v>197</v>
      </c>
      <c r="H34" s="881">
        <f t="shared" si="1"/>
        <v>74.339622641509422</v>
      </c>
      <c r="J34" s="1986"/>
      <c r="K34" s="1986"/>
      <c r="L34" s="1986"/>
    </row>
    <row r="35" spans="1:12" s="875" customFormat="1" ht="15" x14ac:dyDescent="0.25">
      <c r="A35" s="1251">
        <v>6113</v>
      </c>
      <c r="B35" s="1240">
        <v>5172</v>
      </c>
      <c r="C35" s="886"/>
      <c r="D35" s="1237" t="s">
        <v>812</v>
      </c>
      <c r="E35" s="1244">
        <v>90</v>
      </c>
      <c r="F35" s="166">
        <v>90</v>
      </c>
      <c r="G35" s="311">
        <v>59</v>
      </c>
      <c r="H35" s="881">
        <f t="shared" si="1"/>
        <v>65.555555555555557</v>
      </c>
      <c r="J35" s="1986"/>
      <c r="K35" s="1986"/>
      <c r="L35" s="1986"/>
    </row>
    <row r="36" spans="1:12" s="875" customFormat="1" ht="15" x14ac:dyDescent="0.25">
      <c r="A36" s="1251">
        <v>6113</v>
      </c>
      <c r="B36" s="1240">
        <v>5173</v>
      </c>
      <c r="C36" s="886"/>
      <c r="D36" s="1237" t="s">
        <v>1038</v>
      </c>
      <c r="E36" s="1244">
        <v>1370</v>
      </c>
      <c r="F36" s="433">
        <v>1370</v>
      </c>
      <c r="G36" s="1893">
        <v>972</v>
      </c>
      <c r="H36" s="881">
        <f t="shared" si="1"/>
        <v>70.948905109489047</v>
      </c>
      <c r="J36" s="1986"/>
      <c r="K36" s="1986"/>
      <c r="L36" s="1986"/>
    </row>
    <row r="37" spans="1:12" s="875" customFormat="1" ht="15" x14ac:dyDescent="0.25">
      <c r="A37" s="1251">
        <v>6113</v>
      </c>
      <c r="B37" s="1240">
        <v>5175</v>
      </c>
      <c r="C37" s="888"/>
      <c r="D37" s="1237" t="s">
        <v>605</v>
      </c>
      <c r="E37" s="1244">
        <v>1355</v>
      </c>
      <c r="F37" s="309">
        <v>1355</v>
      </c>
      <c r="G37" s="311">
        <v>936</v>
      </c>
      <c r="H37" s="200">
        <f t="shared" si="1"/>
        <v>69.077490774907744</v>
      </c>
      <c r="J37" s="1986"/>
      <c r="K37" s="1986"/>
      <c r="L37" s="1986"/>
    </row>
    <row r="38" spans="1:12" s="875" customFormat="1" ht="15" x14ac:dyDescent="0.25">
      <c r="A38" s="1251">
        <v>6113</v>
      </c>
      <c r="B38" s="1240">
        <v>5176</v>
      </c>
      <c r="C38" s="888"/>
      <c r="D38" s="1237" t="s">
        <v>1119</v>
      </c>
      <c r="E38" s="1244">
        <v>10</v>
      </c>
      <c r="F38" s="309">
        <v>15</v>
      </c>
      <c r="G38" s="311">
        <v>12</v>
      </c>
      <c r="H38" s="200">
        <f>(G38/F38)*100</f>
        <v>80</v>
      </c>
      <c r="J38" s="1986"/>
      <c r="K38" s="1986"/>
      <c r="L38" s="1986"/>
    </row>
    <row r="39" spans="1:12" s="875" customFormat="1" ht="15" x14ac:dyDescent="0.25">
      <c r="A39" s="1251">
        <v>6113</v>
      </c>
      <c r="B39" s="1240">
        <v>5189</v>
      </c>
      <c r="C39" s="886"/>
      <c r="D39" s="1237" t="s">
        <v>782</v>
      </c>
      <c r="E39" s="1244">
        <v>70</v>
      </c>
      <c r="F39" s="309">
        <v>70</v>
      </c>
      <c r="G39" s="311">
        <v>0</v>
      </c>
      <c r="H39" s="881">
        <f>(G39/F39)*100</f>
        <v>0</v>
      </c>
      <c r="J39" s="1986"/>
      <c r="K39" s="1986"/>
      <c r="L39" s="1986"/>
    </row>
    <row r="40" spans="1:12" s="875" customFormat="1" ht="15" x14ac:dyDescent="0.25">
      <c r="A40" s="1251">
        <v>6113</v>
      </c>
      <c r="B40" s="1240">
        <v>5194</v>
      </c>
      <c r="C40" s="886"/>
      <c r="D40" s="1237" t="s">
        <v>544</v>
      </c>
      <c r="E40" s="1244">
        <v>50</v>
      </c>
      <c r="F40" s="166">
        <v>100</v>
      </c>
      <c r="G40" s="311">
        <v>37</v>
      </c>
      <c r="H40" s="881">
        <f>(G40/F40)*100</f>
        <v>37</v>
      </c>
      <c r="J40" s="1986"/>
      <c r="K40" s="1986"/>
      <c r="L40" s="1986"/>
    </row>
    <row r="41" spans="1:12" s="875" customFormat="1" ht="15" x14ac:dyDescent="0.25">
      <c r="A41" s="1251">
        <v>6113</v>
      </c>
      <c r="B41" s="1240">
        <v>5361</v>
      </c>
      <c r="C41" s="886"/>
      <c r="D41" s="1237" t="s">
        <v>545</v>
      </c>
      <c r="E41" s="1244">
        <v>2</v>
      </c>
      <c r="F41" s="166">
        <v>2</v>
      </c>
      <c r="G41" s="311">
        <v>0</v>
      </c>
      <c r="H41" s="881">
        <f t="shared" ref="H41:H47" si="2">(G41/F41)*100</f>
        <v>0</v>
      </c>
      <c r="J41" s="1986"/>
      <c r="K41" s="1986"/>
      <c r="L41" s="1986"/>
    </row>
    <row r="42" spans="1:12" s="875" customFormat="1" ht="15" x14ac:dyDescent="0.25">
      <c r="A42" s="1251">
        <v>6113</v>
      </c>
      <c r="B42" s="1240">
        <v>5362</v>
      </c>
      <c r="C42" s="886"/>
      <c r="D42" s="1237" t="s">
        <v>1300</v>
      </c>
      <c r="E42" s="1244">
        <v>2</v>
      </c>
      <c r="F42" s="309">
        <v>2</v>
      </c>
      <c r="G42" s="311">
        <v>0</v>
      </c>
      <c r="H42" s="881">
        <f t="shared" si="2"/>
        <v>0</v>
      </c>
      <c r="J42" s="1986"/>
      <c r="K42" s="1986"/>
      <c r="L42" s="1986"/>
    </row>
    <row r="43" spans="1:12" s="875" customFormat="1" ht="15" x14ac:dyDescent="0.25">
      <c r="A43" s="1251">
        <v>6113</v>
      </c>
      <c r="B43" s="1240">
        <v>5424</v>
      </c>
      <c r="C43" s="886"/>
      <c r="D43" s="1237" t="s">
        <v>587</v>
      </c>
      <c r="E43" s="1244">
        <v>50</v>
      </c>
      <c r="F43" s="166">
        <v>50</v>
      </c>
      <c r="G43" s="311">
        <v>0</v>
      </c>
      <c r="H43" s="881">
        <f t="shared" si="2"/>
        <v>0</v>
      </c>
      <c r="J43" s="1986"/>
      <c r="K43" s="1986"/>
      <c r="L43" s="1986"/>
    </row>
    <row r="44" spans="1:12" s="875" customFormat="1" ht="15" x14ac:dyDescent="0.25">
      <c r="A44" s="1251">
        <v>6113</v>
      </c>
      <c r="B44" s="1240">
        <v>5492</v>
      </c>
      <c r="C44" s="886"/>
      <c r="D44" s="1237" t="s">
        <v>768</v>
      </c>
      <c r="E44" s="1244">
        <v>15</v>
      </c>
      <c r="F44" s="166">
        <v>15</v>
      </c>
      <c r="G44" s="311">
        <v>15</v>
      </c>
      <c r="H44" s="881">
        <f t="shared" si="2"/>
        <v>100</v>
      </c>
      <c r="J44" s="1986"/>
      <c r="K44" s="1986"/>
      <c r="L44" s="1986"/>
    </row>
    <row r="45" spans="1:12" s="875" customFormat="1" ht="15" x14ac:dyDescent="0.25">
      <c r="A45" s="1251">
        <v>6113</v>
      </c>
      <c r="B45" s="1240">
        <v>5499</v>
      </c>
      <c r="C45" s="886"/>
      <c r="D45" s="1905" t="s">
        <v>343</v>
      </c>
      <c r="E45" s="2109">
        <v>0</v>
      </c>
      <c r="F45" s="166">
        <v>0</v>
      </c>
      <c r="G45" s="433">
        <v>1</v>
      </c>
      <c r="H45" s="881">
        <v>0</v>
      </c>
      <c r="J45" s="1986"/>
      <c r="K45" s="1986"/>
      <c r="L45" s="1986"/>
    </row>
    <row r="46" spans="1:12" s="875" customFormat="1" ht="18.75" customHeight="1" thickBot="1" x14ac:dyDescent="0.25">
      <c r="A46" s="1252">
        <v>6330</v>
      </c>
      <c r="B46" s="1241">
        <v>5342</v>
      </c>
      <c r="C46" s="921"/>
      <c r="D46" s="1238" t="s">
        <v>1301</v>
      </c>
      <c r="E46" s="1245">
        <v>273</v>
      </c>
      <c r="F46" s="1242">
        <v>280</v>
      </c>
      <c r="G46" s="1246">
        <v>249</v>
      </c>
      <c r="H46" s="1248">
        <f t="shared" si="2"/>
        <v>88.928571428571416</v>
      </c>
      <c r="J46" s="1986"/>
      <c r="K46" s="1986"/>
      <c r="L46" s="1986"/>
    </row>
    <row r="47" spans="1:12" s="356" customFormat="1" ht="35.25" customHeight="1" thickTop="1" thickBot="1" x14ac:dyDescent="0.3">
      <c r="A47" s="631" t="s">
        <v>225</v>
      </c>
      <c r="B47" s="632"/>
      <c r="C47" s="889"/>
      <c r="D47" s="632"/>
      <c r="E47" s="634">
        <f>SUM(E10:E33,E34:E36,E37:E46)</f>
        <v>29033</v>
      </c>
      <c r="F47" s="634">
        <f>SUM(F10:F33,F34:F36,F37:F46)</f>
        <v>29418</v>
      </c>
      <c r="G47" s="634">
        <f>SUM(G10:G33,G34:G36,G37:G46)</f>
        <v>25923</v>
      </c>
      <c r="H47" s="857">
        <f t="shared" si="2"/>
        <v>88.119518662043646</v>
      </c>
    </row>
    <row r="48" spans="1:12" ht="15.75" thickTop="1" x14ac:dyDescent="0.25">
      <c r="A48" s="865"/>
      <c r="B48" s="1921"/>
      <c r="C48" s="866"/>
      <c r="D48" s="607"/>
      <c r="E48" s="812"/>
      <c r="F48" s="867"/>
      <c r="G48" s="812"/>
      <c r="H48" s="868"/>
    </row>
    <row r="49" spans="1:12" ht="15" x14ac:dyDescent="0.25">
      <c r="A49" s="869"/>
      <c r="B49" s="1922"/>
      <c r="C49" s="870"/>
      <c r="D49" s="647"/>
      <c r="E49" s="178"/>
      <c r="F49" s="741"/>
      <c r="G49" s="178"/>
      <c r="H49" s="871"/>
    </row>
    <row r="50" spans="1:12" x14ac:dyDescent="0.2">
      <c r="H50" s="1923"/>
    </row>
    <row r="51" spans="1:12" ht="16.5" x14ac:dyDescent="0.25">
      <c r="A51" s="357" t="s">
        <v>440</v>
      </c>
      <c r="B51" s="358"/>
      <c r="C51" s="359"/>
      <c r="D51" s="359"/>
      <c r="E51" s="642">
        <f>E52+E53+E54+E55+E56</f>
        <v>29033</v>
      </c>
      <c r="F51" s="642">
        <f>F52+F53+F54+F55+F56</f>
        <v>29418</v>
      </c>
      <c r="G51" s="642">
        <f>G52+G53+G54+G55+G56</f>
        <v>25923</v>
      </c>
      <c r="H51" s="581">
        <f>(G51/F51)*100</f>
        <v>88.119518662043646</v>
      </c>
      <c r="J51" s="1611">
        <f>SUM(J52:J56)</f>
        <v>29033000</v>
      </c>
      <c r="K51" s="1611">
        <f>SUM(K52:K56)</f>
        <v>29417725</v>
      </c>
      <c r="L51" s="1611">
        <f t="shared" ref="L51" si="3">SUM(L52:L56)</f>
        <v>25922728.640000001</v>
      </c>
    </row>
    <row r="52" spans="1:12" ht="15" x14ac:dyDescent="0.2">
      <c r="A52" s="520" t="s">
        <v>242</v>
      </c>
      <c r="B52" s="666"/>
      <c r="C52" s="1159"/>
      <c r="D52" s="1159"/>
      <c r="E52" s="545">
        <f>E47-E46</f>
        <v>28760</v>
      </c>
      <c r="F52" s="545">
        <f>F47-F46</f>
        <v>29138</v>
      </c>
      <c r="G52" s="545">
        <f>G47-G46</f>
        <v>25674</v>
      </c>
      <c r="H52" s="872">
        <f>(G52/F52)*100</f>
        <v>88.111744114215114</v>
      </c>
      <c r="J52" s="1437">
        <v>28760000</v>
      </c>
      <c r="K52" s="1437">
        <f>29137555</f>
        <v>29137555</v>
      </c>
      <c r="L52" s="1437">
        <f>25672128.64+1300</f>
        <v>25673428.640000001</v>
      </c>
    </row>
    <row r="53" spans="1:12" ht="15" x14ac:dyDescent="0.2">
      <c r="A53" s="520" t="s">
        <v>243</v>
      </c>
      <c r="B53" s="1160"/>
      <c r="C53" s="1159"/>
      <c r="D53" s="1159"/>
      <c r="E53" s="549">
        <v>0</v>
      </c>
      <c r="F53" s="549">
        <v>0</v>
      </c>
      <c r="G53" s="549">
        <v>0</v>
      </c>
      <c r="H53" s="872">
        <v>0</v>
      </c>
      <c r="J53" s="1437">
        <v>0</v>
      </c>
      <c r="K53" s="1437">
        <v>0</v>
      </c>
      <c r="L53" s="1437">
        <v>0</v>
      </c>
    </row>
    <row r="54" spans="1:12" ht="15" x14ac:dyDescent="0.2">
      <c r="A54" s="520" t="s">
        <v>191</v>
      </c>
      <c r="B54" s="1160"/>
      <c r="C54" s="1159"/>
      <c r="D54" s="1159"/>
      <c r="E54" s="549">
        <v>0</v>
      </c>
      <c r="F54" s="549">
        <v>0</v>
      </c>
      <c r="G54" s="549">
        <v>0</v>
      </c>
      <c r="H54" s="872">
        <v>0</v>
      </c>
      <c r="J54" s="1437">
        <v>0</v>
      </c>
      <c r="K54" s="1437">
        <v>0</v>
      </c>
      <c r="L54" s="1437">
        <v>0</v>
      </c>
    </row>
    <row r="55" spans="1:12" ht="15" x14ac:dyDescent="0.2">
      <c r="A55" s="520" t="s">
        <v>1034</v>
      </c>
      <c r="B55" s="1160"/>
      <c r="C55" s="1159"/>
      <c r="D55" s="1159"/>
      <c r="E55" s="549">
        <v>0</v>
      </c>
      <c r="F55" s="549">
        <v>0</v>
      </c>
      <c r="G55" s="549">
        <v>0</v>
      </c>
      <c r="H55" s="872">
        <v>0</v>
      </c>
      <c r="J55" s="1437">
        <v>0</v>
      </c>
      <c r="K55" s="1437">
        <v>0</v>
      </c>
      <c r="L55" s="1437">
        <v>0</v>
      </c>
    </row>
    <row r="56" spans="1:12" ht="15" x14ac:dyDescent="0.2">
      <c r="A56" s="520" t="s">
        <v>424</v>
      </c>
      <c r="B56" s="1160"/>
      <c r="C56" s="1159"/>
      <c r="D56" s="1159"/>
      <c r="E56" s="549">
        <f>SUM(E46)</f>
        <v>273</v>
      </c>
      <c r="F56" s="549">
        <f>SUM(F46)</f>
        <v>280</v>
      </c>
      <c r="G56" s="549">
        <f>SUM(G46)</f>
        <v>249</v>
      </c>
      <c r="H56" s="872">
        <f>(G56/F56)*100</f>
        <v>88.928571428571416</v>
      </c>
      <c r="J56" s="1437">
        <v>273000</v>
      </c>
      <c r="K56" s="1437">
        <v>280170</v>
      </c>
      <c r="L56" s="1437">
        <v>249300</v>
      </c>
    </row>
    <row r="57" spans="1:12" x14ac:dyDescent="0.2">
      <c r="H57" s="1923"/>
    </row>
    <row r="58" spans="1:12" x14ac:dyDescent="0.2">
      <c r="H58" s="1923"/>
    </row>
    <row r="59" spans="1:12" s="58" customFormat="1" ht="47.25" customHeight="1" thickBot="1" x14ac:dyDescent="0.4">
      <c r="A59" s="603" t="s">
        <v>550</v>
      </c>
      <c r="B59" s="604"/>
      <c r="C59" s="605"/>
      <c r="D59" s="606"/>
      <c r="E59" s="550">
        <f>SUM(E47)</f>
        <v>29033</v>
      </c>
      <c r="F59" s="550">
        <f>SUM(F47)</f>
        <v>29418</v>
      </c>
      <c r="G59" s="550">
        <f>SUM(G47)</f>
        <v>25923</v>
      </c>
      <c r="H59" s="551">
        <f>(G59/F59)*100</f>
        <v>88.119518662043646</v>
      </c>
    </row>
    <row r="60" spans="1:12" s="599" customFormat="1" ht="13.5" thickTop="1" x14ac:dyDescent="0.2">
      <c r="A60" s="584"/>
      <c r="B60" s="584"/>
      <c r="C60" s="585"/>
      <c r="D60" s="873"/>
      <c r="E60" s="795"/>
      <c r="F60" s="583"/>
      <c r="G60" s="795"/>
      <c r="H60" s="874"/>
    </row>
  </sheetData>
  <phoneticPr fontId="0" type="noConversion"/>
  <pageMargins left="0.98425196850393704" right="0.78740157480314965" top="0.98425196850393704" bottom="0.98425196850393704" header="0.51181102362204722" footer="0.51181102362204722"/>
  <pageSetup paperSize="9" scale="69" firstPageNumber="25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H22"/>
  <sheetViews>
    <sheetView showGridLines="0" zoomScaleNormal="100" workbookViewId="0">
      <selection activeCell="A267" sqref="A267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" style="401" bestFit="1" customWidth="1"/>
    <col min="4" max="4" width="46.42578125" style="345" customWidth="1"/>
    <col min="5" max="5" width="13.85546875" style="413" customWidth="1"/>
    <col min="6" max="6" width="14.85546875" style="413" customWidth="1"/>
    <col min="7" max="7" width="13.85546875" style="413" customWidth="1"/>
    <col min="8" max="8" width="6.5703125" style="413" customWidth="1"/>
    <col min="9" max="9" width="16" style="345" bestFit="1" customWidth="1"/>
    <col min="10" max="16384" width="9.140625" style="345"/>
  </cols>
  <sheetData>
    <row r="1" spans="1:8" ht="18.75" thickBot="1" x14ac:dyDescent="0.3">
      <c r="A1" s="454" t="s">
        <v>697</v>
      </c>
      <c r="B1" s="455"/>
      <c r="C1" s="455"/>
      <c r="D1" s="455"/>
      <c r="E1" s="458"/>
      <c r="G1" s="3213" t="s">
        <v>725</v>
      </c>
      <c r="H1" s="3214"/>
    </row>
    <row r="2" spans="1:8" ht="18" x14ac:dyDescent="0.25">
      <c r="A2" s="407"/>
      <c r="B2" s="406"/>
      <c r="C2" s="406"/>
      <c r="D2" s="406"/>
    </row>
    <row r="3" spans="1:8" s="373" customFormat="1" ht="16.5" customHeight="1" x14ac:dyDescent="0.2">
      <c r="A3" s="67" t="s">
        <v>336</v>
      </c>
      <c r="B3" s="28"/>
      <c r="C3" s="503" t="s">
        <v>317</v>
      </c>
      <c r="E3" s="574"/>
      <c r="F3" s="574"/>
      <c r="G3" s="574"/>
      <c r="H3" s="574"/>
    </row>
    <row r="4" spans="1:8" s="373" customFormat="1" ht="12.75" customHeight="1" x14ac:dyDescent="0.25">
      <c r="A4" s="6"/>
      <c r="B4" s="28"/>
      <c r="C4" s="503" t="s">
        <v>318</v>
      </c>
      <c r="E4" s="574"/>
      <c r="F4" s="574"/>
      <c r="G4" s="574"/>
      <c r="H4" s="574"/>
    </row>
    <row r="5" spans="1:8" ht="18" x14ac:dyDescent="0.25">
      <c r="A5" s="407" t="s">
        <v>726</v>
      </c>
      <c r="B5" s="406"/>
      <c r="C5" s="406"/>
      <c r="D5" s="406"/>
      <c r="H5" s="414"/>
    </row>
    <row r="6" spans="1:8" ht="13.5" thickBot="1" x14ac:dyDescent="0.25">
      <c r="H6" s="563" t="s">
        <v>1101</v>
      </c>
    </row>
    <row r="7" spans="1:8" s="375" customFormat="1" ht="25.5" thickTop="1" thickBot="1" x14ac:dyDescent="0.25">
      <c r="A7" s="506" t="s">
        <v>149</v>
      </c>
      <c r="B7" s="507" t="s">
        <v>688</v>
      </c>
      <c r="C7" s="507" t="s">
        <v>345</v>
      </c>
      <c r="D7" s="508" t="s">
        <v>151</v>
      </c>
      <c r="E7" s="575" t="s">
        <v>569</v>
      </c>
      <c r="F7" s="575" t="s">
        <v>570</v>
      </c>
      <c r="G7" s="576" t="s">
        <v>797</v>
      </c>
      <c r="H7" s="511" t="s">
        <v>798</v>
      </c>
    </row>
    <row r="8" spans="1:8" s="375" customFormat="1" ht="13.5" thickTop="1" thickBot="1" x14ac:dyDescent="0.25">
      <c r="A8" s="525">
        <v>1</v>
      </c>
      <c r="B8" s="526">
        <v>2</v>
      </c>
      <c r="C8" s="526">
        <v>3</v>
      </c>
      <c r="D8" s="526">
        <v>4</v>
      </c>
      <c r="E8" s="477">
        <v>5</v>
      </c>
      <c r="F8" s="477">
        <v>6</v>
      </c>
      <c r="G8" s="577">
        <v>7</v>
      </c>
      <c r="H8" s="502" t="s">
        <v>54</v>
      </c>
    </row>
    <row r="9" spans="1:8" ht="20.25" customHeight="1" thickTop="1" x14ac:dyDescent="0.2">
      <c r="A9" s="409">
        <v>6330</v>
      </c>
      <c r="B9" s="410">
        <v>5345</v>
      </c>
      <c r="C9" s="411"/>
      <c r="D9" s="412" t="s">
        <v>693</v>
      </c>
      <c r="E9" s="405">
        <v>0</v>
      </c>
      <c r="F9" s="405">
        <v>0</v>
      </c>
      <c r="G9" s="405">
        <v>0</v>
      </c>
      <c r="H9" s="426">
        <v>0</v>
      </c>
    </row>
    <row r="10" spans="1:8" ht="15.75" thickBot="1" x14ac:dyDescent="0.25">
      <c r="A10" s="409">
        <v>6409</v>
      </c>
      <c r="B10" s="410">
        <v>5909</v>
      </c>
      <c r="C10" s="411"/>
      <c r="D10" s="412" t="s">
        <v>694</v>
      </c>
      <c r="E10" s="405">
        <v>0</v>
      </c>
      <c r="F10" s="405">
        <v>0</v>
      </c>
      <c r="G10" s="405">
        <v>0</v>
      </c>
      <c r="H10" s="425">
        <v>0</v>
      </c>
    </row>
    <row r="11" spans="1:8" s="336" customFormat="1" ht="16.5" thickTop="1" thickBot="1" x14ac:dyDescent="0.3">
      <c r="A11" s="3210" t="s">
        <v>690</v>
      </c>
      <c r="B11" s="3211"/>
      <c r="C11" s="3211"/>
      <c r="D11" s="3211"/>
      <c r="E11" s="528">
        <f>SUM(E9:E10)</f>
        <v>0</v>
      </c>
      <c r="F11" s="528">
        <f>SUM(F9:F10)</f>
        <v>0</v>
      </c>
      <c r="G11" s="528">
        <f>SUM(G9:G10)</f>
        <v>0</v>
      </c>
      <c r="H11" s="425">
        <v>0</v>
      </c>
    </row>
    <row r="12" spans="1:8" s="336" customFormat="1" ht="15.75" thickTop="1" x14ac:dyDescent="0.25">
      <c r="A12" s="333" t="s">
        <v>691</v>
      </c>
      <c r="B12" s="334"/>
      <c r="C12" s="334"/>
      <c r="D12" s="335"/>
      <c r="E12" s="348">
        <f>E9</f>
        <v>0</v>
      </c>
      <c r="F12" s="348">
        <f>F9</f>
        <v>0</v>
      </c>
      <c r="G12" s="348">
        <f>G9</f>
        <v>0</v>
      </c>
      <c r="H12" s="366">
        <v>0</v>
      </c>
    </row>
    <row r="13" spans="1:8" s="336" customFormat="1" ht="15.75" thickBot="1" x14ac:dyDescent="0.3">
      <c r="A13" s="552" t="s">
        <v>695</v>
      </c>
      <c r="B13" s="522"/>
      <c r="C13" s="522"/>
      <c r="D13" s="553"/>
      <c r="E13" s="554">
        <f>E11-E12</f>
        <v>0</v>
      </c>
      <c r="F13" s="554">
        <f>F11-F12</f>
        <v>0</v>
      </c>
      <c r="G13" s="554">
        <f>G11-G12</f>
        <v>0</v>
      </c>
      <c r="H13" s="561">
        <v>0</v>
      </c>
    </row>
    <row r="14" spans="1:8" ht="13.5" thickTop="1" x14ac:dyDescent="0.2"/>
    <row r="16" spans="1:8" s="557" customFormat="1" ht="16.5" x14ac:dyDescent="0.25">
      <c r="A16" s="536" t="s">
        <v>423</v>
      </c>
      <c r="B16" s="537"/>
      <c r="C16" s="538"/>
      <c r="D16" s="539"/>
      <c r="E16" s="540">
        <f>SUM(E17:E19)</f>
        <v>0</v>
      </c>
      <c r="F16" s="540">
        <f>F17+F18+F19+F20</f>
        <v>0</v>
      </c>
      <c r="G16" s="540">
        <f>G17+G18+G19+G20</f>
        <v>0</v>
      </c>
      <c r="H16" s="541">
        <v>0</v>
      </c>
    </row>
    <row r="17" spans="1:8" s="373" customFormat="1" ht="15" x14ac:dyDescent="0.2">
      <c r="A17" s="520" t="s">
        <v>242</v>
      </c>
      <c r="B17" s="542"/>
      <c r="C17" s="543"/>
      <c r="D17" s="544"/>
      <c r="E17" s="545">
        <f>E10</f>
        <v>0</v>
      </c>
      <c r="F17" s="545">
        <f>F10</f>
        <v>0</v>
      </c>
      <c r="G17" s="545">
        <f>G10</f>
        <v>0</v>
      </c>
      <c r="H17" s="546">
        <v>0</v>
      </c>
    </row>
    <row r="18" spans="1:8" s="373" customFormat="1" ht="15" x14ac:dyDescent="0.2">
      <c r="A18" s="520" t="s">
        <v>243</v>
      </c>
      <c r="B18" s="547"/>
      <c r="C18" s="543"/>
      <c r="D18" s="548"/>
      <c r="E18" s="545">
        <v>0</v>
      </c>
      <c r="F18" s="545">
        <v>0</v>
      </c>
      <c r="G18" s="545">
        <v>0</v>
      </c>
      <c r="H18" s="562">
        <v>0</v>
      </c>
    </row>
    <row r="19" spans="1:8" s="373" customFormat="1" ht="15" x14ac:dyDescent="0.2">
      <c r="A19" s="520" t="s">
        <v>424</v>
      </c>
      <c r="B19" s="547"/>
      <c r="C19" s="543"/>
      <c r="D19" s="548"/>
      <c r="E19" s="545">
        <f>SUM(E9)</f>
        <v>0</v>
      </c>
      <c r="F19" s="545">
        <f>SUM(F9)</f>
        <v>0</v>
      </c>
      <c r="G19" s="545">
        <f>SUM(G9)</f>
        <v>0</v>
      </c>
      <c r="H19" s="562">
        <v>0</v>
      </c>
    </row>
    <row r="20" spans="1:8" s="373" customFormat="1" ht="15" x14ac:dyDescent="0.2">
      <c r="A20" s="520"/>
      <c r="B20" s="547"/>
      <c r="C20" s="543"/>
      <c r="D20" s="548"/>
      <c r="E20" s="545"/>
      <c r="F20" s="545"/>
      <c r="G20" s="545"/>
      <c r="H20" s="549"/>
    </row>
    <row r="21" spans="1:8" s="58" customFormat="1" ht="45" customHeight="1" thickBot="1" x14ac:dyDescent="0.4">
      <c r="A21" s="3076" t="s">
        <v>698</v>
      </c>
      <c r="B21" s="3212"/>
      <c r="C21" s="3212"/>
      <c r="D21" s="3212"/>
      <c r="E21" s="550">
        <f>SUM(E16)</f>
        <v>0</v>
      </c>
      <c r="F21" s="550">
        <f>SUM(F16)</f>
        <v>0</v>
      </c>
      <c r="G21" s="550">
        <f>SUM(G16)</f>
        <v>0</v>
      </c>
      <c r="H21" s="566">
        <v>0</v>
      </c>
    </row>
    <row r="22" spans="1:8" ht="13.5" thickTop="1" x14ac:dyDescent="0.2"/>
  </sheetData>
  <mergeCells count="3">
    <mergeCell ref="A21:D21"/>
    <mergeCell ref="G1:H1"/>
    <mergeCell ref="A11:D11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K20"/>
  <sheetViews>
    <sheetView showGridLines="0" zoomScaleNormal="100" workbookViewId="0">
      <selection activeCell="A267" sqref="A267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.140625" style="401"/>
    <col min="4" max="4" width="46.42578125" style="345" customWidth="1"/>
    <col min="5" max="5" width="13.85546875" style="440" customWidth="1"/>
    <col min="6" max="6" width="14.85546875" style="440" customWidth="1"/>
    <col min="7" max="7" width="13.85546875" style="440" customWidth="1"/>
    <col min="8" max="8" width="6.42578125" style="567" customWidth="1"/>
    <col min="9" max="16384" width="9.140625" style="345"/>
  </cols>
  <sheetData>
    <row r="1" spans="1:11" ht="18" x14ac:dyDescent="0.25">
      <c r="A1" s="456" t="s">
        <v>750</v>
      </c>
      <c r="B1" s="457"/>
      <c r="C1" s="457"/>
      <c r="D1" s="457"/>
      <c r="E1" s="457"/>
      <c r="F1" s="457"/>
      <c r="G1" s="406"/>
    </row>
    <row r="2" spans="1:11" ht="18.75" thickBot="1" x14ac:dyDescent="0.3">
      <c r="A2" s="459" t="s">
        <v>727</v>
      </c>
      <c r="B2" s="455"/>
      <c r="C2" s="455"/>
      <c r="D2" s="455"/>
      <c r="E2" s="455"/>
      <c r="F2" s="455"/>
      <c r="G2" s="406"/>
      <c r="H2" s="568" t="s">
        <v>728</v>
      </c>
    </row>
    <row r="3" spans="1:11" ht="18" x14ac:dyDescent="0.25">
      <c r="B3" s="406"/>
      <c r="C3" s="406"/>
      <c r="D3" s="406"/>
      <c r="E3" s="406"/>
      <c r="F3" s="406"/>
      <c r="G3" s="406"/>
      <c r="H3" s="569"/>
    </row>
    <row r="4" spans="1:11" s="373" customFormat="1" ht="16.5" customHeight="1" x14ac:dyDescent="0.2">
      <c r="A4" s="67" t="s">
        <v>336</v>
      </c>
      <c r="B4" s="28"/>
      <c r="C4" s="503" t="s">
        <v>317</v>
      </c>
    </row>
    <row r="5" spans="1:11" s="373" customFormat="1" ht="12.75" customHeight="1" x14ac:dyDescent="0.25">
      <c r="A5" s="6"/>
      <c r="B5" s="28"/>
      <c r="C5" s="503" t="s">
        <v>318</v>
      </c>
    </row>
    <row r="6" spans="1:11" ht="18" x14ac:dyDescent="0.25">
      <c r="A6" s="407" t="s">
        <v>748</v>
      </c>
      <c r="B6" s="406"/>
      <c r="C6" s="406"/>
      <c r="D6" s="406"/>
      <c r="E6" s="406"/>
      <c r="F6" s="406"/>
      <c r="G6" s="406"/>
      <c r="H6" s="569"/>
    </row>
    <row r="7" spans="1:11" ht="18.75" thickBot="1" x14ac:dyDescent="0.3">
      <c r="A7" s="407"/>
      <c r="B7" s="406"/>
      <c r="C7" s="406"/>
      <c r="D7" s="406"/>
      <c r="E7" s="406"/>
      <c r="F7" s="406"/>
      <c r="G7" s="406"/>
      <c r="H7" s="570" t="s">
        <v>1101</v>
      </c>
    </row>
    <row r="8" spans="1:11" s="375" customFormat="1" ht="25.5" thickTop="1" thickBot="1" x14ac:dyDescent="0.25">
      <c r="A8" s="506" t="s">
        <v>149</v>
      </c>
      <c r="B8" s="507" t="s">
        <v>688</v>
      </c>
      <c r="C8" s="507" t="s">
        <v>345</v>
      </c>
      <c r="D8" s="508" t="s">
        <v>151</v>
      </c>
      <c r="E8" s="509" t="s">
        <v>569</v>
      </c>
      <c r="F8" s="509" t="s">
        <v>570</v>
      </c>
      <c r="G8" s="510" t="s">
        <v>797</v>
      </c>
      <c r="H8" s="571" t="s">
        <v>798</v>
      </c>
    </row>
    <row r="9" spans="1:11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12">
        <v>5</v>
      </c>
      <c r="F9" s="512">
        <v>6</v>
      </c>
      <c r="G9" s="513">
        <v>7</v>
      </c>
      <c r="H9" s="514" t="s">
        <v>54</v>
      </c>
    </row>
    <row r="10" spans="1:11" s="408" customFormat="1" ht="16.5" thickTop="1" thickBot="1" x14ac:dyDescent="0.25">
      <c r="A10" s="409">
        <v>6409</v>
      </c>
      <c r="B10" s="410">
        <v>5909</v>
      </c>
      <c r="C10" s="411"/>
      <c r="D10" s="412" t="s">
        <v>694</v>
      </c>
      <c r="E10" s="404">
        <v>0</v>
      </c>
      <c r="F10" s="404">
        <v>0</v>
      </c>
      <c r="G10" s="404">
        <v>0</v>
      </c>
      <c r="H10" s="582">
        <v>0</v>
      </c>
      <c r="I10" s="572"/>
      <c r="J10" s="572"/>
      <c r="K10" s="572"/>
    </row>
    <row r="11" spans="1:11" s="336" customFormat="1" ht="16.5" thickTop="1" thickBot="1" x14ac:dyDescent="0.3">
      <c r="A11" s="3210" t="s">
        <v>690</v>
      </c>
      <c r="B11" s="3211"/>
      <c r="C11" s="3211"/>
      <c r="D11" s="3211"/>
      <c r="E11" s="528">
        <f>SUM(,E10:E10)</f>
        <v>0</v>
      </c>
      <c r="F11" s="528">
        <f>SUM(,F10:F10)</f>
        <v>0</v>
      </c>
      <c r="G11" s="528">
        <f>SUM(,G10:G10)</f>
        <v>0</v>
      </c>
      <c r="H11" s="425">
        <v>0</v>
      </c>
      <c r="I11" s="573"/>
    </row>
    <row r="12" spans="1:11" ht="13.5" thickTop="1" x14ac:dyDescent="0.2"/>
    <row r="14" spans="1:11" s="557" customFormat="1" ht="16.5" x14ac:dyDescent="0.25">
      <c r="A14" s="536" t="s">
        <v>423</v>
      </c>
      <c r="B14" s="537"/>
      <c r="C14" s="538"/>
      <c r="D14" s="539"/>
      <c r="E14" s="540">
        <f>SUM(E15:E17)</f>
        <v>0</v>
      </c>
      <c r="F14" s="540">
        <f>F15+F16+F17+F18</f>
        <v>0</v>
      </c>
      <c r="G14" s="540">
        <f>G15+G16+G17+G18</f>
        <v>0</v>
      </c>
      <c r="H14" s="541">
        <v>0</v>
      </c>
    </row>
    <row r="15" spans="1:11" s="373" customFormat="1" ht="15" x14ac:dyDescent="0.2">
      <c r="A15" s="520" t="s">
        <v>242</v>
      </c>
      <c r="B15" s="542"/>
      <c r="C15" s="543"/>
      <c r="D15" s="544"/>
      <c r="E15" s="545">
        <f>SUM(E10:E10)</f>
        <v>0</v>
      </c>
      <c r="F15" s="545">
        <f>SUM(F10:F10)</f>
        <v>0</v>
      </c>
      <c r="G15" s="545">
        <f>SUM(G10:G10)</f>
        <v>0</v>
      </c>
      <c r="H15" s="546">
        <v>0</v>
      </c>
    </row>
    <row r="16" spans="1:11" s="373" customFormat="1" ht="15" x14ac:dyDescent="0.2">
      <c r="A16" s="520" t="s">
        <v>243</v>
      </c>
      <c r="B16" s="547"/>
      <c r="C16" s="543"/>
      <c r="D16" s="548"/>
      <c r="E16" s="545">
        <v>0</v>
      </c>
      <c r="F16" s="545">
        <v>0</v>
      </c>
      <c r="G16" s="545">
        <v>0</v>
      </c>
      <c r="H16" s="546">
        <v>0</v>
      </c>
    </row>
    <row r="17" spans="1:8" s="373" customFormat="1" ht="15" x14ac:dyDescent="0.2">
      <c r="A17" s="520" t="s">
        <v>424</v>
      </c>
      <c r="B17" s="547"/>
      <c r="C17" s="543"/>
      <c r="D17" s="548"/>
      <c r="E17" s="545">
        <v>0</v>
      </c>
      <c r="F17" s="545">
        <v>0</v>
      </c>
      <c r="G17" s="545">
        <v>0</v>
      </c>
      <c r="H17" s="562">
        <v>0</v>
      </c>
    </row>
    <row r="18" spans="1:8" s="373" customFormat="1" ht="15" x14ac:dyDescent="0.2">
      <c r="A18" s="520"/>
      <c r="B18" s="547"/>
      <c r="C18" s="543"/>
      <c r="D18" s="548"/>
      <c r="E18" s="545"/>
      <c r="F18" s="545"/>
      <c r="G18" s="545"/>
      <c r="H18" s="549"/>
    </row>
    <row r="19" spans="1:8" s="58" customFormat="1" ht="69" customHeight="1" thickBot="1" x14ac:dyDescent="0.4">
      <c r="A19" s="3076" t="s">
        <v>751</v>
      </c>
      <c r="B19" s="3212"/>
      <c r="C19" s="3212"/>
      <c r="D19" s="3212"/>
      <c r="E19" s="550">
        <f>SUM(E14)</f>
        <v>0</v>
      </c>
      <c r="F19" s="550">
        <f>SUM(F14)</f>
        <v>0</v>
      </c>
      <c r="G19" s="550">
        <f>SUM(G14)</f>
        <v>0</v>
      </c>
      <c r="H19" s="566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0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" style="401" bestFit="1" customWidth="1"/>
    <col min="4" max="4" width="46.42578125" style="345" customWidth="1"/>
    <col min="5" max="5" width="14.7109375" style="440" customWidth="1"/>
    <col min="6" max="6" width="14.5703125" style="440" customWidth="1"/>
    <col min="7" max="7" width="13.85546875" style="440" customWidth="1"/>
    <col min="8" max="8" width="7" style="345" customWidth="1"/>
    <col min="9" max="16384" width="9.140625" style="345"/>
  </cols>
  <sheetData>
    <row r="1" spans="1:8" ht="18" x14ac:dyDescent="0.25">
      <c r="A1" s="456" t="s">
        <v>417</v>
      </c>
      <c r="B1" s="457"/>
      <c r="C1" s="457"/>
      <c r="D1" s="457"/>
      <c r="E1" s="457"/>
      <c r="F1" s="457"/>
      <c r="G1" s="406"/>
    </row>
    <row r="2" spans="1:8" ht="18.75" thickBot="1" x14ac:dyDescent="0.3">
      <c r="A2" s="459" t="s">
        <v>418</v>
      </c>
      <c r="B2" s="455"/>
      <c r="C2" s="455"/>
      <c r="D2" s="455"/>
      <c r="E2" s="455"/>
      <c r="F2" s="455"/>
      <c r="G2" s="406"/>
      <c r="H2" s="529" t="s">
        <v>1092</v>
      </c>
    </row>
    <row r="3" spans="1:8" ht="18" x14ac:dyDescent="0.25">
      <c r="A3" s="407"/>
      <c r="B3" s="406"/>
      <c r="C3" s="406"/>
      <c r="D3" s="406"/>
      <c r="E3" s="406"/>
      <c r="F3" s="406"/>
      <c r="G3" s="406"/>
      <c r="H3" s="529"/>
    </row>
    <row r="4" spans="1:8" s="373" customFormat="1" ht="16.5" customHeight="1" x14ac:dyDescent="0.2">
      <c r="A4" s="67" t="s">
        <v>336</v>
      </c>
      <c r="B4" s="28"/>
      <c r="C4" s="503" t="s">
        <v>317</v>
      </c>
    </row>
    <row r="5" spans="1:8" s="373" customFormat="1" ht="12.75" customHeight="1" x14ac:dyDescent="0.25">
      <c r="A5" s="6"/>
      <c r="B5" s="28"/>
      <c r="C5" s="503" t="s">
        <v>318</v>
      </c>
    </row>
    <row r="6" spans="1:8" ht="18" x14ac:dyDescent="0.25">
      <c r="A6" s="407" t="s">
        <v>611</v>
      </c>
      <c r="B6" s="406"/>
      <c r="C6" s="406"/>
      <c r="D6" s="406"/>
      <c r="E6" s="406"/>
      <c r="F6" s="406"/>
      <c r="G6" s="406"/>
      <c r="H6" s="529"/>
    </row>
    <row r="7" spans="1:8" ht="13.5" thickBot="1" x14ac:dyDescent="0.25">
      <c r="H7" s="345" t="s">
        <v>1101</v>
      </c>
    </row>
    <row r="8" spans="1:8" s="375" customFormat="1" ht="25.5" thickTop="1" thickBot="1" x14ac:dyDescent="0.25">
      <c r="A8" s="506" t="s">
        <v>149</v>
      </c>
      <c r="B8" s="507" t="s">
        <v>688</v>
      </c>
      <c r="C8" s="507" t="s">
        <v>345</v>
      </c>
      <c r="D8" s="508" t="s">
        <v>151</v>
      </c>
      <c r="E8" s="509" t="s">
        <v>569</v>
      </c>
      <c r="F8" s="509" t="s">
        <v>570</v>
      </c>
      <c r="G8" s="510" t="s">
        <v>797</v>
      </c>
      <c r="H8" s="511" t="s">
        <v>798</v>
      </c>
    </row>
    <row r="9" spans="1:8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12">
        <v>5</v>
      </c>
      <c r="F9" s="512">
        <v>6</v>
      </c>
      <c r="G9" s="513">
        <v>7</v>
      </c>
      <c r="H9" s="502" t="s">
        <v>54</v>
      </c>
    </row>
    <row r="10" spans="1:8" ht="21.75" customHeight="1" thickTop="1" thickBot="1" x14ac:dyDescent="0.25">
      <c r="A10" s="409">
        <v>6409</v>
      </c>
      <c r="B10" s="410">
        <v>5909</v>
      </c>
      <c r="C10" s="411"/>
      <c r="D10" s="412" t="s">
        <v>1182</v>
      </c>
      <c r="E10" s="404">
        <v>0</v>
      </c>
      <c r="F10" s="404">
        <v>0</v>
      </c>
      <c r="G10" s="404">
        <v>0</v>
      </c>
      <c r="H10" s="582">
        <v>0</v>
      </c>
    </row>
    <row r="11" spans="1:8" s="336" customFormat="1" ht="16.5" thickTop="1" thickBot="1" x14ac:dyDescent="0.3">
      <c r="A11" s="3210" t="s">
        <v>690</v>
      </c>
      <c r="B11" s="3211"/>
      <c r="C11" s="3211"/>
      <c r="D11" s="3211"/>
      <c r="E11" s="533">
        <f>SUM(E10:E10)</f>
        <v>0</v>
      </c>
      <c r="F11" s="533">
        <f>SUM(F10:F10)</f>
        <v>0</v>
      </c>
      <c r="G11" s="556">
        <f>SUM(G10:G10)</f>
        <v>0</v>
      </c>
      <c r="H11" s="534">
        <v>0</v>
      </c>
    </row>
    <row r="12" spans="1:8" ht="13.5" thickTop="1" x14ac:dyDescent="0.2"/>
    <row r="14" spans="1:8" s="557" customFormat="1" ht="16.5" x14ac:dyDescent="0.25">
      <c r="A14" s="536" t="s">
        <v>423</v>
      </c>
      <c r="B14" s="537"/>
      <c r="C14" s="538"/>
      <c r="D14" s="539"/>
      <c r="E14" s="540">
        <f>SUM(E15:E17)</f>
        <v>0</v>
      </c>
      <c r="F14" s="540">
        <f>F15+F16+F17+F18</f>
        <v>0</v>
      </c>
      <c r="G14" s="540">
        <f>G15+G16+G17+G18</f>
        <v>0</v>
      </c>
      <c r="H14" s="541">
        <v>0</v>
      </c>
    </row>
    <row r="15" spans="1:8" s="373" customFormat="1" ht="15" x14ac:dyDescent="0.2">
      <c r="A15" s="520" t="s">
        <v>242</v>
      </c>
      <c r="B15" s="542"/>
      <c r="C15" s="543"/>
      <c r="D15" s="544"/>
      <c r="E15" s="545">
        <f>SUM(E10:E10)</f>
        <v>0</v>
      </c>
      <c r="F15" s="545">
        <f>SUM(F10:F10)</f>
        <v>0</v>
      </c>
      <c r="G15" s="545">
        <f>SUM(G10:G10)</f>
        <v>0</v>
      </c>
      <c r="H15" s="546">
        <v>0</v>
      </c>
    </row>
    <row r="16" spans="1:8" s="373" customFormat="1" ht="15" x14ac:dyDescent="0.2">
      <c r="A16" s="520" t="s">
        <v>243</v>
      </c>
      <c r="B16" s="547"/>
      <c r="C16" s="543"/>
      <c r="D16" s="548"/>
      <c r="E16" s="545">
        <v>0</v>
      </c>
      <c r="F16" s="545">
        <v>0</v>
      </c>
      <c r="G16" s="545">
        <v>0</v>
      </c>
      <c r="H16" s="546">
        <v>0</v>
      </c>
    </row>
    <row r="17" spans="1:8" s="373" customFormat="1" ht="15" x14ac:dyDescent="0.2">
      <c r="A17" s="520" t="s">
        <v>424</v>
      </c>
      <c r="B17" s="547"/>
      <c r="C17" s="543"/>
      <c r="D17" s="548"/>
      <c r="E17" s="545">
        <v>0</v>
      </c>
      <c r="F17" s="545">
        <v>0</v>
      </c>
      <c r="G17" s="545">
        <v>0</v>
      </c>
      <c r="H17" s="562">
        <v>0</v>
      </c>
    </row>
    <row r="18" spans="1:8" s="373" customFormat="1" ht="15" x14ac:dyDescent="0.2">
      <c r="A18" s="520"/>
      <c r="B18" s="547"/>
      <c r="C18" s="543"/>
      <c r="D18" s="548"/>
      <c r="E18" s="545"/>
      <c r="F18" s="545"/>
      <c r="G18" s="545"/>
      <c r="H18" s="549"/>
    </row>
    <row r="19" spans="1:8" s="58" customFormat="1" ht="71.25" customHeight="1" thickBot="1" x14ac:dyDescent="0.4">
      <c r="A19" s="3076" t="s">
        <v>430</v>
      </c>
      <c r="B19" s="3212"/>
      <c r="C19" s="3212"/>
      <c r="D19" s="3212"/>
      <c r="E19" s="550">
        <f>SUM(E14)</f>
        <v>0</v>
      </c>
      <c r="F19" s="550">
        <f>SUM(F14)</f>
        <v>0</v>
      </c>
      <c r="G19" s="550">
        <f>SUM(G14)</f>
        <v>0</v>
      </c>
      <c r="H19" s="564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65" firstPageNumber="148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6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" style="401" bestFit="1" customWidth="1"/>
    <col min="4" max="4" width="46.42578125" style="345" customWidth="1"/>
    <col min="5" max="5" width="15" style="440" customWidth="1"/>
    <col min="6" max="6" width="13.5703125" style="440" customWidth="1"/>
    <col min="7" max="7" width="12.28515625" style="440" customWidth="1"/>
    <col min="8" max="8" width="6.42578125" style="345" customWidth="1"/>
    <col min="9" max="9" width="12.7109375" style="345" bestFit="1" customWidth="1"/>
    <col min="10" max="16384" width="9.140625" style="345"/>
  </cols>
  <sheetData>
    <row r="1" spans="1:8" ht="18.75" thickBot="1" x14ac:dyDescent="0.3">
      <c r="A1" s="454" t="s">
        <v>964</v>
      </c>
      <c r="B1" s="455"/>
      <c r="C1" s="455"/>
      <c r="D1" s="455"/>
      <c r="E1" s="455"/>
      <c r="F1" s="406"/>
      <c r="G1" s="406"/>
    </row>
    <row r="2" spans="1:8" ht="18" x14ac:dyDescent="0.25">
      <c r="B2" s="406"/>
      <c r="C2" s="406"/>
      <c r="D2" s="406"/>
      <c r="E2" s="406"/>
      <c r="F2" s="406"/>
      <c r="G2" s="406"/>
      <c r="H2" s="529" t="s">
        <v>1093</v>
      </c>
    </row>
    <row r="3" spans="1:8" s="373" customFormat="1" ht="16.5" customHeight="1" x14ac:dyDescent="0.2">
      <c r="A3" s="67" t="s">
        <v>336</v>
      </c>
      <c r="B3" s="28"/>
      <c r="C3" s="503" t="s">
        <v>317</v>
      </c>
    </row>
    <row r="4" spans="1:8" s="373" customFormat="1" ht="12.75" customHeight="1" x14ac:dyDescent="0.25">
      <c r="A4" s="6"/>
      <c r="B4" s="28"/>
      <c r="C4" s="503" t="s">
        <v>318</v>
      </c>
    </row>
    <row r="5" spans="1:8" ht="18" x14ac:dyDescent="0.25">
      <c r="A5" s="407" t="s">
        <v>963</v>
      </c>
      <c r="B5" s="406"/>
      <c r="C5" s="406"/>
      <c r="D5" s="406"/>
      <c r="E5" s="406"/>
      <c r="F5" s="406"/>
      <c r="G5" s="406"/>
      <c r="H5" s="529"/>
    </row>
    <row r="6" spans="1:8" ht="18.75" thickBot="1" x14ac:dyDescent="0.3">
      <c r="A6" s="407"/>
      <c r="B6" s="406"/>
      <c r="C6" s="406"/>
      <c r="D6" s="406"/>
      <c r="E6" s="406"/>
      <c r="F6" s="406"/>
      <c r="G6" s="406"/>
      <c r="H6" s="563" t="s">
        <v>1101</v>
      </c>
    </row>
    <row r="7" spans="1:8" s="375" customFormat="1" ht="25.5" thickTop="1" thickBot="1" x14ac:dyDescent="0.25">
      <c r="A7" s="506" t="s">
        <v>149</v>
      </c>
      <c r="B7" s="507" t="s">
        <v>688</v>
      </c>
      <c r="C7" s="507" t="s">
        <v>345</v>
      </c>
      <c r="D7" s="508" t="s">
        <v>151</v>
      </c>
      <c r="E7" s="509" t="s">
        <v>569</v>
      </c>
      <c r="F7" s="509" t="s">
        <v>570</v>
      </c>
      <c r="G7" s="510" t="s">
        <v>797</v>
      </c>
      <c r="H7" s="511" t="s">
        <v>798</v>
      </c>
    </row>
    <row r="8" spans="1:8" s="375" customFormat="1" ht="13.5" thickTop="1" thickBot="1" x14ac:dyDescent="0.25">
      <c r="A8" s="525">
        <v>1</v>
      </c>
      <c r="B8" s="526">
        <v>2</v>
      </c>
      <c r="C8" s="526">
        <v>3</v>
      </c>
      <c r="D8" s="526">
        <v>4</v>
      </c>
      <c r="E8" s="512">
        <v>5</v>
      </c>
      <c r="F8" s="512">
        <v>6</v>
      </c>
      <c r="G8" s="513">
        <v>7</v>
      </c>
      <c r="H8" s="502" t="s">
        <v>54</v>
      </c>
    </row>
    <row r="9" spans="1:8" s="346" customFormat="1" ht="20.25" customHeight="1" thickTop="1" thickBot="1" x14ac:dyDescent="0.25">
      <c r="A9" s="409">
        <v>6409</v>
      </c>
      <c r="B9" s="410">
        <v>5909</v>
      </c>
      <c r="C9" s="411"/>
      <c r="D9" s="412" t="s">
        <v>1182</v>
      </c>
      <c r="E9" s="404">
        <v>0</v>
      </c>
      <c r="F9" s="404">
        <v>0</v>
      </c>
      <c r="G9" s="404">
        <v>0</v>
      </c>
      <c r="H9" s="425">
        <v>0</v>
      </c>
    </row>
    <row r="10" spans="1:8" s="336" customFormat="1" ht="16.5" thickTop="1" thickBot="1" x14ac:dyDescent="0.3">
      <c r="A10" s="3210" t="s">
        <v>690</v>
      </c>
      <c r="B10" s="3211"/>
      <c r="C10" s="3211"/>
      <c r="D10" s="3211"/>
      <c r="E10" s="533">
        <f>SUM(E9:E9)</f>
        <v>0</v>
      </c>
      <c r="F10" s="533">
        <f>SUM(F9:F9)</f>
        <v>0</v>
      </c>
      <c r="G10" s="533">
        <f>SUM(G9:G9)</f>
        <v>0</v>
      </c>
      <c r="H10" s="425">
        <v>0</v>
      </c>
    </row>
    <row r="11" spans="1:8" ht="13.5" thickTop="1" x14ac:dyDescent="0.2"/>
    <row r="13" spans="1:8" s="557" customFormat="1" ht="16.5" x14ac:dyDescent="0.25">
      <c r="A13" s="536" t="s">
        <v>423</v>
      </c>
      <c r="B13" s="537"/>
      <c r="C13" s="538"/>
      <c r="D13" s="539"/>
      <c r="E13" s="540">
        <f>SUM(E14:E16)</f>
        <v>0</v>
      </c>
      <c r="F13" s="540">
        <f>F14+F15+F16+F17</f>
        <v>0</v>
      </c>
      <c r="G13" s="540">
        <f>G14+G15+G16+G17</f>
        <v>0</v>
      </c>
      <c r="H13" s="541">
        <v>0</v>
      </c>
    </row>
    <row r="14" spans="1:8" s="373" customFormat="1" ht="15" x14ac:dyDescent="0.2">
      <c r="A14" s="520" t="s">
        <v>242</v>
      </c>
      <c r="B14" s="542"/>
      <c r="C14" s="543"/>
      <c r="D14" s="544"/>
      <c r="E14" s="545">
        <f>SUM(E10)</f>
        <v>0</v>
      </c>
      <c r="F14" s="545">
        <f>SUM(F10)</f>
        <v>0</v>
      </c>
      <c r="G14" s="545">
        <f>SUM(G10)</f>
        <v>0</v>
      </c>
      <c r="H14" s="546">
        <v>0</v>
      </c>
    </row>
    <row r="15" spans="1:8" s="373" customFormat="1" ht="15" x14ac:dyDescent="0.2">
      <c r="A15" s="520" t="s">
        <v>243</v>
      </c>
      <c r="B15" s="547"/>
      <c r="C15" s="543"/>
      <c r="D15" s="548"/>
      <c r="E15" s="545">
        <v>0</v>
      </c>
      <c r="F15" s="545">
        <v>0</v>
      </c>
      <c r="G15" s="545">
        <v>0</v>
      </c>
      <c r="H15" s="562">
        <v>0</v>
      </c>
    </row>
    <row r="16" spans="1:8" s="373" customFormat="1" ht="15" x14ac:dyDescent="0.2">
      <c r="A16" s="520" t="s">
        <v>424</v>
      </c>
      <c r="B16" s="547"/>
      <c r="C16" s="543"/>
      <c r="D16" s="548"/>
      <c r="E16" s="545">
        <v>0</v>
      </c>
      <c r="F16" s="545">
        <v>0</v>
      </c>
      <c r="G16" s="545">
        <v>0</v>
      </c>
      <c r="H16" s="562">
        <v>0</v>
      </c>
    </row>
    <row r="17" spans="1:8" s="373" customFormat="1" ht="15" x14ac:dyDescent="0.2">
      <c r="A17" s="520"/>
      <c r="B17" s="547"/>
      <c r="C17" s="543"/>
      <c r="D17" s="548"/>
      <c r="E17" s="545"/>
      <c r="F17" s="545"/>
      <c r="G17" s="545"/>
      <c r="H17" s="549"/>
    </row>
    <row r="18" spans="1:8" s="58" customFormat="1" ht="47.25" customHeight="1" thickBot="1" x14ac:dyDescent="0.4">
      <c r="A18" s="3076" t="s">
        <v>965</v>
      </c>
      <c r="B18" s="3212"/>
      <c r="C18" s="3212"/>
      <c r="D18" s="3212"/>
      <c r="E18" s="550">
        <f>SUM(E13)</f>
        <v>0</v>
      </c>
      <c r="F18" s="550">
        <f>SUM(F13)</f>
        <v>0</v>
      </c>
      <c r="G18" s="550">
        <f>SUM(G13)</f>
        <v>0</v>
      </c>
      <c r="H18" s="564" t="e">
        <f>(G18/F18)*100</f>
        <v>#DIV/0!</v>
      </c>
    </row>
    <row r="19" spans="1:8" ht="13.5" thickTop="1" x14ac:dyDescent="0.2"/>
    <row r="26" spans="1:8" ht="20.25" x14ac:dyDescent="0.3">
      <c r="D26" s="565"/>
    </row>
  </sheetData>
  <mergeCells count="2">
    <mergeCell ref="A10:D10"/>
    <mergeCell ref="A18:D18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9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6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.28515625" style="401" customWidth="1"/>
    <col min="4" max="4" width="46.42578125" style="345" customWidth="1"/>
    <col min="5" max="5" width="12.140625" style="440" customWidth="1"/>
    <col min="6" max="6" width="16.85546875" style="440" customWidth="1"/>
    <col min="7" max="7" width="13.85546875" style="440" customWidth="1"/>
    <col min="8" max="8" width="6.42578125" style="345" customWidth="1"/>
    <col min="9" max="9" width="11.7109375" style="345" bestFit="1" customWidth="1"/>
    <col min="10" max="16384" width="9.140625" style="345"/>
  </cols>
  <sheetData>
    <row r="1" spans="1:8" ht="36" customHeight="1" thickBot="1" x14ac:dyDescent="0.3">
      <c r="A1" s="3217" t="s">
        <v>402</v>
      </c>
      <c r="B1" s="3218"/>
      <c r="C1" s="3218"/>
      <c r="D1" s="3218"/>
      <c r="E1" s="3218"/>
      <c r="F1" s="3218"/>
      <c r="G1" s="3218"/>
      <c r="H1" s="3218"/>
    </row>
    <row r="2" spans="1:8" ht="18" x14ac:dyDescent="0.25">
      <c r="B2" s="406"/>
      <c r="C2" s="406"/>
      <c r="D2" s="406"/>
      <c r="E2" s="406"/>
      <c r="F2" s="406"/>
      <c r="G2" s="406"/>
      <c r="H2" s="529" t="s">
        <v>1098</v>
      </c>
    </row>
    <row r="3" spans="1:8" s="373" customFormat="1" ht="16.5" customHeight="1" x14ac:dyDescent="0.25">
      <c r="A3" s="67" t="s">
        <v>336</v>
      </c>
      <c r="B3" s="28"/>
      <c r="C3" s="503" t="s">
        <v>317</v>
      </c>
      <c r="E3" s="16"/>
      <c r="G3" s="558"/>
    </row>
    <row r="4" spans="1:8" s="373" customFormat="1" ht="12.75" customHeight="1" x14ac:dyDescent="0.25">
      <c r="A4" s="6"/>
      <c r="B4" s="28"/>
      <c r="C4" s="503" t="s">
        <v>318</v>
      </c>
      <c r="E4" s="16"/>
      <c r="G4" s="558"/>
    </row>
    <row r="5" spans="1:8" ht="18" x14ac:dyDescent="0.25">
      <c r="A5" s="530"/>
      <c r="B5" s="406"/>
      <c r="C5" s="406"/>
      <c r="D5" s="406"/>
      <c r="E5" s="406"/>
      <c r="F5" s="406"/>
      <c r="G5" s="406"/>
      <c r="H5" s="529"/>
    </row>
    <row r="6" spans="1:8" ht="18" x14ac:dyDescent="0.25">
      <c r="A6" s="407" t="s">
        <v>39</v>
      </c>
      <c r="B6" s="406"/>
      <c r="C6" s="406"/>
      <c r="D6" s="406"/>
      <c r="E6" s="406"/>
      <c r="F6" s="406"/>
      <c r="G6" s="406"/>
      <c r="H6" s="529"/>
    </row>
    <row r="7" spans="1:8" ht="15.75" thickBot="1" x14ac:dyDescent="0.3">
      <c r="A7" s="505"/>
      <c r="H7" s="531" t="s">
        <v>1101</v>
      </c>
    </row>
    <row r="8" spans="1:8" s="375" customFormat="1" ht="25.5" thickTop="1" thickBot="1" x14ac:dyDescent="0.25">
      <c r="A8" s="506" t="s">
        <v>149</v>
      </c>
      <c r="B8" s="507" t="s">
        <v>688</v>
      </c>
      <c r="C8" s="507" t="s">
        <v>345</v>
      </c>
      <c r="D8" s="508" t="s">
        <v>151</v>
      </c>
      <c r="E8" s="509" t="s">
        <v>569</v>
      </c>
      <c r="F8" s="509" t="s">
        <v>570</v>
      </c>
      <c r="G8" s="510" t="s">
        <v>797</v>
      </c>
      <c r="H8" s="511" t="s">
        <v>798</v>
      </c>
    </row>
    <row r="9" spans="1:8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12">
        <v>5</v>
      </c>
      <c r="F9" s="512">
        <v>6</v>
      </c>
      <c r="G9" s="513">
        <v>7</v>
      </c>
      <c r="H9" s="502" t="s">
        <v>54</v>
      </c>
    </row>
    <row r="10" spans="1:8" ht="16.5" thickTop="1" thickBot="1" x14ac:dyDescent="0.25">
      <c r="A10" s="409">
        <v>6409</v>
      </c>
      <c r="B10" s="410">
        <v>5909</v>
      </c>
      <c r="C10" s="411"/>
      <c r="D10" s="412" t="s">
        <v>658</v>
      </c>
      <c r="E10" s="405"/>
      <c r="F10" s="405">
        <v>0</v>
      </c>
      <c r="G10" s="560">
        <v>0</v>
      </c>
      <c r="H10" s="425">
        <v>0</v>
      </c>
    </row>
    <row r="11" spans="1:8" s="336" customFormat="1" ht="16.5" thickTop="1" thickBot="1" x14ac:dyDescent="0.3">
      <c r="A11" s="3210" t="s">
        <v>690</v>
      </c>
      <c r="B11" s="3211"/>
      <c r="C11" s="3211"/>
      <c r="D11" s="3211"/>
      <c r="E11" s="533">
        <f>SUM(E10:E10)</f>
        <v>0</v>
      </c>
      <c r="F11" s="533">
        <f>SUM(F10:F10)</f>
        <v>0</v>
      </c>
      <c r="G11" s="556">
        <f>SUM(G10:G10)</f>
        <v>0</v>
      </c>
      <c r="H11" s="425">
        <v>0</v>
      </c>
    </row>
    <row r="12" spans="1:8" s="336" customFormat="1" ht="15.75" thickTop="1" x14ac:dyDescent="0.25">
      <c r="A12" s="333" t="s">
        <v>691</v>
      </c>
      <c r="B12" s="334"/>
      <c r="C12" s="334"/>
      <c r="D12" s="335"/>
      <c r="E12" s="348"/>
      <c r="F12" s="348">
        <v>0</v>
      </c>
      <c r="G12" s="348">
        <f>G10</f>
        <v>0</v>
      </c>
      <c r="H12" s="366">
        <v>0</v>
      </c>
    </row>
    <row r="13" spans="1:8" s="336" customFormat="1" ht="15.75" thickBot="1" x14ac:dyDescent="0.3">
      <c r="A13" s="552" t="s">
        <v>695</v>
      </c>
      <c r="B13" s="522"/>
      <c r="C13" s="522"/>
      <c r="D13" s="553"/>
      <c r="E13" s="554">
        <f>E11-E12</f>
        <v>0</v>
      </c>
      <c r="F13" s="554">
        <f>F11-F12</f>
        <v>0</v>
      </c>
      <c r="G13" s="554">
        <f>G11-G12</f>
        <v>0</v>
      </c>
      <c r="H13" s="561">
        <v>0</v>
      </c>
    </row>
    <row r="14" spans="1:8" ht="13.5" thickTop="1" x14ac:dyDescent="0.2"/>
    <row r="20" spans="1:8" s="557" customFormat="1" ht="16.5" x14ac:dyDescent="0.25">
      <c r="A20" s="536" t="s">
        <v>423</v>
      </c>
      <c r="B20" s="537"/>
      <c r="C20" s="538"/>
      <c r="D20" s="539"/>
      <c r="E20" s="540">
        <f>SUM(E21:E23)</f>
        <v>0</v>
      </c>
      <c r="F20" s="540">
        <f>F21+F22+F23+F24</f>
        <v>0</v>
      </c>
      <c r="G20" s="540">
        <f>G21+G22+G23+G24</f>
        <v>0</v>
      </c>
      <c r="H20" s="541">
        <v>0</v>
      </c>
    </row>
    <row r="21" spans="1:8" s="373" customFormat="1" ht="15" x14ac:dyDescent="0.2">
      <c r="A21" s="520" t="s">
        <v>242</v>
      </c>
      <c r="B21" s="542"/>
      <c r="C21" s="543"/>
      <c r="D21" s="544"/>
      <c r="E21" s="545">
        <v>0</v>
      </c>
      <c r="F21" s="545">
        <v>0</v>
      </c>
      <c r="G21" s="545">
        <v>0</v>
      </c>
      <c r="H21" s="546">
        <v>0</v>
      </c>
    </row>
    <row r="22" spans="1:8" s="373" customFormat="1" ht="15" x14ac:dyDescent="0.2">
      <c r="A22" s="520" t="s">
        <v>243</v>
      </c>
      <c r="B22" s="547"/>
      <c r="C22" s="543"/>
      <c r="D22" s="548"/>
      <c r="E22" s="545">
        <v>0</v>
      </c>
      <c r="F22" s="545">
        <v>0</v>
      </c>
      <c r="G22" s="545">
        <v>0</v>
      </c>
      <c r="H22" s="562">
        <v>0</v>
      </c>
    </row>
    <row r="23" spans="1:8" s="373" customFormat="1" ht="15" x14ac:dyDescent="0.2">
      <c r="A23" s="520" t="s">
        <v>424</v>
      </c>
      <c r="B23" s="547"/>
      <c r="C23" s="543"/>
      <c r="D23" s="548"/>
      <c r="E23" s="545">
        <f>E10</f>
        <v>0</v>
      </c>
      <c r="F23" s="545">
        <f>F10</f>
        <v>0</v>
      </c>
      <c r="G23" s="545">
        <f>G10</f>
        <v>0</v>
      </c>
      <c r="H23" s="562">
        <v>0</v>
      </c>
    </row>
    <row r="24" spans="1:8" s="373" customFormat="1" ht="15" x14ac:dyDescent="0.2">
      <c r="A24" s="520"/>
      <c r="B24" s="547"/>
      <c r="C24" s="543"/>
      <c r="D24" s="548"/>
      <c r="E24" s="545"/>
      <c r="F24" s="545"/>
      <c r="G24" s="545"/>
      <c r="H24" s="549"/>
    </row>
    <row r="25" spans="1:8" s="58" customFormat="1" ht="75" customHeight="1" thickBot="1" x14ac:dyDescent="0.4">
      <c r="A25" s="3215" t="s">
        <v>1097</v>
      </c>
      <c r="B25" s="3216"/>
      <c r="C25" s="3216"/>
      <c r="D25" s="3216"/>
      <c r="E25" s="550">
        <f>SUM(E20)</f>
        <v>0</v>
      </c>
      <c r="F25" s="550">
        <f>SUM(F20)</f>
        <v>0</v>
      </c>
      <c r="G25" s="550">
        <f>SUM(G20)</f>
        <v>0</v>
      </c>
      <c r="H25" s="551"/>
    </row>
    <row r="26" spans="1:8" ht="13.5" thickTop="1" x14ac:dyDescent="0.2"/>
  </sheetData>
  <mergeCells count="3">
    <mergeCell ref="A25:D25"/>
    <mergeCell ref="A1:H1"/>
    <mergeCell ref="A11:D11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5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1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.42578125" style="401" customWidth="1"/>
    <col min="4" max="4" width="46.42578125" style="345" customWidth="1"/>
    <col min="5" max="5" width="12.5703125" style="440" customWidth="1"/>
    <col min="6" max="6" width="16.85546875" style="440" customWidth="1"/>
    <col min="7" max="7" width="13.85546875" style="440" customWidth="1"/>
    <col min="8" max="8" width="6.85546875" style="521" customWidth="1"/>
    <col min="9" max="9" width="15.42578125" style="345" customWidth="1"/>
    <col min="10" max="16384" width="9.140625" style="345"/>
  </cols>
  <sheetData>
    <row r="1" spans="1:8" ht="36" customHeight="1" thickBot="1" x14ac:dyDescent="0.3">
      <c r="A1" s="3217" t="s">
        <v>362</v>
      </c>
      <c r="B1" s="3218"/>
      <c r="C1" s="3218"/>
      <c r="D1" s="3218"/>
      <c r="E1" s="3218"/>
      <c r="F1" s="3218"/>
      <c r="G1" s="3218"/>
      <c r="H1" s="3218"/>
    </row>
    <row r="2" spans="1:8" ht="24" customHeight="1" x14ac:dyDescent="0.25">
      <c r="A2" s="389"/>
      <c r="B2" s="390"/>
      <c r="C2" s="390"/>
      <c r="D2" s="390"/>
      <c r="E2" s="390"/>
      <c r="F2" s="390"/>
      <c r="G2" s="390"/>
      <c r="H2" s="529" t="s">
        <v>34</v>
      </c>
    </row>
    <row r="3" spans="1:8" s="373" customFormat="1" ht="16.5" customHeight="1" x14ac:dyDescent="0.25">
      <c r="A3" s="67" t="s">
        <v>336</v>
      </c>
      <c r="B3" s="28"/>
      <c r="C3" s="503" t="s">
        <v>317</v>
      </c>
      <c r="E3" s="17"/>
      <c r="F3" s="16"/>
      <c r="H3" s="558"/>
    </row>
    <row r="4" spans="1:8" s="373" customFormat="1" ht="12.75" customHeight="1" x14ac:dyDescent="0.25">
      <c r="A4" s="6"/>
      <c r="B4" s="28"/>
      <c r="C4" s="503" t="s">
        <v>318</v>
      </c>
      <c r="E4" s="17"/>
      <c r="F4" s="16"/>
      <c r="H4" s="558"/>
    </row>
    <row r="5" spans="1:8" ht="15.75" x14ac:dyDescent="0.25">
      <c r="A5" s="524"/>
      <c r="B5" s="406"/>
      <c r="C5" s="406"/>
      <c r="D5" s="406"/>
      <c r="E5" s="406"/>
      <c r="F5" s="406"/>
      <c r="G5" s="406"/>
    </row>
    <row r="6" spans="1:8" ht="18" x14ac:dyDescent="0.25">
      <c r="A6" s="407" t="s">
        <v>35</v>
      </c>
      <c r="B6" s="406"/>
      <c r="C6" s="406"/>
      <c r="D6" s="406"/>
      <c r="E6" s="406"/>
      <c r="F6" s="406"/>
      <c r="G6" s="406"/>
      <c r="H6" s="529"/>
    </row>
    <row r="8" spans="1:8" ht="15.75" thickBot="1" x14ac:dyDescent="0.3">
      <c r="A8" s="505"/>
      <c r="H8" s="531" t="s">
        <v>148</v>
      </c>
    </row>
    <row r="9" spans="1:8" s="375" customFormat="1" ht="25.5" thickTop="1" thickBot="1" x14ac:dyDescent="0.25">
      <c r="A9" s="506" t="s">
        <v>149</v>
      </c>
      <c r="B9" s="507" t="s">
        <v>688</v>
      </c>
      <c r="C9" s="507" t="s">
        <v>345</v>
      </c>
      <c r="D9" s="508" t="s">
        <v>151</v>
      </c>
      <c r="E9" s="509" t="s">
        <v>569</v>
      </c>
      <c r="F9" s="509" t="s">
        <v>570</v>
      </c>
      <c r="G9" s="510" t="s">
        <v>797</v>
      </c>
      <c r="H9" s="511" t="s">
        <v>798</v>
      </c>
    </row>
    <row r="10" spans="1:8" s="375" customFormat="1" ht="13.5" thickTop="1" thickBot="1" x14ac:dyDescent="0.25">
      <c r="A10" s="525">
        <v>1</v>
      </c>
      <c r="B10" s="526">
        <v>2</v>
      </c>
      <c r="C10" s="526">
        <v>3</v>
      </c>
      <c r="D10" s="526">
        <v>4</v>
      </c>
      <c r="E10" s="512">
        <v>5</v>
      </c>
      <c r="F10" s="512">
        <v>6</v>
      </c>
      <c r="G10" s="513">
        <v>7</v>
      </c>
      <c r="H10" s="502" t="s">
        <v>54</v>
      </c>
    </row>
    <row r="11" spans="1:8" ht="15.75" thickTop="1" x14ac:dyDescent="0.2">
      <c r="A11" s="409">
        <v>6330</v>
      </c>
      <c r="B11" s="410">
        <v>5345</v>
      </c>
      <c r="C11" s="559"/>
      <c r="D11" s="412" t="s">
        <v>693</v>
      </c>
      <c r="E11" s="380"/>
      <c r="F11" s="380">
        <v>0</v>
      </c>
      <c r="G11" s="555">
        <v>0</v>
      </c>
      <c r="H11" s="426">
        <v>0</v>
      </c>
    </row>
    <row r="12" spans="1:8" ht="21" customHeight="1" thickBot="1" x14ac:dyDescent="0.25">
      <c r="A12" s="409">
        <v>6409</v>
      </c>
      <c r="B12" s="410">
        <v>5909</v>
      </c>
      <c r="C12" s="559"/>
      <c r="D12" s="412" t="s">
        <v>705</v>
      </c>
      <c r="E12" s="380"/>
      <c r="F12" s="380">
        <v>0</v>
      </c>
      <c r="G12" s="555">
        <v>0</v>
      </c>
      <c r="H12" s="425">
        <v>0</v>
      </c>
    </row>
    <row r="13" spans="1:8" s="336" customFormat="1" ht="16.5" thickTop="1" thickBot="1" x14ac:dyDescent="0.3">
      <c r="A13" s="3210" t="s">
        <v>690</v>
      </c>
      <c r="B13" s="3211"/>
      <c r="C13" s="3211"/>
      <c r="D13" s="3211"/>
      <c r="E13" s="533">
        <f>SUM(E11:E12)</f>
        <v>0</v>
      </c>
      <c r="F13" s="533">
        <f>SUM(F11:F12)</f>
        <v>0</v>
      </c>
      <c r="G13" s="556">
        <f>SUM(G11:G12)</f>
        <v>0</v>
      </c>
      <c r="H13" s="425">
        <v>0</v>
      </c>
    </row>
    <row r="14" spans="1:8" ht="13.5" thickTop="1" x14ac:dyDescent="0.2"/>
    <row r="15" spans="1:8" s="557" customFormat="1" ht="16.5" x14ac:dyDescent="0.25">
      <c r="A15" s="536" t="s">
        <v>423</v>
      </c>
      <c r="B15" s="537"/>
      <c r="C15" s="538"/>
      <c r="D15" s="539"/>
      <c r="E15" s="540">
        <f>SUM(E16:E18)</f>
        <v>0</v>
      </c>
      <c r="F15" s="540">
        <f>F16+F17+F18+F19</f>
        <v>0</v>
      </c>
      <c r="G15" s="540">
        <f>G16+G17+G18+G19</f>
        <v>0</v>
      </c>
      <c r="H15" s="541">
        <v>0</v>
      </c>
    </row>
    <row r="16" spans="1:8" s="373" customFormat="1" ht="15" x14ac:dyDescent="0.2">
      <c r="A16" s="520" t="s">
        <v>242</v>
      </c>
      <c r="B16" s="542"/>
      <c r="C16" s="543"/>
      <c r="D16" s="544"/>
      <c r="E16" s="545">
        <f>SUM(E12:E12)</f>
        <v>0</v>
      </c>
      <c r="F16" s="545">
        <f>SUM(F12:F12)</f>
        <v>0</v>
      </c>
      <c r="G16" s="545">
        <f>SUM(G12:G12)</f>
        <v>0</v>
      </c>
      <c r="H16" s="546">
        <v>0</v>
      </c>
    </row>
    <row r="17" spans="1:8" s="373" customFormat="1" ht="15" x14ac:dyDescent="0.2">
      <c r="A17" s="520" t="s">
        <v>243</v>
      </c>
      <c r="B17" s="547"/>
      <c r="C17" s="543"/>
      <c r="D17" s="548"/>
      <c r="E17" s="545">
        <v>0</v>
      </c>
      <c r="F17" s="545">
        <v>0</v>
      </c>
      <c r="G17" s="545">
        <v>0</v>
      </c>
      <c r="H17" s="546">
        <v>0</v>
      </c>
    </row>
    <row r="18" spans="1:8" s="373" customFormat="1" ht="15" x14ac:dyDescent="0.2">
      <c r="A18" s="520" t="s">
        <v>424</v>
      </c>
      <c r="B18" s="547"/>
      <c r="C18" s="543"/>
      <c r="D18" s="548"/>
      <c r="E18" s="545">
        <f>E11</f>
        <v>0</v>
      </c>
      <c r="F18" s="545">
        <f>F11</f>
        <v>0</v>
      </c>
      <c r="G18" s="545">
        <f>G11</f>
        <v>0</v>
      </c>
      <c r="H18" s="546">
        <v>0</v>
      </c>
    </row>
    <row r="19" spans="1:8" s="373" customFormat="1" ht="15" x14ac:dyDescent="0.2">
      <c r="A19" s="520"/>
      <c r="B19" s="547"/>
      <c r="C19" s="543"/>
      <c r="D19" s="548"/>
      <c r="E19" s="545"/>
      <c r="F19" s="545"/>
      <c r="G19" s="545"/>
      <c r="H19" s="549"/>
    </row>
    <row r="20" spans="1:8" s="58" customFormat="1" ht="75" customHeight="1" thickBot="1" x14ac:dyDescent="0.4">
      <c r="A20" s="3076" t="s">
        <v>38</v>
      </c>
      <c r="B20" s="3212"/>
      <c r="C20" s="3212"/>
      <c r="D20" s="3212"/>
      <c r="E20" s="550">
        <f>SUM(E15)</f>
        <v>0</v>
      </c>
      <c r="F20" s="550">
        <f>SUM(F15)</f>
        <v>0</v>
      </c>
      <c r="G20" s="550">
        <f>SUM(G15)</f>
        <v>0</v>
      </c>
      <c r="H20" s="551"/>
    </row>
    <row r="21" spans="1:8" ht="13.5" thickTop="1" x14ac:dyDescent="0.2"/>
  </sheetData>
  <mergeCells count="3">
    <mergeCell ref="A20:D20"/>
    <mergeCell ref="A1:H1"/>
    <mergeCell ref="A13:D13"/>
  </mergeCells>
  <phoneticPr fontId="35" type="noConversion"/>
  <pageMargins left="0.78740157480314965" right="0.98425196850393704" top="0.98425196850393704" bottom="0.98425196850393704" header="0.51181102362204722" footer="0.51181102362204722"/>
  <pageSetup paperSize="9" scale="70" firstPageNumber="155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I19"/>
  <sheetViews>
    <sheetView showGridLines="0" zoomScaleNormal="100" workbookViewId="0">
      <selection activeCell="E22" sqref="E22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8.85546875" style="401" customWidth="1"/>
    <col min="4" max="4" width="46.42578125" style="345" customWidth="1"/>
    <col min="5" max="5" width="12.85546875" style="440" customWidth="1"/>
    <col min="6" max="6" width="16.85546875" style="440" customWidth="1"/>
    <col min="7" max="7" width="13.85546875" style="440" customWidth="1"/>
    <col min="8" max="8" width="6.42578125" style="345" customWidth="1"/>
    <col min="9" max="9" width="12.5703125" style="345" customWidth="1"/>
    <col min="10" max="16384" width="9.140625" style="345"/>
  </cols>
  <sheetData>
    <row r="1" spans="1:9" s="373" customFormat="1" ht="18.75" thickBot="1" x14ac:dyDescent="0.3">
      <c r="A1" s="448" t="s">
        <v>738</v>
      </c>
      <c r="B1" s="449"/>
      <c r="C1" s="450"/>
      <c r="D1" s="451"/>
      <c r="E1" s="452"/>
      <c r="F1" s="451"/>
      <c r="G1" s="453"/>
      <c r="H1" s="17"/>
      <c r="I1" s="374"/>
    </row>
    <row r="2" spans="1:9" s="373" customFormat="1" ht="21.75" customHeight="1" x14ac:dyDescent="0.25">
      <c r="A2" s="6"/>
      <c r="B2" s="28"/>
      <c r="C2" s="140"/>
      <c r="D2" s="303"/>
      <c r="E2" s="303"/>
      <c r="F2" s="16"/>
      <c r="G2" s="16"/>
      <c r="H2" s="529" t="s">
        <v>730</v>
      </c>
      <c r="I2" s="374"/>
    </row>
    <row r="3" spans="1:9" s="373" customFormat="1" ht="12.75" customHeight="1" x14ac:dyDescent="0.25">
      <c r="A3" s="67" t="s">
        <v>336</v>
      </c>
      <c r="B3" s="28"/>
      <c r="C3" s="503" t="s">
        <v>421</v>
      </c>
      <c r="D3" s="303"/>
      <c r="E3" s="16"/>
      <c r="F3" s="17"/>
      <c r="G3" s="16"/>
    </row>
    <row r="4" spans="1:9" s="373" customFormat="1" ht="12.75" customHeight="1" x14ac:dyDescent="0.25">
      <c r="A4" s="6"/>
      <c r="B4" s="28"/>
      <c r="C4" s="503" t="s">
        <v>422</v>
      </c>
      <c r="D4" s="303"/>
      <c r="E4" s="16"/>
      <c r="F4" s="17"/>
      <c r="G4" s="16"/>
    </row>
    <row r="5" spans="1:9" ht="18" x14ac:dyDescent="0.25">
      <c r="A5" s="407" t="s">
        <v>737</v>
      </c>
      <c r="B5" s="406"/>
      <c r="C5" s="406"/>
      <c r="D5" s="406"/>
      <c r="E5" s="406"/>
      <c r="F5" s="406"/>
      <c r="G5" s="406"/>
      <c r="H5" s="529"/>
    </row>
    <row r="6" spans="1:9" ht="15.75" x14ac:dyDescent="0.25">
      <c r="A6" s="530"/>
    </row>
    <row r="7" spans="1:9" ht="15.75" thickBot="1" x14ac:dyDescent="0.3">
      <c r="A7" s="505"/>
      <c r="H7" s="345" t="s">
        <v>1101</v>
      </c>
    </row>
    <row r="8" spans="1:9" s="375" customFormat="1" ht="25.5" thickTop="1" thickBot="1" x14ac:dyDescent="0.25">
      <c r="A8" s="506" t="s">
        <v>149</v>
      </c>
      <c r="B8" s="507" t="s">
        <v>688</v>
      </c>
      <c r="C8" s="507" t="s">
        <v>345</v>
      </c>
      <c r="D8" s="508" t="s">
        <v>151</v>
      </c>
      <c r="E8" s="509" t="s">
        <v>569</v>
      </c>
      <c r="F8" s="509" t="s">
        <v>570</v>
      </c>
      <c r="G8" s="510" t="s">
        <v>797</v>
      </c>
      <c r="H8" s="511" t="s">
        <v>798</v>
      </c>
    </row>
    <row r="9" spans="1:9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12">
        <v>5</v>
      </c>
      <c r="F9" s="512">
        <v>6</v>
      </c>
      <c r="G9" s="513">
        <v>7</v>
      </c>
      <c r="H9" s="502" t="s">
        <v>54</v>
      </c>
    </row>
    <row r="10" spans="1:9" ht="16.5" thickTop="1" thickBot="1" x14ac:dyDescent="0.25">
      <c r="A10" s="409">
        <v>6409</v>
      </c>
      <c r="B10" s="410">
        <v>5909</v>
      </c>
      <c r="C10" s="411">
        <v>0</v>
      </c>
      <c r="D10" s="412" t="s">
        <v>658</v>
      </c>
      <c r="E10" s="380">
        <v>0</v>
      </c>
      <c r="F10" s="380">
        <v>0</v>
      </c>
      <c r="G10" s="555">
        <v>0</v>
      </c>
      <c r="H10" s="532">
        <v>0</v>
      </c>
    </row>
    <row r="11" spans="1:9" s="336" customFormat="1" ht="16.5" thickTop="1" thickBot="1" x14ac:dyDescent="0.3">
      <c r="A11" s="3210" t="s">
        <v>690</v>
      </c>
      <c r="B11" s="3211"/>
      <c r="C11" s="3211"/>
      <c r="D11" s="3211"/>
      <c r="E11" s="533">
        <f>SUM(E10:E10)</f>
        <v>0</v>
      </c>
      <c r="F11" s="533">
        <f>SUM(F10:F10)</f>
        <v>0</v>
      </c>
      <c r="G11" s="556">
        <v>0</v>
      </c>
      <c r="H11" s="534">
        <v>0</v>
      </c>
    </row>
    <row r="12" spans="1:9" ht="13.5" thickTop="1" x14ac:dyDescent="0.2"/>
    <row r="13" spans="1:9" s="557" customFormat="1" ht="16.5" x14ac:dyDescent="0.25">
      <c r="A13" s="536" t="s">
        <v>423</v>
      </c>
      <c r="B13" s="537"/>
      <c r="C13" s="538"/>
      <c r="D13" s="539"/>
      <c r="E13" s="540">
        <f>SUM(E14:E16)</f>
        <v>0</v>
      </c>
      <c r="F13" s="540">
        <f>F14+F15+F16+F17</f>
        <v>0</v>
      </c>
      <c r="G13" s="540">
        <f>G14+G15+G16+G17</f>
        <v>0</v>
      </c>
      <c r="H13" s="541">
        <v>0</v>
      </c>
    </row>
    <row r="14" spans="1:9" s="373" customFormat="1" ht="15" x14ac:dyDescent="0.2">
      <c r="A14" s="520" t="s">
        <v>242</v>
      </c>
      <c r="B14" s="542"/>
      <c r="C14" s="543"/>
      <c r="D14" s="544"/>
      <c r="E14" s="545">
        <f>SUM(E11)</f>
        <v>0</v>
      </c>
      <c r="F14" s="545">
        <f>SUM(F11)</f>
        <v>0</v>
      </c>
      <c r="G14" s="545">
        <f>G10</f>
        <v>0</v>
      </c>
      <c r="H14" s="546">
        <v>0</v>
      </c>
    </row>
    <row r="15" spans="1:9" s="373" customFormat="1" ht="15" x14ac:dyDescent="0.2">
      <c r="A15" s="520" t="s">
        <v>243</v>
      </c>
      <c r="B15" s="547"/>
      <c r="C15" s="543"/>
      <c r="D15" s="548"/>
      <c r="E15" s="545">
        <v>0</v>
      </c>
      <c r="F15" s="545">
        <v>0</v>
      </c>
      <c r="G15" s="545">
        <v>0</v>
      </c>
      <c r="H15" s="546">
        <v>0</v>
      </c>
    </row>
    <row r="16" spans="1:9" s="373" customFormat="1" ht="15" x14ac:dyDescent="0.2">
      <c r="A16" s="520" t="s">
        <v>424</v>
      </c>
      <c r="B16" s="547"/>
      <c r="C16" s="543"/>
      <c r="D16" s="548"/>
      <c r="E16" s="545">
        <v>0</v>
      </c>
      <c r="F16" s="545">
        <v>0</v>
      </c>
      <c r="G16" s="545">
        <v>0</v>
      </c>
      <c r="H16" s="546">
        <v>0</v>
      </c>
    </row>
    <row r="17" spans="1:8" s="373" customFormat="1" ht="15" x14ac:dyDescent="0.2">
      <c r="A17" s="520"/>
      <c r="B17" s="547"/>
      <c r="C17" s="543"/>
      <c r="D17" s="548"/>
      <c r="E17" s="545"/>
      <c r="F17" s="545"/>
      <c r="G17" s="545"/>
      <c r="H17" s="549"/>
    </row>
    <row r="18" spans="1:8" s="58" customFormat="1" ht="69" customHeight="1" thickBot="1" x14ac:dyDescent="0.4">
      <c r="A18" s="3076" t="s">
        <v>33</v>
      </c>
      <c r="B18" s="3212"/>
      <c r="C18" s="3212"/>
      <c r="D18" s="3212"/>
      <c r="E18" s="550">
        <f>SUM(E13)</f>
        <v>0</v>
      </c>
      <c r="F18" s="550">
        <f>SUM(F13)</f>
        <v>0</v>
      </c>
      <c r="G18" s="550">
        <f>SUM(G13)</f>
        <v>0</v>
      </c>
      <c r="H18" s="551"/>
    </row>
    <row r="19" spans="1:8" ht="13.5" thickTop="1" x14ac:dyDescent="0.2"/>
  </sheetData>
  <mergeCells count="2">
    <mergeCell ref="A11:D11"/>
    <mergeCell ref="A18:D18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5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0"/>
  <sheetViews>
    <sheetView showGridLines="0" view="pageBreakPreview" zoomScaleNormal="100" zoomScaleSheetLayoutView="100" workbookViewId="0">
      <selection activeCell="F27" sqref="F27"/>
    </sheetView>
  </sheetViews>
  <sheetFormatPr defaultColWidth="9.140625" defaultRowHeight="12.75" x14ac:dyDescent="0.2"/>
  <cols>
    <col min="1" max="1" width="4.7109375" style="1371" customWidth="1"/>
    <col min="2" max="2" width="6.7109375" style="1371" customWidth="1"/>
    <col min="3" max="3" width="9" style="1371" bestFit="1" customWidth="1"/>
    <col min="4" max="4" width="46.42578125" style="1372" customWidth="1"/>
    <col min="5" max="5" width="13.85546875" style="1398" customWidth="1"/>
    <col min="6" max="6" width="14.85546875" style="1398" customWidth="1"/>
    <col min="7" max="7" width="13.85546875" style="1398" customWidth="1"/>
    <col min="8" max="8" width="6.42578125" style="1372" customWidth="1"/>
    <col min="9" max="9" width="19.85546875" style="1372" customWidth="1"/>
    <col min="10" max="10" width="9.140625" style="1372"/>
    <col min="11" max="11" width="13.140625" style="1372" customWidth="1"/>
    <col min="12" max="12" width="13.7109375" style="1372" customWidth="1"/>
    <col min="13" max="16384" width="9.140625" style="1372"/>
  </cols>
  <sheetData>
    <row r="1" spans="1:12" ht="18" x14ac:dyDescent="0.25">
      <c r="A1" s="1711" t="s">
        <v>1583</v>
      </c>
      <c r="B1" s="1712"/>
      <c r="C1" s="1712"/>
      <c r="D1" s="1712"/>
      <c r="E1" s="1712"/>
      <c r="F1" s="1712"/>
      <c r="G1" s="1400"/>
    </row>
    <row r="2" spans="1:12" ht="18" x14ac:dyDescent="0.25">
      <c r="A2" s="1713" t="s">
        <v>1584</v>
      </c>
      <c r="B2" s="1714"/>
      <c r="C2" s="1714"/>
      <c r="D2" s="1714"/>
      <c r="E2" s="1714"/>
      <c r="F2" s="1714"/>
      <c r="G2" s="1400"/>
      <c r="H2" s="1445" t="s">
        <v>1585</v>
      </c>
    </row>
    <row r="3" spans="1:12" ht="18" x14ac:dyDescent="0.25">
      <c r="B3" s="1400"/>
      <c r="C3" s="1400"/>
      <c r="D3" s="1400"/>
      <c r="E3" s="1400"/>
      <c r="F3" s="1400"/>
      <c r="G3" s="1400"/>
      <c r="H3" s="1445"/>
    </row>
    <row r="4" spans="1:12" s="1249" customFormat="1" ht="16.5" customHeight="1" x14ac:dyDescent="0.2">
      <c r="A4" s="1337" t="s">
        <v>336</v>
      </c>
      <c r="B4" s="1311"/>
      <c r="C4" s="1370" t="s">
        <v>317</v>
      </c>
    </row>
    <row r="5" spans="1:12" s="1249" customFormat="1" ht="12.75" customHeight="1" x14ac:dyDescent="0.25">
      <c r="A5" s="1335"/>
      <c r="B5" s="1311"/>
      <c r="C5" s="1370" t="s">
        <v>318</v>
      </c>
    </row>
    <row r="6" spans="1:12" ht="18" x14ac:dyDescent="0.25">
      <c r="A6" s="1375" t="s">
        <v>724</v>
      </c>
      <c r="B6" s="1400"/>
      <c r="C6" s="1400"/>
      <c r="D6" s="1400"/>
      <c r="E6" s="1400"/>
      <c r="F6" s="1400"/>
      <c r="G6" s="1400"/>
      <c r="H6" s="1445"/>
    </row>
    <row r="7" spans="1:12" ht="18.75" thickBot="1" x14ac:dyDescent="0.3">
      <c r="A7" s="1375"/>
      <c r="B7" s="1400"/>
      <c r="C7" s="1400"/>
      <c r="D7" s="1400"/>
      <c r="E7" s="1400"/>
      <c r="F7" s="1400"/>
      <c r="G7" s="1400"/>
      <c r="H7" s="1697" t="s">
        <v>1101</v>
      </c>
    </row>
    <row r="8" spans="1:12" s="1292" customFormat="1" ht="25.5" thickTop="1" thickBot="1" x14ac:dyDescent="0.25">
      <c r="A8" s="1378" t="s">
        <v>149</v>
      </c>
      <c r="B8" s="1379" t="s">
        <v>688</v>
      </c>
      <c r="C8" s="1379" t="s">
        <v>345</v>
      </c>
      <c r="D8" s="1380" t="s">
        <v>151</v>
      </c>
      <c r="E8" s="1402" t="s">
        <v>569</v>
      </c>
      <c r="F8" s="1402" t="s">
        <v>570</v>
      </c>
      <c r="G8" s="1403" t="s">
        <v>797</v>
      </c>
      <c r="H8" s="1404" t="s">
        <v>798</v>
      </c>
    </row>
    <row r="9" spans="1:12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5">
        <v>5</v>
      </c>
      <c r="F9" s="1295">
        <v>6</v>
      </c>
      <c r="G9" s="1446">
        <v>7</v>
      </c>
      <c r="H9" s="1383" t="s">
        <v>54</v>
      </c>
    </row>
    <row r="10" spans="1:12" s="1415" customFormat="1" ht="46.5" thickTop="1" thickBot="1" x14ac:dyDescent="0.25">
      <c r="A10" s="1463">
        <v>6402</v>
      </c>
      <c r="B10" s="1469">
        <v>5364</v>
      </c>
      <c r="C10" s="1470">
        <v>19</v>
      </c>
      <c r="D10" s="1405" t="s">
        <v>1586</v>
      </c>
      <c r="E10" s="1421">
        <v>0</v>
      </c>
      <c r="F10" s="1421">
        <v>151</v>
      </c>
      <c r="G10" s="1715">
        <v>151</v>
      </c>
      <c r="H10" s="1716">
        <f>G10/F10*100</f>
        <v>100</v>
      </c>
    </row>
    <row r="11" spans="1:12" s="1397" customFormat="1" ht="16.5" thickTop="1" thickBot="1" x14ac:dyDescent="0.3">
      <c r="A11" s="3219" t="s">
        <v>690</v>
      </c>
      <c r="B11" s="3220"/>
      <c r="C11" s="3220"/>
      <c r="D11" s="3220"/>
      <c r="E11" s="1717">
        <f>SUM(E10:E10)</f>
        <v>0</v>
      </c>
      <c r="F11" s="1717">
        <f>SUM(F10:F10)</f>
        <v>151</v>
      </c>
      <c r="G11" s="1718">
        <f>SUM(G10:G10)</f>
        <v>151</v>
      </c>
      <c r="H11" s="1719">
        <f>G11/F11*100</f>
        <v>100</v>
      </c>
      <c r="I11" s="1476"/>
    </row>
    <row r="12" spans="1:12" ht="13.5" thickTop="1" x14ac:dyDescent="0.2">
      <c r="I12" s="1398"/>
    </row>
    <row r="14" spans="1:12" s="1441" customFormat="1" ht="16.5" x14ac:dyDescent="0.25">
      <c r="A14" s="1429" t="s">
        <v>423</v>
      </c>
      <c r="B14" s="1430"/>
      <c r="C14" s="1431"/>
      <c r="D14" s="1432"/>
      <c r="E14" s="1433">
        <f>SUM(E15:E17)</f>
        <v>0</v>
      </c>
      <c r="F14" s="1433">
        <f>F15+F16+F17+F18</f>
        <v>151</v>
      </c>
      <c r="G14" s="1433">
        <f>G15+G16+G17+G18</f>
        <v>151</v>
      </c>
      <c r="H14" s="1452">
        <f>G14/F14*100</f>
        <v>100</v>
      </c>
      <c r="J14" s="1449">
        <f>J15+J16+J17</f>
        <v>0</v>
      </c>
      <c r="K14" s="1449">
        <f>K15+K16+K17</f>
        <v>150631.57999999999</v>
      </c>
      <c r="L14" s="1449">
        <f>L15+L16+L17</f>
        <v>150631.57999999999</v>
      </c>
    </row>
    <row r="15" spans="1:12" s="1249" customFormat="1" ht="15" x14ac:dyDescent="0.2">
      <c r="A15" s="1263" t="s">
        <v>242</v>
      </c>
      <c r="B15" s="1265"/>
      <c r="C15" s="1261"/>
      <c r="D15" s="1436"/>
      <c r="E15" s="1264">
        <f>E11</f>
        <v>0</v>
      </c>
      <c r="F15" s="1264">
        <f>F11</f>
        <v>151</v>
      </c>
      <c r="G15" s="1264">
        <f>G11</f>
        <v>151</v>
      </c>
      <c r="H15" s="1451">
        <f>G15/F15*100</f>
        <v>100</v>
      </c>
      <c r="J15" s="1450">
        <v>0</v>
      </c>
      <c r="K15" s="1450">
        <v>150631.57999999999</v>
      </c>
      <c r="L15" s="1450">
        <v>150631.57999999999</v>
      </c>
    </row>
    <row r="16" spans="1:12" s="1249" customFormat="1" ht="15" x14ac:dyDescent="0.2">
      <c r="A16" s="1263" t="s">
        <v>243</v>
      </c>
      <c r="B16" s="1262"/>
      <c r="C16" s="1261"/>
      <c r="D16" s="1438"/>
      <c r="E16" s="1264">
        <v>0</v>
      </c>
      <c r="F16" s="1264">
        <v>0</v>
      </c>
      <c r="G16" s="1264">
        <v>0</v>
      </c>
      <c r="H16" s="1451">
        <v>0</v>
      </c>
      <c r="J16" s="1437">
        <v>0</v>
      </c>
      <c r="K16" s="1437">
        <v>0</v>
      </c>
      <c r="L16" s="1437">
        <v>0</v>
      </c>
    </row>
    <row r="17" spans="1:12" s="1249" customFormat="1" ht="15" x14ac:dyDescent="0.2">
      <c r="A17" s="1263" t="s">
        <v>424</v>
      </c>
      <c r="B17" s="1262"/>
      <c r="C17" s="1261"/>
      <c r="D17" s="1438"/>
      <c r="E17" s="1264">
        <v>0</v>
      </c>
      <c r="F17" s="1264">
        <v>0</v>
      </c>
      <c r="G17" s="1264">
        <v>0</v>
      </c>
      <c r="H17" s="1451">
        <v>0</v>
      </c>
      <c r="J17" s="1437">
        <v>0</v>
      </c>
      <c r="K17" s="1437">
        <v>0</v>
      </c>
      <c r="L17" s="1437">
        <v>0</v>
      </c>
    </row>
    <row r="18" spans="1:12" s="1249" customFormat="1" ht="15" x14ac:dyDescent="0.2">
      <c r="A18" s="1263"/>
      <c r="B18" s="1262"/>
      <c r="C18" s="1261"/>
      <c r="D18" s="1438"/>
      <c r="E18" s="1264"/>
      <c r="F18" s="1264"/>
      <c r="G18" s="1264"/>
      <c r="H18" s="1260"/>
    </row>
    <row r="19" spans="1:12" s="1256" customFormat="1" ht="69" customHeight="1" thickBot="1" x14ac:dyDescent="0.4">
      <c r="A19" s="3148" t="s">
        <v>1587</v>
      </c>
      <c r="B19" s="3207"/>
      <c r="C19" s="3207"/>
      <c r="D19" s="3207"/>
      <c r="E19" s="1258">
        <f>SUM(E14)</f>
        <v>0</v>
      </c>
      <c r="F19" s="1258">
        <f>SUM(F14)</f>
        <v>151</v>
      </c>
      <c r="G19" s="1258">
        <f>SUM(G14)</f>
        <v>151</v>
      </c>
      <c r="H19" s="1257">
        <f>G19/F19*100</f>
        <v>100</v>
      </c>
    </row>
    <row r="20" spans="1:12" ht="13.5" thickTop="1" x14ac:dyDescent="0.2"/>
  </sheetData>
  <mergeCells count="2">
    <mergeCell ref="A11:D11"/>
    <mergeCell ref="A19:D19"/>
  </mergeCells>
  <pageMargins left="0.98425196850393704" right="0.98425196850393704" top="0.98425196850393704" bottom="0.98425196850393704" header="0.51181102362204722" footer="0.51181102362204722"/>
  <pageSetup paperSize="9" scale="70" firstPageNumber="127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1"/>
  <sheetViews>
    <sheetView view="pageBreakPreview" zoomScaleNormal="100" zoomScaleSheetLayoutView="100" workbookViewId="0">
      <selection activeCell="J16" sqref="J16:L18"/>
    </sheetView>
  </sheetViews>
  <sheetFormatPr defaultRowHeight="12.75" x14ac:dyDescent="0.2"/>
  <cols>
    <col min="1" max="3" width="9.140625" style="1551"/>
    <col min="4" max="4" width="28.42578125" style="1551" customWidth="1"/>
    <col min="5" max="5" width="9.140625" style="1551"/>
    <col min="6" max="6" width="15.28515625" style="1551" customWidth="1"/>
    <col min="7" max="7" width="10.7109375" style="1551" customWidth="1"/>
    <col min="8" max="8" width="9" style="1551" customWidth="1"/>
    <col min="9" max="10" width="9.140625" style="1551"/>
    <col min="11" max="12" width="11.42578125" style="1551" bestFit="1" customWidth="1"/>
    <col min="13" max="259" width="9.140625" style="1551"/>
    <col min="260" max="260" width="28.42578125" style="1551" customWidth="1"/>
    <col min="261" max="261" width="9.140625" style="1551"/>
    <col min="262" max="262" width="15.28515625" style="1551" customWidth="1"/>
    <col min="263" max="263" width="10.7109375" style="1551" customWidth="1"/>
    <col min="264" max="264" width="9" style="1551" customWidth="1"/>
    <col min="265" max="266" width="9.140625" style="1551"/>
    <col min="267" max="268" width="10.140625" style="1551" bestFit="1" customWidth="1"/>
    <col min="269" max="515" width="9.140625" style="1551"/>
    <col min="516" max="516" width="28.42578125" style="1551" customWidth="1"/>
    <col min="517" max="517" width="9.140625" style="1551"/>
    <col min="518" max="518" width="15.28515625" style="1551" customWidth="1"/>
    <col min="519" max="519" width="10.7109375" style="1551" customWidth="1"/>
    <col min="520" max="520" width="9" style="1551" customWidth="1"/>
    <col min="521" max="522" width="9.140625" style="1551"/>
    <col min="523" max="524" width="10.140625" style="1551" bestFit="1" customWidth="1"/>
    <col min="525" max="771" width="9.140625" style="1551"/>
    <col min="772" max="772" width="28.42578125" style="1551" customWidth="1"/>
    <col min="773" max="773" width="9.140625" style="1551"/>
    <col min="774" max="774" width="15.28515625" style="1551" customWidth="1"/>
    <col min="775" max="775" width="10.7109375" style="1551" customWidth="1"/>
    <col min="776" max="776" width="9" style="1551" customWidth="1"/>
    <col min="777" max="778" width="9.140625" style="1551"/>
    <col min="779" max="780" width="10.140625" style="1551" bestFit="1" customWidth="1"/>
    <col min="781" max="1027" width="9.140625" style="1551"/>
    <col min="1028" max="1028" width="28.42578125" style="1551" customWidth="1"/>
    <col min="1029" max="1029" width="9.140625" style="1551"/>
    <col min="1030" max="1030" width="15.28515625" style="1551" customWidth="1"/>
    <col min="1031" max="1031" width="10.7109375" style="1551" customWidth="1"/>
    <col min="1032" max="1032" width="9" style="1551" customWidth="1"/>
    <col min="1033" max="1034" width="9.140625" style="1551"/>
    <col min="1035" max="1036" width="10.140625" style="1551" bestFit="1" customWidth="1"/>
    <col min="1037" max="1283" width="9.140625" style="1551"/>
    <col min="1284" max="1284" width="28.42578125" style="1551" customWidth="1"/>
    <col min="1285" max="1285" width="9.140625" style="1551"/>
    <col min="1286" max="1286" width="15.28515625" style="1551" customWidth="1"/>
    <col min="1287" max="1287" width="10.7109375" style="1551" customWidth="1"/>
    <col min="1288" max="1288" width="9" style="1551" customWidth="1"/>
    <col min="1289" max="1290" width="9.140625" style="1551"/>
    <col min="1291" max="1292" width="10.140625" style="1551" bestFit="1" customWidth="1"/>
    <col min="1293" max="1539" width="9.140625" style="1551"/>
    <col min="1540" max="1540" width="28.42578125" style="1551" customWidth="1"/>
    <col min="1541" max="1541" width="9.140625" style="1551"/>
    <col min="1542" max="1542" width="15.28515625" style="1551" customWidth="1"/>
    <col min="1543" max="1543" width="10.7109375" style="1551" customWidth="1"/>
    <col min="1544" max="1544" width="9" style="1551" customWidth="1"/>
    <col min="1545" max="1546" width="9.140625" style="1551"/>
    <col min="1547" max="1548" width="10.140625" style="1551" bestFit="1" customWidth="1"/>
    <col min="1549" max="1795" width="9.140625" style="1551"/>
    <col min="1796" max="1796" width="28.42578125" style="1551" customWidth="1"/>
    <col min="1797" max="1797" width="9.140625" style="1551"/>
    <col min="1798" max="1798" width="15.28515625" style="1551" customWidth="1"/>
    <col min="1799" max="1799" width="10.7109375" style="1551" customWidth="1"/>
    <col min="1800" max="1800" width="9" style="1551" customWidth="1"/>
    <col min="1801" max="1802" width="9.140625" style="1551"/>
    <col min="1803" max="1804" width="10.140625" style="1551" bestFit="1" customWidth="1"/>
    <col min="1805" max="2051" width="9.140625" style="1551"/>
    <col min="2052" max="2052" width="28.42578125" style="1551" customWidth="1"/>
    <col min="2053" max="2053" width="9.140625" style="1551"/>
    <col min="2054" max="2054" width="15.28515625" style="1551" customWidth="1"/>
    <col min="2055" max="2055" width="10.7109375" style="1551" customWidth="1"/>
    <col min="2056" max="2056" width="9" style="1551" customWidth="1"/>
    <col min="2057" max="2058" width="9.140625" style="1551"/>
    <col min="2059" max="2060" width="10.140625" style="1551" bestFit="1" customWidth="1"/>
    <col min="2061" max="2307" width="9.140625" style="1551"/>
    <col min="2308" max="2308" width="28.42578125" style="1551" customWidth="1"/>
    <col min="2309" max="2309" width="9.140625" style="1551"/>
    <col min="2310" max="2310" width="15.28515625" style="1551" customWidth="1"/>
    <col min="2311" max="2311" width="10.7109375" style="1551" customWidth="1"/>
    <col min="2312" max="2312" width="9" style="1551" customWidth="1"/>
    <col min="2313" max="2314" width="9.140625" style="1551"/>
    <col min="2315" max="2316" width="10.140625" style="1551" bestFit="1" customWidth="1"/>
    <col min="2317" max="2563" width="9.140625" style="1551"/>
    <col min="2564" max="2564" width="28.42578125" style="1551" customWidth="1"/>
    <col min="2565" max="2565" width="9.140625" style="1551"/>
    <col min="2566" max="2566" width="15.28515625" style="1551" customWidth="1"/>
    <col min="2567" max="2567" width="10.7109375" style="1551" customWidth="1"/>
    <col min="2568" max="2568" width="9" style="1551" customWidth="1"/>
    <col min="2569" max="2570" width="9.140625" style="1551"/>
    <col min="2571" max="2572" width="10.140625" style="1551" bestFit="1" customWidth="1"/>
    <col min="2573" max="2819" width="9.140625" style="1551"/>
    <col min="2820" max="2820" width="28.42578125" style="1551" customWidth="1"/>
    <col min="2821" max="2821" width="9.140625" style="1551"/>
    <col min="2822" max="2822" width="15.28515625" style="1551" customWidth="1"/>
    <col min="2823" max="2823" width="10.7109375" style="1551" customWidth="1"/>
    <col min="2824" max="2824" width="9" style="1551" customWidth="1"/>
    <col min="2825" max="2826" width="9.140625" style="1551"/>
    <col min="2827" max="2828" width="10.140625" style="1551" bestFit="1" customWidth="1"/>
    <col min="2829" max="3075" width="9.140625" style="1551"/>
    <col min="3076" max="3076" width="28.42578125" style="1551" customWidth="1"/>
    <col min="3077" max="3077" width="9.140625" style="1551"/>
    <col min="3078" max="3078" width="15.28515625" style="1551" customWidth="1"/>
    <col min="3079" max="3079" width="10.7109375" style="1551" customWidth="1"/>
    <col min="3080" max="3080" width="9" style="1551" customWidth="1"/>
    <col min="3081" max="3082" width="9.140625" style="1551"/>
    <col min="3083" max="3084" width="10.140625" style="1551" bestFit="1" customWidth="1"/>
    <col min="3085" max="3331" width="9.140625" style="1551"/>
    <col min="3332" max="3332" width="28.42578125" style="1551" customWidth="1"/>
    <col min="3333" max="3333" width="9.140625" style="1551"/>
    <col min="3334" max="3334" width="15.28515625" style="1551" customWidth="1"/>
    <col min="3335" max="3335" width="10.7109375" style="1551" customWidth="1"/>
    <col min="3336" max="3336" width="9" style="1551" customWidth="1"/>
    <col min="3337" max="3338" width="9.140625" style="1551"/>
    <col min="3339" max="3340" width="10.140625" style="1551" bestFit="1" customWidth="1"/>
    <col min="3341" max="3587" width="9.140625" style="1551"/>
    <col min="3588" max="3588" width="28.42578125" style="1551" customWidth="1"/>
    <col min="3589" max="3589" width="9.140625" style="1551"/>
    <col min="3590" max="3590" width="15.28515625" style="1551" customWidth="1"/>
    <col min="3591" max="3591" width="10.7109375" style="1551" customWidth="1"/>
    <col min="3592" max="3592" width="9" style="1551" customWidth="1"/>
    <col min="3593" max="3594" width="9.140625" style="1551"/>
    <col min="3595" max="3596" width="10.140625" style="1551" bestFit="1" customWidth="1"/>
    <col min="3597" max="3843" width="9.140625" style="1551"/>
    <col min="3844" max="3844" width="28.42578125" style="1551" customWidth="1"/>
    <col min="3845" max="3845" width="9.140625" style="1551"/>
    <col min="3846" max="3846" width="15.28515625" style="1551" customWidth="1"/>
    <col min="3847" max="3847" width="10.7109375" style="1551" customWidth="1"/>
    <col min="3848" max="3848" width="9" style="1551" customWidth="1"/>
    <col min="3849" max="3850" width="9.140625" style="1551"/>
    <col min="3851" max="3852" width="10.140625" style="1551" bestFit="1" customWidth="1"/>
    <col min="3853" max="4099" width="9.140625" style="1551"/>
    <col min="4100" max="4100" width="28.42578125" style="1551" customWidth="1"/>
    <col min="4101" max="4101" width="9.140625" style="1551"/>
    <col min="4102" max="4102" width="15.28515625" style="1551" customWidth="1"/>
    <col min="4103" max="4103" width="10.7109375" style="1551" customWidth="1"/>
    <col min="4104" max="4104" width="9" style="1551" customWidth="1"/>
    <col min="4105" max="4106" width="9.140625" style="1551"/>
    <col min="4107" max="4108" width="10.140625" style="1551" bestFit="1" customWidth="1"/>
    <col min="4109" max="4355" width="9.140625" style="1551"/>
    <col min="4356" max="4356" width="28.42578125" style="1551" customWidth="1"/>
    <col min="4357" max="4357" width="9.140625" style="1551"/>
    <col min="4358" max="4358" width="15.28515625" style="1551" customWidth="1"/>
    <col min="4359" max="4359" width="10.7109375" style="1551" customWidth="1"/>
    <col min="4360" max="4360" width="9" style="1551" customWidth="1"/>
    <col min="4361" max="4362" width="9.140625" style="1551"/>
    <col min="4363" max="4364" width="10.140625" style="1551" bestFit="1" customWidth="1"/>
    <col min="4365" max="4611" width="9.140625" style="1551"/>
    <col min="4612" max="4612" width="28.42578125" style="1551" customWidth="1"/>
    <col min="4613" max="4613" width="9.140625" style="1551"/>
    <col min="4614" max="4614" width="15.28515625" style="1551" customWidth="1"/>
    <col min="4615" max="4615" width="10.7109375" style="1551" customWidth="1"/>
    <col min="4616" max="4616" width="9" style="1551" customWidth="1"/>
    <col min="4617" max="4618" width="9.140625" style="1551"/>
    <col min="4619" max="4620" width="10.140625" style="1551" bestFit="1" customWidth="1"/>
    <col min="4621" max="4867" width="9.140625" style="1551"/>
    <col min="4868" max="4868" width="28.42578125" style="1551" customWidth="1"/>
    <col min="4869" max="4869" width="9.140625" style="1551"/>
    <col min="4870" max="4870" width="15.28515625" style="1551" customWidth="1"/>
    <col min="4871" max="4871" width="10.7109375" style="1551" customWidth="1"/>
    <col min="4872" max="4872" width="9" style="1551" customWidth="1"/>
    <col min="4873" max="4874" width="9.140625" style="1551"/>
    <col min="4875" max="4876" width="10.140625" style="1551" bestFit="1" customWidth="1"/>
    <col min="4877" max="5123" width="9.140625" style="1551"/>
    <col min="5124" max="5124" width="28.42578125" style="1551" customWidth="1"/>
    <col min="5125" max="5125" width="9.140625" style="1551"/>
    <col min="5126" max="5126" width="15.28515625" style="1551" customWidth="1"/>
    <col min="5127" max="5127" width="10.7109375" style="1551" customWidth="1"/>
    <col min="5128" max="5128" width="9" style="1551" customWidth="1"/>
    <col min="5129" max="5130" width="9.140625" style="1551"/>
    <col min="5131" max="5132" width="10.140625" style="1551" bestFit="1" customWidth="1"/>
    <col min="5133" max="5379" width="9.140625" style="1551"/>
    <col min="5380" max="5380" width="28.42578125" style="1551" customWidth="1"/>
    <col min="5381" max="5381" width="9.140625" style="1551"/>
    <col min="5382" max="5382" width="15.28515625" style="1551" customWidth="1"/>
    <col min="5383" max="5383" width="10.7109375" style="1551" customWidth="1"/>
    <col min="5384" max="5384" width="9" style="1551" customWidth="1"/>
    <col min="5385" max="5386" width="9.140625" style="1551"/>
    <col min="5387" max="5388" width="10.140625" style="1551" bestFit="1" customWidth="1"/>
    <col min="5389" max="5635" width="9.140625" style="1551"/>
    <col min="5636" max="5636" width="28.42578125" style="1551" customWidth="1"/>
    <col min="5637" max="5637" width="9.140625" style="1551"/>
    <col min="5638" max="5638" width="15.28515625" style="1551" customWidth="1"/>
    <col min="5639" max="5639" width="10.7109375" style="1551" customWidth="1"/>
    <col min="5640" max="5640" width="9" style="1551" customWidth="1"/>
    <col min="5641" max="5642" width="9.140625" style="1551"/>
    <col min="5643" max="5644" width="10.140625" style="1551" bestFit="1" customWidth="1"/>
    <col min="5645" max="5891" width="9.140625" style="1551"/>
    <col min="5892" max="5892" width="28.42578125" style="1551" customWidth="1"/>
    <col min="5893" max="5893" width="9.140625" style="1551"/>
    <col min="5894" max="5894" width="15.28515625" style="1551" customWidth="1"/>
    <col min="5895" max="5895" width="10.7109375" style="1551" customWidth="1"/>
    <col min="5896" max="5896" width="9" style="1551" customWidth="1"/>
    <col min="5897" max="5898" width="9.140625" style="1551"/>
    <col min="5899" max="5900" width="10.140625" style="1551" bestFit="1" customWidth="1"/>
    <col min="5901" max="6147" width="9.140625" style="1551"/>
    <col min="6148" max="6148" width="28.42578125" style="1551" customWidth="1"/>
    <col min="6149" max="6149" width="9.140625" style="1551"/>
    <col min="6150" max="6150" width="15.28515625" style="1551" customWidth="1"/>
    <col min="6151" max="6151" width="10.7109375" style="1551" customWidth="1"/>
    <col min="6152" max="6152" width="9" style="1551" customWidth="1"/>
    <col min="6153" max="6154" width="9.140625" style="1551"/>
    <col min="6155" max="6156" width="10.140625" style="1551" bestFit="1" customWidth="1"/>
    <col min="6157" max="6403" width="9.140625" style="1551"/>
    <col min="6404" max="6404" width="28.42578125" style="1551" customWidth="1"/>
    <col min="6405" max="6405" width="9.140625" style="1551"/>
    <col min="6406" max="6406" width="15.28515625" style="1551" customWidth="1"/>
    <col min="6407" max="6407" width="10.7109375" style="1551" customWidth="1"/>
    <col min="6408" max="6408" width="9" style="1551" customWidth="1"/>
    <col min="6409" max="6410" width="9.140625" style="1551"/>
    <col min="6411" max="6412" width="10.140625" style="1551" bestFit="1" customWidth="1"/>
    <col min="6413" max="6659" width="9.140625" style="1551"/>
    <col min="6660" max="6660" width="28.42578125" style="1551" customWidth="1"/>
    <col min="6661" max="6661" width="9.140625" style="1551"/>
    <col min="6662" max="6662" width="15.28515625" style="1551" customWidth="1"/>
    <col min="6663" max="6663" width="10.7109375" style="1551" customWidth="1"/>
    <col min="6664" max="6664" width="9" style="1551" customWidth="1"/>
    <col min="6665" max="6666" width="9.140625" style="1551"/>
    <col min="6667" max="6668" width="10.140625" style="1551" bestFit="1" customWidth="1"/>
    <col min="6669" max="6915" width="9.140625" style="1551"/>
    <col min="6916" max="6916" width="28.42578125" style="1551" customWidth="1"/>
    <col min="6917" max="6917" width="9.140625" style="1551"/>
    <col min="6918" max="6918" width="15.28515625" style="1551" customWidth="1"/>
    <col min="6919" max="6919" width="10.7109375" style="1551" customWidth="1"/>
    <col min="6920" max="6920" width="9" style="1551" customWidth="1"/>
    <col min="6921" max="6922" width="9.140625" style="1551"/>
    <col min="6923" max="6924" width="10.140625" style="1551" bestFit="1" customWidth="1"/>
    <col min="6925" max="7171" width="9.140625" style="1551"/>
    <col min="7172" max="7172" width="28.42578125" style="1551" customWidth="1"/>
    <col min="7173" max="7173" width="9.140625" style="1551"/>
    <col min="7174" max="7174" width="15.28515625" style="1551" customWidth="1"/>
    <col min="7175" max="7175" width="10.7109375" style="1551" customWidth="1"/>
    <col min="7176" max="7176" width="9" style="1551" customWidth="1"/>
    <col min="7177" max="7178" width="9.140625" style="1551"/>
    <col min="7179" max="7180" width="10.140625" style="1551" bestFit="1" customWidth="1"/>
    <col min="7181" max="7427" width="9.140625" style="1551"/>
    <col min="7428" max="7428" width="28.42578125" style="1551" customWidth="1"/>
    <col min="7429" max="7429" width="9.140625" style="1551"/>
    <col min="7430" max="7430" width="15.28515625" style="1551" customWidth="1"/>
    <col min="7431" max="7431" width="10.7109375" style="1551" customWidth="1"/>
    <col min="7432" max="7432" width="9" style="1551" customWidth="1"/>
    <col min="7433" max="7434" width="9.140625" style="1551"/>
    <col min="7435" max="7436" width="10.140625" style="1551" bestFit="1" customWidth="1"/>
    <col min="7437" max="7683" width="9.140625" style="1551"/>
    <col min="7684" max="7684" width="28.42578125" style="1551" customWidth="1"/>
    <col min="7685" max="7685" width="9.140625" style="1551"/>
    <col min="7686" max="7686" width="15.28515625" style="1551" customWidth="1"/>
    <col min="7687" max="7687" width="10.7109375" style="1551" customWidth="1"/>
    <col min="7688" max="7688" width="9" style="1551" customWidth="1"/>
    <col min="7689" max="7690" width="9.140625" style="1551"/>
    <col min="7691" max="7692" width="10.140625" style="1551" bestFit="1" customWidth="1"/>
    <col min="7693" max="7939" width="9.140625" style="1551"/>
    <col min="7940" max="7940" width="28.42578125" style="1551" customWidth="1"/>
    <col min="7941" max="7941" width="9.140625" style="1551"/>
    <col min="7942" max="7942" width="15.28515625" style="1551" customWidth="1"/>
    <col min="7943" max="7943" width="10.7109375" style="1551" customWidth="1"/>
    <col min="7944" max="7944" width="9" style="1551" customWidth="1"/>
    <col min="7945" max="7946" width="9.140625" style="1551"/>
    <col min="7947" max="7948" width="10.140625" style="1551" bestFit="1" customWidth="1"/>
    <col min="7949" max="8195" width="9.140625" style="1551"/>
    <col min="8196" max="8196" width="28.42578125" style="1551" customWidth="1"/>
    <col min="8197" max="8197" width="9.140625" style="1551"/>
    <col min="8198" max="8198" width="15.28515625" style="1551" customWidth="1"/>
    <col min="8199" max="8199" width="10.7109375" style="1551" customWidth="1"/>
    <col min="8200" max="8200" width="9" style="1551" customWidth="1"/>
    <col min="8201" max="8202" width="9.140625" style="1551"/>
    <col min="8203" max="8204" width="10.140625" style="1551" bestFit="1" customWidth="1"/>
    <col min="8205" max="8451" width="9.140625" style="1551"/>
    <col min="8452" max="8452" width="28.42578125" style="1551" customWidth="1"/>
    <col min="8453" max="8453" width="9.140625" style="1551"/>
    <col min="8454" max="8454" width="15.28515625" style="1551" customWidth="1"/>
    <col min="8455" max="8455" width="10.7109375" style="1551" customWidth="1"/>
    <col min="8456" max="8456" width="9" style="1551" customWidth="1"/>
    <col min="8457" max="8458" width="9.140625" style="1551"/>
    <col min="8459" max="8460" width="10.140625" style="1551" bestFit="1" customWidth="1"/>
    <col min="8461" max="8707" width="9.140625" style="1551"/>
    <col min="8708" max="8708" width="28.42578125" style="1551" customWidth="1"/>
    <col min="8709" max="8709" width="9.140625" style="1551"/>
    <col min="8710" max="8710" width="15.28515625" style="1551" customWidth="1"/>
    <col min="8711" max="8711" width="10.7109375" style="1551" customWidth="1"/>
    <col min="8712" max="8712" width="9" style="1551" customWidth="1"/>
    <col min="8713" max="8714" width="9.140625" style="1551"/>
    <col min="8715" max="8716" width="10.140625" style="1551" bestFit="1" customWidth="1"/>
    <col min="8717" max="8963" width="9.140625" style="1551"/>
    <col min="8964" max="8964" width="28.42578125" style="1551" customWidth="1"/>
    <col min="8965" max="8965" width="9.140625" style="1551"/>
    <col min="8966" max="8966" width="15.28515625" style="1551" customWidth="1"/>
    <col min="8967" max="8967" width="10.7109375" style="1551" customWidth="1"/>
    <col min="8968" max="8968" width="9" style="1551" customWidth="1"/>
    <col min="8969" max="8970" width="9.140625" style="1551"/>
    <col min="8971" max="8972" width="10.140625" style="1551" bestFit="1" customWidth="1"/>
    <col min="8973" max="9219" width="9.140625" style="1551"/>
    <col min="9220" max="9220" width="28.42578125" style="1551" customWidth="1"/>
    <col min="9221" max="9221" width="9.140625" style="1551"/>
    <col min="9222" max="9222" width="15.28515625" style="1551" customWidth="1"/>
    <col min="9223" max="9223" width="10.7109375" style="1551" customWidth="1"/>
    <col min="9224" max="9224" width="9" style="1551" customWidth="1"/>
    <col min="9225" max="9226" width="9.140625" style="1551"/>
    <col min="9227" max="9228" width="10.140625" style="1551" bestFit="1" customWidth="1"/>
    <col min="9229" max="9475" width="9.140625" style="1551"/>
    <col min="9476" max="9476" width="28.42578125" style="1551" customWidth="1"/>
    <col min="9477" max="9477" width="9.140625" style="1551"/>
    <col min="9478" max="9478" width="15.28515625" style="1551" customWidth="1"/>
    <col min="9479" max="9479" width="10.7109375" style="1551" customWidth="1"/>
    <col min="9480" max="9480" width="9" style="1551" customWidth="1"/>
    <col min="9481" max="9482" width="9.140625" style="1551"/>
    <col min="9483" max="9484" width="10.140625" style="1551" bestFit="1" customWidth="1"/>
    <col min="9485" max="9731" width="9.140625" style="1551"/>
    <col min="9732" max="9732" width="28.42578125" style="1551" customWidth="1"/>
    <col min="9733" max="9733" width="9.140625" style="1551"/>
    <col min="9734" max="9734" width="15.28515625" style="1551" customWidth="1"/>
    <col min="9735" max="9735" width="10.7109375" style="1551" customWidth="1"/>
    <col min="9736" max="9736" width="9" style="1551" customWidth="1"/>
    <col min="9737" max="9738" width="9.140625" style="1551"/>
    <col min="9739" max="9740" width="10.140625" style="1551" bestFit="1" customWidth="1"/>
    <col min="9741" max="9987" width="9.140625" style="1551"/>
    <col min="9988" max="9988" width="28.42578125" style="1551" customWidth="1"/>
    <col min="9989" max="9989" width="9.140625" style="1551"/>
    <col min="9990" max="9990" width="15.28515625" style="1551" customWidth="1"/>
    <col min="9991" max="9991" width="10.7109375" style="1551" customWidth="1"/>
    <col min="9992" max="9992" width="9" style="1551" customWidth="1"/>
    <col min="9993" max="9994" width="9.140625" style="1551"/>
    <col min="9995" max="9996" width="10.140625" style="1551" bestFit="1" customWidth="1"/>
    <col min="9997" max="10243" width="9.140625" style="1551"/>
    <col min="10244" max="10244" width="28.42578125" style="1551" customWidth="1"/>
    <col min="10245" max="10245" width="9.140625" style="1551"/>
    <col min="10246" max="10246" width="15.28515625" style="1551" customWidth="1"/>
    <col min="10247" max="10247" width="10.7109375" style="1551" customWidth="1"/>
    <col min="10248" max="10248" width="9" style="1551" customWidth="1"/>
    <col min="10249" max="10250" width="9.140625" style="1551"/>
    <col min="10251" max="10252" width="10.140625" style="1551" bestFit="1" customWidth="1"/>
    <col min="10253" max="10499" width="9.140625" style="1551"/>
    <col min="10500" max="10500" width="28.42578125" style="1551" customWidth="1"/>
    <col min="10501" max="10501" width="9.140625" style="1551"/>
    <col min="10502" max="10502" width="15.28515625" style="1551" customWidth="1"/>
    <col min="10503" max="10503" width="10.7109375" style="1551" customWidth="1"/>
    <col min="10504" max="10504" width="9" style="1551" customWidth="1"/>
    <col min="10505" max="10506" width="9.140625" style="1551"/>
    <col min="10507" max="10508" width="10.140625" style="1551" bestFit="1" customWidth="1"/>
    <col min="10509" max="10755" width="9.140625" style="1551"/>
    <col min="10756" max="10756" width="28.42578125" style="1551" customWidth="1"/>
    <col min="10757" max="10757" width="9.140625" style="1551"/>
    <col min="10758" max="10758" width="15.28515625" style="1551" customWidth="1"/>
    <col min="10759" max="10759" width="10.7109375" style="1551" customWidth="1"/>
    <col min="10760" max="10760" width="9" style="1551" customWidth="1"/>
    <col min="10761" max="10762" width="9.140625" style="1551"/>
    <col min="10763" max="10764" width="10.140625" style="1551" bestFit="1" customWidth="1"/>
    <col min="10765" max="11011" width="9.140625" style="1551"/>
    <col min="11012" max="11012" width="28.42578125" style="1551" customWidth="1"/>
    <col min="11013" max="11013" width="9.140625" style="1551"/>
    <col min="11014" max="11014" width="15.28515625" style="1551" customWidth="1"/>
    <col min="11015" max="11015" width="10.7109375" style="1551" customWidth="1"/>
    <col min="11016" max="11016" width="9" style="1551" customWidth="1"/>
    <col min="11017" max="11018" width="9.140625" style="1551"/>
    <col min="11019" max="11020" width="10.140625" style="1551" bestFit="1" customWidth="1"/>
    <col min="11021" max="11267" width="9.140625" style="1551"/>
    <col min="11268" max="11268" width="28.42578125" style="1551" customWidth="1"/>
    <col min="11269" max="11269" width="9.140625" style="1551"/>
    <col min="11270" max="11270" width="15.28515625" style="1551" customWidth="1"/>
    <col min="11271" max="11271" width="10.7109375" style="1551" customWidth="1"/>
    <col min="11272" max="11272" width="9" style="1551" customWidth="1"/>
    <col min="11273" max="11274" width="9.140625" style="1551"/>
    <col min="11275" max="11276" width="10.140625" style="1551" bestFit="1" customWidth="1"/>
    <col min="11277" max="11523" width="9.140625" style="1551"/>
    <col min="11524" max="11524" width="28.42578125" style="1551" customWidth="1"/>
    <col min="11525" max="11525" width="9.140625" style="1551"/>
    <col min="11526" max="11526" width="15.28515625" style="1551" customWidth="1"/>
    <col min="11527" max="11527" width="10.7109375" style="1551" customWidth="1"/>
    <col min="11528" max="11528" width="9" style="1551" customWidth="1"/>
    <col min="11529" max="11530" width="9.140625" style="1551"/>
    <col min="11531" max="11532" width="10.140625" style="1551" bestFit="1" customWidth="1"/>
    <col min="11533" max="11779" width="9.140625" style="1551"/>
    <col min="11780" max="11780" width="28.42578125" style="1551" customWidth="1"/>
    <col min="11781" max="11781" width="9.140625" style="1551"/>
    <col min="11782" max="11782" width="15.28515625" style="1551" customWidth="1"/>
    <col min="11783" max="11783" width="10.7109375" style="1551" customWidth="1"/>
    <col min="11784" max="11784" width="9" style="1551" customWidth="1"/>
    <col min="11785" max="11786" width="9.140625" style="1551"/>
    <col min="11787" max="11788" width="10.140625" style="1551" bestFit="1" customWidth="1"/>
    <col min="11789" max="12035" width="9.140625" style="1551"/>
    <col min="12036" max="12036" width="28.42578125" style="1551" customWidth="1"/>
    <col min="12037" max="12037" width="9.140625" style="1551"/>
    <col min="12038" max="12038" width="15.28515625" style="1551" customWidth="1"/>
    <col min="12039" max="12039" width="10.7109375" style="1551" customWidth="1"/>
    <col min="12040" max="12040" width="9" style="1551" customWidth="1"/>
    <col min="12041" max="12042" width="9.140625" style="1551"/>
    <col min="12043" max="12044" width="10.140625" style="1551" bestFit="1" customWidth="1"/>
    <col min="12045" max="12291" width="9.140625" style="1551"/>
    <col min="12292" max="12292" width="28.42578125" style="1551" customWidth="1"/>
    <col min="12293" max="12293" width="9.140625" style="1551"/>
    <col min="12294" max="12294" width="15.28515625" style="1551" customWidth="1"/>
    <col min="12295" max="12295" width="10.7109375" style="1551" customWidth="1"/>
    <col min="12296" max="12296" width="9" style="1551" customWidth="1"/>
    <col min="12297" max="12298" width="9.140625" style="1551"/>
    <col min="12299" max="12300" width="10.140625" style="1551" bestFit="1" customWidth="1"/>
    <col min="12301" max="12547" width="9.140625" style="1551"/>
    <col min="12548" max="12548" width="28.42578125" style="1551" customWidth="1"/>
    <col min="12549" max="12549" width="9.140625" style="1551"/>
    <col min="12550" max="12550" width="15.28515625" style="1551" customWidth="1"/>
    <col min="12551" max="12551" width="10.7109375" style="1551" customWidth="1"/>
    <col min="12552" max="12552" width="9" style="1551" customWidth="1"/>
    <col min="12553" max="12554" width="9.140625" style="1551"/>
    <col min="12555" max="12556" width="10.140625" style="1551" bestFit="1" customWidth="1"/>
    <col min="12557" max="12803" width="9.140625" style="1551"/>
    <col min="12804" max="12804" width="28.42578125" style="1551" customWidth="1"/>
    <col min="12805" max="12805" width="9.140625" style="1551"/>
    <col min="12806" max="12806" width="15.28515625" style="1551" customWidth="1"/>
    <col min="12807" max="12807" width="10.7109375" style="1551" customWidth="1"/>
    <col min="12808" max="12808" width="9" style="1551" customWidth="1"/>
    <col min="12809" max="12810" width="9.140625" style="1551"/>
    <col min="12811" max="12812" width="10.140625" style="1551" bestFit="1" customWidth="1"/>
    <col min="12813" max="13059" width="9.140625" style="1551"/>
    <col min="13060" max="13060" width="28.42578125" style="1551" customWidth="1"/>
    <col min="13061" max="13061" width="9.140625" style="1551"/>
    <col min="13062" max="13062" width="15.28515625" style="1551" customWidth="1"/>
    <col min="13063" max="13063" width="10.7109375" style="1551" customWidth="1"/>
    <col min="13064" max="13064" width="9" style="1551" customWidth="1"/>
    <col min="13065" max="13066" width="9.140625" style="1551"/>
    <col min="13067" max="13068" width="10.140625" style="1551" bestFit="1" customWidth="1"/>
    <col min="13069" max="13315" width="9.140625" style="1551"/>
    <col min="13316" max="13316" width="28.42578125" style="1551" customWidth="1"/>
    <col min="13317" max="13317" width="9.140625" style="1551"/>
    <col min="13318" max="13318" width="15.28515625" style="1551" customWidth="1"/>
    <col min="13319" max="13319" width="10.7109375" style="1551" customWidth="1"/>
    <col min="13320" max="13320" width="9" style="1551" customWidth="1"/>
    <col min="13321" max="13322" width="9.140625" style="1551"/>
    <col min="13323" max="13324" width="10.140625" style="1551" bestFit="1" customWidth="1"/>
    <col min="13325" max="13571" width="9.140625" style="1551"/>
    <col min="13572" max="13572" width="28.42578125" style="1551" customWidth="1"/>
    <col min="13573" max="13573" width="9.140625" style="1551"/>
    <col min="13574" max="13574" width="15.28515625" style="1551" customWidth="1"/>
    <col min="13575" max="13575" width="10.7109375" style="1551" customWidth="1"/>
    <col min="13576" max="13576" width="9" style="1551" customWidth="1"/>
    <col min="13577" max="13578" width="9.140625" style="1551"/>
    <col min="13579" max="13580" width="10.140625" style="1551" bestFit="1" customWidth="1"/>
    <col min="13581" max="13827" width="9.140625" style="1551"/>
    <col min="13828" max="13828" width="28.42578125" style="1551" customWidth="1"/>
    <col min="13829" max="13829" width="9.140625" style="1551"/>
    <col min="13830" max="13830" width="15.28515625" style="1551" customWidth="1"/>
    <col min="13831" max="13831" width="10.7109375" style="1551" customWidth="1"/>
    <col min="13832" max="13832" width="9" style="1551" customWidth="1"/>
    <col min="13833" max="13834" width="9.140625" style="1551"/>
    <col min="13835" max="13836" width="10.140625" style="1551" bestFit="1" customWidth="1"/>
    <col min="13837" max="14083" width="9.140625" style="1551"/>
    <col min="14084" max="14084" width="28.42578125" style="1551" customWidth="1"/>
    <col min="14085" max="14085" width="9.140625" style="1551"/>
    <col min="14086" max="14086" width="15.28515625" style="1551" customWidth="1"/>
    <col min="14087" max="14087" width="10.7109375" style="1551" customWidth="1"/>
    <col min="14088" max="14088" width="9" style="1551" customWidth="1"/>
    <col min="14089" max="14090" width="9.140625" style="1551"/>
    <col min="14091" max="14092" width="10.140625" style="1551" bestFit="1" customWidth="1"/>
    <col min="14093" max="14339" width="9.140625" style="1551"/>
    <col min="14340" max="14340" width="28.42578125" style="1551" customWidth="1"/>
    <col min="14341" max="14341" width="9.140625" style="1551"/>
    <col min="14342" max="14342" width="15.28515625" style="1551" customWidth="1"/>
    <col min="14343" max="14343" width="10.7109375" style="1551" customWidth="1"/>
    <col min="14344" max="14344" width="9" style="1551" customWidth="1"/>
    <col min="14345" max="14346" width="9.140625" style="1551"/>
    <col min="14347" max="14348" width="10.140625" style="1551" bestFit="1" customWidth="1"/>
    <col min="14349" max="14595" width="9.140625" style="1551"/>
    <col min="14596" max="14596" width="28.42578125" style="1551" customWidth="1"/>
    <col min="14597" max="14597" width="9.140625" style="1551"/>
    <col min="14598" max="14598" width="15.28515625" style="1551" customWidth="1"/>
    <col min="14599" max="14599" width="10.7109375" style="1551" customWidth="1"/>
    <col min="14600" max="14600" width="9" style="1551" customWidth="1"/>
    <col min="14601" max="14602" width="9.140625" style="1551"/>
    <col min="14603" max="14604" width="10.140625" style="1551" bestFit="1" customWidth="1"/>
    <col min="14605" max="14851" width="9.140625" style="1551"/>
    <col min="14852" max="14852" width="28.42578125" style="1551" customWidth="1"/>
    <col min="14853" max="14853" width="9.140625" style="1551"/>
    <col min="14854" max="14854" width="15.28515625" style="1551" customWidth="1"/>
    <col min="14855" max="14855" width="10.7109375" style="1551" customWidth="1"/>
    <col min="14856" max="14856" width="9" style="1551" customWidth="1"/>
    <col min="14857" max="14858" width="9.140625" style="1551"/>
    <col min="14859" max="14860" width="10.140625" style="1551" bestFit="1" customWidth="1"/>
    <col min="14861" max="15107" width="9.140625" style="1551"/>
    <col min="15108" max="15108" width="28.42578125" style="1551" customWidth="1"/>
    <col min="15109" max="15109" width="9.140625" style="1551"/>
    <col min="15110" max="15110" width="15.28515625" style="1551" customWidth="1"/>
    <col min="15111" max="15111" width="10.7109375" style="1551" customWidth="1"/>
    <col min="15112" max="15112" width="9" style="1551" customWidth="1"/>
    <col min="15113" max="15114" width="9.140625" style="1551"/>
    <col min="15115" max="15116" width="10.140625" style="1551" bestFit="1" customWidth="1"/>
    <col min="15117" max="15363" width="9.140625" style="1551"/>
    <col min="15364" max="15364" width="28.42578125" style="1551" customWidth="1"/>
    <col min="15365" max="15365" width="9.140625" style="1551"/>
    <col min="15366" max="15366" width="15.28515625" style="1551" customWidth="1"/>
    <col min="15367" max="15367" width="10.7109375" style="1551" customWidth="1"/>
    <col min="15368" max="15368" width="9" style="1551" customWidth="1"/>
    <col min="15369" max="15370" width="9.140625" style="1551"/>
    <col min="15371" max="15372" width="10.140625" style="1551" bestFit="1" customWidth="1"/>
    <col min="15373" max="15619" width="9.140625" style="1551"/>
    <col min="15620" max="15620" width="28.42578125" style="1551" customWidth="1"/>
    <col min="15621" max="15621" width="9.140625" style="1551"/>
    <col min="15622" max="15622" width="15.28515625" style="1551" customWidth="1"/>
    <col min="15623" max="15623" width="10.7109375" style="1551" customWidth="1"/>
    <col min="15624" max="15624" width="9" style="1551" customWidth="1"/>
    <col min="15625" max="15626" width="9.140625" style="1551"/>
    <col min="15627" max="15628" width="10.140625" style="1551" bestFit="1" customWidth="1"/>
    <col min="15629" max="15875" width="9.140625" style="1551"/>
    <col min="15876" max="15876" width="28.42578125" style="1551" customWidth="1"/>
    <col min="15877" max="15877" width="9.140625" style="1551"/>
    <col min="15878" max="15878" width="15.28515625" style="1551" customWidth="1"/>
    <col min="15879" max="15879" width="10.7109375" style="1551" customWidth="1"/>
    <col min="15880" max="15880" width="9" style="1551" customWidth="1"/>
    <col min="15881" max="15882" width="9.140625" style="1551"/>
    <col min="15883" max="15884" width="10.140625" style="1551" bestFit="1" customWidth="1"/>
    <col min="15885" max="16131" width="9.140625" style="1551"/>
    <col min="16132" max="16132" width="28.42578125" style="1551" customWidth="1"/>
    <col min="16133" max="16133" width="9.140625" style="1551"/>
    <col min="16134" max="16134" width="15.28515625" style="1551" customWidth="1"/>
    <col min="16135" max="16135" width="10.7109375" style="1551" customWidth="1"/>
    <col min="16136" max="16136" width="9" style="1551" customWidth="1"/>
    <col min="16137" max="16138" width="9.140625" style="1551"/>
    <col min="16139" max="16140" width="10.140625" style="1551" bestFit="1" customWidth="1"/>
    <col min="16141" max="16384" width="9.140625" style="1551"/>
  </cols>
  <sheetData>
    <row r="1" spans="1:12" ht="43.5" customHeight="1" thickBot="1" x14ac:dyDescent="0.25">
      <c r="A1" s="3221" t="s">
        <v>1398</v>
      </c>
      <c r="B1" s="3221"/>
      <c r="C1" s="3221"/>
      <c r="D1" s="3221"/>
      <c r="E1" s="3221"/>
      <c r="F1" s="3221"/>
      <c r="G1" s="3221"/>
      <c r="H1" s="3221"/>
    </row>
    <row r="2" spans="1:12" ht="18" x14ac:dyDescent="0.25">
      <c r="A2" s="1558"/>
      <c r="B2" s="1558"/>
      <c r="C2" s="1558"/>
      <c r="E2" s="1559"/>
      <c r="F2" s="1559"/>
      <c r="G2" s="1559"/>
      <c r="H2" s="1445" t="s">
        <v>723</v>
      </c>
    </row>
    <row r="3" spans="1:12" s="1649" customFormat="1" ht="12.75" customHeight="1" x14ac:dyDescent="0.2">
      <c r="A3" s="1555" t="s">
        <v>336</v>
      </c>
      <c r="B3" s="1648"/>
      <c r="C3" s="1556" t="s">
        <v>317</v>
      </c>
    </row>
    <row r="4" spans="1:12" s="1649" customFormat="1" ht="12.75" customHeight="1" x14ac:dyDescent="0.25">
      <c r="A4" s="1650"/>
      <c r="B4" s="1648"/>
      <c r="C4" s="1556" t="s">
        <v>318</v>
      </c>
    </row>
    <row r="5" spans="1:12" ht="18" x14ac:dyDescent="0.25">
      <c r="A5" s="1557" t="s">
        <v>724</v>
      </c>
      <c r="B5" s="1558"/>
      <c r="C5" s="1558"/>
      <c r="E5" s="1559"/>
      <c r="F5" s="1559"/>
      <c r="G5" s="1559"/>
    </row>
    <row r="6" spans="1:12" x14ac:dyDescent="0.2">
      <c r="A6" s="1558"/>
      <c r="B6" s="1558"/>
      <c r="C6" s="1558"/>
      <c r="E6" s="1559"/>
      <c r="F6" s="1559"/>
      <c r="G6" s="1559"/>
    </row>
    <row r="7" spans="1:12" ht="15.75" thickBot="1" x14ac:dyDescent="0.3">
      <c r="A7" s="1544" t="s">
        <v>229</v>
      </c>
      <c r="B7" s="1558"/>
      <c r="C7" s="1558"/>
      <c r="E7" s="1559"/>
      <c r="F7" s="1559"/>
      <c r="G7" s="1559"/>
      <c r="H7" s="1651" t="s">
        <v>148</v>
      </c>
    </row>
    <row r="8" spans="1:12" ht="13.5" hidden="1" thickBot="1" x14ac:dyDescent="0.25">
      <c r="A8" s="1558"/>
      <c r="B8" s="1558"/>
      <c r="C8" s="1558"/>
      <c r="E8" s="1559"/>
      <c r="F8" s="1559"/>
      <c r="G8" s="1559"/>
      <c r="H8" s="1651" t="s">
        <v>148</v>
      </c>
    </row>
    <row r="9" spans="1:12" ht="25.5" thickTop="1" thickBot="1" x14ac:dyDescent="0.25">
      <c r="A9" s="1561" t="s">
        <v>149</v>
      </c>
      <c r="B9" s="1562" t="s">
        <v>688</v>
      </c>
      <c r="C9" s="1562" t="s">
        <v>345</v>
      </c>
      <c r="D9" s="1563" t="s">
        <v>151</v>
      </c>
      <c r="E9" s="1564" t="s">
        <v>569</v>
      </c>
      <c r="F9" s="1564" t="s">
        <v>570</v>
      </c>
      <c r="G9" s="1565" t="s">
        <v>797</v>
      </c>
      <c r="H9" s="1566" t="s">
        <v>798</v>
      </c>
    </row>
    <row r="10" spans="1:12" ht="14.25" thickTop="1" thickBot="1" x14ac:dyDescent="0.25">
      <c r="A10" s="1567">
        <v>1</v>
      </c>
      <c r="B10" s="1568">
        <v>2</v>
      </c>
      <c r="C10" s="1568">
        <v>3</v>
      </c>
      <c r="D10" s="1568">
        <v>4</v>
      </c>
      <c r="E10" s="1569">
        <v>5</v>
      </c>
      <c r="F10" s="1569">
        <v>6</v>
      </c>
      <c r="G10" s="1570">
        <v>7</v>
      </c>
      <c r="H10" s="1586" t="s">
        <v>54</v>
      </c>
    </row>
    <row r="11" spans="1:12" ht="32.25" customHeight="1" thickTop="1" thickBot="1" x14ac:dyDescent="0.25">
      <c r="A11" s="1577">
        <v>3636</v>
      </c>
      <c r="B11" s="1578">
        <v>5363</v>
      </c>
      <c r="C11" s="1578"/>
      <c r="D11" s="1652" t="s">
        <v>1353</v>
      </c>
      <c r="E11" s="1653">
        <v>0</v>
      </c>
      <c r="F11" s="1682">
        <v>23</v>
      </c>
      <c r="G11" s="1682">
        <v>23</v>
      </c>
      <c r="H11" s="1585">
        <f>G11/F11*100</f>
        <v>100</v>
      </c>
    </row>
    <row r="12" spans="1:12" ht="16.5" thickTop="1" thickBot="1" x14ac:dyDescent="0.3">
      <c r="A12" s="1698" t="s">
        <v>690</v>
      </c>
      <c r="B12" s="1699"/>
      <c r="C12" s="1699"/>
      <c r="D12" s="1699"/>
      <c r="E12" s="1584">
        <f>SUM(E11:E11)</f>
        <v>0</v>
      </c>
      <c r="F12" s="1584">
        <f>SUM(F11:F11)</f>
        <v>23</v>
      </c>
      <c r="G12" s="1584">
        <f>SUM(G11:G11)</f>
        <v>23</v>
      </c>
      <c r="H12" s="1583">
        <v>0</v>
      </c>
    </row>
    <row r="13" spans="1:12" ht="13.5" thickTop="1" x14ac:dyDescent="0.2">
      <c r="A13" s="1558"/>
      <c r="B13" s="1558"/>
      <c r="C13" s="1558"/>
      <c r="E13" s="1559"/>
      <c r="F13" s="1559"/>
      <c r="G13" s="1559"/>
    </row>
    <row r="14" spans="1:12" s="1654" customFormat="1" x14ac:dyDescent="0.2">
      <c r="A14" s="1558"/>
      <c r="B14" s="1558"/>
      <c r="C14" s="1558"/>
      <c r="D14" s="1551"/>
      <c r="E14" s="1559"/>
      <c r="F14" s="1559"/>
      <c r="G14" s="1559"/>
      <c r="H14" s="1551"/>
    </row>
    <row r="15" spans="1:12" s="1654" customFormat="1" ht="16.5" x14ac:dyDescent="0.25">
      <c r="A15" s="1605" t="s">
        <v>423</v>
      </c>
      <c r="B15" s="1606"/>
      <c r="C15" s="1607"/>
      <c r="D15" s="1608"/>
      <c r="E15" s="1609">
        <f>SUM(E16:E18)</f>
        <v>0</v>
      </c>
      <c r="F15" s="1609">
        <f>F16+F17+F18+F19</f>
        <v>23</v>
      </c>
      <c r="G15" s="1609">
        <f>G16+G17+G18+G19</f>
        <v>23</v>
      </c>
      <c r="H15" s="1655">
        <f>G15/F15*100</f>
        <v>100</v>
      </c>
      <c r="J15" s="1656">
        <f>J16+J17+J18</f>
        <v>0</v>
      </c>
      <c r="K15" s="1656">
        <f>K16+K17+K18</f>
        <v>22553</v>
      </c>
      <c r="L15" s="1656">
        <f>L16+L17+L18</f>
        <v>22553</v>
      </c>
    </row>
    <row r="16" spans="1:12" s="1654" customFormat="1" ht="15" x14ac:dyDescent="0.2">
      <c r="A16" s="1612" t="s">
        <v>242</v>
      </c>
      <c r="B16" s="1613"/>
      <c r="C16" s="1614"/>
      <c r="D16" s="1615"/>
      <c r="E16" s="1616">
        <f>SUM(E11)</f>
        <v>0</v>
      </c>
      <c r="F16" s="1616">
        <f>SUM(F11)</f>
        <v>23</v>
      </c>
      <c r="G16" s="1616">
        <f>SUM(G11)</f>
        <v>23</v>
      </c>
      <c r="H16" s="1657">
        <f>G16/F16*100</f>
        <v>100</v>
      </c>
      <c r="J16" s="1658">
        <v>0</v>
      </c>
      <c r="K16" s="1658">
        <v>22553</v>
      </c>
      <c r="L16" s="1658">
        <v>22553</v>
      </c>
    </row>
    <row r="17" spans="1:12" ht="15" x14ac:dyDescent="0.2">
      <c r="A17" s="1612" t="s">
        <v>243</v>
      </c>
      <c r="B17" s="1619"/>
      <c r="C17" s="1614"/>
      <c r="D17" s="1620"/>
      <c r="E17" s="1616">
        <v>0</v>
      </c>
      <c r="F17" s="1616">
        <v>0</v>
      </c>
      <c r="G17" s="1616">
        <v>0</v>
      </c>
      <c r="H17" s="1657">
        <v>0</v>
      </c>
      <c r="J17" s="1618">
        <v>0</v>
      </c>
      <c r="K17" s="1618">
        <v>0</v>
      </c>
      <c r="L17" s="1618">
        <v>0</v>
      </c>
    </row>
    <row r="18" spans="1:12" ht="15" x14ac:dyDescent="0.2">
      <c r="A18" s="1612" t="s">
        <v>424</v>
      </c>
      <c r="B18" s="1619"/>
      <c r="C18" s="1614"/>
      <c r="D18" s="1620"/>
      <c r="E18" s="1616">
        <v>0</v>
      </c>
      <c r="F18" s="1616">
        <v>0</v>
      </c>
      <c r="G18" s="1616">
        <v>0</v>
      </c>
      <c r="H18" s="1657">
        <v>0</v>
      </c>
      <c r="J18" s="1618">
        <v>0</v>
      </c>
      <c r="K18" s="1618">
        <v>0</v>
      </c>
      <c r="L18" s="1618">
        <v>0</v>
      </c>
    </row>
    <row r="19" spans="1:12" ht="15" x14ac:dyDescent="0.2">
      <c r="A19" s="1612"/>
      <c r="B19" s="1619"/>
      <c r="C19" s="1614"/>
      <c r="D19" s="1620"/>
      <c r="E19" s="1616"/>
      <c r="F19" s="1616"/>
      <c r="G19" s="1616"/>
      <c r="H19" s="1621"/>
    </row>
    <row r="20" spans="1:12" s="1641" customFormat="1" ht="77.25" customHeight="1" thickBot="1" x14ac:dyDescent="0.4">
      <c r="A20" s="3222" t="s">
        <v>1399</v>
      </c>
      <c r="B20" s="3223"/>
      <c r="C20" s="3223"/>
      <c r="D20" s="3223"/>
      <c r="E20" s="1622">
        <f>SUM(E15)</f>
        <v>0</v>
      </c>
      <c r="F20" s="1622">
        <f>SUM(F15)</f>
        <v>23</v>
      </c>
      <c r="G20" s="1622">
        <f>SUM(G15)</f>
        <v>23</v>
      </c>
      <c r="H20" s="1659">
        <f>G20/F20*100</f>
        <v>100</v>
      </c>
    </row>
    <row r="21" spans="1:12" ht="77.25" customHeight="1" thickTop="1" x14ac:dyDescent="0.2"/>
  </sheetData>
  <mergeCells count="2">
    <mergeCell ref="A1:H1"/>
    <mergeCell ref="A20:D20"/>
  </mergeCells>
  <pageMargins left="0.70866141732283472" right="0.70866141732283472" top="0.78740157480314965" bottom="0.78740157480314965" header="0.31496062992125984" footer="0.31496062992125984"/>
  <pageSetup paperSize="9" scale="80" firstPageNumber="128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colBreaks count="1" manualBreakCount="1">
    <brk id="8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2"/>
  <sheetViews>
    <sheetView showGridLines="0"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5.5703125" style="1371" customWidth="1"/>
    <col min="2" max="2" width="6.7109375" style="1371" customWidth="1"/>
    <col min="3" max="3" width="9.85546875" style="1371" customWidth="1"/>
    <col min="4" max="4" width="46.42578125" style="1372" customWidth="1"/>
    <col min="5" max="5" width="15.42578125" style="1398" customWidth="1"/>
    <col min="6" max="6" width="15.28515625" style="1398" customWidth="1"/>
    <col min="7" max="7" width="15.85546875" style="1398" customWidth="1"/>
    <col min="8" max="8" width="10" style="1372" customWidth="1"/>
    <col min="9" max="9" width="14.7109375" style="1372" bestFit="1" customWidth="1"/>
    <col min="10" max="10" width="9.140625" style="1372"/>
    <col min="11" max="11" width="14.7109375" style="1372" bestFit="1" customWidth="1"/>
    <col min="12" max="12" width="16" style="1372" bestFit="1" customWidth="1"/>
    <col min="13" max="256" width="9.140625" style="1372"/>
    <col min="257" max="257" width="5.5703125" style="1372" customWidth="1"/>
    <col min="258" max="258" width="6.7109375" style="1372" customWidth="1"/>
    <col min="259" max="259" width="9" style="1372" bestFit="1" customWidth="1"/>
    <col min="260" max="260" width="46.42578125" style="1372" customWidth="1"/>
    <col min="261" max="261" width="13.85546875" style="1372" customWidth="1"/>
    <col min="262" max="262" width="15.28515625" style="1372" customWidth="1"/>
    <col min="263" max="263" width="15.85546875" style="1372" customWidth="1"/>
    <col min="264" max="264" width="8.85546875" style="1372" customWidth="1"/>
    <col min="265" max="265" width="14.7109375" style="1372" bestFit="1" customWidth="1"/>
    <col min="266" max="512" width="9.140625" style="1372"/>
    <col min="513" max="513" width="5.5703125" style="1372" customWidth="1"/>
    <col min="514" max="514" width="6.7109375" style="1372" customWidth="1"/>
    <col min="515" max="515" width="9" style="1372" bestFit="1" customWidth="1"/>
    <col min="516" max="516" width="46.42578125" style="1372" customWidth="1"/>
    <col min="517" max="517" width="13.85546875" style="1372" customWidth="1"/>
    <col min="518" max="518" width="15.28515625" style="1372" customWidth="1"/>
    <col min="519" max="519" width="15.85546875" style="1372" customWidth="1"/>
    <col min="520" max="520" width="8.85546875" style="1372" customWidth="1"/>
    <col min="521" max="521" width="14.7109375" style="1372" bestFit="1" customWidth="1"/>
    <col min="522" max="768" width="9.140625" style="1372"/>
    <col min="769" max="769" width="5.5703125" style="1372" customWidth="1"/>
    <col min="770" max="770" width="6.7109375" style="1372" customWidth="1"/>
    <col min="771" max="771" width="9" style="1372" bestFit="1" customWidth="1"/>
    <col min="772" max="772" width="46.42578125" style="1372" customWidth="1"/>
    <col min="773" max="773" width="13.85546875" style="1372" customWidth="1"/>
    <col min="774" max="774" width="15.28515625" style="1372" customWidth="1"/>
    <col min="775" max="775" width="15.85546875" style="1372" customWidth="1"/>
    <col min="776" max="776" width="8.85546875" style="1372" customWidth="1"/>
    <col min="777" max="777" width="14.7109375" style="1372" bestFit="1" customWidth="1"/>
    <col min="778" max="1024" width="9.140625" style="1372"/>
    <col min="1025" max="1025" width="5.5703125" style="1372" customWidth="1"/>
    <col min="1026" max="1026" width="6.7109375" style="1372" customWidth="1"/>
    <col min="1027" max="1027" width="9" style="1372" bestFit="1" customWidth="1"/>
    <col min="1028" max="1028" width="46.42578125" style="1372" customWidth="1"/>
    <col min="1029" max="1029" width="13.85546875" style="1372" customWidth="1"/>
    <col min="1030" max="1030" width="15.28515625" style="1372" customWidth="1"/>
    <col min="1031" max="1031" width="15.85546875" style="1372" customWidth="1"/>
    <col min="1032" max="1032" width="8.85546875" style="1372" customWidth="1"/>
    <col min="1033" max="1033" width="14.7109375" style="1372" bestFit="1" customWidth="1"/>
    <col min="1034" max="1280" width="9.140625" style="1372"/>
    <col min="1281" max="1281" width="5.5703125" style="1372" customWidth="1"/>
    <col min="1282" max="1282" width="6.7109375" style="1372" customWidth="1"/>
    <col min="1283" max="1283" width="9" style="1372" bestFit="1" customWidth="1"/>
    <col min="1284" max="1284" width="46.42578125" style="1372" customWidth="1"/>
    <col min="1285" max="1285" width="13.85546875" style="1372" customWidth="1"/>
    <col min="1286" max="1286" width="15.28515625" style="1372" customWidth="1"/>
    <col min="1287" max="1287" width="15.85546875" style="1372" customWidth="1"/>
    <col min="1288" max="1288" width="8.85546875" style="1372" customWidth="1"/>
    <col min="1289" max="1289" width="14.7109375" style="1372" bestFit="1" customWidth="1"/>
    <col min="1290" max="1536" width="9.140625" style="1372"/>
    <col min="1537" max="1537" width="5.5703125" style="1372" customWidth="1"/>
    <col min="1538" max="1538" width="6.7109375" style="1372" customWidth="1"/>
    <col min="1539" max="1539" width="9" style="1372" bestFit="1" customWidth="1"/>
    <col min="1540" max="1540" width="46.42578125" style="1372" customWidth="1"/>
    <col min="1541" max="1541" width="13.85546875" style="1372" customWidth="1"/>
    <col min="1542" max="1542" width="15.28515625" style="1372" customWidth="1"/>
    <col min="1543" max="1543" width="15.85546875" style="1372" customWidth="1"/>
    <col min="1544" max="1544" width="8.85546875" style="1372" customWidth="1"/>
    <col min="1545" max="1545" width="14.7109375" style="1372" bestFit="1" customWidth="1"/>
    <col min="1546" max="1792" width="9.140625" style="1372"/>
    <col min="1793" max="1793" width="5.5703125" style="1372" customWidth="1"/>
    <col min="1794" max="1794" width="6.7109375" style="1372" customWidth="1"/>
    <col min="1795" max="1795" width="9" style="1372" bestFit="1" customWidth="1"/>
    <col min="1796" max="1796" width="46.42578125" style="1372" customWidth="1"/>
    <col min="1797" max="1797" width="13.85546875" style="1372" customWidth="1"/>
    <col min="1798" max="1798" width="15.28515625" style="1372" customWidth="1"/>
    <col min="1799" max="1799" width="15.85546875" style="1372" customWidth="1"/>
    <col min="1800" max="1800" width="8.85546875" style="1372" customWidth="1"/>
    <col min="1801" max="1801" width="14.7109375" style="1372" bestFit="1" customWidth="1"/>
    <col min="1802" max="2048" width="9.140625" style="1372"/>
    <col min="2049" max="2049" width="5.5703125" style="1372" customWidth="1"/>
    <col min="2050" max="2050" width="6.7109375" style="1372" customWidth="1"/>
    <col min="2051" max="2051" width="9" style="1372" bestFit="1" customWidth="1"/>
    <col min="2052" max="2052" width="46.42578125" style="1372" customWidth="1"/>
    <col min="2053" max="2053" width="13.85546875" style="1372" customWidth="1"/>
    <col min="2054" max="2054" width="15.28515625" style="1372" customWidth="1"/>
    <col min="2055" max="2055" width="15.85546875" style="1372" customWidth="1"/>
    <col min="2056" max="2056" width="8.85546875" style="1372" customWidth="1"/>
    <col min="2057" max="2057" width="14.7109375" style="1372" bestFit="1" customWidth="1"/>
    <col min="2058" max="2304" width="9.140625" style="1372"/>
    <col min="2305" max="2305" width="5.5703125" style="1372" customWidth="1"/>
    <col min="2306" max="2306" width="6.7109375" style="1372" customWidth="1"/>
    <col min="2307" max="2307" width="9" style="1372" bestFit="1" customWidth="1"/>
    <col min="2308" max="2308" width="46.42578125" style="1372" customWidth="1"/>
    <col min="2309" max="2309" width="13.85546875" style="1372" customWidth="1"/>
    <col min="2310" max="2310" width="15.28515625" style="1372" customWidth="1"/>
    <col min="2311" max="2311" width="15.85546875" style="1372" customWidth="1"/>
    <col min="2312" max="2312" width="8.85546875" style="1372" customWidth="1"/>
    <col min="2313" max="2313" width="14.7109375" style="1372" bestFit="1" customWidth="1"/>
    <col min="2314" max="2560" width="9.140625" style="1372"/>
    <col min="2561" max="2561" width="5.5703125" style="1372" customWidth="1"/>
    <col min="2562" max="2562" width="6.7109375" style="1372" customWidth="1"/>
    <col min="2563" max="2563" width="9" style="1372" bestFit="1" customWidth="1"/>
    <col min="2564" max="2564" width="46.42578125" style="1372" customWidth="1"/>
    <col min="2565" max="2565" width="13.85546875" style="1372" customWidth="1"/>
    <col min="2566" max="2566" width="15.28515625" style="1372" customWidth="1"/>
    <col min="2567" max="2567" width="15.85546875" style="1372" customWidth="1"/>
    <col min="2568" max="2568" width="8.85546875" style="1372" customWidth="1"/>
    <col min="2569" max="2569" width="14.7109375" style="1372" bestFit="1" customWidth="1"/>
    <col min="2570" max="2816" width="9.140625" style="1372"/>
    <col min="2817" max="2817" width="5.5703125" style="1372" customWidth="1"/>
    <col min="2818" max="2818" width="6.7109375" style="1372" customWidth="1"/>
    <col min="2819" max="2819" width="9" style="1372" bestFit="1" customWidth="1"/>
    <col min="2820" max="2820" width="46.42578125" style="1372" customWidth="1"/>
    <col min="2821" max="2821" width="13.85546875" style="1372" customWidth="1"/>
    <col min="2822" max="2822" width="15.28515625" style="1372" customWidth="1"/>
    <col min="2823" max="2823" width="15.85546875" style="1372" customWidth="1"/>
    <col min="2824" max="2824" width="8.85546875" style="1372" customWidth="1"/>
    <col min="2825" max="2825" width="14.7109375" style="1372" bestFit="1" customWidth="1"/>
    <col min="2826" max="3072" width="9.140625" style="1372"/>
    <col min="3073" max="3073" width="5.5703125" style="1372" customWidth="1"/>
    <col min="3074" max="3074" width="6.7109375" style="1372" customWidth="1"/>
    <col min="3075" max="3075" width="9" style="1372" bestFit="1" customWidth="1"/>
    <col min="3076" max="3076" width="46.42578125" style="1372" customWidth="1"/>
    <col min="3077" max="3077" width="13.85546875" style="1372" customWidth="1"/>
    <col min="3078" max="3078" width="15.28515625" style="1372" customWidth="1"/>
    <col min="3079" max="3079" width="15.85546875" style="1372" customWidth="1"/>
    <col min="3080" max="3080" width="8.85546875" style="1372" customWidth="1"/>
    <col min="3081" max="3081" width="14.7109375" style="1372" bestFit="1" customWidth="1"/>
    <col min="3082" max="3328" width="9.140625" style="1372"/>
    <col min="3329" max="3329" width="5.5703125" style="1372" customWidth="1"/>
    <col min="3330" max="3330" width="6.7109375" style="1372" customWidth="1"/>
    <col min="3331" max="3331" width="9" style="1372" bestFit="1" customWidth="1"/>
    <col min="3332" max="3332" width="46.42578125" style="1372" customWidth="1"/>
    <col min="3333" max="3333" width="13.85546875" style="1372" customWidth="1"/>
    <col min="3334" max="3334" width="15.28515625" style="1372" customWidth="1"/>
    <col min="3335" max="3335" width="15.85546875" style="1372" customWidth="1"/>
    <col min="3336" max="3336" width="8.85546875" style="1372" customWidth="1"/>
    <col min="3337" max="3337" width="14.7109375" style="1372" bestFit="1" customWidth="1"/>
    <col min="3338" max="3584" width="9.140625" style="1372"/>
    <col min="3585" max="3585" width="5.5703125" style="1372" customWidth="1"/>
    <col min="3586" max="3586" width="6.7109375" style="1372" customWidth="1"/>
    <col min="3587" max="3587" width="9" style="1372" bestFit="1" customWidth="1"/>
    <col min="3588" max="3588" width="46.42578125" style="1372" customWidth="1"/>
    <col min="3589" max="3589" width="13.85546875" style="1372" customWidth="1"/>
    <col min="3590" max="3590" width="15.28515625" style="1372" customWidth="1"/>
    <col min="3591" max="3591" width="15.85546875" style="1372" customWidth="1"/>
    <col min="3592" max="3592" width="8.85546875" style="1372" customWidth="1"/>
    <col min="3593" max="3593" width="14.7109375" style="1372" bestFit="1" customWidth="1"/>
    <col min="3594" max="3840" width="9.140625" style="1372"/>
    <col min="3841" max="3841" width="5.5703125" style="1372" customWidth="1"/>
    <col min="3842" max="3842" width="6.7109375" style="1372" customWidth="1"/>
    <col min="3843" max="3843" width="9" style="1372" bestFit="1" customWidth="1"/>
    <col min="3844" max="3844" width="46.42578125" style="1372" customWidth="1"/>
    <col min="3845" max="3845" width="13.85546875" style="1372" customWidth="1"/>
    <col min="3846" max="3846" width="15.28515625" style="1372" customWidth="1"/>
    <col min="3847" max="3847" width="15.85546875" style="1372" customWidth="1"/>
    <col min="3848" max="3848" width="8.85546875" style="1372" customWidth="1"/>
    <col min="3849" max="3849" width="14.7109375" style="1372" bestFit="1" customWidth="1"/>
    <col min="3850" max="4096" width="9.140625" style="1372"/>
    <col min="4097" max="4097" width="5.5703125" style="1372" customWidth="1"/>
    <col min="4098" max="4098" width="6.7109375" style="1372" customWidth="1"/>
    <col min="4099" max="4099" width="9" style="1372" bestFit="1" customWidth="1"/>
    <col min="4100" max="4100" width="46.42578125" style="1372" customWidth="1"/>
    <col min="4101" max="4101" width="13.85546875" style="1372" customWidth="1"/>
    <col min="4102" max="4102" width="15.28515625" style="1372" customWidth="1"/>
    <col min="4103" max="4103" width="15.85546875" style="1372" customWidth="1"/>
    <col min="4104" max="4104" width="8.85546875" style="1372" customWidth="1"/>
    <col min="4105" max="4105" width="14.7109375" style="1372" bestFit="1" customWidth="1"/>
    <col min="4106" max="4352" width="9.140625" style="1372"/>
    <col min="4353" max="4353" width="5.5703125" style="1372" customWidth="1"/>
    <col min="4354" max="4354" width="6.7109375" style="1372" customWidth="1"/>
    <col min="4355" max="4355" width="9" style="1372" bestFit="1" customWidth="1"/>
    <col min="4356" max="4356" width="46.42578125" style="1372" customWidth="1"/>
    <col min="4357" max="4357" width="13.85546875" style="1372" customWidth="1"/>
    <col min="4358" max="4358" width="15.28515625" style="1372" customWidth="1"/>
    <col min="4359" max="4359" width="15.85546875" style="1372" customWidth="1"/>
    <col min="4360" max="4360" width="8.85546875" style="1372" customWidth="1"/>
    <col min="4361" max="4361" width="14.7109375" style="1372" bestFit="1" customWidth="1"/>
    <col min="4362" max="4608" width="9.140625" style="1372"/>
    <col min="4609" max="4609" width="5.5703125" style="1372" customWidth="1"/>
    <col min="4610" max="4610" width="6.7109375" style="1372" customWidth="1"/>
    <col min="4611" max="4611" width="9" style="1372" bestFit="1" customWidth="1"/>
    <col min="4612" max="4612" width="46.42578125" style="1372" customWidth="1"/>
    <col min="4613" max="4613" width="13.85546875" style="1372" customWidth="1"/>
    <col min="4614" max="4614" width="15.28515625" style="1372" customWidth="1"/>
    <col min="4615" max="4615" width="15.85546875" style="1372" customWidth="1"/>
    <col min="4616" max="4616" width="8.85546875" style="1372" customWidth="1"/>
    <col min="4617" max="4617" width="14.7109375" style="1372" bestFit="1" customWidth="1"/>
    <col min="4618" max="4864" width="9.140625" style="1372"/>
    <col min="4865" max="4865" width="5.5703125" style="1372" customWidth="1"/>
    <col min="4866" max="4866" width="6.7109375" style="1372" customWidth="1"/>
    <col min="4867" max="4867" width="9" style="1372" bestFit="1" customWidth="1"/>
    <col min="4868" max="4868" width="46.42578125" style="1372" customWidth="1"/>
    <col min="4869" max="4869" width="13.85546875" style="1372" customWidth="1"/>
    <col min="4870" max="4870" width="15.28515625" style="1372" customWidth="1"/>
    <col min="4871" max="4871" width="15.85546875" style="1372" customWidth="1"/>
    <col min="4872" max="4872" width="8.85546875" style="1372" customWidth="1"/>
    <col min="4873" max="4873" width="14.7109375" style="1372" bestFit="1" customWidth="1"/>
    <col min="4874" max="5120" width="9.140625" style="1372"/>
    <col min="5121" max="5121" width="5.5703125" style="1372" customWidth="1"/>
    <col min="5122" max="5122" width="6.7109375" style="1372" customWidth="1"/>
    <col min="5123" max="5123" width="9" style="1372" bestFit="1" customWidth="1"/>
    <col min="5124" max="5124" width="46.42578125" style="1372" customWidth="1"/>
    <col min="5125" max="5125" width="13.85546875" style="1372" customWidth="1"/>
    <col min="5126" max="5126" width="15.28515625" style="1372" customWidth="1"/>
    <col min="5127" max="5127" width="15.85546875" style="1372" customWidth="1"/>
    <col min="5128" max="5128" width="8.85546875" style="1372" customWidth="1"/>
    <col min="5129" max="5129" width="14.7109375" style="1372" bestFit="1" customWidth="1"/>
    <col min="5130" max="5376" width="9.140625" style="1372"/>
    <col min="5377" max="5377" width="5.5703125" style="1372" customWidth="1"/>
    <col min="5378" max="5378" width="6.7109375" style="1372" customWidth="1"/>
    <col min="5379" max="5379" width="9" style="1372" bestFit="1" customWidth="1"/>
    <col min="5380" max="5380" width="46.42578125" style="1372" customWidth="1"/>
    <col min="5381" max="5381" width="13.85546875" style="1372" customWidth="1"/>
    <col min="5382" max="5382" width="15.28515625" style="1372" customWidth="1"/>
    <col min="5383" max="5383" width="15.85546875" style="1372" customWidth="1"/>
    <col min="5384" max="5384" width="8.85546875" style="1372" customWidth="1"/>
    <col min="5385" max="5385" width="14.7109375" style="1372" bestFit="1" customWidth="1"/>
    <col min="5386" max="5632" width="9.140625" style="1372"/>
    <col min="5633" max="5633" width="5.5703125" style="1372" customWidth="1"/>
    <col min="5634" max="5634" width="6.7109375" style="1372" customWidth="1"/>
    <col min="5635" max="5635" width="9" style="1372" bestFit="1" customWidth="1"/>
    <col min="5636" max="5636" width="46.42578125" style="1372" customWidth="1"/>
    <col min="5637" max="5637" width="13.85546875" style="1372" customWidth="1"/>
    <col min="5638" max="5638" width="15.28515625" style="1372" customWidth="1"/>
    <col min="5639" max="5639" width="15.85546875" style="1372" customWidth="1"/>
    <col min="5640" max="5640" width="8.85546875" style="1372" customWidth="1"/>
    <col min="5641" max="5641" width="14.7109375" style="1372" bestFit="1" customWidth="1"/>
    <col min="5642" max="5888" width="9.140625" style="1372"/>
    <col min="5889" max="5889" width="5.5703125" style="1372" customWidth="1"/>
    <col min="5890" max="5890" width="6.7109375" style="1372" customWidth="1"/>
    <col min="5891" max="5891" width="9" style="1372" bestFit="1" customWidth="1"/>
    <col min="5892" max="5892" width="46.42578125" style="1372" customWidth="1"/>
    <col min="5893" max="5893" width="13.85546875" style="1372" customWidth="1"/>
    <col min="5894" max="5894" width="15.28515625" style="1372" customWidth="1"/>
    <col min="5895" max="5895" width="15.85546875" style="1372" customWidth="1"/>
    <col min="5896" max="5896" width="8.85546875" style="1372" customWidth="1"/>
    <col min="5897" max="5897" width="14.7109375" style="1372" bestFit="1" customWidth="1"/>
    <col min="5898" max="6144" width="9.140625" style="1372"/>
    <col min="6145" max="6145" width="5.5703125" style="1372" customWidth="1"/>
    <col min="6146" max="6146" width="6.7109375" style="1372" customWidth="1"/>
    <col min="6147" max="6147" width="9" style="1372" bestFit="1" customWidth="1"/>
    <col min="6148" max="6148" width="46.42578125" style="1372" customWidth="1"/>
    <col min="6149" max="6149" width="13.85546875" style="1372" customWidth="1"/>
    <col min="6150" max="6150" width="15.28515625" style="1372" customWidth="1"/>
    <col min="6151" max="6151" width="15.85546875" style="1372" customWidth="1"/>
    <col min="6152" max="6152" width="8.85546875" style="1372" customWidth="1"/>
    <col min="6153" max="6153" width="14.7109375" style="1372" bestFit="1" customWidth="1"/>
    <col min="6154" max="6400" width="9.140625" style="1372"/>
    <col min="6401" max="6401" width="5.5703125" style="1372" customWidth="1"/>
    <col min="6402" max="6402" width="6.7109375" style="1372" customWidth="1"/>
    <col min="6403" max="6403" width="9" style="1372" bestFit="1" customWidth="1"/>
    <col min="6404" max="6404" width="46.42578125" style="1372" customWidth="1"/>
    <col min="6405" max="6405" width="13.85546875" style="1372" customWidth="1"/>
    <col min="6406" max="6406" width="15.28515625" style="1372" customWidth="1"/>
    <col min="6407" max="6407" width="15.85546875" style="1372" customWidth="1"/>
    <col min="6408" max="6408" width="8.85546875" style="1372" customWidth="1"/>
    <col min="6409" max="6409" width="14.7109375" style="1372" bestFit="1" customWidth="1"/>
    <col min="6410" max="6656" width="9.140625" style="1372"/>
    <col min="6657" max="6657" width="5.5703125" style="1372" customWidth="1"/>
    <col min="6658" max="6658" width="6.7109375" style="1372" customWidth="1"/>
    <col min="6659" max="6659" width="9" style="1372" bestFit="1" customWidth="1"/>
    <col min="6660" max="6660" width="46.42578125" style="1372" customWidth="1"/>
    <col min="6661" max="6661" width="13.85546875" style="1372" customWidth="1"/>
    <col min="6662" max="6662" width="15.28515625" style="1372" customWidth="1"/>
    <col min="6663" max="6663" width="15.85546875" style="1372" customWidth="1"/>
    <col min="6664" max="6664" width="8.85546875" style="1372" customWidth="1"/>
    <col min="6665" max="6665" width="14.7109375" style="1372" bestFit="1" customWidth="1"/>
    <col min="6666" max="6912" width="9.140625" style="1372"/>
    <col min="6913" max="6913" width="5.5703125" style="1372" customWidth="1"/>
    <col min="6914" max="6914" width="6.7109375" style="1372" customWidth="1"/>
    <col min="6915" max="6915" width="9" style="1372" bestFit="1" customWidth="1"/>
    <col min="6916" max="6916" width="46.42578125" style="1372" customWidth="1"/>
    <col min="6917" max="6917" width="13.85546875" style="1372" customWidth="1"/>
    <col min="6918" max="6918" width="15.28515625" style="1372" customWidth="1"/>
    <col min="6919" max="6919" width="15.85546875" style="1372" customWidth="1"/>
    <col min="6920" max="6920" width="8.85546875" style="1372" customWidth="1"/>
    <col min="6921" max="6921" width="14.7109375" style="1372" bestFit="1" customWidth="1"/>
    <col min="6922" max="7168" width="9.140625" style="1372"/>
    <col min="7169" max="7169" width="5.5703125" style="1372" customWidth="1"/>
    <col min="7170" max="7170" width="6.7109375" style="1372" customWidth="1"/>
    <col min="7171" max="7171" width="9" style="1372" bestFit="1" customWidth="1"/>
    <col min="7172" max="7172" width="46.42578125" style="1372" customWidth="1"/>
    <col min="7173" max="7173" width="13.85546875" style="1372" customWidth="1"/>
    <col min="7174" max="7174" width="15.28515625" style="1372" customWidth="1"/>
    <col min="7175" max="7175" width="15.85546875" style="1372" customWidth="1"/>
    <col min="7176" max="7176" width="8.85546875" style="1372" customWidth="1"/>
    <col min="7177" max="7177" width="14.7109375" style="1372" bestFit="1" customWidth="1"/>
    <col min="7178" max="7424" width="9.140625" style="1372"/>
    <col min="7425" max="7425" width="5.5703125" style="1372" customWidth="1"/>
    <col min="7426" max="7426" width="6.7109375" style="1372" customWidth="1"/>
    <col min="7427" max="7427" width="9" style="1372" bestFit="1" customWidth="1"/>
    <col min="7428" max="7428" width="46.42578125" style="1372" customWidth="1"/>
    <col min="7429" max="7429" width="13.85546875" style="1372" customWidth="1"/>
    <col min="7430" max="7430" width="15.28515625" style="1372" customWidth="1"/>
    <col min="7431" max="7431" width="15.85546875" style="1372" customWidth="1"/>
    <col min="7432" max="7432" width="8.85546875" style="1372" customWidth="1"/>
    <col min="7433" max="7433" width="14.7109375" style="1372" bestFit="1" customWidth="1"/>
    <col min="7434" max="7680" width="9.140625" style="1372"/>
    <col min="7681" max="7681" width="5.5703125" style="1372" customWidth="1"/>
    <col min="7682" max="7682" width="6.7109375" style="1372" customWidth="1"/>
    <col min="7683" max="7683" width="9" style="1372" bestFit="1" customWidth="1"/>
    <col min="7684" max="7684" width="46.42578125" style="1372" customWidth="1"/>
    <col min="7685" max="7685" width="13.85546875" style="1372" customWidth="1"/>
    <col min="7686" max="7686" width="15.28515625" style="1372" customWidth="1"/>
    <col min="7687" max="7687" width="15.85546875" style="1372" customWidth="1"/>
    <col min="7688" max="7688" width="8.85546875" style="1372" customWidth="1"/>
    <col min="7689" max="7689" width="14.7109375" style="1372" bestFit="1" customWidth="1"/>
    <col min="7690" max="7936" width="9.140625" style="1372"/>
    <col min="7937" max="7937" width="5.5703125" style="1372" customWidth="1"/>
    <col min="7938" max="7938" width="6.7109375" style="1372" customWidth="1"/>
    <col min="7939" max="7939" width="9" style="1372" bestFit="1" customWidth="1"/>
    <col min="7940" max="7940" width="46.42578125" style="1372" customWidth="1"/>
    <col min="7941" max="7941" width="13.85546875" style="1372" customWidth="1"/>
    <col min="7942" max="7942" width="15.28515625" style="1372" customWidth="1"/>
    <col min="7943" max="7943" width="15.85546875" style="1372" customWidth="1"/>
    <col min="7944" max="7944" width="8.85546875" style="1372" customWidth="1"/>
    <col min="7945" max="7945" width="14.7109375" style="1372" bestFit="1" customWidth="1"/>
    <col min="7946" max="8192" width="9.140625" style="1372"/>
    <col min="8193" max="8193" width="5.5703125" style="1372" customWidth="1"/>
    <col min="8194" max="8194" width="6.7109375" style="1372" customWidth="1"/>
    <col min="8195" max="8195" width="9" style="1372" bestFit="1" customWidth="1"/>
    <col min="8196" max="8196" width="46.42578125" style="1372" customWidth="1"/>
    <col min="8197" max="8197" width="13.85546875" style="1372" customWidth="1"/>
    <col min="8198" max="8198" width="15.28515625" style="1372" customWidth="1"/>
    <col min="8199" max="8199" width="15.85546875" style="1372" customWidth="1"/>
    <col min="8200" max="8200" width="8.85546875" style="1372" customWidth="1"/>
    <col min="8201" max="8201" width="14.7109375" style="1372" bestFit="1" customWidth="1"/>
    <col min="8202" max="8448" width="9.140625" style="1372"/>
    <col min="8449" max="8449" width="5.5703125" style="1372" customWidth="1"/>
    <col min="8450" max="8450" width="6.7109375" style="1372" customWidth="1"/>
    <col min="8451" max="8451" width="9" style="1372" bestFit="1" customWidth="1"/>
    <col min="8452" max="8452" width="46.42578125" style="1372" customWidth="1"/>
    <col min="8453" max="8453" width="13.85546875" style="1372" customWidth="1"/>
    <col min="8454" max="8454" width="15.28515625" style="1372" customWidth="1"/>
    <col min="8455" max="8455" width="15.85546875" style="1372" customWidth="1"/>
    <col min="8456" max="8456" width="8.85546875" style="1372" customWidth="1"/>
    <col min="8457" max="8457" width="14.7109375" style="1372" bestFit="1" customWidth="1"/>
    <col min="8458" max="8704" width="9.140625" style="1372"/>
    <col min="8705" max="8705" width="5.5703125" style="1372" customWidth="1"/>
    <col min="8706" max="8706" width="6.7109375" style="1372" customWidth="1"/>
    <col min="8707" max="8707" width="9" style="1372" bestFit="1" customWidth="1"/>
    <col min="8708" max="8708" width="46.42578125" style="1372" customWidth="1"/>
    <col min="8709" max="8709" width="13.85546875" style="1372" customWidth="1"/>
    <col min="8710" max="8710" width="15.28515625" style="1372" customWidth="1"/>
    <col min="8711" max="8711" width="15.85546875" style="1372" customWidth="1"/>
    <col min="8712" max="8712" width="8.85546875" style="1372" customWidth="1"/>
    <col min="8713" max="8713" width="14.7109375" style="1372" bestFit="1" customWidth="1"/>
    <col min="8714" max="8960" width="9.140625" style="1372"/>
    <col min="8961" max="8961" width="5.5703125" style="1372" customWidth="1"/>
    <col min="8962" max="8962" width="6.7109375" style="1372" customWidth="1"/>
    <col min="8963" max="8963" width="9" style="1372" bestFit="1" customWidth="1"/>
    <col min="8964" max="8964" width="46.42578125" style="1372" customWidth="1"/>
    <col min="8965" max="8965" width="13.85546875" style="1372" customWidth="1"/>
    <col min="8966" max="8966" width="15.28515625" style="1372" customWidth="1"/>
    <col min="8967" max="8967" width="15.85546875" style="1372" customWidth="1"/>
    <col min="8968" max="8968" width="8.85546875" style="1372" customWidth="1"/>
    <col min="8969" max="8969" width="14.7109375" style="1372" bestFit="1" customWidth="1"/>
    <col min="8970" max="9216" width="9.140625" style="1372"/>
    <col min="9217" max="9217" width="5.5703125" style="1372" customWidth="1"/>
    <col min="9218" max="9218" width="6.7109375" style="1372" customWidth="1"/>
    <col min="9219" max="9219" width="9" style="1372" bestFit="1" customWidth="1"/>
    <col min="9220" max="9220" width="46.42578125" style="1372" customWidth="1"/>
    <col min="9221" max="9221" width="13.85546875" style="1372" customWidth="1"/>
    <col min="9222" max="9222" width="15.28515625" style="1372" customWidth="1"/>
    <col min="9223" max="9223" width="15.85546875" style="1372" customWidth="1"/>
    <col min="9224" max="9224" width="8.85546875" style="1372" customWidth="1"/>
    <col min="9225" max="9225" width="14.7109375" style="1372" bestFit="1" customWidth="1"/>
    <col min="9226" max="9472" width="9.140625" style="1372"/>
    <col min="9473" max="9473" width="5.5703125" style="1372" customWidth="1"/>
    <col min="9474" max="9474" width="6.7109375" style="1372" customWidth="1"/>
    <col min="9475" max="9475" width="9" style="1372" bestFit="1" customWidth="1"/>
    <col min="9476" max="9476" width="46.42578125" style="1372" customWidth="1"/>
    <col min="9477" max="9477" width="13.85546875" style="1372" customWidth="1"/>
    <col min="9478" max="9478" width="15.28515625" style="1372" customWidth="1"/>
    <col min="9479" max="9479" width="15.85546875" style="1372" customWidth="1"/>
    <col min="9480" max="9480" width="8.85546875" style="1372" customWidth="1"/>
    <col min="9481" max="9481" width="14.7109375" style="1372" bestFit="1" customWidth="1"/>
    <col min="9482" max="9728" width="9.140625" style="1372"/>
    <col min="9729" max="9729" width="5.5703125" style="1372" customWidth="1"/>
    <col min="9730" max="9730" width="6.7109375" style="1372" customWidth="1"/>
    <col min="9731" max="9731" width="9" style="1372" bestFit="1" customWidth="1"/>
    <col min="9732" max="9732" width="46.42578125" style="1372" customWidth="1"/>
    <col min="9733" max="9733" width="13.85546875" style="1372" customWidth="1"/>
    <col min="9734" max="9734" width="15.28515625" style="1372" customWidth="1"/>
    <col min="9735" max="9735" width="15.85546875" style="1372" customWidth="1"/>
    <col min="9736" max="9736" width="8.85546875" style="1372" customWidth="1"/>
    <col min="9737" max="9737" width="14.7109375" style="1372" bestFit="1" customWidth="1"/>
    <col min="9738" max="9984" width="9.140625" style="1372"/>
    <col min="9985" max="9985" width="5.5703125" style="1372" customWidth="1"/>
    <col min="9986" max="9986" width="6.7109375" style="1372" customWidth="1"/>
    <col min="9987" max="9987" width="9" style="1372" bestFit="1" customWidth="1"/>
    <col min="9988" max="9988" width="46.42578125" style="1372" customWidth="1"/>
    <col min="9989" max="9989" width="13.85546875" style="1372" customWidth="1"/>
    <col min="9990" max="9990" width="15.28515625" style="1372" customWidth="1"/>
    <col min="9991" max="9991" width="15.85546875" style="1372" customWidth="1"/>
    <col min="9992" max="9992" width="8.85546875" style="1372" customWidth="1"/>
    <col min="9993" max="9993" width="14.7109375" style="1372" bestFit="1" customWidth="1"/>
    <col min="9994" max="10240" width="9.140625" style="1372"/>
    <col min="10241" max="10241" width="5.5703125" style="1372" customWidth="1"/>
    <col min="10242" max="10242" width="6.7109375" style="1372" customWidth="1"/>
    <col min="10243" max="10243" width="9" style="1372" bestFit="1" customWidth="1"/>
    <col min="10244" max="10244" width="46.42578125" style="1372" customWidth="1"/>
    <col min="10245" max="10245" width="13.85546875" style="1372" customWidth="1"/>
    <col min="10246" max="10246" width="15.28515625" style="1372" customWidth="1"/>
    <col min="10247" max="10247" width="15.85546875" style="1372" customWidth="1"/>
    <col min="10248" max="10248" width="8.85546875" style="1372" customWidth="1"/>
    <col min="10249" max="10249" width="14.7109375" style="1372" bestFit="1" customWidth="1"/>
    <col min="10250" max="10496" width="9.140625" style="1372"/>
    <col min="10497" max="10497" width="5.5703125" style="1372" customWidth="1"/>
    <col min="10498" max="10498" width="6.7109375" style="1372" customWidth="1"/>
    <col min="10499" max="10499" width="9" style="1372" bestFit="1" customWidth="1"/>
    <col min="10500" max="10500" width="46.42578125" style="1372" customWidth="1"/>
    <col min="10501" max="10501" width="13.85546875" style="1372" customWidth="1"/>
    <col min="10502" max="10502" width="15.28515625" style="1372" customWidth="1"/>
    <col min="10503" max="10503" width="15.85546875" style="1372" customWidth="1"/>
    <col min="10504" max="10504" width="8.85546875" style="1372" customWidth="1"/>
    <col min="10505" max="10505" width="14.7109375" style="1372" bestFit="1" customWidth="1"/>
    <col min="10506" max="10752" width="9.140625" style="1372"/>
    <col min="10753" max="10753" width="5.5703125" style="1372" customWidth="1"/>
    <col min="10754" max="10754" width="6.7109375" style="1372" customWidth="1"/>
    <col min="10755" max="10755" width="9" style="1372" bestFit="1" customWidth="1"/>
    <col min="10756" max="10756" width="46.42578125" style="1372" customWidth="1"/>
    <col min="10757" max="10757" width="13.85546875" style="1372" customWidth="1"/>
    <col min="10758" max="10758" width="15.28515625" style="1372" customWidth="1"/>
    <col min="10759" max="10759" width="15.85546875" style="1372" customWidth="1"/>
    <col min="10760" max="10760" width="8.85546875" style="1372" customWidth="1"/>
    <col min="10761" max="10761" width="14.7109375" style="1372" bestFit="1" customWidth="1"/>
    <col min="10762" max="11008" width="9.140625" style="1372"/>
    <col min="11009" max="11009" width="5.5703125" style="1372" customWidth="1"/>
    <col min="11010" max="11010" width="6.7109375" style="1372" customWidth="1"/>
    <col min="11011" max="11011" width="9" style="1372" bestFit="1" customWidth="1"/>
    <col min="11012" max="11012" width="46.42578125" style="1372" customWidth="1"/>
    <col min="11013" max="11013" width="13.85546875" style="1372" customWidth="1"/>
    <col min="11014" max="11014" width="15.28515625" style="1372" customWidth="1"/>
    <col min="11015" max="11015" width="15.85546875" style="1372" customWidth="1"/>
    <col min="11016" max="11016" width="8.85546875" style="1372" customWidth="1"/>
    <col min="11017" max="11017" width="14.7109375" style="1372" bestFit="1" customWidth="1"/>
    <col min="11018" max="11264" width="9.140625" style="1372"/>
    <col min="11265" max="11265" width="5.5703125" style="1372" customWidth="1"/>
    <col min="11266" max="11266" width="6.7109375" style="1372" customWidth="1"/>
    <col min="11267" max="11267" width="9" style="1372" bestFit="1" customWidth="1"/>
    <col min="11268" max="11268" width="46.42578125" style="1372" customWidth="1"/>
    <col min="11269" max="11269" width="13.85546875" style="1372" customWidth="1"/>
    <col min="11270" max="11270" width="15.28515625" style="1372" customWidth="1"/>
    <col min="11271" max="11271" width="15.85546875" style="1372" customWidth="1"/>
    <col min="11272" max="11272" width="8.85546875" style="1372" customWidth="1"/>
    <col min="11273" max="11273" width="14.7109375" style="1372" bestFit="1" customWidth="1"/>
    <col min="11274" max="11520" width="9.140625" style="1372"/>
    <col min="11521" max="11521" width="5.5703125" style="1372" customWidth="1"/>
    <col min="11522" max="11522" width="6.7109375" style="1372" customWidth="1"/>
    <col min="11523" max="11523" width="9" style="1372" bestFit="1" customWidth="1"/>
    <col min="11524" max="11524" width="46.42578125" style="1372" customWidth="1"/>
    <col min="11525" max="11525" width="13.85546875" style="1372" customWidth="1"/>
    <col min="11526" max="11526" width="15.28515625" style="1372" customWidth="1"/>
    <col min="11527" max="11527" width="15.85546875" style="1372" customWidth="1"/>
    <col min="11528" max="11528" width="8.85546875" style="1372" customWidth="1"/>
    <col min="11529" max="11529" width="14.7109375" style="1372" bestFit="1" customWidth="1"/>
    <col min="11530" max="11776" width="9.140625" style="1372"/>
    <col min="11777" max="11777" width="5.5703125" style="1372" customWidth="1"/>
    <col min="11778" max="11778" width="6.7109375" style="1372" customWidth="1"/>
    <col min="11779" max="11779" width="9" style="1372" bestFit="1" customWidth="1"/>
    <col min="11780" max="11780" width="46.42578125" style="1372" customWidth="1"/>
    <col min="11781" max="11781" width="13.85546875" style="1372" customWidth="1"/>
    <col min="11782" max="11782" width="15.28515625" style="1372" customWidth="1"/>
    <col min="11783" max="11783" width="15.85546875" style="1372" customWidth="1"/>
    <col min="11784" max="11784" width="8.85546875" style="1372" customWidth="1"/>
    <col min="11785" max="11785" width="14.7109375" style="1372" bestFit="1" customWidth="1"/>
    <col min="11786" max="12032" width="9.140625" style="1372"/>
    <col min="12033" max="12033" width="5.5703125" style="1372" customWidth="1"/>
    <col min="12034" max="12034" width="6.7109375" style="1372" customWidth="1"/>
    <col min="12035" max="12035" width="9" style="1372" bestFit="1" customWidth="1"/>
    <col min="12036" max="12036" width="46.42578125" style="1372" customWidth="1"/>
    <col min="12037" max="12037" width="13.85546875" style="1372" customWidth="1"/>
    <col min="12038" max="12038" width="15.28515625" style="1372" customWidth="1"/>
    <col min="12039" max="12039" width="15.85546875" style="1372" customWidth="1"/>
    <col min="12040" max="12040" width="8.85546875" style="1372" customWidth="1"/>
    <col min="12041" max="12041" width="14.7109375" style="1372" bestFit="1" customWidth="1"/>
    <col min="12042" max="12288" width="9.140625" style="1372"/>
    <col min="12289" max="12289" width="5.5703125" style="1372" customWidth="1"/>
    <col min="12290" max="12290" width="6.7109375" style="1372" customWidth="1"/>
    <col min="12291" max="12291" width="9" style="1372" bestFit="1" customWidth="1"/>
    <col min="12292" max="12292" width="46.42578125" style="1372" customWidth="1"/>
    <col min="12293" max="12293" width="13.85546875" style="1372" customWidth="1"/>
    <col min="12294" max="12294" width="15.28515625" style="1372" customWidth="1"/>
    <col min="12295" max="12295" width="15.85546875" style="1372" customWidth="1"/>
    <col min="12296" max="12296" width="8.85546875" style="1372" customWidth="1"/>
    <col min="12297" max="12297" width="14.7109375" style="1372" bestFit="1" customWidth="1"/>
    <col min="12298" max="12544" width="9.140625" style="1372"/>
    <col min="12545" max="12545" width="5.5703125" style="1372" customWidth="1"/>
    <col min="12546" max="12546" width="6.7109375" style="1372" customWidth="1"/>
    <col min="12547" max="12547" width="9" style="1372" bestFit="1" customWidth="1"/>
    <col min="12548" max="12548" width="46.42578125" style="1372" customWidth="1"/>
    <col min="12549" max="12549" width="13.85546875" style="1372" customWidth="1"/>
    <col min="12550" max="12550" width="15.28515625" style="1372" customWidth="1"/>
    <col min="12551" max="12551" width="15.85546875" style="1372" customWidth="1"/>
    <col min="12552" max="12552" width="8.85546875" style="1372" customWidth="1"/>
    <col min="12553" max="12553" width="14.7109375" style="1372" bestFit="1" customWidth="1"/>
    <col min="12554" max="12800" width="9.140625" style="1372"/>
    <col min="12801" max="12801" width="5.5703125" style="1372" customWidth="1"/>
    <col min="12802" max="12802" width="6.7109375" style="1372" customWidth="1"/>
    <col min="12803" max="12803" width="9" style="1372" bestFit="1" customWidth="1"/>
    <col min="12804" max="12804" width="46.42578125" style="1372" customWidth="1"/>
    <col min="12805" max="12805" width="13.85546875" style="1372" customWidth="1"/>
    <col min="12806" max="12806" width="15.28515625" style="1372" customWidth="1"/>
    <col min="12807" max="12807" width="15.85546875" style="1372" customWidth="1"/>
    <col min="12808" max="12808" width="8.85546875" style="1372" customWidth="1"/>
    <col min="12809" max="12809" width="14.7109375" style="1372" bestFit="1" customWidth="1"/>
    <col min="12810" max="13056" width="9.140625" style="1372"/>
    <col min="13057" max="13057" width="5.5703125" style="1372" customWidth="1"/>
    <col min="13058" max="13058" width="6.7109375" style="1372" customWidth="1"/>
    <col min="13059" max="13059" width="9" style="1372" bestFit="1" customWidth="1"/>
    <col min="13060" max="13060" width="46.42578125" style="1372" customWidth="1"/>
    <col min="13061" max="13061" width="13.85546875" style="1372" customWidth="1"/>
    <col min="13062" max="13062" width="15.28515625" style="1372" customWidth="1"/>
    <col min="13063" max="13063" width="15.85546875" style="1372" customWidth="1"/>
    <col min="13064" max="13064" width="8.85546875" style="1372" customWidth="1"/>
    <col min="13065" max="13065" width="14.7109375" style="1372" bestFit="1" customWidth="1"/>
    <col min="13066" max="13312" width="9.140625" style="1372"/>
    <col min="13313" max="13313" width="5.5703125" style="1372" customWidth="1"/>
    <col min="13314" max="13314" width="6.7109375" style="1372" customWidth="1"/>
    <col min="13315" max="13315" width="9" style="1372" bestFit="1" customWidth="1"/>
    <col min="13316" max="13316" width="46.42578125" style="1372" customWidth="1"/>
    <col min="13317" max="13317" width="13.85546875" style="1372" customWidth="1"/>
    <col min="13318" max="13318" width="15.28515625" style="1372" customWidth="1"/>
    <col min="13319" max="13319" width="15.85546875" style="1372" customWidth="1"/>
    <col min="13320" max="13320" width="8.85546875" style="1372" customWidth="1"/>
    <col min="13321" max="13321" width="14.7109375" style="1372" bestFit="1" customWidth="1"/>
    <col min="13322" max="13568" width="9.140625" style="1372"/>
    <col min="13569" max="13569" width="5.5703125" style="1372" customWidth="1"/>
    <col min="13570" max="13570" width="6.7109375" style="1372" customWidth="1"/>
    <col min="13571" max="13571" width="9" style="1372" bestFit="1" customWidth="1"/>
    <col min="13572" max="13572" width="46.42578125" style="1372" customWidth="1"/>
    <col min="13573" max="13573" width="13.85546875" style="1372" customWidth="1"/>
    <col min="13574" max="13574" width="15.28515625" style="1372" customWidth="1"/>
    <col min="13575" max="13575" width="15.85546875" style="1372" customWidth="1"/>
    <col min="13576" max="13576" width="8.85546875" style="1372" customWidth="1"/>
    <col min="13577" max="13577" width="14.7109375" style="1372" bestFit="1" customWidth="1"/>
    <col min="13578" max="13824" width="9.140625" style="1372"/>
    <col min="13825" max="13825" width="5.5703125" style="1372" customWidth="1"/>
    <col min="13826" max="13826" width="6.7109375" style="1372" customWidth="1"/>
    <col min="13827" max="13827" width="9" style="1372" bestFit="1" customWidth="1"/>
    <col min="13828" max="13828" width="46.42578125" style="1372" customWidth="1"/>
    <col min="13829" max="13829" width="13.85546875" style="1372" customWidth="1"/>
    <col min="13830" max="13830" width="15.28515625" style="1372" customWidth="1"/>
    <col min="13831" max="13831" width="15.85546875" style="1372" customWidth="1"/>
    <col min="13832" max="13832" width="8.85546875" style="1372" customWidth="1"/>
    <col min="13833" max="13833" width="14.7109375" style="1372" bestFit="1" customWidth="1"/>
    <col min="13834" max="14080" width="9.140625" style="1372"/>
    <col min="14081" max="14081" width="5.5703125" style="1372" customWidth="1"/>
    <col min="14082" max="14082" width="6.7109375" style="1372" customWidth="1"/>
    <col min="14083" max="14083" width="9" style="1372" bestFit="1" customWidth="1"/>
    <col min="14084" max="14084" width="46.42578125" style="1372" customWidth="1"/>
    <col min="14085" max="14085" width="13.85546875" style="1372" customWidth="1"/>
    <col min="14086" max="14086" width="15.28515625" style="1372" customWidth="1"/>
    <col min="14087" max="14087" width="15.85546875" style="1372" customWidth="1"/>
    <col min="14088" max="14088" width="8.85546875" style="1372" customWidth="1"/>
    <col min="14089" max="14089" width="14.7109375" style="1372" bestFit="1" customWidth="1"/>
    <col min="14090" max="14336" width="9.140625" style="1372"/>
    <col min="14337" max="14337" width="5.5703125" style="1372" customWidth="1"/>
    <col min="14338" max="14338" width="6.7109375" style="1372" customWidth="1"/>
    <col min="14339" max="14339" width="9" style="1372" bestFit="1" customWidth="1"/>
    <col min="14340" max="14340" width="46.42578125" style="1372" customWidth="1"/>
    <col min="14341" max="14341" width="13.85546875" style="1372" customWidth="1"/>
    <col min="14342" max="14342" width="15.28515625" style="1372" customWidth="1"/>
    <col min="14343" max="14343" width="15.85546875" style="1372" customWidth="1"/>
    <col min="14344" max="14344" width="8.85546875" style="1372" customWidth="1"/>
    <col min="14345" max="14345" width="14.7109375" style="1372" bestFit="1" customWidth="1"/>
    <col min="14346" max="14592" width="9.140625" style="1372"/>
    <col min="14593" max="14593" width="5.5703125" style="1372" customWidth="1"/>
    <col min="14594" max="14594" width="6.7109375" style="1372" customWidth="1"/>
    <col min="14595" max="14595" width="9" style="1372" bestFit="1" customWidth="1"/>
    <col min="14596" max="14596" width="46.42578125" style="1372" customWidth="1"/>
    <col min="14597" max="14597" width="13.85546875" style="1372" customWidth="1"/>
    <col min="14598" max="14598" width="15.28515625" style="1372" customWidth="1"/>
    <col min="14599" max="14599" width="15.85546875" style="1372" customWidth="1"/>
    <col min="14600" max="14600" width="8.85546875" style="1372" customWidth="1"/>
    <col min="14601" max="14601" width="14.7109375" style="1372" bestFit="1" customWidth="1"/>
    <col min="14602" max="14848" width="9.140625" style="1372"/>
    <col min="14849" max="14849" width="5.5703125" style="1372" customWidth="1"/>
    <col min="14850" max="14850" width="6.7109375" style="1372" customWidth="1"/>
    <col min="14851" max="14851" width="9" style="1372" bestFit="1" customWidth="1"/>
    <col min="14852" max="14852" width="46.42578125" style="1372" customWidth="1"/>
    <col min="14853" max="14853" width="13.85546875" style="1372" customWidth="1"/>
    <col min="14854" max="14854" width="15.28515625" style="1372" customWidth="1"/>
    <col min="14855" max="14855" width="15.85546875" style="1372" customWidth="1"/>
    <col min="14856" max="14856" width="8.85546875" style="1372" customWidth="1"/>
    <col min="14857" max="14857" width="14.7109375" style="1372" bestFit="1" customWidth="1"/>
    <col min="14858" max="15104" width="9.140625" style="1372"/>
    <col min="15105" max="15105" width="5.5703125" style="1372" customWidth="1"/>
    <col min="15106" max="15106" width="6.7109375" style="1372" customWidth="1"/>
    <col min="15107" max="15107" width="9" style="1372" bestFit="1" customWidth="1"/>
    <col min="15108" max="15108" width="46.42578125" style="1372" customWidth="1"/>
    <col min="15109" max="15109" width="13.85546875" style="1372" customWidth="1"/>
    <col min="15110" max="15110" width="15.28515625" style="1372" customWidth="1"/>
    <col min="15111" max="15111" width="15.85546875" style="1372" customWidth="1"/>
    <col min="15112" max="15112" width="8.85546875" style="1372" customWidth="1"/>
    <col min="15113" max="15113" width="14.7109375" style="1372" bestFit="1" customWidth="1"/>
    <col min="15114" max="15360" width="9.140625" style="1372"/>
    <col min="15361" max="15361" width="5.5703125" style="1372" customWidth="1"/>
    <col min="15362" max="15362" width="6.7109375" style="1372" customWidth="1"/>
    <col min="15363" max="15363" width="9" style="1372" bestFit="1" customWidth="1"/>
    <col min="15364" max="15364" width="46.42578125" style="1372" customWidth="1"/>
    <col min="15365" max="15365" width="13.85546875" style="1372" customWidth="1"/>
    <col min="15366" max="15366" width="15.28515625" style="1372" customWidth="1"/>
    <col min="15367" max="15367" width="15.85546875" style="1372" customWidth="1"/>
    <col min="15368" max="15368" width="8.85546875" style="1372" customWidth="1"/>
    <col min="15369" max="15369" width="14.7109375" style="1372" bestFit="1" customWidth="1"/>
    <col min="15370" max="15616" width="9.140625" style="1372"/>
    <col min="15617" max="15617" width="5.5703125" style="1372" customWidth="1"/>
    <col min="15618" max="15618" width="6.7109375" style="1372" customWidth="1"/>
    <col min="15619" max="15619" width="9" style="1372" bestFit="1" customWidth="1"/>
    <col min="15620" max="15620" width="46.42578125" style="1372" customWidth="1"/>
    <col min="15621" max="15621" width="13.85546875" style="1372" customWidth="1"/>
    <col min="15622" max="15622" width="15.28515625" style="1372" customWidth="1"/>
    <col min="15623" max="15623" width="15.85546875" style="1372" customWidth="1"/>
    <col min="15624" max="15624" width="8.85546875" style="1372" customWidth="1"/>
    <col min="15625" max="15625" width="14.7109375" style="1372" bestFit="1" customWidth="1"/>
    <col min="15626" max="15872" width="9.140625" style="1372"/>
    <col min="15873" max="15873" width="5.5703125" style="1372" customWidth="1"/>
    <col min="15874" max="15874" width="6.7109375" style="1372" customWidth="1"/>
    <col min="15875" max="15875" width="9" style="1372" bestFit="1" customWidth="1"/>
    <col min="15876" max="15876" width="46.42578125" style="1372" customWidth="1"/>
    <col min="15877" max="15877" width="13.85546875" style="1372" customWidth="1"/>
    <col min="15878" max="15878" width="15.28515625" style="1372" customWidth="1"/>
    <col min="15879" max="15879" width="15.85546875" style="1372" customWidth="1"/>
    <col min="15880" max="15880" width="8.85546875" style="1372" customWidth="1"/>
    <col min="15881" max="15881" width="14.7109375" style="1372" bestFit="1" customWidth="1"/>
    <col min="15882" max="16128" width="9.140625" style="1372"/>
    <col min="16129" max="16129" width="5.5703125" style="1372" customWidth="1"/>
    <col min="16130" max="16130" width="6.7109375" style="1372" customWidth="1"/>
    <col min="16131" max="16131" width="9" style="1372" bestFit="1" customWidth="1"/>
    <col min="16132" max="16132" width="46.42578125" style="1372" customWidth="1"/>
    <col min="16133" max="16133" width="13.85546875" style="1372" customWidth="1"/>
    <col min="16134" max="16134" width="15.28515625" style="1372" customWidth="1"/>
    <col min="16135" max="16135" width="15.85546875" style="1372" customWidth="1"/>
    <col min="16136" max="16136" width="8.85546875" style="1372" customWidth="1"/>
    <col min="16137" max="16137" width="14.7109375" style="1372" bestFit="1" customWidth="1"/>
    <col min="16138" max="16384" width="9.140625" style="1372"/>
  </cols>
  <sheetData>
    <row r="1" spans="1:8" ht="18.75" thickBot="1" x14ac:dyDescent="0.3">
      <c r="A1" s="1443" t="s">
        <v>536</v>
      </c>
      <c r="B1" s="1444"/>
      <c r="C1" s="1444"/>
      <c r="D1" s="1444"/>
      <c r="E1" s="1444"/>
      <c r="F1" s="1444"/>
      <c r="G1" s="1444"/>
      <c r="H1" s="2827"/>
    </row>
    <row r="2" spans="1:8" ht="36.75" customHeight="1" x14ac:dyDescent="0.25">
      <c r="G2" s="2826"/>
      <c r="H2" s="2825" t="s">
        <v>1061</v>
      </c>
    </row>
    <row r="3" spans="1:8" s="1249" customFormat="1" ht="12.75" customHeight="1" x14ac:dyDescent="0.2">
      <c r="A3" s="1337" t="s">
        <v>336</v>
      </c>
      <c r="B3" s="1311"/>
      <c r="C3" s="1370" t="s">
        <v>771</v>
      </c>
      <c r="G3" s="1309"/>
    </row>
    <row r="4" spans="1:8" s="1249" customFormat="1" ht="12.75" customHeight="1" x14ac:dyDescent="0.25">
      <c r="A4" s="1335"/>
      <c r="B4" s="1311"/>
      <c r="C4" s="1370" t="s">
        <v>772</v>
      </c>
    </row>
    <row r="5" spans="1:8" ht="18" x14ac:dyDescent="0.25">
      <c r="A5" s="1375" t="s">
        <v>1163</v>
      </c>
    </row>
    <row r="7" spans="1:8" ht="15.75" thickBot="1" x14ac:dyDescent="0.3">
      <c r="A7" s="1377" t="s">
        <v>229</v>
      </c>
      <c r="H7" s="1394" t="s">
        <v>148</v>
      </c>
    </row>
    <row r="8" spans="1:8" ht="13.5" hidden="1" thickBot="1" x14ac:dyDescent="0.25">
      <c r="H8" s="1394" t="s">
        <v>148</v>
      </c>
    </row>
    <row r="9" spans="1:8" ht="25.5" thickTop="1" thickBot="1" x14ac:dyDescent="0.25">
      <c r="A9" s="1378" t="s">
        <v>149</v>
      </c>
      <c r="B9" s="1379" t="s">
        <v>688</v>
      </c>
      <c r="C9" s="1379" t="s">
        <v>345</v>
      </c>
      <c r="D9" s="1380" t="s">
        <v>151</v>
      </c>
      <c r="E9" s="1402" t="s">
        <v>569</v>
      </c>
      <c r="F9" s="1402" t="s">
        <v>570</v>
      </c>
      <c r="G9" s="1403" t="s">
        <v>797</v>
      </c>
      <c r="H9" s="1404" t="s">
        <v>798</v>
      </c>
    </row>
    <row r="10" spans="1:8" ht="14.25" thickTop="1" thickBot="1" x14ac:dyDescent="0.25">
      <c r="A10" s="1297">
        <v>1</v>
      </c>
      <c r="B10" s="1296">
        <v>2</v>
      </c>
      <c r="C10" s="1296">
        <v>3</v>
      </c>
      <c r="D10" s="1296">
        <v>4</v>
      </c>
      <c r="E10" s="1295">
        <v>5</v>
      </c>
      <c r="F10" s="1295">
        <v>6</v>
      </c>
      <c r="G10" s="1446">
        <v>7</v>
      </c>
      <c r="H10" s="1383" t="s">
        <v>54</v>
      </c>
    </row>
    <row r="11" spans="1:8" ht="15.95" customHeight="1" thickTop="1" x14ac:dyDescent="0.25">
      <c r="A11" s="1384">
        <v>6172</v>
      </c>
      <c r="B11" s="1385">
        <v>5141</v>
      </c>
      <c r="C11" s="1531" t="s">
        <v>1792</v>
      </c>
      <c r="D11" s="1405" t="s">
        <v>855</v>
      </c>
      <c r="E11" s="1389">
        <v>0</v>
      </c>
      <c r="F11" s="1389">
        <v>1067</v>
      </c>
      <c r="G11" s="1422">
        <v>49</v>
      </c>
      <c r="H11" s="1390">
        <f>G11/F11*100</f>
        <v>4.5923149015932525</v>
      </c>
    </row>
    <row r="12" spans="1:8" ht="15.95" customHeight="1" x14ac:dyDescent="0.25">
      <c r="A12" s="1384">
        <v>6409</v>
      </c>
      <c r="B12" s="1385">
        <v>5909</v>
      </c>
      <c r="C12" s="1531" t="s">
        <v>1760</v>
      </c>
      <c r="D12" s="1405" t="s">
        <v>705</v>
      </c>
      <c r="E12" s="1389">
        <v>0</v>
      </c>
      <c r="F12" s="1389">
        <v>0</v>
      </c>
      <c r="G12" s="1422">
        <v>0</v>
      </c>
      <c r="H12" s="1390">
        <v>0</v>
      </c>
    </row>
    <row r="13" spans="1:8" ht="15.95" customHeight="1" thickBot="1" x14ac:dyDescent="0.3">
      <c r="A13" s="1384">
        <v>6330</v>
      </c>
      <c r="B13" s="1385">
        <v>5345</v>
      </c>
      <c r="C13" s="1531" t="s">
        <v>1760</v>
      </c>
      <c r="D13" s="1405" t="s">
        <v>693</v>
      </c>
      <c r="E13" s="1389">
        <v>0</v>
      </c>
      <c r="F13" s="1389">
        <v>0</v>
      </c>
      <c r="G13" s="1422">
        <v>36656</v>
      </c>
      <c r="H13" s="1396">
        <v>0</v>
      </c>
    </row>
    <row r="14" spans="1:8" ht="16.5" thickTop="1" thickBot="1" x14ac:dyDescent="0.3">
      <c r="A14" s="2104" t="s">
        <v>690</v>
      </c>
      <c r="B14" s="2105"/>
      <c r="C14" s="2105"/>
      <c r="D14" s="2105"/>
      <c r="E14" s="1387">
        <f>SUM(E11:E13)</f>
        <v>0</v>
      </c>
      <c r="F14" s="1387">
        <f>SUM(F11:F13)</f>
        <v>1067</v>
      </c>
      <c r="G14" s="1387">
        <f>SUM(G11:G13)</f>
        <v>36705</v>
      </c>
      <c r="H14" s="1396">
        <f>G14/F14*100</f>
        <v>3440.0187441424555</v>
      </c>
    </row>
    <row r="15" spans="1:8" ht="13.5" thickTop="1" x14ac:dyDescent="0.2"/>
    <row r="16" spans="1:8" s="1447" customFormat="1" x14ac:dyDescent="0.2">
      <c r="A16" s="1371"/>
      <c r="B16" s="1371"/>
      <c r="C16" s="1371"/>
      <c r="D16" s="1372"/>
      <c r="E16" s="1398"/>
      <c r="F16" s="1398"/>
      <c r="G16" s="1398"/>
      <c r="H16" s="1372"/>
    </row>
    <row r="17" spans="1:12" s="1447" customFormat="1" ht="16.5" x14ac:dyDescent="0.25">
      <c r="A17" s="1429" t="s">
        <v>423</v>
      </c>
      <c r="B17" s="1430"/>
      <c r="C17" s="1431"/>
      <c r="D17" s="1432"/>
      <c r="E17" s="1433">
        <f>SUM(E18:E20)</f>
        <v>0</v>
      </c>
      <c r="F17" s="1433">
        <f>F18+F19+F20+F21</f>
        <v>1067</v>
      </c>
      <c r="G17" s="1433">
        <f>G18+G19+G20+G21</f>
        <v>36705</v>
      </c>
      <c r="H17" s="2824">
        <f>G17/F17*100</f>
        <v>3440.0187441424555</v>
      </c>
      <c r="J17" s="1449">
        <f>J18+J19+J20</f>
        <v>0</v>
      </c>
      <c r="K17" s="1449">
        <f>K18+K19+K20</f>
        <v>1067000</v>
      </c>
      <c r="L17" s="1449">
        <f>L18+L19+L20</f>
        <v>36705085.310000002</v>
      </c>
    </row>
    <row r="18" spans="1:12" s="1447" customFormat="1" ht="15" x14ac:dyDescent="0.2">
      <c r="A18" s="1263" t="s">
        <v>242</v>
      </c>
      <c r="B18" s="1265"/>
      <c r="C18" s="1261"/>
      <c r="D18" s="1436"/>
      <c r="E18" s="1264">
        <f>E11+E12</f>
        <v>0</v>
      </c>
      <c r="F18" s="1264">
        <f>F11+F12</f>
        <v>1067</v>
      </c>
      <c r="G18" s="1264">
        <f>G11+G12</f>
        <v>49</v>
      </c>
      <c r="H18" s="1434">
        <f>G18/F18*100</f>
        <v>4.5923149015932525</v>
      </c>
      <c r="J18" s="1450">
        <v>0</v>
      </c>
      <c r="K18" s="1450">
        <v>1067000</v>
      </c>
      <c r="L18" s="1450">
        <f>48774.15-122.58</f>
        <v>48651.57</v>
      </c>
    </row>
    <row r="19" spans="1:12" ht="15" x14ac:dyDescent="0.2">
      <c r="A19" s="1263" t="s">
        <v>243</v>
      </c>
      <c r="B19" s="1262"/>
      <c r="C19" s="1261"/>
      <c r="D19" s="1438"/>
      <c r="E19" s="1264">
        <v>0</v>
      </c>
      <c r="F19" s="1264">
        <v>0</v>
      </c>
      <c r="G19" s="1264">
        <v>0</v>
      </c>
      <c r="H19" s="1434">
        <v>0</v>
      </c>
      <c r="J19" s="1437">
        <v>0</v>
      </c>
      <c r="K19" s="1437">
        <v>0</v>
      </c>
      <c r="L19" s="1437">
        <v>0</v>
      </c>
    </row>
    <row r="20" spans="1:12" ht="15" x14ac:dyDescent="0.2">
      <c r="A20" s="1263" t="s">
        <v>424</v>
      </c>
      <c r="B20" s="1262"/>
      <c r="C20" s="1261"/>
      <c r="D20" s="1438"/>
      <c r="E20" s="1264">
        <f>E13</f>
        <v>0</v>
      </c>
      <c r="F20" s="1264">
        <f>F13</f>
        <v>0</v>
      </c>
      <c r="G20" s="1264">
        <f>G13</f>
        <v>36656</v>
      </c>
      <c r="H20" s="1434">
        <v>0</v>
      </c>
      <c r="J20" s="1437">
        <v>0</v>
      </c>
      <c r="K20" s="1437">
        <v>0</v>
      </c>
      <c r="L20" s="1437">
        <v>36656433.740000002</v>
      </c>
    </row>
    <row r="21" spans="1:12" ht="15" x14ac:dyDescent="0.2">
      <c r="A21" s="1263"/>
      <c r="B21" s="1262"/>
      <c r="C21" s="1261"/>
      <c r="D21" s="1438"/>
      <c r="E21" s="1264"/>
      <c r="F21" s="1264"/>
      <c r="G21" s="1264"/>
      <c r="H21" s="1439"/>
    </row>
    <row r="22" spans="1:12" s="1397" customFormat="1" ht="24" thickBot="1" x14ac:dyDescent="0.4">
      <c r="A22" s="3148" t="s">
        <v>515</v>
      </c>
      <c r="B22" s="3207"/>
      <c r="C22" s="3207"/>
      <c r="D22" s="3207"/>
      <c r="E22" s="1258">
        <f>SUM(E17)</f>
        <v>0</v>
      </c>
      <c r="F22" s="1258">
        <f>SUM(F17)</f>
        <v>1067</v>
      </c>
      <c r="G22" s="1258">
        <f>SUM(G17)</f>
        <v>36705</v>
      </c>
      <c r="H22" s="1440">
        <f>G22/F22*100</f>
        <v>3440.0187441424555</v>
      </c>
    </row>
    <row r="23" spans="1:12" ht="13.5" thickTop="1" x14ac:dyDescent="0.2"/>
    <row r="24" spans="1:12" s="1436" customFormat="1" ht="15" x14ac:dyDescent="0.2">
      <c r="A24" s="1371"/>
      <c r="B24" s="1371"/>
      <c r="C24" s="1371"/>
      <c r="D24" s="1372"/>
      <c r="E24" s="1398"/>
      <c r="F24" s="1398"/>
      <c r="G24" s="1398"/>
      <c r="H24" s="1372"/>
    </row>
    <row r="27" spans="1:12" s="1441" customFormat="1" x14ac:dyDescent="0.2">
      <c r="A27" s="1371"/>
      <c r="B27" s="1371"/>
      <c r="C27" s="1371"/>
      <c r="D27" s="1372"/>
      <c r="E27" s="1398"/>
      <c r="F27" s="1398"/>
      <c r="G27" s="1398"/>
      <c r="H27" s="1372"/>
    </row>
    <row r="28" spans="1:12" s="1249" customFormat="1" x14ac:dyDescent="0.2">
      <c r="A28" s="1371"/>
      <c r="B28" s="1371"/>
      <c r="C28" s="1371"/>
      <c r="D28" s="1372"/>
      <c r="E28" s="1398"/>
      <c r="F28" s="1398"/>
      <c r="G28" s="1398"/>
      <c r="H28" s="1372"/>
    </row>
    <row r="29" spans="1:12" s="1249" customFormat="1" x14ac:dyDescent="0.2">
      <c r="A29" s="1371"/>
      <c r="B29" s="1371"/>
      <c r="C29" s="1371"/>
      <c r="D29" s="1372"/>
      <c r="E29" s="1398"/>
      <c r="F29" s="1398"/>
      <c r="G29" s="1398"/>
      <c r="H29" s="1372"/>
    </row>
    <row r="30" spans="1:12" s="1249" customFormat="1" x14ac:dyDescent="0.2">
      <c r="A30" s="1371"/>
      <c r="B30" s="1371"/>
      <c r="C30" s="1371"/>
      <c r="D30" s="1372"/>
      <c r="E30" s="1398"/>
      <c r="F30" s="1398"/>
      <c r="G30" s="1398"/>
      <c r="H30" s="1372"/>
    </row>
    <row r="31" spans="1:12" s="1249" customFormat="1" ht="23.25" x14ac:dyDescent="0.35">
      <c r="A31" s="1371"/>
      <c r="B31" s="1371"/>
      <c r="C31" s="1371"/>
      <c r="D31" s="1372"/>
      <c r="E31" s="1398"/>
      <c r="F31" s="1398"/>
      <c r="G31" s="1398"/>
      <c r="H31" s="1372"/>
      <c r="J31" s="1256"/>
    </row>
    <row r="32" spans="1:12" s="1256" customFormat="1" ht="54.75" customHeight="1" x14ac:dyDescent="0.35">
      <c r="A32" s="1371"/>
      <c r="B32" s="1371"/>
      <c r="C32" s="1371"/>
      <c r="D32" s="1372"/>
      <c r="E32" s="1398"/>
      <c r="F32" s="1398"/>
      <c r="G32" s="1398"/>
      <c r="H32" s="1372"/>
    </row>
  </sheetData>
  <mergeCells count="1">
    <mergeCell ref="A22:D22"/>
  </mergeCells>
  <pageMargins left="0.98425196850393704" right="0.78740157480314965" top="0.98425196850393704" bottom="0.98425196850393704" header="0.51181102362204722" footer="0.51181102362204722"/>
  <pageSetup paperSize="9" scale="65" firstPageNumber="130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 enableFormatConditionsCalculation="0">
    <tabColor rgb="FF00B0F0"/>
  </sheetPr>
  <dimension ref="A1:N201"/>
  <sheetViews>
    <sheetView showGridLines="0" view="pageBreakPreview" zoomScaleNormal="100" zoomScaleSheetLayoutView="100" workbookViewId="0">
      <selection activeCell="E139" sqref="E139"/>
    </sheetView>
  </sheetViews>
  <sheetFormatPr defaultColWidth="9.140625" defaultRowHeight="12.75" x14ac:dyDescent="0.2"/>
  <cols>
    <col min="1" max="1" width="4.7109375" style="598" customWidth="1"/>
    <col min="2" max="2" width="4.85546875" style="1693" customWidth="1"/>
    <col min="3" max="3" width="9.7109375" style="670" customWidth="1"/>
    <col min="4" max="4" width="46.5703125" style="373" customWidth="1"/>
    <col min="5" max="5" width="14.5703125" style="374" customWidth="1"/>
    <col min="6" max="6" width="14" style="374" customWidth="1"/>
    <col min="7" max="7" width="14.42578125" style="374" customWidth="1"/>
    <col min="8" max="8" width="8.140625" style="1923" customWidth="1"/>
    <col min="9" max="9" width="9.140625" style="373"/>
    <col min="10" max="10" width="17.28515625" style="373" bestFit="1" customWidth="1"/>
    <col min="11" max="11" width="17.5703125" style="373" customWidth="1"/>
    <col min="12" max="12" width="18.140625" style="373" customWidth="1"/>
    <col min="13" max="16384" width="9.140625" style="373"/>
  </cols>
  <sheetData>
    <row r="1" spans="1:9" ht="18.75" thickBot="1" x14ac:dyDescent="0.3">
      <c r="A1" s="448" t="s">
        <v>1781</v>
      </c>
      <c r="B1" s="449"/>
      <c r="C1" s="462"/>
      <c r="D1" s="460"/>
      <c r="E1" s="451"/>
      <c r="F1" s="452" t="s">
        <v>1099</v>
      </c>
      <c r="I1" s="17"/>
    </row>
    <row r="2" spans="1:9" ht="12.75" customHeight="1" x14ac:dyDescent="0.25">
      <c r="A2" s="6"/>
      <c r="B2" s="28"/>
      <c r="C2" s="57"/>
      <c r="D2" s="10"/>
      <c r="E2" s="303"/>
      <c r="F2" s="303"/>
      <c r="G2" s="16"/>
      <c r="H2" s="365"/>
      <c r="I2" s="17"/>
    </row>
    <row r="3" spans="1:9" ht="12.75" customHeight="1" x14ac:dyDescent="0.25">
      <c r="A3" s="67" t="s">
        <v>336</v>
      </c>
      <c r="B3" s="28"/>
      <c r="C3" s="496" t="s">
        <v>1866</v>
      </c>
      <c r="D3" s="583"/>
      <c r="E3" s="303"/>
      <c r="F3" s="16"/>
      <c r="G3" s="17"/>
      <c r="H3" s="365"/>
    </row>
    <row r="4" spans="1:9" ht="12.75" customHeight="1" x14ac:dyDescent="0.25">
      <c r="A4" s="6"/>
      <c r="B4" s="28"/>
      <c r="C4" s="496" t="s">
        <v>1758</v>
      </c>
      <c r="D4" s="374"/>
      <c r="E4" s="303"/>
      <c r="F4" s="16"/>
      <c r="G4" s="17"/>
      <c r="H4" s="365"/>
    </row>
    <row r="5" spans="1:9" ht="12.75" customHeight="1" x14ac:dyDescent="0.25">
      <c r="A5" s="6"/>
      <c r="B5" s="28"/>
      <c r="C5" s="496"/>
      <c r="D5" s="374"/>
      <c r="E5" s="303"/>
      <c r="F5" s="16"/>
      <c r="G5" s="17"/>
      <c r="H5" s="365"/>
    </row>
    <row r="6" spans="1:9" ht="18" x14ac:dyDescent="0.25">
      <c r="A6" s="33" t="s">
        <v>799</v>
      </c>
      <c r="B6" s="28"/>
      <c r="C6" s="57"/>
      <c r="D6" s="10"/>
      <c r="E6" s="303"/>
      <c r="F6" s="303"/>
      <c r="G6" s="16"/>
      <c r="H6" s="365"/>
      <c r="I6" s="17"/>
    </row>
    <row r="7" spans="1:9" ht="13.5" thickBot="1" x14ac:dyDescent="0.25">
      <c r="A7" s="584"/>
      <c r="B7" s="584"/>
      <c r="C7" s="671"/>
      <c r="D7" s="585"/>
      <c r="G7" s="574"/>
      <c r="H7" s="1923" t="s">
        <v>148</v>
      </c>
    </row>
    <row r="8" spans="1:9" s="106" customFormat="1" ht="20.25" customHeight="1" thickTop="1" thickBot="1" x14ac:dyDescent="0.25">
      <c r="A8" s="586" t="s">
        <v>149</v>
      </c>
      <c r="B8" s="587" t="s">
        <v>150</v>
      </c>
      <c r="C8" s="589" t="s">
        <v>639</v>
      </c>
      <c r="D8" s="589" t="s">
        <v>151</v>
      </c>
      <c r="E8" s="2064" t="s">
        <v>569</v>
      </c>
      <c r="F8" s="2064" t="s">
        <v>570</v>
      </c>
      <c r="G8" s="589" t="s">
        <v>797</v>
      </c>
      <c r="H8" s="590" t="s">
        <v>798</v>
      </c>
    </row>
    <row r="9" spans="1:9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26">
        <v>5</v>
      </c>
      <c r="F9" s="512">
        <v>6</v>
      </c>
      <c r="G9" s="512">
        <v>7</v>
      </c>
      <c r="H9" s="591" t="s">
        <v>54</v>
      </c>
      <c r="I9" s="106"/>
    </row>
    <row r="10" spans="1:9" s="375" customFormat="1" ht="15.75" thickTop="1" x14ac:dyDescent="0.25">
      <c r="A10" s="1133">
        <v>3429</v>
      </c>
      <c r="B10" s="1896">
        <v>5222</v>
      </c>
      <c r="C10" s="1286"/>
      <c r="D10" s="1327" t="s">
        <v>202</v>
      </c>
      <c r="E10" s="1073"/>
      <c r="F10" s="1895">
        <v>60</v>
      </c>
      <c r="G10" s="1142">
        <v>60</v>
      </c>
      <c r="H10" s="881">
        <f t="shared" ref="H10:H33" si="0">(G10/F10)*100</f>
        <v>100</v>
      </c>
      <c r="I10" s="106"/>
    </row>
    <row r="11" spans="1:9" s="375" customFormat="1" ht="14.25" x14ac:dyDescent="0.2">
      <c r="A11" s="1133"/>
      <c r="B11" s="1896"/>
      <c r="C11" s="1286" t="s">
        <v>1756</v>
      </c>
      <c r="D11" s="1287" t="s">
        <v>1783</v>
      </c>
      <c r="E11" s="1073"/>
      <c r="F11" s="1894">
        <v>60</v>
      </c>
      <c r="G11" s="1173">
        <v>60</v>
      </c>
      <c r="H11" s="884">
        <f t="shared" si="0"/>
        <v>100</v>
      </c>
      <c r="I11" s="106"/>
    </row>
    <row r="12" spans="1:9" s="375" customFormat="1" ht="15" x14ac:dyDescent="0.25">
      <c r="A12" s="1133">
        <v>4343</v>
      </c>
      <c r="B12" s="1896">
        <v>5223</v>
      </c>
      <c r="C12" s="1286"/>
      <c r="D12" s="876" t="s">
        <v>203</v>
      </c>
      <c r="E12" s="1073"/>
      <c r="F12" s="1895">
        <v>10</v>
      </c>
      <c r="G12" s="1142">
        <v>10</v>
      </c>
      <c r="H12" s="881">
        <f t="shared" si="0"/>
        <v>100</v>
      </c>
      <c r="I12" s="106"/>
    </row>
    <row r="13" spans="1:9" s="375" customFormat="1" ht="14.25" x14ac:dyDescent="0.2">
      <c r="A13" s="1133"/>
      <c r="B13" s="1896"/>
      <c r="C13" s="1286" t="s">
        <v>1757</v>
      </c>
      <c r="D13" s="1287" t="s">
        <v>26</v>
      </c>
      <c r="E13" s="1073"/>
      <c r="F13" s="1894">
        <v>10</v>
      </c>
      <c r="G13" s="1173">
        <v>10</v>
      </c>
      <c r="H13" s="884">
        <f t="shared" si="0"/>
        <v>100</v>
      </c>
      <c r="I13" s="106"/>
    </row>
    <row r="14" spans="1:9" s="375" customFormat="1" ht="15" x14ac:dyDescent="0.25">
      <c r="A14" s="1133">
        <v>5272</v>
      </c>
      <c r="B14" s="1896">
        <v>5168</v>
      </c>
      <c r="C14" s="1286"/>
      <c r="D14" s="3067" t="s">
        <v>1606</v>
      </c>
      <c r="E14" s="48">
        <v>50</v>
      </c>
      <c r="F14" s="1895">
        <v>50</v>
      </c>
      <c r="G14" s="1142">
        <v>0</v>
      </c>
      <c r="H14" s="881">
        <f t="shared" si="0"/>
        <v>0</v>
      </c>
      <c r="I14" s="106"/>
    </row>
    <row r="15" spans="1:9" s="375" customFormat="1" ht="14.25" x14ac:dyDescent="0.2">
      <c r="A15" s="1133"/>
      <c r="B15" s="1896"/>
      <c r="C15" s="1286"/>
      <c r="D15" s="3068"/>
      <c r="E15" s="1073"/>
      <c r="F15" s="1894"/>
      <c r="G15" s="1173"/>
      <c r="H15" s="884"/>
      <c r="I15" s="106"/>
    </row>
    <row r="16" spans="1:9" s="375" customFormat="1" ht="15" x14ac:dyDescent="0.25">
      <c r="A16" s="1133">
        <v>5273</v>
      </c>
      <c r="B16" s="1896">
        <v>5134</v>
      </c>
      <c r="C16" s="1322"/>
      <c r="D16" s="1315" t="s">
        <v>551</v>
      </c>
      <c r="E16" s="48">
        <v>5</v>
      </c>
      <c r="F16" s="1895">
        <v>5</v>
      </c>
      <c r="G16" s="1142">
        <v>0</v>
      </c>
      <c r="H16" s="881">
        <f t="shared" si="0"/>
        <v>0</v>
      </c>
      <c r="I16" s="106"/>
    </row>
    <row r="17" spans="1:9" s="375" customFormat="1" ht="15" x14ac:dyDescent="0.25">
      <c r="A17" s="1133">
        <v>5273</v>
      </c>
      <c r="B17" s="1896">
        <v>5136</v>
      </c>
      <c r="C17" s="1322"/>
      <c r="D17" s="1315" t="s">
        <v>552</v>
      </c>
      <c r="E17" s="48">
        <v>1</v>
      </c>
      <c r="F17" s="1895">
        <v>1</v>
      </c>
      <c r="G17" s="1142">
        <v>0</v>
      </c>
      <c r="H17" s="881">
        <f t="shared" si="0"/>
        <v>0</v>
      </c>
      <c r="I17" s="106"/>
    </row>
    <row r="18" spans="1:9" s="375" customFormat="1" ht="15" x14ac:dyDescent="0.25">
      <c r="A18" s="1331">
        <v>5273</v>
      </c>
      <c r="B18" s="1330">
        <v>5137</v>
      </c>
      <c r="C18" s="1322"/>
      <c r="D18" s="1315" t="s">
        <v>142</v>
      </c>
      <c r="E18" s="48">
        <v>5</v>
      </c>
      <c r="F18" s="1895">
        <v>30</v>
      </c>
      <c r="G18" s="1142">
        <v>23</v>
      </c>
      <c r="H18" s="881">
        <f t="shared" si="0"/>
        <v>76.666666666666671</v>
      </c>
      <c r="I18" s="106"/>
    </row>
    <row r="19" spans="1:9" s="375" customFormat="1" ht="14.25" x14ac:dyDescent="0.2">
      <c r="A19" s="1331"/>
      <c r="B19" s="1330"/>
      <c r="C19" s="1281" t="s">
        <v>1760</v>
      </c>
      <c r="D19" s="1287" t="s">
        <v>1127</v>
      </c>
      <c r="E19" s="1173">
        <v>5</v>
      </c>
      <c r="F19" s="1894">
        <v>5</v>
      </c>
      <c r="G19" s="1173">
        <v>0</v>
      </c>
      <c r="H19" s="884">
        <f t="shared" si="0"/>
        <v>0</v>
      </c>
      <c r="I19" s="106"/>
    </row>
    <row r="20" spans="1:9" s="375" customFormat="1" ht="14.25" x14ac:dyDescent="0.2">
      <c r="A20" s="1331"/>
      <c r="B20" s="1330"/>
      <c r="C20" s="1286" t="s">
        <v>1757</v>
      </c>
      <c r="D20" s="1287" t="s">
        <v>26</v>
      </c>
      <c r="E20" s="1173"/>
      <c r="F20" s="1894">
        <v>25</v>
      </c>
      <c r="G20" s="1173">
        <v>23</v>
      </c>
      <c r="H20" s="884">
        <f t="shared" si="0"/>
        <v>92</v>
      </c>
      <c r="I20" s="106"/>
    </row>
    <row r="21" spans="1:9" s="375" customFormat="1" ht="15" x14ac:dyDescent="0.25">
      <c r="A21" s="1331">
        <v>5273</v>
      </c>
      <c r="B21" s="1330">
        <v>5139</v>
      </c>
      <c r="C21" s="1322"/>
      <c r="D21" s="1285" t="s">
        <v>272</v>
      </c>
      <c r="E21" s="1321">
        <v>50</v>
      </c>
      <c r="F21" s="1321">
        <v>92</v>
      </c>
      <c r="G21" s="1321">
        <v>71</v>
      </c>
      <c r="H21" s="1319">
        <f t="shared" si="0"/>
        <v>77.173913043478265</v>
      </c>
      <c r="I21" s="106"/>
    </row>
    <row r="22" spans="1:9" s="375" customFormat="1" ht="14.25" x14ac:dyDescent="0.2">
      <c r="A22" s="1331"/>
      <c r="B22" s="1330"/>
      <c r="C22" s="1281" t="s">
        <v>1760</v>
      </c>
      <c r="D22" s="1287" t="s">
        <v>1127</v>
      </c>
      <c r="E22" s="1276">
        <v>50</v>
      </c>
      <c r="F22" s="1275">
        <v>35</v>
      </c>
      <c r="G22" s="1274">
        <v>35</v>
      </c>
      <c r="H22" s="1316">
        <f t="shared" si="0"/>
        <v>100</v>
      </c>
      <c r="I22" s="106"/>
    </row>
    <row r="23" spans="1:9" s="375" customFormat="1" ht="14.25" x14ac:dyDescent="0.2">
      <c r="A23" s="1279"/>
      <c r="B23" s="1278"/>
      <c r="C23" s="1286" t="s">
        <v>1757</v>
      </c>
      <c r="D23" s="1924" t="s">
        <v>26</v>
      </c>
      <c r="E23" s="1276"/>
      <c r="F23" s="1275">
        <v>57</v>
      </c>
      <c r="G23" s="1274">
        <v>36</v>
      </c>
      <c r="H23" s="1316">
        <f t="shared" si="0"/>
        <v>63.157894736842103</v>
      </c>
      <c r="I23" s="106"/>
    </row>
    <row r="24" spans="1:9" s="375" customFormat="1" ht="15" x14ac:dyDescent="0.25">
      <c r="A24" s="1279">
        <v>5273</v>
      </c>
      <c r="B24" s="1278">
        <v>5152</v>
      </c>
      <c r="C24" s="1281"/>
      <c r="D24" s="1285" t="s">
        <v>779</v>
      </c>
      <c r="E24" s="1283">
        <v>0</v>
      </c>
      <c r="F24" s="1284">
        <v>1</v>
      </c>
      <c r="G24" s="1283">
        <v>0</v>
      </c>
      <c r="H24" s="881">
        <f t="shared" si="0"/>
        <v>0</v>
      </c>
      <c r="I24" s="106"/>
    </row>
    <row r="25" spans="1:9" s="375" customFormat="1" ht="15" x14ac:dyDescent="0.25">
      <c r="A25" s="1279">
        <v>5273</v>
      </c>
      <c r="B25" s="1278">
        <v>5153</v>
      </c>
      <c r="C25" s="1281"/>
      <c r="D25" s="1323" t="s">
        <v>1100</v>
      </c>
      <c r="E25" s="1283">
        <v>0</v>
      </c>
      <c r="F25" s="1284">
        <v>1</v>
      </c>
      <c r="G25" s="1283">
        <v>1</v>
      </c>
      <c r="H25" s="1313">
        <f t="shared" si="0"/>
        <v>100</v>
      </c>
      <c r="I25" s="106"/>
    </row>
    <row r="26" spans="1:9" s="375" customFormat="1" ht="15" x14ac:dyDescent="0.25">
      <c r="A26" s="1279">
        <v>5273</v>
      </c>
      <c r="B26" s="1278">
        <v>5164</v>
      </c>
      <c r="C26" s="1322"/>
      <c r="D26" s="1315" t="s">
        <v>157</v>
      </c>
      <c r="E26" s="1321">
        <v>10</v>
      </c>
      <c r="F26" s="1314">
        <v>10</v>
      </c>
      <c r="G26" s="1320">
        <v>0</v>
      </c>
      <c r="H26" s="1319">
        <f t="shared" si="0"/>
        <v>0</v>
      </c>
      <c r="I26" s="106"/>
    </row>
    <row r="27" spans="1:9" s="375" customFormat="1" ht="15" x14ac:dyDescent="0.25">
      <c r="A27" s="1331">
        <v>5273</v>
      </c>
      <c r="B27" s="1330">
        <v>5166</v>
      </c>
      <c r="C27" s="1281"/>
      <c r="D27" s="1315" t="s">
        <v>553</v>
      </c>
      <c r="E27" s="1332">
        <v>0</v>
      </c>
      <c r="F27" s="1333">
        <v>12</v>
      </c>
      <c r="G27" s="1283">
        <v>12</v>
      </c>
      <c r="H27" s="1319">
        <f t="shared" si="0"/>
        <v>100</v>
      </c>
      <c r="I27" s="106"/>
    </row>
    <row r="28" spans="1:9" s="375" customFormat="1" ht="15" x14ac:dyDescent="0.25">
      <c r="A28" s="1279">
        <v>5273</v>
      </c>
      <c r="B28" s="1278">
        <v>5169</v>
      </c>
      <c r="C28" s="1322"/>
      <c r="D28" s="1315" t="s">
        <v>769</v>
      </c>
      <c r="E28" s="1321">
        <f t="shared" ref="E28:F28" si="1">E29+E30</f>
        <v>130</v>
      </c>
      <c r="F28" s="1321">
        <f t="shared" si="1"/>
        <v>315</v>
      </c>
      <c r="G28" s="1321">
        <f>G29+G30</f>
        <v>75</v>
      </c>
      <c r="H28" s="1319">
        <f t="shared" si="0"/>
        <v>23.809523809523807</v>
      </c>
      <c r="I28" s="106"/>
    </row>
    <row r="29" spans="1:9" s="375" customFormat="1" ht="14.25" x14ac:dyDescent="0.2">
      <c r="A29" s="1279"/>
      <c r="B29" s="1278"/>
      <c r="C29" s="1281" t="s">
        <v>1760</v>
      </c>
      <c r="D29" s="1287" t="s">
        <v>1127</v>
      </c>
      <c r="E29" s="1276">
        <v>130</v>
      </c>
      <c r="F29" s="1275">
        <v>105</v>
      </c>
      <c r="G29" s="1274">
        <v>50</v>
      </c>
      <c r="H29" s="1316">
        <f t="shared" si="0"/>
        <v>47.619047619047613</v>
      </c>
      <c r="I29" s="106"/>
    </row>
    <row r="30" spans="1:9" s="375" customFormat="1" ht="14.25" x14ac:dyDescent="0.2">
      <c r="A30" s="1279"/>
      <c r="B30" s="1278"/>
      <c r="C30" s="1286" t="s">
        <v>1757</v>
      </c>
      <c r="D30" s="1925" t="s">
        <v>26</v>
      </c>
      <c r="E30" s="1274">
        <v>0</v>
      </c>
      <c r="F30" s="1275">
        <v>210</v>
      </c>
      <c r="G30" s="1274">
        <v>25</v>
      </c>
      <c r="H30" s="1316">
        <f t="shared" si="0"/>
        <v>11.904761904761903</v>
      </c>
      <c r="I30" s="106"/>
    </row>
    <row r="31" spans="1:9" s="375" customFormat="1" ht="15" x14ac:dyDescent="0.25">
      <c r="A31" s="1279">
        <v>5273</v>
      </c>
      <c r="B31" s="1278">
        <v>5175</v>
      </c>
      <c r="C31" s="1281"/>
      <c r="D31" s="1291" t="s">
        <v>605</v>
      </c>
      <c r="E31" s="1321">
        <v>120</v>
      </c>
      <c r="F31" s="1320">
        <f>F32+F33</f>
        <v>245</v>
      </c>
      <c r="G31" s="1320">
        <f>G32+G33</f>
        <v>119</v>
      </c>
      <c r="H31" s="1313">
        <f t="shared" si="0"/>
        <v>48.571428571428569</v>
      </c>
      <c r="I31" s="106"/>
    </row>
    <row r="32" spans="1:9" s="375" customFormat="1" ht="14.25" x14ac:dyDescent="0.2">
      <c r="A32" s="1279"/>
      <c r="B32" s="1278"/>
      <c r="C32" s="1281" t="s">
        <v>1760</v>
      </c>
      <c r="D32" s="1287" t="s">
        <v>1127</v>
      </c>
      <c r="E32" s="1276">
        <v>120</v>
      </c>
      <c r="F32" s="1275">
        <v>115</v>
      </c>
      <c r="G32" s="1274">
        <v>79</v>
      </c>
      <c r="H32" s="1316">
        <f t="shared" si="0"/>
        <v>68.695652173913047</v>
      </c>
      <c r="I32" s="106"/>
    </row>
    <row r="33" spans="1:9" s="375" customFormat="1" ht="14.25" x14ac:dyDescent="0.2">
      <c r="A33" s="1279"/>
      <c r="B33" s="1278"/>
      <c r="C33" s="1286" t="s">
        <v>1757</v>
      </c>
      <c r="D33" s="1924" t="s">
        <v>26</v>
      </c>
      <c r="E33" s="1276">
        <v>0</v>
      </c>
      <c r="F33" s="1275">
        <v>130</v>
      </c>
      <c r="G33" s="1274">
        <v>40</v>
      </c>
      <c r="H33" s="1316">
        <f t="shared" si="0"/>
        <v>30.76923076923077</v>
      </c>
      <c r="I33" s="106"/>
    </row>
    <row r="34" spans="1:9" s="375" customFormat="1" ht="15" x14ac:dyDescent="0.25">
      <c r="A34" s="1279">
        <v>5273</v>
      </c>
      <c r="B34" s="1278">
        <v>5222</v>
      </c>
      <c r="C34" s="1281"/>
      <c r="D34" s="1327" t="s">
        <v>202</v>
      </c>
      <c r="E34" s="1321">
        <v>300</v>
      </c>
      <c r="F34" s="1320">
        <v>300</v>
      </c>
      <c r="G34" s="1320">
        <v>300</v>
      </c>
      <c r="H34" s="1319">
        <f t="shared" ref="H34:H35" si="2">(G34/F34)*100</f>
        <v>100</v>
      </c>
      <c r="I34" s="106"/>
    </row>
    <row r="35" spans="1:9" s="375" customFormat="1" ht="14.25" x14ac:dyDescent="0.2">
      <c r="A35" s="1279"/>
      <c r="B35" s="1278"/>
      <c r="C35" s="1329" t="s">
        <v>1761</v>
      </c>
      <c r="D35" s="1328" t="s">
        <v>806</v>
      </c>
      <c r="E35" s="1276">
        <v>300</v>
      </c>
      <c r="F35" s="1318">
        <v>300</v>
      </c>
      <c r="G35" s="1317">
        <v>300</v>
      </c>
      <c r="H35" s="1316">
        <f t="shared" si="2"/>
        <v>100</v>
      </c>
      <c r="I35" s="106"/>
    </row>
    <row r="36" spans="1:9" s="375" customFormat="1" ht="15" x14ac:dyDescent="0.25">
      <c r="A36" s="1279">
        <v>5273</v>
      </c>
      <c r="B36" s="1278">
        <v>5901</v>
      </c>
      <c r="C36" s="1322"/>
      <c r="D36" s="1315" t="s">
        <v>721</v>
      </c>
      <c r="E36" s="1321">
        <v>6000</v>
      </c>
      <c r="F36" s="1314">
        <v>2932</v>
      </c>
      <c r="G36" s="1320">
        <v>0</v>
      </c>
      <c r="H36" s="1319">
        <v>0</v>
      </c>
      <c r="I36" s="106"/>
    </row>
    <row r="37" spans="1:9" s="375" customFormat="1" ht="14.25" x14ac:dyDescent="0.2">
      <c r="A37" s="1279"/>
      <c r="B37" s="1278"/>
      <c r="C37" s="1286" t="s">
        <v>1757</v>
      </c>
      <c r="D37" s="1924" t="s">
        <v>26</v>
      </c>
      <c r="E37" s="1276">
        <v>6000</v>
      </c>
      <c r="F37" s="1318">
        <v>2932</v>
      </c>
      <c r="G37" s="1317">
        <v>0</v>
      </c>
      <c r="H37" s="1316">
        <v>0</v>
      </c>
      <c r="I37" s="106"/>
    </row>
    <row r="38" spans="1:9" s="375" customFormat="1" ht="15" x14ac:dyDescent="0.25">
      <c r="A38" s="1279">
        <v>5299</v>
      </c>
      <c r="B38" s="1278">
        <v>5222</v>
      </c>
      <c r="C38" s="1329"/>
      <c r="D38" s="1327" t="s">
        <v>202</v>
      </c>
      <c r="E38" s="1321"/>
      <c r="F38" s="1314">
        <v>25</v>
      </c>
      <c r="G38" s="1320">
        <v>25</v>
      </c>
      <c r="H38" s="1313">
        <v>0</v>
      </c>
      <c r="I38" s="106"/>
    </row>
    <row r="39" spans="1:9" s="375" customFormat="1" ht="14.25" x14ac:dyDescent="0.2">
      <c r="A39" s="1279"/>
      <c r="B39" s="1278"/>
      <c r="C39" s="1286" t="s">
        <v>1757</v>
      </c>
      <c r="D39" s="1924" t="s">
        <v>26</v>
      </c>
      <c r="E39" s="1276"/>
      <c r="F39" s="1318">
        <v>25</v>
      </c>
      <c r="G39" s="1317">
        <v>25</v>
      </c>
      <c r="H39" s="1316">
        <v>0</v>
      </c>
      <c r="I39" s="106"/>
    </row>
    <row r="40" spans="1:9" s="375" customFormat="1" ht="15" x14ac:dyDescent="0.25">
      <c r="A40" s="1279">
        <v>5299</v>
      </c>
      <c r="B40" s="1278">
        <v>5321</v>
      </c>
      <c r="C40" s="1277"/>
      <c r="D40" s="1315" t="s">
        <v>1078</v>
      </c>
      <c r="E40" s="1276"/>
      <c r="F40" s="1284">
        <v>150</v>
      </c>
      <c r="G40" s="1283">
        <v>150</v>
      </c>
      <c r="H40" s="1313">
        <f>(G40/F40)*100</f>
        <v>100</v>
      </c>
      <c r="I40" s="106"/>
    </row>
    <row r="41" spans="1:9" s="375" customFormat="1" ht="14.25" x14ac:dyDescent="0.2">
      <c r="A41" s="1279"/>
      <c r="B41" s="1278"/>
      <c r="C41" s="1286" t="s">
        <v>1757</v>
      </c>
      <c r="D41" s="1924" t="s">
        <v>26</v>
      </c>
      <c r="E41" s="1276"/>
      <c r="F41" s="1318">
        <v>150</v>
      </c>
      <c r="G41" s="1317">
        <v>150</v>
      </c>
      <c r="H41" s="1316">
        <f>(G41/F41)*100</f>
        <v>100</v>
      </c>
      <c r="I41" s="106"/>
    </row>
    <row r="42" spans="1:9" s="375" customFormat="1" ht="15" x14ac:dyDescent="0.25">
      <c r="A42" s="1279">
        <v>5511</v>
      </c>
      <c r="B42" s="1278">
        <v>5311</v>
      </c>
      <c r="C42" s="1281"/>
      <c r="D42" s="1291" t="s">
        <v>41</v>
      </c>
      <c r="E42" s="1288"/>
      <c r="F42" s="1320">
        <f>F43+F44</f>
        <v>1305</v>
      </c>
      <c r="G42" s="1320">
        <f>G43+G44</f>
        <v>1244</v>
      </c>
      <c r="H42" s="1313">
        <f>(G42/F42)*100</f>
        <v>95.325670498084293</v>
      </c>
      <c r="I42" s="106"/>
    </row>
    <row r="43" spans="1:9" s="375" customFormat="1" ht="15" x14ac:dyDescent="0.25">
      <c r="A43" s="1279"/>
      <c r="B43" s="1278"/>
      <c r="C43" s="1286" t="s">
        <v>1757</v>
      </c>
      <c r="D43" s="1924" t="s">
        <v>26</v>
      </c>
      <c r="E43" s="1288"/>
      <c r="F43" s="1318">
        <v>1280</v>
      </c>
      <c r="G43" s="1317">
        <v>1219</v>
      </c>
      <c r="H43" s="1316">
        <f>(G43/F43)*100</f>
        <v>95.234375</v>
      </c>
      <c r="I43" s="106"/>
    </row>
    <row r="44" spans="1:9" s="375" customFormat="1" ht="14.25" x14ac:dyDescent="0.2">
      <c r="A44" s="1279"/>
      <c r="B44" s="1278"/>
      <c r="C44" s="1286" t="s">
        <v>1756</v>
      </c>
      <c r="D44" s="1287" t="s">
        <v>1783</v>
      </c>
      <c r="E44" s="1073"/>
      <c r="F44" s="1894">
        <v>25</v>
      </c>
      <c r="G44" s="1173">
        <v>25</v>
      </c>
      <c r="H44" s="884">
        <f>(G44/F44)*100</f>
        <v>100</v>
      </c>
      <c r="I44" s="106"/>
    </row>
    <row r="45" spans="1:9" s="375" customFormat="1" ht="15" x14ac:dyDescent="0.25">
      <c r="A45" s="1279">
        <v>5512</v>
      </c>
      <c r="B45" s="1278">
        <v>5222</v>
      </c>
      <c r="C45" s="1286"/>
      <c r="D45" s="1327" t="s">
        <v>202</v>
      </c>
      <c r="E45" s="1288">
        <v>2000</v>
      </c>
      <c r="F45" s="1320">
        <f>F46</f>
        <v>2045</v>
      </c>
      <c r="G45" s="1320">
        <f>G46</f>
        <v>2018</v>
      </c>
      <c r="H45" s="1319">
        <f t="shared" ref="H45:H54" si="3">(G45/F45)*100</f>
        <v>98.679706601466989</v>
      </c>
      <c r="I45" s="106"/>
    </row>
    <row r="46" spans="1:9" s="375" customFormat="1" ht="14.25" x14ac:dyDescent="0.2">
      <c r="A46" s="1279"/>
      <c r="B46" s="1278"/>
      <c r="C46" s="1286" t="s">
        <v>1756</v>
      </c>
      <c r="D46" s="1287" t="s">
        <v>1783</v>
      </c>
      <c r="E46" s="1276">
        <v>2000</v>
      </c>
      <c r="F46" s="1318">
        <v>2045</v>
      </c>
      <c r="G46" s="1317">
        <v>2018</v>
      </c>
      <c r="H46" s="1316">
        <f t="shared" si="3"/>
        <v>98.679706601466989</v>
      </c>
      <c r="I46" s="106"/>
    </row>
    <row r="47" spans="1:9" s="375" customFormat="1" ht="15" x14ac:dyDescent="0.25">
      <c r="A47" s="1279">
        <v>5512</v>
      </c>
      <c r="B47" s="1278">
        <v>5321</v>
      </c>
      <c r="C47" s="1322"/>
      <c r="D47" s="1315" t="s">
        <v>1078</v>
      </c>
      <c r="E47" s="1321">
        <v>5000</v>
      </c>
      <c r="F47" s="1320">
        <f>F48+F49</f>
        <v>7931</v>
      </c>
      <c r="G47" s="1320">
        <f>G48+G49</f>
        <v>7813</v>
      </c>
      <c r="H47" s="1313">
        <f t="shared" si="3"/>
        <v>98.512167444206284</v>
      </c>
      <c r="I47" s="106"/>
    </row>
    <row r="48" spans="1:9" s="375" customFormat="1" ht="14.25" x14ac:dyDescent="0.2">
      <c r="A48" s="1279"/>
      <c r="B48" s="1278"/>
      <c r="C48" s="1281" t="s">
        <v>1763</v>
      </c>
      <c r="D48" s="1280" t="s">
        <v>1012</v>
      </c>
      <c r="E48" s="1276">
        <v>5000</v>
      </c>
      <c r="F48" s="1318">
        <v>1917</v>
      </c>
      <c r="G48" s="1317">
        <v>1803</v>
      </c>
      <c r="H48" s="1316">
        <f t="shared" si="3"/>
        <v>94.053208137715188</v>
      </c>
      <c r="I48" s="106"/>
    </row>
    <row r="49" spans="1:11" s="375" customFormat="1" ht="14.25" x14ac:dyDescent="0.2">
      <c r="A49" s="1279"/>
      <c r="B49" s="1278"/>
      <c r="C49" s="1281" t="s">
        <v>1762</v>
      </c>
      <c r="D49" s="1326" t="s">
        <v>180</v>
      </c>
      <c r="E49" s="1276"/>
      <c r="F49" s="1318">
        <v>6014</v>
      </c>
      <c r="G49" s="1317">
        <v>6010</v>
      </c>
      <c r="H49" s="1316">
        <f t="shared" si="3"/>
        <v>99.933488526770859</v>
      </c>
      <c r="I49" s="106"/>
    </row>
    <row r="50" spans="1:11" s="375" customFormat="1" ht="15" x14ac:dyDescent="0.25">
      <c r="A50" s="1279">
        <v>5512</v>
      </c>
      <c r="B50" s="1278">
        <v>5493</v>
      </c>
      <c r="C50" s="1286"/>
      <c r="D50" s="1006" t="s">
        <v>1764</v>
      </c>
      <c r="E50" s="1321"/>
      <c r="F50" s="1320">
        <v>10</v>
      </c>
      <c r="G50" s="1320">
        <v>10</v>
      </c>
      <c r="H50" s="1313">
        <f t="shared" si="3"/>
        <v>100</v>
      </c>
      <c r="I50" s="106"/>
    </row>
    <row r="51" spans="1:11" s="375" customFormat="1" ht="15" x14ac:dyDescent="0.25">
      <c r="A51" s="1279"/>
      <c r="B51" s="1278"/>
      <c r="C51" s="1286" t="s">
        <v>1756</v>
      </c>
      <c r="D51" s="1287" t="s">
        <v>1783</v>
      </c>
      <c r="E51" s="1288"/>
      <c r="F51" s="1318">
        <v>10</v>
      </c>
      <c r="G51" s="1317">
        <v>10</v>
      </c>
      <c r="H51" s="1316">
        <f t="shared" si="3"/>
        <v>100</v>
      </c>
      <c r="I51" s="106"/>
    </row>
    <row r="52" spans="1:11" s="375" customFormat="1" ht="15" x14ac:dyDescent="0.25">
      <c r="A52" s="1279">
        <v>5529</v>
      </c>
      <c r="B52" s="1278">
        <v>5169</v>
      </c>
      <c r="C52" s="1322"/>
      <c r="D52" s="1315" t="s">
        <v>769</v>
      </c>
      <c r="E52" s="1321">
        <v>20</v>
      </c>
      <c r="F52" s="1314">
        <v>30</v>
      </c>
      <c r="G52" s="1320">
        <v>30</v>
      </c>
      <c r="H52" s="1319">
        <f t="shared" si="3"/>
        <v>100</v>
      </c>
      <c r="I52" s="106"/>
    </row>
    <row r="53" spans="1:11" s="375" customFormat="1" ht="15" x14ac:dyDescent="0.25">
      <c r="A53" s="1279">
        <v>5599</v>
      </c>
      <c r="B53" s="1278">
        <v>5221</v>
      </c>
      <c r="C53" s="1286"/>
      <c r="D53" s="1315" t="s">
        <v>40</v>
      </c>
      <c r="E53" s="1321"/>
      <c r="F53" s="1314">
        <v>135</v>
      </c>
      <c r="G53" s="1283">
        <v>135</v>
      </c>
      <c r="H53" s="1313">
        <f t="shared" si="3"/>
        <v>100</v>
      </c>
      <c r="I53" s="106"/>
    </row>
    <row r="54" spans="1:11" s="375" customFormat="1" ht="15" x14ac:dyDescent="0.25">
      <c r="A54" s="1279"/>
      <c r="B54" s="1278"/>
      <c r="C54" s="1281" t="s">
        <v>1757</v>
      </c>
      <c r="D54" s="1924" t="s">
        <v>26</v>
      </c>
      <c r="E54" s="1321"/>
      <c r="F54" s="1318">
        <v>135</v>
      </c>
      <c r="G54" s="1317">
        <v>135</v>
      </c>
      <c r="H54" s="1316">
        <f t="shared" si="3"/>
        <v>100</v>
      </c>
      <c r="I54" s="106"/>
    </row>
    <row r="55" spans="1:11" s="875" customFormat="1" ht="15" x14ac:dyDescent="0.25">
      <c r="A55" s="34">
        <v>6115</v>
      </c>
      <c r="B55" s="1897">
        <v>5011</v>
      </c>
      <c r="C55" s="888"/>
      <c r="D55" s="876" t="s">
        <v>189</v>
      </c>
      <c r="E55" s="909"/>
      <c r="F55" s="309">
        <v>8</v>
      </c>
      <c r="G55" s="311">
        <v>8</v>
      </c>
      <c r="H55" s="881">
        <f>(G55/F55)*100</f>
        <v>100</v>
      </c>
      <c r="J55" s="907"/>
      <c r="K55" s="907"/>
    </row>
    <row r="56" spans="1:11" s="875" customFormat="1" ht="14.25" x14ac:dyDescent="0.2">
      <c r="A56" s="34"/>
      <c r="B56" s="1898"/>
      <c r="C56" s="3070" t="s">
        <v>1765</v>
      </c>
      <c r="D56" s="3072" t="s">
        <v>1608</v>
      </c>
      <c r="E56" s="909"/>
      <c r="F56" s="310">
        <v>8</v>
      </c>
      <c r="G56" s="312">
        <v>8</v>
      </c>
      <c r="H56" s="884">
        <f>(G56/F56)*100</f>
        <v>100</v>
      </c>
    </row>
    <row r="57" spans="1:11" s="875" customFormat="1" ht="14.25" x14ac:dyDescent="0.2">
      <c r="A57" s="34"/>
      <c r="B57" s="1898"/>
      <c r="C57" s="3071"/>
      <c r="D57" s="3073"/>
      <c r="E57" s="909"/>
      <c r="F57" s="310"/>
      <c r="G57" s="312"/>
      <c r="H57" s="884"/>
    </row>
    <row r="58" spans="1:11" s="875" customFormat="1" ht="15" x14ac:dyDescent="0.25">
      <c r="A58" s="34">
        <v>6115</v>
      </c>
      <c r="B58" s="1897">
        <v>5031</v>
      </c>
      <c r="C58" s="888"/>
      <c r="D58" s="876" t="s">
        <v>217</v>
      </c>
      <c r="E58" s="909"/>
      <c r="F58" s="309">
        <v>2</v>
      </c>
      <c r="G58" s="311">
        <v>2</v>
      </c>
      <c r="H58" s="881">
        <f>(G58/F58)*100</f>
        <v>100</v>
      </c>
    </row>
    <row r="59" spans="1:11" s="875" customFormat="1" ht="15" x14ac:dyDescent="0.25">
      <c r="A59" s="34"/>
      <c r="B59" s="1897"/>
      <c r="C59" s="888"/>
      <c r="D59" s="876" t="s">
        <v>656</v>
      </c>
      <c r="E59" s="909"/>
      <c r="F59" s="310"/>
      <c r="G59" s="312"/>
      <c r="H59" s="884"/>
    </row>
    <row r="60" spans="1:11" s="875" customFormat="1" ht="14.25" customHeight="1" x14ac:dyDescent="0.2">
      <c r="A60" s="34"/>
      <c r="B60" s="1897"/>
      <c r="C60" s="3070" t="s">
        <v>1765</v>
      </c>
      <c r="D60" s="3072" t="s">
        <v>1608</v>
      </c>
      <c r="E60" s="909"/>
      <c r="F60" s="310">
        <v>2</v>
      </c>
      <c r="G60" s="312">
        <v>2</v>
      </c>
      <c r="H60" s="884">
        <f t="shared" ref="H60:H71" si="4">(G60/F60)*100</f>
        <v>100</v>
      </c>
    </row>
    <row r="61" spans="1:11" s="875" customFormat="1" ht="14.25" x14ac:dyDescent="0.2">
      <c r="A61" s="34"/>
      <c r="B61" s="1898"/>
      <c r="C61" s="3071"/>
      <c r="D61" s="3073"/>
      <c r="E61" s="909"/>
      <c r="F61" s="310"/>
      <c r="G61" s="312"/>
      <c r="H61" s="884"/>
    </row>
    <row r="62" spans="1:11" s="875" customFormat="1" ht="15" x14ac:dyDescent="0.25">
      <c r="A62" s="34">
        <v>6115</v>
      </c>
      <c r="B62" s="1897">
        <v>5032</v>
      </c>
      <c r="C62" s="888"/>
      <c r="D62" s="876" t="s">
        <v>218</v>
      </c>
      <c r="E62" s="909"/>
      <c r="F62" s="309">
        <v>1</v>
      </c>
      <c r="G62" s="311">
        <v>1</v>
      </c>
      <c r="H62" s="200">
        <f t="shared" si="4"/>
        <v>100</v>
      </c>
    </row>
    <row r="63" spans="1:11" s="875" customFormat="1" ht="14.25" customHeight="1" x14ac:dyDescent="0.2">
      <c r="A63" s="34"/>
      <c r="B63" s="1897"/>
      <c r="C63" s="3070" t="s">
        <v>1765</v>
      </c>
      <c r="D63" s="3072" t="s">
        <v>1608</v>
      </c>
      <c r="E63" s="909"/>
      <c r="F63" s="310">
        <v>1</v>
      </c>
      <c r="G63" s="312">
        <v>1</v>
      </c>
      <c r="H63" s="884">
        <f t="shared" si="4"/>
        <v>100</v>
      </c>
    </row>
    <row r="64" spans="1:11" s="875" customFormat="1" ht="14.25" x14ac:dyDescent="0.2">
      <c r="A64" s="34"/>
      <c r="B64" s="1898"/>
      <c r="C64" s="3071"/>
      <c r="D64" s="3073"/>
      <c r="E64" s="909"/>
      <c r="F64" s="310"/>
      <c r="G64" s="312"/>
      <c r="H64" s="884"/>
    </row>
    <row r="65" spans="1:8" s="875" customFormat="1" ht="15" x14ac:dyDescent="0.25">
      <c r="A65" s="34">
        <v>6115</v>
      </c>
      <c r="B65" s="1897">
        <v>5139</v>
      </c>
      <c r="C65" s="888"/>
      <c r="D65" s="876" t="s">
        <v>272</v>
      </c>
      <c r="E65" s="909"/>
      <c r="F65" s="309">
        <v>1</v>
      </c>
      <c r="G65" s="311">
        <v>1</v>
      </c>
      <c r="H65" s="200">
        <f t="shared" si="4"/>
        <v>100</v>
      </c>
    </row>
    <row r="66" spans="1:8" s="875" customFormat="1" ht="14.25" customHeight="1" x14ac:dyDescent="0.2">
      <c r="A66" s="34"/>
      <c r="B66" s="1898"/>
      <c r="C66" s="3070" t="s">
        <v>1765</v>
      </c>
      <c r="D66" s="3072" t="s">
        <v>1608</v>
      </c>
      <c r="E66" s="909"/>
      <c r="F66" s="310">
        <v>1</v>
      </c>
      <c r="G66" s="312">
        <v>1</v>
      </c>
      <c r="H66" s="884">
        <f t="shared" si="4"/>
        <v>100</v>
      </c>
    </row>
    <row r="67" spans="1:8" s="875" customFormat="1" ht="14.25" customHeight="1" x14ac:dyDescent="0.2">
      <c r="A67" s="34"/>
      <c r="B67" s="1898"/>
      <c r="C67" s="3071"/>
      <c r="D67" s="3073"/>
      <c r="E67" s="909"/>
      <c r="F67" s="310"/>
      <c r="G67" s="312"/>
      <c r="H67" s="884"/>
    </row>
    <row r="68" spans="1:8" s="875" customFormat="1" ht="15" x14ac:dyDescent="0.25">
      <c r="A68" s="34">
        <v>6115</v>
      </c>
      <c r="B68" s="1898">
        <v>5156</v>
      </c>
      <c r="C68" s="888"/>
      <c r="D68" s="876" t="s">
        <v>275</v>
      </c>
      <c r="E68" s="909"/>
      <c r="F68" s="309">
        <v>3</v>
      </c>
      <c r="G68" s="311">
        <v>3</v>
      </c>
      <c r="H68" s="200">
        <f t="shared" si="4"/>
        <v>100</v>
      </c>
    </row>
    <row r="69" spans="1:8" s="875" customFormat="1" ht="15" customHeight="1" x14ac:dyDescent="0.2">
      <c r="A69" s="34"/>
      <c r="B69" s="1898"/>
      <c r="C69" s="3070" t="s">
        <v>1765</v>
      </c>
      <c r="D69" s="3072" t="s">
        <v>1608</v>
      </c>
      <c r="E69" s="909"/>
      <c r="F69" s="310">
        <v>3</v>
      </c>
      <c r="G69" s="312">
        <v>3</v>
      </c>
      <c r="H69" s="884">
        <f t="shared" si="4"/>
        <v>100</v>
      </c>
    </row>
    <row r="70" spans="1:8" s="875" customFormat="1" ht="15" thickBot="1" x14ac:dyDescent="0.25">
      <c r="A70" s="911"/>
      <c r="B70" s="2907"/>
      <c r="C70" s="3074"/>
      <c r="D70" s="3075"/>
      <c r="E70" s="2908"/>
      <c r="F70" s="428"/>
      <c r="G70" s="429"/>
      <c r="H70" s="1093"/>
    </row>
    <row r="71" spans="1:8" s="875" customFormat="1" ht="15.75" thickTop="1" x14ac:dyDescent="0.25">
      <c r="A71" s="34">
        <v>6115</v>
      </c>
      <c r="B71" s="1898">
        <v>5169</v>
      </c>
      <c r="C71" s="1662"/>
      <c r="D71" s="876" t="s">
        <v>1037</v>
      </c>
      <c r="E71" s="909"/>
      <c r="F71" s="311">
        <v>15</v>
      </c>
      <c r="G71" s="311">
        <v>0</v>
      </c>
      <c r="H71" s="200">
        <f t="shared" si="4"/>
        <v>0</v>
      </c>
    </row>
    <row r="72" spans="1:8" s="875" customFormat="1" ht="25.5" x14ac:dyDescent="0.2">
      <c r="A72" s="34"/>
      <c r="B72" s="1898"/>
      <c r="C72" s="1137" t="s">
        <v>1765</v>
      </c>
      <c r="D72" s="1914" t="s">
        <v>1608</v>
      </c>
      <c r="E72" s="909"/>
      <c r="F72" s="1090">
        <v>15</v>
      </c>
      <c r="G72" s="1089">
        <v>0</v>
      </c>
      <c r="H72" s="1106">
        <v>0</v>
      </c>
    </row>
    <row r="73" spans="1:8" s="875" customFormat="1" ht="15" x14ac:dyDescent="0.25">
      <c r="A73" s="34">
        <v>6172</v>
      </c>
      <c r="B73" s="1897">
        <v>5011</v>
      </c>
      <c r="C73" s="886"/>
      <c r="D73" s="876" t="s">
        <v>189</v>
      </c>
      <c r="E73" s="48">
        <f>E74</f>
        <v>180000</v>
      </c>
      <c r="F73" s="433">
        <f>F74+F75+F77+F78+F79+F80+F81+F76</f>
        <v>185578</v>
      </c>
      <c r="G73" s="433">
        <f>G74+G75+G77+G78+G79+G80+G81+G76</f>
        <v>182849</v>
      </c>
      <c r="H73" s="881">
        <f>(G73/F73)*100</f>
        <v>98.529459310909701</v>
      </c>
    </row>
    <row r="74" spans="1:8" s="875" customFormat="1" ht="14.25" x14ac:dyDescent="0.2">
      <c r="A74" s="34"/>
      <c r="B74" s="1897"/>
      <c r="C74" s="888" t="s">
        <v>1760</v>
      </c>
      <c r="D74" s="882" t="s">
        <v>1127</v>
      </c>
      <c r="E74" s="55">
        <v>180000</v>
      </c>
      <c r="F74" s="310">
        <v>183918</v>
      </c>
      <c r="G74" s="312">
        <v>181441</v>
      </c>
      <c r="H74" s="884">
        <f t="shared" ref="H74:H87" si="5">(G74/F74)*100</f>
        <v>98.653204145325631</v>
      </c>
    </row>
    <row r="75" spans="1:8" s="875" customFormat="1" ht="14.25" x14ac:dyDescent="0.2">
      <c r="A75" s="34"/>
      <c r="B75" s="1897"/>
      <c r="C75" s="888" t="s">
        <v>1766</v>
      </c>
      <c r="D75" s="883" t="s">
        <v>733</v>
      </c>
      <c r="E75" s="55"/>
      <c r="F75" s="310">
        <v>317</v>
      </c>
      <c r="G75" s="312">
        <v>317</v>
      </c>
      <c r="H75" s="884">
        <f t="shared" si="5"/>
        <v>100</v>
      </c>
    </row>
    <row r="76" spans="1:8" s="875" customFormat="1" ht="14.25" x14ac:dyDescent="0.2">
      <c r="A76" s="34"/>
      <c r="B76" s="1897"/>
      <c r="C76" s="888" t="s">
        <v>1767</v>
      </c>
      <c r="D76" s="883" t="s">
        <v>1782</v>
      </c>
      <c r="E76" s="55"/>
      <c r="F76" s="310">
        <v>711</v>
      </c>
      <c r="G76" s="312">
        <v>711</v>
      </c>
      <c r="H76" s="884">
        <f t="shared" si="5"/>
        <v>100</v>
      </c>
    </row>
    <row r="77" spans="1:8" s="875" customFormat="1" ht="14.25" x14ac:dyDescent="0.2">
      <c r="A77" s="34"/>
      <c r="B77" s="1897"/>
      <c r="C77" s="888" t="s">
        <v>1768</v>
      </c>
      <c r="D77" s="883" t="s">
        <v>1609</v>
      </c>
      <c r="E77" s="55"/>
      <c r="F77" s="310">
        <v>52</v>
      </c>
      <c r="G77" s="312">
        <v>35</v>
      </c>
      <c r="H77" s="884">
        <f t="shared" si="5"/>
        <v>67.307692307692307</v>
      </c>
    </row>
    <row r="78" spans="1:8" s="875" customFormat="1" ht="14.25" x14ac:dyDescent="0.2">
      <c r="A78" s="34"/>
      <c r="B78" s="1897"/>
      <c r="C78" s="888" t="s">
        <v>1769</v>
      </c>
      <c r="D78" s="883" t="s">
        <v>1609</v>
      </c>
      <c r="E78" s="55"/>
      <c r="F78" s="310">
        <v>295</v>
      </c>
      <c r="G78" s="312">
        <v>198</v>
      </c>
      <c r="H78" s="884">
        <f t="shared" si="5"/>
        <v>67.118644067796609</v>
      </c>
    </row>
    <row r="79" spans="1:8" s="875" customFormat="1" ht="14.25" x14ac:dyDescent="0.2">
      <c r="A79" s="34"/>
      <c r="B79" s="1897"/>
      <c r="C79" s="888" t="s">
        <v>1770</v>
      </c>
      <c r="D79" s="1987" t="s">
        <v>1303</v>
      </c>
      <c r="E79" s="55"/>
      <c r="F79" s="310">
        <v>29</v>
      </c>
      <c r="G79" s="312">
        <v>15</v>
      </c>
      <c r="H79" s="884">
        <f t="shared" si="5"/>
        <v>51.724137931034484</v>
      </c>
    </row>
    <row r="80" spans="1:8" s="875" customFormat="1" ht="14.25" x14ac:dyDescent="0.2">
      <c r="A80" s="34"/>
      <c r="B80" s="1897"/>
      <c r="C80" s="888" t="s">
        <v>1771</v>
      </c>
      <c r="D80" s="1987" t="s">
        <v>1304</v>
      </c>
      <c r="E80" s="55"/>
      <c r="F80" s="310">
        <v>14</v>
      </c>
      <c r="G80" s="312">
        <v>7</v>
      </c>
      <c r="H80" s="884">
        <f t="shared" si="5"/>
        <v>50</v>
      </c>
    </row>
    <row r="81" spans="1:12" s="875" customFormat="1" ht="14.25" x14ac:dyDescent="0.2">
      <c r="A81" s="34"/>
      <c r="B81" s="1897"/>
      <c r="C81" s="888" t="s">
        <v>1772</v>
      </c>
      <c r="D81" s="118" t="s">
        <v>1305</v>
      </c>
      <c r="E81" s="55"/>
      <c r="F81" s="310">
        <v>242</v>
      </c>
      <c r="G81" s="312">
        <v>125</v>
      </c>
      <c r="H81" s="884">
        <f t="shared" si="5"/>
        <v>51.652892561983464</v>
      </c>
    </row>
    <row r="82" spans="1:12" s="875" customFormat="1" ht="15" x14ac:dyDescent="0.25">
      <c r="A82" s="34">
        <v>6172</v>
      </c>
      <c r="B82" s="1897">
        <v>5021</v>
      </c>
      <c r="C82" s="886"/>
      <c r="D82" s="876" t="s">
        <v>356</v>
      </c>
      <c r="E82" s="48">
        <v>1500</v>
      </c>
      <c r="F82" s="433">
        <f>F83+F84+F85</f>
        <v>1634</v>
      </c>
      <c r="G82" s="433">
        <f>G83+G84+G85</f>
        <v>1570</v>
      </c>
      <c r="H82" s="881">
        <f>(G82/F82)*100</f>
        <v>96.083231334149318</v>
      </c>
    </row>
    <row r="83" spans="1:12" s="875" customFormat="1" ht="14.25" x14ac:dyDescent="0.2">
      <c r="A83" s="34"/>
      <c r="B83" s="1897"/>
      <c r="C83" s="888" t="s">
        <v>1760</v>
      </c>
      <c r="D83" s="882" t="s">
        <v>1127</v>
      </c>
      <c r="E83" s="55">
        <v>1500</v>
      </c>
      <c r="F83" s="310">
        <v>1594</v>
      </c>
      <c r="G83" s="312">
        <v>1538</v>
      </c>
      <c r="H83" s="884">
        <f t="shared" si="5"/>
        <v>96.486825595984953</v>
      </c>
    </row>
    <row r="84" spans="1:12" s="875" customFormat="1" ht="14.25" x14ac:dyDescent="0.2">
      <c r="A84" s="34"/>
      <c r="B84" s="1897"/>
      <c r="C84" s="888" t="s">
        <v>1768</v>
      </c>
      <c r="D84" s="883" t="s">
        <v>1609</v>
      </c>
      <c r="E84" s="55"/>
      <c r="F84" s="310">
        <v>6</v>
      </c>
      <c r="G84" s="312">
        <v>5</v>
      </c>
      <c r="H84" s="884">
        <f t="shared" si="5"/>
        <v>83.333333333333343</v>
      </c>
    </row>
    <row r="85" spans="1:12" s="875" customFormat="1" ht="14.25" x14ac:dyDescent="0.2">
      <c r="A85" s="34"/>
      <c r="B85" s="1897"/>
      <c r="C85" s="888" t="s">
        <v>1769</v>
      </c>
      <c r="D85" s="883" t="s">
        <v>1609</v>
      </c>
      <c r="E85" s="55"/>
      <c r="F85" s="310">
        <v>34</v>
      </c>
      <c r="G85" s="312">
        <v>27</v>
      </c>
      <c r="H85" s="884">
        <f t="shared" si="5"/>
        <v>79.411764705882348</v>
      </c>
    </row>
    <row r="86" spans="1:12" s="875" customFormat="1" ht="15" x14ac:dyDescent="0.25">
      <c r="A86" s="34">
        <v>6172</v>
      </c>
      <c r="B86" s="1897">
        <v>5024</v>
      </c>
      <c r="C86" s="1343"/>
      <c r="D86" s="894" t="s">
        <v>1610</v>
      </c>
      <c r="E86" s="48"/>
      <c r="F86" s="309">
        <v>864</v>
      </c>
      <c r="G86" s="311">
        <v>686</v>
      </c>
      <c r="H86" s="200">
        <f t="shared" si="5"/>
        <v>79.398148148148152</v>
      </c>
      <c r="J86" s="1926"/>
    </row>
    <row r="87" spans="1:12" s="875" customFormat="1" ht="15" x14ac:dyDescent="0.25">
      <c r="A87" s="34">
        <v>6172</v>
      </c>
      <c r="B87" s="1897">
        <v>5029</v>
      </c>
      <c r="C87" s="888"/>
      <c r="D87" s="876" t="s">
        <v>442</v>
      </c>
      <c r="E87" s="48">
        <v>100</v>
      </c>
      <c r="F87" s="166">
        <v>71</v>
      </c>
      <c r="G87" s="311">
        <v>0</v>
      </c>
      <c r="H87" s="881">
        <f t="shared" si="5"/>
        <v>0</v>
      </c>
      <c r="J87" s="374">
        <f>E73+E82+E87+E52+E47+E45+E36+E34+E31+E28+E26+E21+E18+E17+E16+E14</f>
        <v>195291</v>
      </c>
      <c r="K87" s="1927">
        <f>+F55+F58+F62+F63+F65+F68+F71+F73+F82+F86+F87+F53+F52+F50+F47+F45+F42+F40+F38+F36+F34+F31+F28+F27+F26+F25+F24+F21+F18+F17+F16+F14+F12+F10</f>
        <v>203873</v>
      </c>
      <c r="L87" s="1927">
        <f>+G55+G58+G62+G65+G68+G71+G73+G82+G86+G87+G53+G52+G50+G47+G45+G42+G40+G38+G36+G34+G31+G28+G27+G26+G25+G24+G21+G18+G17+G16+G14+G12+G10</f>
        <v>197216</v>
      </c>
    </row>
    <row r="88" spans="1:12" s="875" customFormat="1" ht="15" x14ac:dyDescent="0.25">
      <c r="A88" s="34">
        <v>6172</v>
      </c>
      <c r="B88" s="1897">
        <v>5031</v>
      </c>
      <c r="C88" s="888"/>
      <c r="D88" s="876" t="s">
        <v>217</v>
      </c>
      <c r="E88" s="48">
        <f>E90</f>
        <v>45000</v>
      </c>
      <c r="F88" s="433">
        <f>F90+F91+F93+F94+F92+F95+F96+F97</f>
        <v>46655</v>
      </c>
      <c r="G88" s="433">
        <f>G90+G91+G93+G94+G92+G95+G96+G97</f>
        <v>46064</v>
      </c>
      <c r="H88" s="881">
        <f>(G88/F88)*100</f>
        <v>98.733254742256989</v>
      </c>
    </row>
    <row r="89" spans="1:12" s="875" customFormat="1" ht="15" x14ac:dyDescent="0.25">
      <c r="A89" s="34"/>
      <c r="B89" s="1897"/>
      <c r="C89" s="888"/>
      <c r="D89" s="876" t="s">
        <v>656</v>
      </c>
      <c r="E89" s="48"/>
      <c r="F89" s="166"/>
      <c r="G89" s="312"/>
      <c r="H89" s="881"/>
    </row>
    <row r="90" spans="1:12" s="875" customFormat="1" ht="14.25" x14ac:dyDescent="0.2">
      <c r="A90" s="34"/>
      <c r="B90" s="1897"/>
      <c r="C90" s="888" t="s">
        <v>1760</v>
      </c>
      <c r="D90" s="882" t="s">
        <v>1127</v>
      </c>
      <c r="E90" s="55">
        <v>45000</v>
      </c>
      <c r="F90" s="310">
        <v>46187</v>
      </c>
      <c r="G90" s="312">
        <v>45704</v>
      </c>
      <c r="H90" s="884">
        <f t="shared" ref="H90:H106" si="6">(G90/F90)*100</f>
        <v>98.954251196224035</v>
      </c>
    </row>
    <row r="91" spans="1:12" s="875" customFormat="1" ht="14.25" x14ac:dyDescent="0.2">
      <c r="A91" s="34"/>
      <c r="B91" s="1897"/>
      <c r="C91" s="888" t="s">
        <v>1766</v>
      </c>
      <c r="D91" s="883" t="s">
        <v>733</v>
      </c>
      <c r="E91" s="55"/>
      <c r="F91" s="310">
        <v>79</v>
      </c>
      <c r="G91" s="312">
        <v>79</v>
      </c>
      <c r="H91" s="884">
        <f t="shared" si="6"/>
        <v>100</v>
      </c>
    </row>
    <row r="92" spans="1:12" s="875" customFormat="1" ht="14.25" x14ac:dyDescent="0.2">
      <c r="A92" s="34"/>
      <c r="B92" s="1897"/>
      <c r="C92" s="888" t="s">
        <v>1767</v>
      </c>
      <c r="D92" s="883" t="s">
        <v>1782</v>
      </c>
      <c r="E92" s="55"/>
      <c r="F92" s="310">
        <v>178</v>
      </c>
      <c r="G92" s="312">
        <v>178</v>
      </c>
      <c r="H92" s="884">
        <f t="shared" si="6"/>
        <v>100</v>
      </c>
    </row>
    <row r="93" spans="1:12" s="875" customFormat="1" ht="14.25" x14ac:dyDescent="0.2">
      <c r="A93" s="34"/>
      <c r="B93" s="1897"/>
      <c r="C93" s="888" t="s">
        <v>1768</v>
      </c>
      <c r="D93" s="883" t="s">
        <v>1609</v>
      </c>
      <c r="E93" s="55"/>
      <c r="F93" s="310">
        <v>21</v>
      </c>
      <c r="G93" s="312">
        <v>10</v>
      </c>
      <c r="H93" s="884">
        <f t="shared" si="6"/>
        <v>47.619047619047613</v>
      </c>
    </row>
    <row r="94" spans="1:12" s="875" customFormat="1" ht="14.25" x14ac:dyDescent="0.2">
      <c r="A94" s="34"/>
      <c r="B94" s="1897"/>
      <c r="C94" s="888" t="s">
        <v>1769</v>
      </c>
      <c r="D94" s="883" t="s">
        <v>1609</v>
      </c>
      <c r="E94" s="55"/>
      <c r="F94" s="310">
        <v>118</v>
      </c>
      <c r="G94" s="312">
        <v>56</v>
      </c>
      <c r="H94" s="884">
        <f t="shared" si="6"/>
        <v>47.457627118644069</v>
      </c>
    </row>
    <row r="95" spans="1:12" s="875" customFormat="1" ht="14.25" x14ac:dyDescent="0.2">
      <c r="A95" s="34"/>
      <c r="B95" s="1897"/>
      <c r="C95" s="888" t="s">
        <v>1770</v>
      </c>
      <c r="D95" s="1987" t="s">
        <v>1303</v>
      </c>
      <c r="E95" s="55"/>
      <c r="F95" s="310">
        <v>7</v>
      </c>
      <c r="G95" s="312">
        <v>4</v>
      </c>
      <c r="H95" s="884">
        <f t="shared" si="6"/>
        <v>57.142857142857139</v>
      </c>
    </row>
    <row r="96" spans="1:12" s="875" customFormat="1" ht="14.25" x14ac:dyDescent="0.2">
      <c r="A96" s="34"/>
      <c r="B96" s="1897"/>
      <c r="C96" s="888" t="s">
        <v>1771</v>
      </c>
      <c r="D96" s="1987" t="s">
        <v>1304</v>
      </c>
      <c r="E96" s="55"/>
      <c r="F96" s="310">
        <v>4</v>
      </c>
      <c r="G96" s="312">
        <v>2</v>
      </c>
      <c r="H96" s="884">
        <f t="shared" si="6"/>
        <v>50</v>
      </c>
    </row>
    <row r="97" spans="1:8" s="875" customFormat="1" ht="14.25" x14ac:dyDescent="0.2">
      <c r="A97" s="34"/>
      <c r="B97" s="1897"/>
      <c r="C97" s="888" t="s">
        <v>1772</v>
      </c>
      <c r="D97" s="118" t="s">
        <v>1305</v>
      </c>
      <c r="E97" s="55"/>
      <c r="F97" s="310">
        <v>61</v>
      </c>
      <c r="G97" s="312">
        <v>31</v>
      </c>
      <c r="H97" s="884">
        <f t="shared" si="6"/>
        <v>50.819672131147541</v>
      </c>
    </row>
    <row r="98" spans="1:8" s="875" customFormat="1" ht="15" x14ac:dyDescent="0.25">
      <c r="A98" s="34">
        <v>6172</v>
      </c>
      <c r="B98" s="1897">
        <v>5032</v>
      </c>
      <c r="C98" s="888"/>
      <c r="D98" s="876" t="s">
        <v>218</v>
      </c>
      <c r="E98" s="48">
        <f>E99</f>
        <v>16200</v>
      </c>
      <c r="F98" s="433">
        <f>F99+F100+F101+F102+F103+F104+F105+F106</f>
        <v>16832</v>
      </c>
      <c r="G98" s="433">
        <f>G99+G100+G101+G102+G103+G104+G105+G106</f>
        <v>16572</v>
      </c>
      <c r="H98" s="881">
        <f>(G98/F98)*100</f>
        <v>98.455323193916357</v>
      </c>
    </row>
    <row r="99" spans="1:8" s="875" customFormat="1" ht="14.25" x14ac:dyDescent="0.2">
      <c r="A99" s="34"/>
      <c r="B99" s="1897"/>
      <c r="C99" s="888" t="s">
        <v>1760</v>
      </c>
      <c r="D99" s="882" t="s">
        <v>1127</v>
      </c>
      <c r="E99" s="55">
        <v>16200</v>
      </c>
      <c r="F99" s="310">
        <v>16630</v>
      </c>
      <c r="G99" s="312">
        <v>16442</v>
      </c>
      <c r="H99" s="884">
        <f t="shared" si="6"/>
        <v>98.869512928442575</v>
      </c>
    </row>
    <row r="100" spans="1:8" s="875" customFormat="1" ht="14.25" x14ac:dyDescent="0.2">
      <c r="A100" s="34"/>
      <c r="B100" s="1897"/>
      <c r="C100" s="888" t="s">
        <v>1766</v>
      </c>
      <c r="D100" s="883" t="s">
        <v>733</v>
      </c>
      <c r="E100" s="55"/>
      <c r="F100" s="310">
        <v>29</v>
      </c>
      <c r="G100" s="312">
        <v>29</v>
      </c>
      <c r="H100" s="884">
        <f t="shared" si="6"/>
        <v>100</v>
      </c>
    </row>
    <row r="101" spans="1:8" s="875" customFormat="1" ht="14.25" x14ac:dyDescent="0.2">
      <c r="A101" s="34"/>
      <c r="B101" s="1897"/>
      <c r="C101" s="888" t="s">
        <v>1767</v>
      </c>
      <c r="D101" s="883" t="s">
        <v>1782</v>
      </c>
      <c r="E101" s="55"/>
      <c r="F101" s="310">
        <v>65</v>
      </c>
      <c r="G101" s="312">
        <v>64</v>
      </c>
      <c r="H101" s="884">
        <f t="shared" si="6"/>
        <v>98.461538461538467</v>
      </c>
    </row>
    <row r="102" spans="1:8" s="875" customFormat="1" ht="14.25" x14ac:dyDescent="0.2">
      <c r="A102" s="34"/>
      <c r="B102" s="1897"/>
      <c r="C102" s="888" t="s">
        <v>1768</v>
      </c>
      <c r="D102" s="883" t="s">
        <v>1609</v>
      </c>
      <c r="E102" s="55"/>
      <c r="F102" s="310">
        <v>12</v>
      </c>
      <c r="G102" s="312">
        <v>4</v>
      </c>
      <c r="H102" s="884">
        <f t="shared" si="6"/>
        <v>33.333333333333329</v>
      </c>
    </row>
    <row r="103" spans="1:8" s="875" customFormat="1" ht="14.25" x14ac:dyDescent="0.2">
      <c r="A103" s="34"/>
      <c r="B103" s="1897"/>
      <c r="C103" s="888" t="s">
        <v>1769</v>
      </c>
      <c r="D103" s="883" t="s">
        <v>1609</v>
      </c>
      <c r="E103" s="55"/>
      <c r="F103" s="310">
        <v>70</v>
      </c>
      <c r="G103" s="312">
        <v>20</v>
      </c>
      <c r="H103" s="884">
        <f t="shared" si="6"/>
        <v>28.571428571428569</v>
      </c>
    </row>
    <row r="104" spans="1:8" s="875" customFormat="1" ht="14.25" x14ac:dyDescent="0.2">
      <c r="A104" s="34"/>
      <c r="B104" s="1897"/>
      <c r="C104" s="888" t="s">
        <v>1770</v>
      </c>
      <c r="D104" s="1987" t="s">
        <v>1303</v>
      </c>
      <c r="E104" s="55"/>
      <c r="F104" s="310">
        <v>3</v>
      </c>
      <c r="G104" s="312">
        <v>1</v>
      </c>
      <c r="H104" s="884">
        <f t="shared" si="6"/>
        <v>33.333333333333329</v>
      </c>
    </row>
    <row r="105" spans="1:8" s="875" customFormat="1" ht="14.25" x14ac:dyDescent="0.2">
      <c r="A105" s="34"/>
      <c r="B105" s="1897"/>
      <c r="C105" s="888" t="s">
        <v>1771</v>
      </c>
      <c r="D105" s="1987" t="s">
        <v>1304</v>
      </c>
      <c r="E105" s="55"/>
      <c r="F105" s="310">
        <v>1</v>
      </c>
      <c r="G105" s="312">
        <v>1</v>
      </c>
      <c r="H105" s="884">
        <f t="shared" si="6"/>
        <v>100</v>
      </c>
    </row>
    <row r="106" spans="1:8" s="875" customFormat="1" ht="14.25" x14ac:dyDescent="0.2">
      <c r="A106" s="34"/>
      <c r="B106" s="1897"/>
      <c r="C106" s="888" t="s">
        <v>1772</v>
      </c>
      <c r="D106" s="118" t="s">
        <v>1305</v>
      </c>
      <c r="E106" s="55"/>
      <c r="F106" s="310">
        <v>22</v>
      </c>
      <c r="G106" s="312">
        <v>11</v>
      </c>
      <c r="H106" s="884">
        <f t="shared" si="6"/>
        <v>50</v>
      </c>
    </row>
    <row r="107" spans="1:8" s="875" customFormat="1" ht="15" x14ac:dyDescent="0.25">
      <c r="A107" s="34">
        <v>6172</v>
      </c>
      <c r="B107" s="1897">
        <v>5038</v>
      </c>
      <c r="C107" s="888"/>
      <c r="D107" s="876" t="s">
        <v>999</v>
      </c>
      <c r="E107" s="48">
        <v>800</v>
      </c>
      <c r="F107" s="433">
        <v>829</v>
      </c>
      <c r="G107" s="433">
        <v>829</v>
      </c>
      <c r="H107" s="881">
        <f>(G107/F107)*100</f>
        <v>100</v>
      </c>
    </row>
    <row r="108" spans="1:8" s="875" customFormat="1" ht="15" x14ac:dyDescent="0.25">
      <c r="A108" s="34">
        <v>6172</v>
      </c>
      <c r="B108" s="1897">
        <v>5039</v>
      </c>
      <c r="C108" s="888"/>
      <c r="D108" s="876" t="s">
        <v>1104</v>
      </c>
      <c r="E108" s="48">
        <v>50</v>
      </c>
      <c r="F108" s="166">
        <v>50</v>
      </c>
      <c r="G108" s="311">
        <v>0</v>
      </c>
      <c r="H108" s="881">
        <v>0</v>
      </c>
    </row>
    <row r="109" spans="1:8" s="875" customFormat="1" ht="15" x14ac:dyDescent="0.25">
      <c r="A109" s="34">
        <v>6172</v>
      </c>
      <c r="B109" s="1897">
        <v>5132</v>
      </c>
      <c r="C109" s="888"/>
      <c r="D109" s="876" t="s">
        <v>1611</v>
      </c>
      <c r="E109" s="48">
        <v>40</v>
      </c>
      <c r="F109" s="166">
        <v>91</v>
      </c>
      <c r="G109" s="311">
        <v>77</v>
      </c>
      <c r="H109" s="881">
        <f>(G109/F109)*100</f>
        <v>84.615384615384613</v>
      </c>
    </row>
    <row r="110" spans="1:8" s="875" customFormat="1" ht="15" x14ac:dyDescent="0.25">
      <c r="A110" s="34">
        <v>6172</v>
      </c>
      <c r="B110" s="1897">
        <v>5133</v>
      </c>
      <c r="C110" s="888"/>
      <c r="D110" s="876" t="s">
        <v>1773</v>
      </c>
      <c r="E110" s="48">
        <v>20</v>
      </c>
      <c r="F110" s="166">
        <v>13</v>
      </c>
      <c r="G110" s="311">
        <v>9</v>
      </c>
      <c r="H110" s="881">
        <f>(G110/F110)*100</f>
        <v>69.230769230769226</v>
      </c>
    </row>
    <row r="111" spans="1:8" s="875" customFormat="1" ht="15" x14ac:dyDescent="0.25">
      <c r="A111" s="34">
        <v>6172</v>
      </c>
      <c r="B111" s="1897">
        <v>5136</v>
      </c>
      <c r="C111" s="888"/>
      <c r="D111" s="876" t="s">
        <v>219</v>
      </c>
      <c r="E111" s="48">
        <v>500</v>
      </c>
      <c r="F111" s="166">
        <f>F112+F113</f>
        <v>376</v>
      </c>
      <c r="G111" s="311">
        <f>G112+G113</f>
        <v>335</v>
      </c>
      <c r="H111" s="881">
        <f t="shared" ref="H111:H124" si="7">(G111/F111)*100</f>
        <v>89.09574468085107</v>
      </c>
    </row>
    <row r="112" spans="1:8" s="875" customFormat="1" ht="14.25" x14ac:dyDescent="0.2">
      <c r="A112" s="34"/>
      <c r="B112" s="1897"/>
      <c r="C112" s="888" t="s">
        <v>1760</v>
      </c>
      <c r="D112" s="882" t="s">
        <v>1127</v>
      </c>
      <c r="E112" s="55">
        <v>500</v>
      </c>
      <c r="F112" s="310">
        <v>365</v>
      </c>
      <c r="G112" s="312">
        <v>326</v>
      </c>
      <c r="H112" s="884">
        <f t="shared" si="7"/>
        <v>89.31506849315069</v>
      </c>
    </row>
    <row r="113" spans="1:12" s="875" customFormat="1" ht="14.25" x14ac:dyDescent="0.2">
      <c r="A113" s="34"/>
      <c r="B113" s="1899"/>
      <c r="C113" s="888" t="s">
        <v>1767</v>
      </c>
      <c r="D113" s="883" t="s">
        <v>1782</v>
      </c>
      <c r="E113" s="55"/>
      <c r="F113" s="310">
        <v>11</v>
      </c>
      <c r="G113" s="312">
        <v>9</v>
      </c>
      <c r="H113" s="884">
        <f t="shared" si="7"/>
        <v>81.818181818181827</v>
      </c>
    </row>
    <row r="114" spans="1:12" s="875" customFormat="1" ht="15" x14ac:dyDescent="0.25">
      <c r="A114" s="34">
        <v>6172</v>
      </c>
      <c r="B114" s="1897">
        <v>5137</v>
      </c>
      <c r="C114" s="888"/>
      <c r="D114" s="876" t="s">
        <v>142</v>
      </c>
      <c r="E114" s="48">
        <v>500</v>
      </c>
      <c r="F114" s="166">
        <f>F115+F116</f>
        <v>1614</v>
      </c>
      <c r="G114" s="311">
        <f>G115+G116</f>
        <v>1540</v>
      </c>
      <c r="H114" s="881">
        <f t="shared" si="7"/>
        <v>95.415117719950445</v>
      </c>
    </row>
    <row r="115" spans="1:12" s="875" customFormat="1" ht="14.25" x14ac:dyDescent="0.2">
      <c r="A115" s="34"/>
      <c r="B115" s="1897"/>
      <c r="C115" s="888" t="s">
        <v>1760</v>
      </c>
      <c r="D115" s="882" t="s">
        <v>1127</v>
      </c>
      <c r="E115" s="55">
        <v>500</v>
      </c>
      <c r="F115" s="310">
        <v>1564</v>
      </c>
      <c r="G115" s="312">
        <v>1496</v>
      </c>
      <c r="H115" s="884">
        <f t="shared" si="7"/>
        <v>95.652173913043484</v>
      </c>
    </row>
    <row r="116" spans="1:12" s="875" customFormat="1" ht="14.25" x14ac:dyDescent="0.2">
      <c r="A116" s="34"/>
      <c r="B116" s="1897"/>
      <c r="C116" s="888" t="s">
        <v>1767</v>
      </c>
      <c r="D116" s="883" t="s">
        <v>1782</v>
      </c>
      <c r="E116" s="55"/>
      <c r="F116" s="310">
        <v>50</v>
      </c>
      <c r="G116" s="312">
        <v>44</v>
      </c>
      <c r="H116" s="884">
        <f t="shared" si="7"/>
        <v>88</v>
      </c>
    </row>
    <row r="117" spans="1:12" s="875" customFormat="1" ht="15" x14ac:dyDescent="0.25">
      <c r="A117" s="34">
        <v>6172</v>
      </c>
      <c r="B117" s="1897">
        <v>5139</v>
      </c>
      <c r="C117" s="888"/>
      <c r="D117" s="876" t="s">
        <v>272</v>
      </c>
      <c r="E117" s="48">
        <v>2400</v>
      </c>
      <c r="F117" s="433">
        <v>2536</v>
      </c>
      <c r="G117" s="433">
        <v>2173</v>
      </c>
      <c r="H117" s="881">
        <f t="shared" si="7"/>
        <v>85.686119873817034</v>
      </c>
    </row>
    <row r="118" spans="1:12" s="875" customFormat="1" ht="15" x14ac:dyDescent="0.25">
      <c r="A118" s="34">
        <v>6172</v>
      </c>
      <c r="B118" s="1897">
        <v>5151</v>
      </c>
      <c r="C118" s="888"/>
      <c r="D118" s="876" t="s">
        <v>776</v>
      </c>
      <c r="E118" s="48">
        <v>440</v>
      </c>
      <c r="F118" s="166">
        <v>467</v>
      </c>
      <c r="G118" s="311">
        <v>384</v>
      </c>
      <c r="H118" s="881">
        <f t="shared" si="7"/>
        <v>82.226980728051387</v>
      </c>
    </row>
    <row r="119" spans="1:12" s="875" customFormat="1" ht="15" x14ac:dyDescent="0.25">
      <c r="A119" s="50">
        <v>6172</v>
      </c>
      <c r="B119" s="1899">
        <v>5152</v>
      </c>
      <c r="C119" s="888"/>
      <c r="D119" s="876" t="s">
        <v>779</v>
      </c>
      <c r="E119" s="48">
        <v>2605</v>
      </c>
      <c r="F119" s="166">
        <v>2671</v>
      </c>
      <c r="G119" s="311">
        <v>2608</v>
      </c>
      <c r="H119" s="881">
        <f t="shared" si="7"/>
        <v>97.641332834144507</v>
      </c>
      <c r="J119" s="907"/>
      <c r="K119" s="907"/>
      <c r="L119" s="907"/>
    </row>
    <row r="120" spans="1:12" s="875" customFormat="1" ht="15" x14ac:dyDescent="0.25">
      <c r="A120" s="50">
        <v>6172</v>
      </c>
      <c r="B120" s="1899">
        <v>5153</v>
      </c>
      <c r="C120" s="888"/>
      <c r="D120" s="876" t="s">
        <v>1100</v>
      </c>
      <c r="E120" s="48">
        <v>100</v>
      </c>
      <c r="F120" s="166">
        <v>100</v>
      </c>
      <c r="G120" s="311">
        <v>55</v>
      </c>
      <c r="H120" s="881">
        <f t="shared" si="7"/>
        <v>55.000000000000007</v>
      </c>
    </row>
    <row r="121" spans="1:12" s="875" customFormat="1" ht="15" x14ac:dyDescent="0.25">
      <c r="A121" s="50">
        <v>6172</v>
      </c>
      <c r="B121" s="1899">
        <v>5154</v>
      </c>
      <c r="C121" s="888"/>
      <c r="D121" s="876" t="s">
        <v>274</v>
      </c>
      <c r="E121" s="48">
        <v>3352</v>
      </c>
      <c r="F121" s="166">
        <v>3201</v>
      </c>
      <c r="G121" s="311">
        <v>2733</v>
      </c>
      <c r="H121" s="881">
        <f t="shared" si="7"/>
        <v>85.379568884723525</v>
      </c>
    </row>
    <row r="122" spans="1:12" s="875" customFormat="1" ht="15" x14ac:dyDescent="0.25">
      <c r="A122" s="50">
        <v>6172</v>
      </c>
      <c r="B122" s="1899">
        <v>5156</v>
      </c>
      <c r="C122" s="888"/>
      <c r="D122" s="876" t="s">
        <v>275</v>
      </c>
      <c r="E122" s="48">
        <f>E123</f>
        <v>1200</v>
      </c>
      <c r="F122" s="433">
        <f>F123+F124</f>
        <v>1214</v>
      </c>
      <c r="G122" s="433">
        <f>G123+G124</f>
        <v>839</v>
      </c>
      <c r="H122" s="881">
        <f t="shared" si="7"/>
        <v>69.110378912685334</v>
      </c>
    </row>
    <row r="123" spans="1:12" s="875" customFormat="1" ht="14.25" x14ac:dyDescent="0.2">
      <c r="A123" s="50"/>
      <c r="B123" s="1899"/>
      <c r="C123" s="888" t="s">
        <v>1760</v>
      </c>
      <c r="D123" s="882" t="s">
        <v>1127</v>
      </c>
      <c r="E123" s="55">
        <v>1200</v>
      </c>
      <c r="F123" s="310">
        <v>1207</v>
      </c>
      <c r="G123" s="312">
        <v>837</v>
      </c>
      <c r="H123" s="884">
        <f t="shared" si="7"/>
        <v>69.345484672742344</v>
      </c>
    </row>
    <row r="124" spans="1:12" s="875" customFormat="1" ht="15" x14ac:dyDescent="0.25">
      <c r="A124" s="50"/>
      <c r="B124" s="1899"/>
      <c r="C124" s="888" t="s">
        <v>1767</v>
      </c>
      <c r="D124" s="883" t="s">
        <v>1782</v>
      </c>
      <c r="E124" s="48"/>
      <c r="F124" s="310">
        <v>7</v>
      </c>
      <c r="G124" s="312">
        <v>2</v>
      </c>
      <c r="H124" s="884">
        <f t="shared" si="7"/>
        <v>28.571428571428569</v>
      </c>
    </row>
    <row r="125" spans="1:12" s="875" customFormat="1" ht="15" x14ac:dyDescent="0.25">
      <c r="A125" s="34">
        <v>6172</v>
      </c>
      <c r="B125" s="1899">
        <v>5157</v>
      </c>
      <c r="C125" s="888"/>
      <c r="D125" s="876" t="s">
        <v>350</v>
      </c>
      <c r="E125" s="48">
        <v>150</v>
      </c>
      <c r="F125" s="166">
        <v>140</v>
      </c>
      <c r="G125" s="311">
        <v>140</v>
      </c>
      <c r="H125" s="881">
        <f t="shared" ref="H125:H131" si="8">(G125/F125)*100</f>
        <v>100</v>
      </c>
      <c r="J125" s="907"/>
      <c r="K125" s="907"/>
      <c r="L125" s="907"/>
    </row>
    <row r="126" spans="1:12" s="875" customFormat="1" ht="15" x14ac:dyDescent="0.25">
      <c r="A126" s="50">
        <v>6172</v>
      </c>
      <c r="B126" s="1899">
        <v>5159</v>
      </c>
      <c r="C126" s="888"/>
      <c r="D126" s="876" t="s">
        <v>443</v>
      </c>
      <c r="E126" s="48">
        <v>25</v>
      </c>
      <c r="F126" s="166">
        <v>25</v>
      </c>
      <c r="G126" s="311">
        <v>0</v>
      </c>
      <c r="H126" s="881">
        <f t="shared" si="8"/>
        <v>0</v>
      </c>
    </row>
    <row r="127" spans="1:12" s="875" customFormat="1" ht="15" x14ac:dyDescent="0.25">
      <c r="A127" s="50">
        <v>6172</v>
      </c>
      <c r="B127" s="1899">
        <v>5161</v>
      </c>
      <c r="C127" s="888"/>
      <c r="D127" s="1928" t="s">
        <v>1607</v>
      </c>
      <c r="E127" s="48">
        <v>1090</v>
      </c>
      <c r="F127" s="433">
        <v>1090</v>
      </c>
      <c r="G127" s="433">
        <v>1021</v>
      </c>
      <c r="H127" s="881">
        <f t="shared" si="8"/>
        <v>93.669724770642205</v>
      </c>
    </row>
    <row r="128" spans="1:12" s="875" customFormat="1" ht="15" x14ac:dyDescent="0.25">
      <c r="A128" s="50">
        <v>6172</v>
      </c>
      <c r="B128" s="1899">
        <v>5162</v>
      </c>
      <c r="C128" s="888"/>
      <c r="D128" s="876" t="s">
        <v>780</v>
      </c>
      <c r="E128" s="48">
        <v>1500</v>
      </c>
      <c r="F128" s="433">
        <f>F129+F130+F131</f>
        <v>1389</v>
      </c>
      <c r="G128" s="433">
        <f>G129+G130+G131</f>
        <v>1261</v>
      </c>
      <c r="H128" s="881">
        <f t="shared" si="8"/>
        <v>90.784737221022311</v>
      </c>
    </row>
    <row r="129" spans="1:12" s="875" customFormat="1" ht="14.25" x14ac:dyDescent="0.2">
      <c r="A129" s="50"/>
      <c r="B129" s="1899"/>
      <c r="C129" s="888" t="s">
        <v>1760</v>
      </c>
      <c r="D129" s="882" t="s">
        <v>1127</v>
      </c>
      <c r="E129" s="55">
        <v>1500</v>
      </c>
      <c r="F129" s="310">
        <v>1380</v>
      </c>
      <c r="G129" s="312">
        <v>1258</v>
      </c>
      <c r="H129" s="884">
        <f t="shared" si="8"/>
        <v>91.159420289855078</v>
      </c>
    </row>
    <row r="130" spans="1:12" s="875" customFormat="1" ht="15" x14ac:dyDescent="0.25">
      <c r="A130" s="50"/>
      <c r="B130" s="1899"/>
      <c r="C130" s="888" t="s">
        <v>1766</v>
      </c>
      <c r="D130" s="883" t="s">
        <v>733</v>
      </c>
      <c r="E130" s="48"/>
      <c r="F130" s="310">
        <v>4</v>
      </c>
      <c r="G130" s="312">
        <v>2</v>
      </c>
      <c r="H130" s="884">
        <f t="shared" si="8"/>
        <v>50</v>
      </c>
      <c r="J130" s="907"/>
    </row>
    <row r="131" spans="1:12" s="875" customFormat="1" ht="15" x14ac:dyDescent="0.25">
      <c r="A131" s="50"/>
      <c r="B131" s="1899"/>
      <c r="C131" s="888" t="s">
        <v>1767</v>
      </c>
      <c r="D131" s="883" t="s">
        <v>1782</v>
      </c>
      <c r="E131" s="48"/>
      <c r="F131" s="310">
        <v>5</v>
      </c>
      <c r="G131" s="312">
        <v>1</v>
      </c>
      <c r="H131" s="884">
        <f t="shared" si="8"/>
        <v>20</v>
      </c>
      <c r="J131" s="907"/>
    </row>
    <row r="132" spans="1:12" s="875" customFormat="1" ht="15.75" customHeight="1" x14ac:dyDescent="0.25">
      <c r="A132" s="50">
        <v>6172</v>
      </c>
      <c r="B132" s="1899">
        <v>5163</v>
      </c>
      <c r="C132" s="888"/>
      <c r="D132" s="876" t="s">
        <v>807</v>
      </c>
      <c r="E132" s="48">
        <f>E133+E134</f>
        <v>50</v>
      </c>
      <c r="F132" s="1344">
        <f>F133+F134</f>
        <v>55</v>
      </c>
      <c r="G132" s="433">
        <f>G133+G134</f>
        <v>10</v>
      </c>
      <c r="H132" s="881">
        <f>(G132/F132)*100</f>
        <v>18.181818181818183</v>
      </c>
      <c r="J132" s="907"/>
      <c r="K132" s="907"/>
      <c r="L132" s="907"/>
    </row>
    <row r="133" spans="1:12" s="875" customFormat="1" ht="15.75" customHeight="1" x14ac:dyDescent="0.2">
      <c r="A133" s="50"/>
      <c r="B133" s="1899"/>
      <c r="C133" s="888" t="s">
        <v>1760</v>
      </c>
      <c r="D133" s="882" t="s">
        <v>1127</v>
      </c>
      <c r="E133" s="55">
        <v>50</v>
      </c>
      <c r="F133" s="310">
        <v>50</v>
      </c>
      <c r="G133" s="312">
        <v>6</v>
      </c>
      <c r="H133" s="884">
        <f>(G133/F133)*100</f>
        <v>12</v>
      </c>
      <c r="J133" s="907"/>
      <c r="K133" s="907"/>
      <c r="L133" s="907"/>
    </row>
    <row r="134" spans="1:12" s="875" customFormat="1" ht="15.75" customHeight="1" x14ac:dyDescent="0.25">
      <c r="A134" s="50"/>
      <c r="B134" s="1899"/>
      <c r="C134" s="888" t="s">
        <v>1774</v>
      </c>
      <c r="D134" s="882" t="s">
        <v>1082</v>
      </c>
      <c r="E134" s="48"/>
      <c r="F134" s="310">
        <v>5</v>
      </c>
      <c r="G134" s="312">
        <v>4</v>
      </c>
      <c r="H134" s="884">
        <f>(G134/F134)*100</f>
        <v>80</v>
      </c>
      <c r="J134" s="907"/>
      <c r="K134" s="907"/>
      <c r="L134" s="907"/>
    </row>
    <row r="135" spans="1:12" s="875" customFormat="1" ht="15" x14ac:dyDescent="0.25">
      <c r="A135" s="50">
        <v>6172</v>
      </c>
      <c r="B135" s="1899">
        <v>5164</v>
      </c>
      <c r="C135" s="888"/>
      <c r="D135" s="876" t="s">
        <v>808</v>
      </c>
      <c r="E135" s="48">
        <f>E136+E137</f>
        <v>17291</v>
      </c>
      <c r="F135" s="433">
        <f>F136+F137+F138</f>
        <v>17391</v>
      </c>
      <c r="G135" s="433">
        <f>G136+G137+G138</f>
        <v>17095</v>
      </c>
      <c r="H135" s="881">
        <f t="shared" ref="H135:H151" si="9">(G135/F135)*100</f>
        <v>98.297970214478752</v>
      </c>
    </row>
    <row r="136" spans="1:12" s="875" customFormat="1" ht="14.25" x14ac:dyDescent="0.2">
      <c r="A136" s="50"/>
      <c r="B136" s="1899"/>
      <c r="C136" s="888" t="s">
        <v>1760</v>
      </c>
      <c r="D136" s="882" t="s">
        <v>1127</v>
      </c>
      <c r="E136" s="55">
        <v>16911</v>
      </c>
      <c r="F136" s="310">
        <v>16701</v>
      </c>
      <c r="G136" s="312">
        <v>16523</v>
      </c>
      <c r="H136" s="884">
        <f t="shared" si="9"/>
        <v>98.934195557152265</v>
      </c>
    </row>
    <row r="137" spans="1:12" s="875" customFormat="1" ht="14.25" x14ac:dyDescent="0.2">
      <c r="A137" s="50"/>
      <c r="B137" s="1899"/>
      <c r="C137" s="888" t="s">
        <v>1081</v>
      </c>
      <c r="D137" s="882" t="s">
        <v>1082</v>
      </c>
      <c r="E137" s="55">
        <v>380</v>
      </c>
      <c r="F137" s="310">
        <v>497</v>
      </c>
      <c r="G137" s="312">
        <v>497</v>
      </c>
      <c r="H137" s="884">
        <f t="shared" si="9"/>
        <v>100</v>
      </c>
    </row>
    <row r="138" spans="1:12" s="882" customFormat="1" ht="15" thickBot="1" x14ac:dyDescent="0.25">
      <c r="A138" s="895"/>
      <c r="B138" s="1900"/>
      <c r="C138" s="900" t="s">
        <v>1767</v>
      </c>
      <c r="D138" s="2909" t="s">
        <v>1782</v>
      </c>
      <c r="E138" s="914"/>
      <c r="F138" s="428">
        <v>193</v>
      </c>
      <c r="G138" s="429">
        <v>75</v>
      </c>
      <c r="H138" s="1093">
        <f t="shared" si="9"/>
        <v>38.860103626943001</v>
      </c>
    </row>
    <row r="139" spans="1:12" s="875" customFormat="1" ht="15.75" thickTop="1" x14ac:dyDescent="0.25">
      <c r="A139" s="50">
        <v>6172</v>
      </c>
      <c r="B139" s="1899">
        <v>5166</v>
      </c>
      <c r="C139" s="888"/>
      <c r="D139" s="127" t="s">
        <v>553</v>
      </c>
      <c r="E139" s="60">
        <v>110</v>
      </c>
      <c r="F139" s="309">
        <v>969</v>
      </c>
      <c r="G139" s="311">
        <v>8</v>
      </c>
      <c r="H139" s="881">
        <f t="shared" si="9"/>
        <v>0.82559339525283792</v>
      </c>
    </row>
    <row r="140" spans="1:12" s="875" customFormat="1" ht="15" x14ac:dyDescent="0.25">
      <c r="A140" s="50">
        <v>6172</v>
      </c>
      <c r="B140" s="1899">
        <v>5167</v>
      </c>
      <c r="C140" s="888"/>
      <c r="D140" s="876" t="s">
        <v>810</v>
      </c>
      <c r="E140" s="48">
        <f>E141+E142</f>
        <v>2000</v>
      </c>
      <c r="F140" s="166">
        <f>F141+F142</f>
        <v>1872</v>
      </c>
      <c r="G140" s="311">
        <f>G141+G142</f>
        <v>1515</v>
      </c>
      <c r="H140" s="881">
        <f t="shared" si="9"/>
        <v>80.929487179487182</v>
      </c>
    </row>
    <row r="141" spans="1:12" s="875" customFormat="1" ht="14.25" x14ac:dyDescent="0.2">
      <c r="A141" s="50"/>
      <c r="B141" s="1899"/>
      <c r="C141" s="888" t="s">
        <v>1760</v>
      </c>
      <c r="D141" s="882" t="s">
        <v>1127</v>
      </c>
      <c r="E141" s="55">
        <v>2000</v>
      </c>
      <c r="F141" s="310">
        <v>1842</v>
      </c>
      <c r="G141" s="312">
        <v>1486</v>
      </c>
      <c r="H141" s="884">
        <f t="shared" si="9"/>
        <v>80.673181324647132</v>
      </c>
    </row>
    <row r="142" spans="1:12" s="875" customFormat="1" ht="14.25" x14ac:dyDescent="0.2">
      <c r="A142" s="50"/>
      <c r="B142" s="1899"/>
      <c r="C142" s="888" t="s">
        <v>1767</v>
      </c>
      <c r="D142" s="883" t="s">
        <v>1782</v>
      </c>
      <c r="E142" s="55"/>
      <c r="F142" s="310">
        <v>30</v>
      </c>
      <c r="G142" s="312">
        <v>29</v>
      </c>
      <c r="H142" s="884">
        <f t="shared" si="9"/>
        <v>96.666666666666671</v>
      </c>
    </row>
    <row r="143" spans="1:12" s="875" customFormat="1" ht="15" x14ac:dyDescent="0.25">
      <c r="A143" s="50">
        <v>6172</v>
      </c>
      <c r="B143" s="1899">
        <v>5168</v>
      </c>
      <c r="C143" s="888"/>
      <c r="D143" s="3069" t="s">
        <v>1606</v>
      </c>
      <c r="E143" s="48">
        <v>20</v>
      </c>
      <c r="F143" s="166">
        <v>29</v>
      </c>
      <c r="G143" s="311">
        <v>21</v>
      </c>
      <c r="H143" s="881">
        <f t="shared" si="9"/>
        <v>72.41379310344827</v>
      </c>
    </row>
    <row r="144" spans="1:12" s="875" customFormat="1" ht="15" x14ac:dyDescent="0.25">
      <c r="A144" s="50"/>
      <c r="B144" s="1899"/>
      <c r="C144" s="888"/>
      <c r="D144" s="3068"/>
      <c r="E144" s="48"/>
      <c r="F144" s="166"/>
      <c r="G144" s="311"/>
      <c r="H144" s="881"/>
    </row>
    <row r="145" spans="1:11" s="875" customFormat="1" ht="15" x14ac:dyDescent="0.25">
      <c r="A145" s="50">
        <v>6172</v>
      </c>
      <c r="B145" s="1899">
        <v>5169</v>
      </c>
      <c r="C145" s="888"/>
      <c r="D145" s="876" t="s">
        <v>1037</v>
      </c>
      <c r="E145" s="48">
        <f>E146+E147</f>
        <v>14032</v>
      </c>
      <c r="F145" s="433">
        <f>F146+F147</f>
        <v>13707</v>
      </c>
      <c r="G145" s="433">
        <f>G146+G147</f>
        <v>12733</v>
      </c>
      <c r="H145" s="881">
        <f t="shared" si="9"/>
        <v>92.894141679433858</v>
      </c>
    </row>
    <row r="146" spans="1:11" s="875" customFormat="1" ht="14.25" x14ac:dyDescent="0.2">
      <c r="A146" s="50"/>
      <c r="B146" s="1899"/>
      <c r="C146" s="888" t="s">
        <v>1760</v>
      </c>
      <c r="D146" s="882" t="s">
        <v>1127</v>
      </c>
      <c r="E146" s="55">
        <v>14032</v>
      </c>
      <c r="F146" s="310">
        <v>13690</v>
      </c>
      <c r="G146" s="312">
        <v>12717</v>
      </c>
      <c r="H146" s="884">
        <f t="shared" si="9"/>
        <v>92.892622352081816</v>
      </c>
    </row>
    <row r="147" spans="1:11" s="875" customFormat="1" ht="14.25" x14ac:dyDescent="0.2">
      <c r="A147" s="50"/>
      <c r="B147" s="1899"/>
      <c r="C147" s="888" t="s">
        <v>1767</v>
      </c>
      <c r="D147" s="883" t="s">
        <v>1782</v>
      </c>
      <c r="E147" s="55"/>
      <c r="F147" s="310">
        <v>17</v>
      </c>
      <c r="G147" s="312">
        <v>16</v>
      </c>
      <c r="H147" s="884">
        <f t="shared" si="9"/>
        <v>94.117647058823522</v>
      </c>
    </row>
    <row r="148" spans="1:11" s="875" customFormat="1" ht="15" x14ac:dyDescent="0.25">
      <c r="A148" s="50">
        <v>6172</v>
      </c>
      <c r="B148" s="1899">
        <v>5171</v>
      </c>
      <c r="C148" s="888"/>
      <c r="D148" s="876" t="s">
        <v>1105</v>
      </c>
      <c r="E148" s="48">
        <f>E149+E150</f>
        <v>2778</v>
      </c>
      <c r="F148" s="48">
        <f>F149+F150</f>
        <v>3520</v>
      </c>
      <c r="G148" s="48">
        <f>G149+G150</f>
        <v>3105</v>
      </c>
      <c r="H148" s="881">
        <f t="shared" si="9"/>
        <v>88.210227272727266</v>
      </c>
    </row>
    <row r="149" spans="1:11" s="875" customFormat="1" ht="14.25" x14ac:dyDescent="0.2">
      <c r="A149" s="50"/>
      <c r="B149" s="1899"/>
      <c r="C149" s="888" t="s">
        <v>1760</v>
      </c>
      <c r="D149" s="882" t="s">
        <v>1127</v>
      </c>
      <c r="E149" s="55">
        <v>2778</v>
      </c>
      <c r="F149" s="310">
        <v>3484</v>
      </c>
      <c r="G149" s="312">
        <v>3069</v>
      </c>
      <c r="H149" s="884">
        <f t="shared" si="9"/>
        <v>88.088404133180248</v>
      </c>
    </row>
    <row r="150" spans="1:11" s="875" customFormat="1" ht="15" x14ac:dyDescent="0.25">
      <c r="A150" s="50"/>
      <c r="B150" s="1899"/>
      <c r="C150" s="888" t="s">
        <v>1775</v>
      </c>
      <c r="D150" s="883" t="s">
        <v>734</v>
      </c>
      <c r="E150" s="48"/>
      <c r="F150" s="310">
        <v>36</v>
      </c>
      <c r="G150" s="312">
        <v>36</v>
      </c>
      <c r="H150" s="884">
        <f t="shared" si="9"/>
        <v>100</v>
      </c>
    </row>
    <row r="151" spans="1:11" s="875" customFormat="1" ht="15" x14ac:dyDescent="0.25">
      <c r="A151" s="50">
        <v>6172</v>
      </c>
      <c r="B151" s="1899">
        <v>5173</v>
      </c>
      <c r="C151" s="888"/>
      <c r="D151" s="876" t="s">
        <v>1038</v>
      </c>
      <c r="E151" s="48">
        <v>3000</v>
      </c>
      <c r="F151" s="433">
        <f>F152+F153+F156+F157+F154+F155</f>
        <v>2992</v>
      </c>
      <c r="G151" s="433">
        <f>G152+G153+G156+G157+G155+G154</f>
        <v>2031</v>
      </c>
      <c r="H151" s="881">
        <f t="shared" si="9"/>
        <v>67.881016042780757</v>
      </c>
      <c r="J151" s="907"/>
      <c r="K151" s="907"/>
    </row>
    <row r="152" spans="1:11" s="875" customFormat="1" ht="14.25" x14ac:dyDescent="0.2">
      <c r="A152" s="50"/>
      <c r="B152" s="1899"/>
      <c r="C152" s="888" t="s">
        <v>1760</v>
      </c>
      <c r="D152" s="882" t="s">
        <v>1127</v>
      </c>
      <c r="E152" s="55">
        <v>3000</v>
      </c>
      <c r="F152" s="310">
        <v>2957</v>
      </c>
      <c r="G152" s="312">
        <v>2006</v>
      </c>
      <c r="H152" s="884">
        <f t="shared" ref="H152:H160" si="10">(G152/F152)*100</f>
        <v>67.83902603990532</v>
      </c>
    </row>
    <row r="153" spans="1:11" s="875" customFormat="1" ht="14.25" x14ac:dyDescent="0.2">
      <c r="A153" s="50"/>
      <c r="B153" s="1899"/>
      <c r="C153" s="888" t="s">
        <v>1766</v>
      </c>
      <c r="D153" s="883" t="s">
        <v>733</v>
      </c>
      <c r="E153" s="55"/>
      <c r="F153" s="310">
        <v>13</v>
      </c>
      <c r="G153" s="312">
        <v>13</v>
      </c>
      <c r="H153" s="884">
        <f t="shared" si="10"/>
        <v>100</v>
      </c>
    </row>
    <row r="154" spans="1:11" s="875" customFormat="1" ht="14.25" x14ac:dyDescent="0.2">
      <c r="A154" s="50"/>
      <c r="B154" s="1899"/>
      <c r="C154" s="888" t="s">
        <v>1767</v>
      </c>
      <c r="D154" s="883" t="s">
        <v>1782</v>
      </c>
      <c r="E154" s="55"/>
      <c r="F154" s="310">
        <v>12</v>
      </c>
      <c r="G154" s="312">
        <v>10</v>
      </c>
      <c r="H154" s="884">
        <f t="shared" si="10"/>
        <v>83.333333333333343</v>
      </c>
    </row>
    <row r="155" spans="1:11" s="875" customFormat="1" ht="14.25" x14ac:dyDescent="0.2">
      <c r="A155" s="50"/>
      <c r="B155" s="1899"/>
      <c r="C155" s="888" t="s">
        <v>1770</v>
      </c>
      <c r="D155" s="1987" t="s">
        <v>1303</v>
      </c>
      <c r="E155" s="55"/>
      <c r="F155" s="310">
        <v>1</v>
      </c>
      <c r="G155" s="312">
        <v>0</v>
      </c>
      <c r="H155" s="884">
        <v>0</v>
      </c>
    </row>
    <row r="156" spans="1:11" s="875" customFormat="1" ht="14.25" x14ac:dyDescent="0.2">
      <c r="A156" s="50"/>
      <c r="B156" s="1899"/>
      <c r="C156" s="888" t="s">
        <v>1771</v>
      </c>
      <c r="D156" s="1987" t="s">
        <v>1304</v>
      </c>
      <c r="E156" s="55"/>
      <c r="F156" s="310">
        <v>1</v>
      </c>
      <c r="G156" s="312">
        <v>0</v>
      </c>
      <c r="H156" s="884">
        <f t="shared" si="10"/>
        <v>0</v>
      </c>
    </row>
    <row r="157" spans="1:11" s="875" customFormat="1" ht="14.25" x14ac:dyDescent="0.2">
      <c r="A157" s="50"/>
      <c r="B157" s="1899"/>
      <c r="C157" s="888" t="s">
        <v>1772</v>
      </c>
      <c r="D157" s="118" t="s">
        <v>1305</v>
      </c>
      <c r="E157" s="55"/>
      <c r="F157" s="310">
        <v>8</v>
      </c>
      <c r="G157" s="312">
        <v>2</v>
      </c>
      <c r="H157" s="884">
        <f t="shared" si="10"/>
        <v>25</v>
      </c>
    </row>
    <row r="158" spans="1:11" s="875" customFormat="1" ht="15" x14ac:dyDescent="0.25">
      <c r="A158" s="50">
        <v>6172</v>
      </c>
      <c r="B158" s="1899">
        <v>5175</v>
      </c>
      <c r="C158" s="888"/>
      <c r="D158" s="899" t="s">
        <v>605</v>
      </c>
      <c r="E158" s="71">
        <v>500</v>
      </c>
      <c r="F158" s="309">
        <v>486</v>
      </c>
      <c r="G158" s="311">
        <v>428</v>
      </c>
      <c r="H158" s="881">
        <f t="shared" si="10"/>
        <v>88.065843621399182</v>
      </c>
    </row>
    <row r="159" spans="1:11" s="875" customFormat="1" ht="15" x14ac:dyDescent="0.25">
      <c r="A159" s="50">
        <v>6172</v>
      </c>
      <c r="B159" s="1899">
        <v>5176</v>
      </c>
      <c r="C159" s="888"/>
      <c r="D159" s="899" t="s">
        <v>1119</v>
      </c>
      <c r="E159" s="71">
        <v>200</v>
      </c>
      <c r="F159" s="309">
        <v>200</v>
      </c>
      <c r="G159" s="311">
        <v>171</v>
      </c>
      <c r="H159" s="881">
        <f t="shared" si="10"/>
        <v>85.5</v>
      </c>
    </row>
    <row r="160" spans="1:11" s="875" customFormat="1" ht="15" x14ac:dyDescent="0.25">
      <c r="A160" s="50">
        <v>6172</v>
      </c>
      <c r="B160" s="1899">
        <v>5191</v>
      </c>
      <c r="C160" s="888"/>
      <c r="D160" s="1405" t="s">
        <v>1705</v>
      </c>
      <c r="E160" s="48"/>
      <c r="F160" s="166">
        <v>1</v>
      </c>
      <c r="G160" s="311">
        <v>0</v>
      </c>
      <c r="H160" s="881">
        <f t="shared" si="10"/>
        <v>0</v>
      </c>
    </row>
    <row r="161" spans="1:12" s="875" customFormat="1" ht="15" x14ac:dyDescent="0.25">
      <c r="A161" s="50">
        <v>6172</v>
      </c>
      <c r="B161" s="1899">
        <v>5192</v>
      </c>
      <c r="C161" s="888"/>
      <c r="D161" s="876" t="s">
        <v>931</v>
      </c>
      <c r="E161" s="48">
        <v>100</v>
      </c>
      <c r="F161" s="166">
        <v>1045</v>
      </c>
      <c r="G161" s="311">
        <v>970</v>
      </c>
      <c r="H161" s="881">
        <f t="shared" ref="H161:H169" si="11">(G161/F161)*100</f>
        <v>92.822966507177028</v>
      </c>
    </row>
    <row r="162" spans="1:12" s="875" customFormat="1" ht="30" x14ac:dyDescent="0.25">
      <c r="A162" s="1988">
        <v>6172</v>
      </c>
      <c r="B162" s="1989">
        <v>5195</v>
      </c>
      <c r="C162" s="888"/>
      <c r="D162" s="924" t="s">
        <v>1776</v>
      </c>
      <c r="E162" s="48"/>
      <c r="F162" s="1098">
        <v>395</v>
      </c>
      <c r="G162" s="434">
        <v>395</v>
      </c>
      <c r="H162" s="1099">
        <f t="shared" ref="H162:H164" si="12">(G162/F162)*100</f>
        <v>100</v>
      </c>
    </row>
    <row r="163" spans="1:12" s="875" customFormat="1" ht="15" x14ac:dyDescent="0.25">
      <c r="A163" s="50">
        <v>6172</v>
      </c>
      <c r="B163" s="1899">
        <v>5229</v>
      </c>
      <c r="C163" s="888"/>
      <c r="D163" s="1103" t="s">
        <v>1777</v>
      </c>
      <c r="E163" s="48"/>
      <c r="F163" s="433">
        <f>F164</f>
        <v>260</v>
      </c>
      <c r="G163" s="433">
        <f>G164</f>
        <v>260</v>
      </c>
      <c r="H163" s="881">
        <f t="shared" si="12"/>
        <v>100</v>
      </c>
    </row>
    <row r="164" spans="1:12" s="875" customFormat="1" ht="14.25" x14ac:dyDescent="0.2">
      <c r="A164" s="50"/>
      <c r="B164" s="1899"/>
      <c r="C164" s="888" t="s">
        <v>1761</v>
      </c>
      <c r="D164" s="913" t="s">
        <v>806</v>
      </c>
      <c r="E164" s="55"/>
      <c r="F164" s="310">
        <v>260</v>
      </c>
      <c r="G164" s="312">
        <v>260</v>
      </c>
      <c r="H164" s="884">
        <f t="shared" si="12"/>
        <v>100</v>
      </c>
    </row>
    <row r="165" spans="1:12" s="875" customFormat="1" ht="15" x14ac:dyDescent="0.25">
      <c r="A165" s="50">
        <v>6172</v>
      </c>
      <c r="B165" s="1899">
        <v>5323</v>
      </c>
      <c r="C165" s="888"/>
      <c r="D165" s="876" t="s">
        <v>203</v>
      </c>
      <c r="E165" s="48">
        <v>40</v>
      </c>
      <c r="F165" s="166">
        <v>40</v>
      </c>
      <c r="G165" s="311">
        <v>14</v>
      </c>
      <c r="H165" s="881">
        <f t="shared" si="11"/>
        <v>35</v>
      </c>
    </row>
    <row r="166" spans="1:12" s="875" customFormat="1" ht="15" x14ac:dyDescent="0.25">
      <c r="A166" s="50">
        <v>6172</v>
      </c>
      <c r="B166" s="1899">
        <v>5361</v>
      </c>
      <c r="C166" s="888"/>
      <c r="D166" s="876" t="s">
        <v>545</v>
      </c>
      <c r="E166" s="48">
        <v>100</v>
      </c>
      <c r="F166" s="166">
        <v>96</v>
      </c>
      <c r="G166" s="311">
        <v>34</v>
      </c>
      <c r="H166" s="881">
        <f t="shared" si="11"/>
        <v>35.416666666666671</v>
      </c>
    </row>
    <row r="167" spans="1:12" s="875" customFormat="1" ht="15" x14ac:dyDescent="0.25">
      <c r="A167" s="50">
        <v>6172</v>
      </c>
      <c r="B167" s="1899">
        <v>5362</v>
      </c>
      <c r="C167" s="888"/>
      <c r="D167" s="876" t="s">
        <v>546</v>
      </c>
      <c r="E167" s="48">
        <v>50</v>
      </c>
      <c r="F167" s="166">
        <v>54</v>
      </c>
      <c r="G167" s="311">
        <v>52</v>
      </c>
      <c r="H167" s="881">
        <f t="shared" si="11"/>
        <v>96.296296296296291</v>
      </c>
    </row>
    <row r="168" spans="1:12" s="875" customFormat="1" ht="15" x14ac:dyDescent="0.25">
      <c r="A168" s="50">
        <v>6172</v>
      </c>
      <c r="B168" s="1899">
        <v>5363</v>
      </c>
      <c r="C168" s="888"/>
      <c r="D168" s="1405" t="s">
        <v>1353</v>
      </c>
      <c r="E168" s="48"/>
      <c r="F168" s="166">
        <v>16</v>
      </c>
      <c r="G168" s="311">
        <v>16</v>
      </c>
      <c r="H168" s="881">
        <f t="shared" ref="H168" si="13">(G168/F168)*100</f>
        <v>100</v>
      </c>
    </row>
    <row r="169" spans="1:12" s="875" customFormat="1" ht="15" x14ac:dyDescent="0.25">
      <c r="A169" s="50">
        <v>6172</v>
      </c>
      <c r="B169" s="1899">
        <v>5424</v>
      </c>
      <c r="C169" s="888"/>
      <c r="D169" s="876" t="s">
        <v>587</v>
      </c>
      <c r="E169" s="48">
        <v>1000</v>
      </c>
      <c r="F169" s="166">
        <v>1000</v>
      </c>
      <c r="G169" s="311">
        <v>815</v>
      </c>
      <c r="H169" s="881">
        <f t="shared" si="11"/>
        <v>81.5</v>
      </c>
    </row>
    <row r="170" spans="1:12" s="875" customFormat="1" ht="15" x14ac:dyDescent="0.25">
      <c r="A170" s="50">
        <v>6172</v>
      </c>
      <c r="B170" s="19">
        <v>5499</v>
      </c>
      <c r="C170" s="888"/>
      <c r="D170" s="1905" t="s">
        <v>343</v>
      </c>
      <c r="E170" s="48"/>
      <c r="F170" s="166"/>
      <c r="G170" s="433">
        <v>191</v>
      </c>
      <c r="H170" s="881">
        <v>0</v>
      </c>
    </row>
    <row r="171" spans="1:12" s="875" customFormat="1" ht="15" x14ac:dyDescent="0.25">
      <c r="A171" s="50">
        <v>6172</v>
      </c>
      <c r="B171" s="1899">
        <v>5909</v>
      </c>
      <c r="C171" s="888"/>
      <c r="D171" s="876" t="s">
        <v>705</v>
      </c>
      <c r="E171" s="48"/>
      <c r="F171" s="166"/>
      <c r="G171" s="311"/>
      <c r="H171" s="881">
        <v>0</v>
      </c>
    </row>
    <row r="172" spans="1:12" s="875" customFormat="1" ht="15.75" thickBot="1" x14ac:dyDescent="0.3">
      <c r="A172" s="895">
        <v>6330</v>
      </c>
      <c r="B172" s="1900">
        <v>5342</v>
      </c>
      <c r="C172" s="900"/>
      <c r="D172" s="896" t="s">
        <v>312</v>
      </c>
      <c r="E172" s="902">
        <v>6493</v>
      </c>
      <c r="F172" s="431">
        <v>6601</v>
      </c>
      <c r="G172" s="430">
        <v>6175</v>
      </c>
      <c r="H172" s="1088">
        <f>(G172/F172)*100</f>
        <v>93.546432358733526</v>
      </c>
      <c r="J172" s="906">
        <f>E88+E98+E107+E108+E109+E111+E114+E117+E118+E119+E120+E121+E122+E125+E126+E127+E128+E132+E135+E139+E140+E145+E148+E151+E158+E159+E161+E165+E166+E167+E169+E172+E143+E110</f>
        <v>123736</v>
      </c>
      <c r="K172" s="906">
        <f>F88+F98+F107+F108+F109+F111+F114+F117+F118+F119+F120+F121+F122+F125+F126+F127+F128+F132+F135+F139+F140+F143+F145+F148+F151+F158+F159+F161+F165+F166+F167+F169+F172+F163+F162+F160+F110+F168</f>
        <v>130022</v>
      </c>
      <c r="L172" s="906">
        <f>G88+G98+G107+G108+G109+G111+G114+G117+G118+G119+G120+G121+G122+G125+G126+G127+G128+G132+G135+G139+G140+G143+G145+G148+G151+G158+G159+G161+G165+G166+G167+G169+G171+G172+G170+G163+G162+G160+G110+G168</f>
        <v>122679</v>
      </c>
    </row>
    <row r="173" spans="1:12" s="356" customFormat="1" ht="35.25" customHeight="1" thickTop="1" thickBot="1" x14ac:dyDescent="0.3">
      <c r="A173" s="631" t="s">
        <v>225</v>
      </c>
      <c r="B173" s="1901"/>
      <c r="C173" s="889"/>
      <c r="D173" s="632"/>
      <c r="E173" s="634">
        <f>J87+J172</f>
        <v>319027</v>
      </c>
      <c r="F173" s="634">
        <f>K87+K172</f>
        <v>333895</v>
      </c>
      <c r="G173" s="634">
        <f>L87+L172</f>
        <v>319895</v>
      </c>
      <c r="H173" s="857">
        <f>(G173/F173)*100</f>
        <v>95.807065095314385</v>
      </c>
    </row>
    <row r="174" spans="1:12" ht="15.75" thickTop="1" x14ac:dyDescent="0.25">
      <c r="A174" s="647"/>
      <c r="B174" s="1922"/>
      <c r="C174" s="858"/>
      <c r="D174" s="647"/>
      <c r="E174" s="178"/>
      <c r="F174" s="731"/>
      <c r="G174" s="166"/>
      <c r="H174" s="838"/>
    </row>
    <row r="175" spans="1:12" ht="15" x14ac:dyDescent="0.25">
      <c r="A175" s="647"/>
      <c r="B175" s="1922"/>
      <c r="C175" s="858"/>
      <c r="D175" s="647"/>
      <c r="E175" s="178"/>
      <c r="F175" s="178"/>
      <c r="G175" s="178"/>
      <c r="H175" s="838"/>
    </row>
    <row r="176" spans="1:12" ht="13.5" thickBot="1" x14ac:dyDescent="0.25">
      <c r="A176" s="584"/>
      <c r="B176" s="584"/>
      <c r="C176" s="585"/>
      <c r="F176" s="574"/>
      <c r="H176" s="1923" t="s">
        <v>148</v>
      </c>
    </row>
    <row r="177" spans="1:12" s="106" customFormat="1" ht="20.25" customHeight="1" thickTop="1" thickBot="1" x14ac:dyDescent="0.25">
      <c r="A177" s="586" t="s">
        <v>149</v>
      </c>
      <c r="B177" s="587" t="s">
        <v>150</v>
      </c>
      <c r="C177" s="589" t="s">
        <v>639</v>
      </c>
      <c r="D177" s="658" t="s">
        <v>151</v>
      </c>
      <c r="E177" s="658" t="s">
        <v>569</v>
      </c>
      <c r="F177" s="658" t="s">
        <v>570</v>
      </c>
      <c r="G177" s="658" t="s">
        <v>797</v>
      </c>
      <c r="H177" s="590" t="s">
        <v>798</v>
      </c>
    </row>
    <row r="178" spans="1:12" s="375" customFormat="1" ht="13.5" thickTop="1" thickBot="1" x14ac:dyDescent="0.25">
      <c r="A178" s="525">
        <v>1</v>
      </c>
      <c r="B178" s="526">
        <v>2</v>
      </c>
      <c r="C178" s="526">
        <v>3</v>
      </c>
      <c r="D178" s="526">
        <v>4</v>
      </c>
      <c r="E178" s="526">
        <v>5</v>
      </c>
      <c r="F178" s="512">
        <v>6</v>
      </c>
      <c r="G178" s="512">
        <v>7</v>
      </c>
      <c r="H178" s="591" t="s">
        <v>54</v>
      </c>
      <c r="I178" s="106"/>
    </row>
    <row r="179" spans="1:12" s="375" customFormat="1" ht="15.75" thickTop="1" x14ac:dyDescent="0.25">
      <c r="A179" s="1279">
        <v>5511</v>
      </c>
      <c r="B179" s="1278">
        <v>6331</v>
      </c>
      <c r="C179" s="1281"/>
      <c r="D179" s="1289" t="s">
        <v>1759</v>
      </c>
      <c r="E179" s="1288">
        <v>0</v>
      </c>
      <c r="F179" s="1284">
        <v>780</v>
      </c>
      <c r="G179" s="1283">
        <v>771</v>
      </c>
      <c r="H179" s="1290">
        <f t="shared" ref="H179:H184" si="14">(G179/F179)*100</f>
        <v>98.846153846153854</v>
      </c>
      <c r="I179" s="106"/>
    </row>
    <row r="180" spans="1:12" s="375" customFormat="1" ht="15" x14ac:dyDescent="0.25">
      <c r="A180" s="1279"/>
      <c r="B180" s="1278"/>
      <c r="C180" s="1281" t="s">
        <v>1757</v>
      </c>
      <c r="D180" s="1924" t="s">
        <v>26</v>
      </c>
      <c r="E180" s="1288"/>
      <c r="F180" s="1275">
        <v>780</v>
      </c>
      <c r="G180" s="1274">
        <v>771</v>
      </c>
      <c r="H180" s="1273">
        <f t="shared" si="14"/>
        <v>98.846153846153854</v>
      </c>
      <c r="I180" s="106"/>
    </row>
    <row r="181" spans="1:12" s="375" customFormat="1" ht="15" x14ac:dyDescent="0.25">
      <c r="A181" s="1279">
        <v>5512</v>
      </c>
      <c r="B181" s="1278">
        <v>6341</v>
      </c>
      <c r="C181" s="1286"/>
      <c r="D181" s="1285" t="s">
        <v>227</v>
      </c>
      <c r="E181" s="1288">
        <v>0</v>
      </c>
      <c r="F181" s="1284">
        <v>3083</v>
      </c>
      <c r="G181" s="1283">
        <f>G182</f>
        <v>2941</v>
      </c>
      <c r="H181" s="1282">
        <f t="shared" si="14"/>
        <v>95.394096659098281</v>
      </c>
      <c r="I181" s="106"/>
    </row>
    <row r="182" spans="1:12" s="375" customFormat="1" ht="14.25" x14ac:dyDescent="0.2">
      <c r="A182" s="1279"/>
      <c r="B182" s="1278"/>
      <c r="C182" s="1281" t="s">
        <v>1763</v>
      </c>
      <c r="D182" s="1280" t="s">
        <v>1012</v>
      </c>
      <c r="E182" s="1276"/>
      <c r="F182" s="1275">
        <v>3083</v>
      </c>
      <c r="G182" s="1274">
        <v>2941</v>
      </c>
      <c r="H182" s="1273">
        <f t="shared" si="14"/>
        <v>95.394096659098281</v>
      </c>
      <c r="I182" s="106"/>
    </row>
    <row r="183" spans="1:12" s="375" customFormat="1" ht="15" x14ac:dyDescent="0.25">
      <c r="A183" s="1279">
        <v>5599</v>
      </c>
      <c r="B183" s="1278">
        <v>6321</v>
      </c>
      <c r="C183" s="1286"/>
      <c r="D183" s="87" t="s">
        <v>1615</v>
      </c>
      <c r="E183" s="1321">
        <v>0</v>
      </c>
      <c r="F183" s="1314">
        <v>65</v>
      </c>
      <c r="G183" s="1283">
        <v>65</v>
      </c>
      <c r="H183" s="1313">
        <f t="shared" si="14"/>
        <v>100</v>
      </c>
      <c r="I183" s="106"/>
    </row>
    <row r="184" spans="1:12" s="375" customFormat="1" ht="15" x14ac:dyDescent="0.25">
      <c r="A184" s="1279"/>
      <c r="B184" s="1278"/>
      <c r="C184" s="1281" t="s">
        <v>1757</v>
      </c>
      <c r="D184" s="1924" t="s">
        <v>26</v>
      </c>
      <c r="E184" s="1321"/>
      <c r="F184" s="1318">
        <v>65</v>
      </c>
      <c r="G184" s="1317">
        <v>65</v>
      </c>
      <c r="H184" s="1316">
        <f t="shared" si="14"/>
        <v>100</v>
      </c>
      <c r="I184" s="106"/>
    </row>
    <row r="185" spans="1:12" s="875" customFormat="1" ht="15" x14ac:dyDescent="0.25">
      <c r="A185" s="50">
        <v>6172</v>
      </c>
      <c r="B185" s="1899">
        <v>6121</v>
      </c>
      <c r="C185" s="888"/>
      <c r="D185" s="876" t="s">
        <v>548</v>
      </c>
      <c r="E185" s="48">
        <v>0</v>
      </c>
      <c r="F185" s="433">
        <v>429</v>
      </c>
      <c r="G185" s="433">
        <v>424</v>
      </c>
      <c r="H185" s="881">
        <f>(G185/F185)*100</f>
        <v>98.834498834498831</v>
      </c>
      <c r="J185" s="906"/>
      <c r="K185" s="906"/>
    </row>
    <row r="186" spans="1:12" s="875" customFormat="1" ht="15" x14ac:dyDescent="0.25">
      <c r="A186" s="50">
        <v>6172</v>
      </c>
      <c r="B186" s="1899">
        <v>6122</v>
      </c>
      <c r="C186" s="888"/>
      <c r="D186" s="876" t="s">
        <v>549</v>
      </c>
      <c r="E186" s="48">
        <v>820</v>
      </c>
      <c r="F186" s="433">
        <v>180</v>
      </c>
      <c r="G186" s="433">
        <v>180</v>
      </c>
      <c r="H186" s="881">
        <f>(G186/F186)*100</f>
        <v>100</v>
      </c>
      <c r="J186" s="906"/>
      <c r="K186" s="906"/>
    </row>
    <row r="187" spans="1:12" s="875" customFormat="1" ht="15" x14ac:dyDescent="0.25">
      <c r="A187" s="50">
        <v>6172</v>
      </c>
      <c r="B187" s="1899">
        <v>6123</v>
      </c>
      <c r="C187" s="888"/>
      <c r="D187" s="876" t="s">
        <v>1106</v>
      </c>
      <c r="E187" s="48"/>
      <c r="F187" s="433">
        <v>1088</v>
      </c>
      <c r="G187" s="433">
        <v>1088</v>
      </c>
      <c r="H187" s="881">
        <f>(G187/F187)*100</f>
        <v>100</v>
      </c>
      <c r="J187" s="906"/>
      <c r="K187" s="906"/>
    </row>
    <row r="188" spans="1:12" s="875" customFormat="1" ht="15.75" thickBot="1" x14ac:dyDescent="0.3">
      <c r="A188" s="50">
        <v>6172</v>
      </c>
      <c r="B188" s="1899">
        <v>6127</v>
      </c>
      <c r="C188" s="888"/>
      <c r="D188" s="876" t="s">
        <v>1778</v>
      </c>
      <c r="E188" s="48"/>
      <c r="F188" s="433">
        <v>59</v>
      </c>
      <c r="G188" s="433">
        <v>59</v>
      </c>
      <c r="H188" s="881">
        <f>(G188/F188)*100</f>
        <v>100</v>
      </c>
      <c r="J188" s="906"/>
      <c r="K188" s="906"/>
    </row>
    <row r="189" spans="1:12" s="356" customFormat="1" ht="35.25" customHeight="1" thickTop="1" thickBot="1" x14ac:dyDescent="0.3">
      <c r="A189" s="592" t="s">
        <v>224</v>
      </c>
      <c r="B189" s="787"/>
      <c r="C189" s="594"/>
      <c r="D189" s="595"/>
      <c r="E189" s="596">
        <f>E185+E186+E179+E181+E183</f>
        <v>820</v>
      </c>
      <c r="F189" s="596">
        <f>F185+F186+F179+F181+F183+F187+F188</f>
        <v>5684</v>
      </c>
      <c r="G189" s="596">
        <f>G185+G186+G179+G181+G183+G187+G188</f>
        <v>5528</v>
      </c>
      <c r="H189" s="859">
        <f>(G189/F189)*100</f>
        <v>97.255453905700207</v>
      </c>
      <c r="J189" s="635">
        <f>E173+E189</f>
        <v>319847</v>
      </c>
      <c r="K189" s="635">
        <f>F173+F189</f>
        <v>339579</v>
      </c>
      <c r="L189" s="635">
        <f>G173+G189</f>
        <v>325423</v>
      </c>
    </row>
    <row r="190" spans="1:12" ht="13.5" thickTop="1" x14ac:dyDescent="0.2">
      <c r="A190" s="584"/>
      <c r="C190" s="842"/>
    </row>
    <row r="191" spans="1:12" x14ac:dyDescent="0.2">
      <c r="A191" s="584"/>
      <c r="C191" s="842"/>
    </row>
    <row r="192" spans="1:12" x14ac:dyDescent="0.2">
      <c r="A192" s="584"/>
      <c r="C192" s="842"/>
    </row>
    <row r="193" spans="1:14" ht="16.5" x14ac:dyDescent="0.25">
      <c r="A193" s="357" t="s">
        <v>1780</v>
      </c>
      <c r="B193" s="358"/>
      <c r="C193" s="359"/>
      <c r="D193" s="359"/>
      <c r="E193" s="855">
        <f>E194+E195+E196+E197+E198</f>
        <v>319847</v>
      </c>
      <c r="F193" s="855">
        <f>F194+F195+F196+F197+F198</f>
        <v>339579</v>
      </c>
      <c r="G193" s="855">
        <f>G194+G195+G196+G197+G198</f>
        <v>325423</v>
      </c>
      <c r="H193" s="860">
        <f>G193/F193*100</f>
        <v>95.831308767621081</v>
      </c>
      <c r="J193" s="1611">
        <f>SUM(J194:J198)</f>
        <v>319847000</v>
      </c>
      <c r="K193" s="1611">
        <f t="shared" ref="K193:L193" si="15">SUM(K194:K198)</f>
        <v>339578998.04000002</v>
      </c>
      <c r="L193" s="1611">
        <f t="shared" si="15"/>
        <v>325422635.93000001</v>
      </c>
    </row>
    <row r="194" spans="1:14" ht="15.75" x14ac:dyDescent="0.25">
      <c r="A194" s="520" t="s">
        <v>242</v>
      </c>
      <c r="B194" s="666"/>
      <c r="C194" s="1159"/>
      <c r="D194" s="1159"/>
      <c r="E194" s="1929">
        <f>E173-E198</f>
        <v>312534</v>
      </c>
      <c r="F194" s="1929">
        <f>F173-F198-F196</f>
        <v>318921</v>
      </c>
      <c r="G194" s="1929">
        <f>G173-G198-G196</f>
        <v>305761</v>
      </c>
      <c r="H194" s="1930">
        <f>G194/F194*100</f>
        <v>95.873586248632108</v>
      </c>
      <c r="I194" s="1437"/>
      <c r="J194" s="1437">
        <f>319027000-6493000</f>
        <v>312534000</v>
      </c>
      <c r="K194" s="1437">
        <f>333895124.36-6600500-8372976.46</f>
        <v>318921647.90000004</v>
      </c>
      <c r="L194" s="1437">
        <f>319703695.93-6174900-7959086.8+191164</f>
        <v>305760873.13</v>
      </c>
      <c r="M194" s="1437"/>
      <c r="N194" s="1611"/>
    </row>
    <row r="195" spans="1:14" ht="15" x14ac:dyDescent="0.2">
      <c r="A195" s="520" t="s">
        <v>243</v>
      </c>
      <c r="B195" s="666"/>
      <c r="C195" s="1159"/>
      <c r="D195" s="1159"/>
      <c r="E195" s="779">
        <f>E189</f>
        <v>820</v>
      </c>
      <c r="F195" s="779">
        <f>F189</f>
        <v>5684</v>
      </c>
      <c r="G195" s="779">
        <f>G189</f>
        <v>5528</v>
      </c>
      <c r="H195" s="1930">
        <f>G195/F195*100</f>
        <v>97.255453905700207</v>
      </c>
      <c r="I195" s="1437"/>
      <c r="J195" s="1437">
        <v>820000</v>
      </c>
      <c r="K195" s="1437">
        <v>5683873.6799999997</v>
      </c>
      <c r="L195" s="1437">
        <v>5527776</v>
      </c>
      <c r="M195" s="1437"/>
      <c r="N195" s="1618"/>
    </row>
    <row r="196" spans="1:14" ht="15" x14ac:dyDescent="0.2">
      <c r="A196" s="520" t="s">
        <v>191</v>
      </c>
      <c r="B196" s="666"/>
      <c r="C196" s="1159"/>
      <c r="D196" s="1159"/>
      <c r="E196" s="549">
        <v>0</v>
      </c>
      <c r="F196" s="545">
        <f>F49+F56+F60+F63+F66+F69+F72+F75+F76+F77+F78+F84+F85+F91+F92+F93+F94+F100+F101+F102+F103+F113+F116+F124+F130+F131+F138+F142+F147+F153+F154</f>
        <v>8373</v>
      </c>
      <c r="G196" s="545">
        <f>G49+G56+G60+G63+G66+G69+G72+G75+G76+G77+G78+G84+G85+G91+G92+G93+G94+G100+G101+G102+G103+G113+G116+G124+G130+G131+G138+G142+G147+G153+G154</f>
        <v>7959</v>
      </c>
      <c r="H196" s="1930">
        <f>G196/F196*100</f>
        <v>95.055535650304549</v>
      </c>
      <c r="I196" s="1437"/>
      <c r="J196" s="1437">
        <v>0</v>
      </c>
      <c r="K196" s="1437">
        <v>8372976.46</v>
      </c>
      <c r="L196" s="1437">
        <v>7959086.7999999998</v>
      </c>
      <c r="M196" s="1437"/>
      <c r="N196" s="1618"/>
    </row>
    <row r="197" spans="1:14" ht="15" x14ac:dyDescent="0.2">
      <c r="A197" s="520" t="s">
        <v>1034</v>
      </c>
      <c r="B197" s="666"/>
      <c r="C197" s="1159"/>
      <c r="D197" s="1159"/>
      <c r="E197" s="549">
        <v>0</v>
      </c>
      <c r="F197" s="549">
        <v>0</v>
      </c>
      <c r="G197" s="549">
        <v>0</v>
      </c>
      <c r="H197" s="1930">
        <v>0</v>
      </c>
      <c r="I197" s="1437"/>
      <c r="J197" s="1437">
        <v>0</v>
      </c>
      <c r="K197" s="1437">
        <v>0</v>
      </c>
      <c r="L197" s="1437">
        <v>0</v>
      </c>
      <c r="M197" s="1437"/>
      <c r="N197" s="1618"/>
    </row>
    <row r="198" spans="1:14" ht="15.75" x14ac:dyDescent="0.25">
      <c r="A198" s="520" t="s">
        <v>424</v>
      </c>
      <c r="B198" s="666"/>
      <c r="C198" s="1159"/>
      <c r="D198" s="1159"/>
      <c r="E198" s="549">
        <f>SUM(E172)</f>
        <v>6493</v>
      </c>
      <c r="F198" s="549">
        <f>SUM(F172)</f>
        <v>6601</v>
      </c>
      <c r="G198" s="549">
        <f>SUM(G172)</f>
        <v>6175</v>
      </c>
      <c r="H198" s="1930">
        <f>G198/F198*100</f>
        <v>93.546432358733526</v>
      </c>
      <c r="I198" s="1437"/>
      <c r="J198" s="1437">
        <v>6493000</v>
      </c>
      <c r="K198" s="1437">
        <v>6600500</v>
      </c>
      <c r="L198" s="1437">
        <v>6174900</v>
      </c>
      <c r="M198" s="1437"/>
      <c r="N198" s="1611"/>
    </row>
    <row r="199" spans="1:14" ht="15" x14ac:dyDescent="0.2">
      <c r="A199" s="584"/>
      <c r="C199" s="842"/>
      <c r="I199" s="1437"/>
      <c r="J199" s="1437"/>
      <c r="K199" s="1437"/>
      <c r="L199" s="1437"/>
      <c r="M199" s="1437"/>
      <c r="N199" s="1618"/>
    </row>
    <row r="200" spans="1:14" s="58" customFormat="1" ht="47.25" customHeight="1" thickBot="1" x14ac:dyDescent="0.4">
      <c r="A200" s="603" t="s">
        <v>1779</v>
      </c>
      <c r="B200" s="604"/>
      <c r="C200" s="605"/>
      <c r="D200" s="606"/>
      <c r="E200" s="550">
        <f>SUM(E173,E189)</f>
        <v>319847</v>
      </c>
      <c r="F200" s="550">
        <f>SUM(F173,F189)</f>
        <v>339579</v>
      </c>
      <c r="G200" s="550">
        <f>SUM(G173,G189)</f>
        <v>325423</v>
      </c>
      <c r="H200" s="551">
        <f>(G200/F200)*100</f>
        <v>95.831308767621081</v>
      </c>
    </row>
    <row r="201" spans="1:14" ht="13.5" thickTop="1" x14ac:dyDescent="0.2"/>
  </sheetData>
  <mergeCells count="12">
    <mergeCell ref="D14:D15"/>
    <mergeCell ref="D143:D144"/>
    <mergeCell ref="C66:C67"/>
    <mergeCell ref="D66:D67"/>
    <mergeCell ref="C69:C70"/>
    <mergeCell ref="D69:D70"/>
    <mergeCell ref="D56:D57"/>
    <mergeCell ref="C56:C57"/>
    <mergeCell ref="C60:C61"/>
    <mergeCell ref="D60:D61"/>
    <mergeCell ref="C63:C64"/>
    <mergeCell ref="D63:D64"/>
  </mergeCells>
  <phoneticPr fontId="0" type="noConversion"/>
  <printOptions horizontalCentered="1"/>
  <pageMargins left="0.6692913385826772" right="0.98425196850393704" top="0.98425196850393704" bottom="0.98425196850393704" header="0.51181102362204722" footer="0.51181102362204722"/>
  <pageSetup paperSize="9" scale="69" firstPageNumber="26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  <rowBreaks count="2" manualBreakCount="2">
    <brk id="70" max="7" man="1"/>
    <brk id="138" max="7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399"/>
  <sheetViews>
    <sheetView showGridLines="0" view="pageBreakPreview" zoomScaleNormal="100" zoomScaleSheetLayoutView="100" workbookViewId="0">
      <selection activeCell="F29" sqref="F29"/>
    </sheetView>
  </sheetViews>
  <sheetFormatPr defaultColWidth="9.140625" defaultRowHeight="12.75" x14ac:dyDescent="0.2"/>
  <cols>
    <col min="1" max="1" width="5.28515625" style="1371" customWidth="1"/>
    <col min="2" max="2" width="6.7109375" style="1371" customWidth="1"/>
    <col min="3" max="3" width="9.7109375" style="1371" customWidth="1"/>
    <col min="4" max="4" width="46.42578125" style="1371" customWidth="1"/>
    <col min="5" max="5" width="15.42578125" style="1372" customWidth="1"/>
    <col min="6" max="6" width="15.5703125" style="1398" customWidth="1"/>
    <col min="7" max="7" width="15.85546875" style="1398" customWidth="1"/>
    <col min="8" max="8" width="9.28515625" style="1398" customWidth="1"/>
    <col min="9" max="9" width="6.28515625" style="1372" customWidth="1"/>
    <col min="10" max="10" width="7.42578125" style="1372" customWidth="1"/>
    <col min="11" max="11" width="17.28515625" style="1372" bestFit="1" customWidth="1"/>
    <col min="12" max="12" width="19.28515625" style="1372" bestFit="1" customWidth="1"/>
    <col min="13" max="13" width="17.42578125" style="1372" customWidth="1"/>
    <col min="14" max="16384" width="9.140625" style="1372"/>
  </cols>
  <sheetData>
    <row r="1" spans="1:9" ht="18.75" thickBot="1" x14ac:dyDescent="0.3">
      <c r="A1" s="1342" t="s">
        <v>786</v>
      </c>
      <c r="B1" s="1341"/>
      <c r="C1" s="1367"/>
      <c r="D1" s="1339"/>
      <c r="E1" s="1338"/>
      <c r="F1" s="1339"/>
      <c r="G1" s="1467"/>
      <c r="H1" s="1444"/>
    </row>
    <row r="2" spans="1:9" x14ac:dyDescent="0.2">
      <c r="A2" s="1466"/>
    </row>
    <row r="3" spans="1:9" ht="18" x14ac:dyDescent="0.25">
      <c r="A3" s="1337" t="s">
        <v>336</v>
      </c>
      <c r="C3" s="1370" t="s">
        <v>2030</v>
      </c>
      <c r="H3" s="1445" t="s">
        <v>787</v>
      </c>
    </row>
    <row r="4" spans="1:9" ht="13.5" customHeight="1" x14ac:dyDescent="0.25">
      <c r="A4" s="1375"/>
      <c r="C4" s="1370" t="s">
        <v>318</v>
      </c>
    </row>
    <row r="5" spans="1:9" ht="18.75" customHeight="1" x14ac:dyDescent="0.25">
      <c r="A5" s="1375" t="s">
        <v>788</v>
      </c>
    </row>
    <row r="6" spans="1:9" ht="13.5" customHeight="1" x14ac:dyDescent="0.25">
      <c r="A6" s="1375"/>
    </row>
    <row r="7" spans="1:9" s="1309" customFormat="1" ht="15" x14ac:dyDescent="0.25">
      <c r="A7" s="1377" t="s">
        <v>1654</v>
      </c>
      <c r="B7" s="1371"/>
      <c r="C7" s="1371"/>
      <c r="D7" s="1371"/>
      <c r="E7" s="1372"/>
      <c r="F7" s="1398"/>
      <c r="G7" s="1398"/>
      <c r="H7" s="1398"/>
      <c r="I7" s="1372"/>
    </row>
    <row r="8" spans="1:9" s="1249" customFormat="1" ht="15.75" thickBot="1" x14ac:dyDescent="0.3">
      <c r="A8" s="1377" t="s">
        <v>1655</v>
      </c>
      <c r="B8" s="1371"/>
      <c r="C8" s="1371"/>
      <c r="D8" s="1371"/>
      <c r="E8" s="1372"/>
      <c r="F8" s="1398"/>
      <c r="G8" s="1398"/>
      <c r="H8" s="1394" t="s">
        <v>148</v>
      </c>
      <c r="I8" s="1372"/>
    </row>
    <row r="9" spans="1:9" ht="25.5" thickTop="1" thickBot="1" x14ac:dyDescent="0.25">
      <c r="A9" s="1378" t="s">
        <v>149</v>
      </c>
      <c r="B9" s="1379" t="s">
        <v>688</v>
      </c>
      <c r="C9" s="1379" t="s">
        <v>345</v>
      </c>
      <c r="D9" s="1380" t="s">
        <v>151</v>
      </c>
      <c r="E9" s="1402" t="s">
        <v>569</v>
      </c>
      <c r="F9" s="1402" t="s">
        <v>570</v>
      </c>
      <c r="G9" s="1403" t="s">
        <v>797</v>
      </c>
      <c r="H9" s="1404" t="s">
        <v>798</v>
      </c>
    </row>
    <row r="10" spans="1:9" ht="14.25" thickTop="1" thickBot="1" x14ac:dyDescent="0.25">
      <c r="A10" s="1297">
        <v>1</v>
      </c>
      <c r="B10" s="1296">
        <v>2</v>
      </c>
      <c r="C10" s="1296">
        <v>3</v>
      </c>
      <c r="D10" s="1296">
        <v>5</v>
      </c>
      <c r="E10" s="1295">
        <v>6</v>
      </c>
      <c r="F10" s="1295">
        <v>7</v>
      </c>
      <c r="G10" s="1446">
        <v>8</v>
      </c>
      <c r="H10" s="1383" t="s">
        <v>689</v>
      </c>
    </row>
    <row r="11" spans="1:9" ht="16.5" thickTop="1" thickBot="1" x14ac:dyDescent="0.25">
      <c r="A11" s="1384">
        <v>2212</v>
      </c>
      <c r="B11" s="1385">
        <v>6121</v>
      </c>
      <c r="C11" s="1531" t="s">
        <v>2010</v>
      </c>
      <c r="D11" s="1405" t="s">
        <v>548</v>
      </c>
      <c r="E11" s="1414">
        <v>7150</v>
      </c>
      <c r="F11" s="1414">
        <v>0</v>
      </c>
      <c r="G11" s="1414">
        <v>0</v>
      </c>
      <c r="H11" s="1390">
        <v>0</v>
      </c>
      <c r="I11" s="1398"/>
    </row>
    <row r="12" spans="1:9" ht="15.75" hidden="1" thickBot="1" x14ac:dyDescent="0.25">
      <c r="A12" s="1384">
        <v>2212</v>
      </c>
      <c r="B12" s="1385">
        <v>6121</v>
      </c>
      <c r="C12" s="1385">
        <v>38100870</v>
      </c>
      <c r="D12" s="1405" t="s">
        <v>548</v>
      </c>
      <c r="E12" s="1414">
        <v>0</v>
      </c>
      <c r="F12" s="1414">
        <v>0</v>
      </c>
      <c r="G12" s="1414">
        <v>0</v>
      </c>
      <c r="H12" s="1390" t="e">
        <f>G12/F12*100</f>
        <v>#DIV/0!</v>
      </c>
      <c r="I12" s="1398"/>
    </row>
    <row r="13" spans="1:9" ht="15.75" hidden="1" thickBot="1" x14ac:dyDescent="0.25">
      <c r="A13" s="1384">
        <v>2212</v>
      </c>
      <c r="B13" s="1464">
        <v>6121</v>
      </c>
      <c r="C13" s="1464">
        <v>38100874</v>
      </c>
      <c r="D13" s="1405" t="s">
        <v>548</v>
      </c>
      <c r="E13" s="1414">
        <v>0</v>
      </c>
      <c r="F13" s="1414">
        <v>0</v>
      </c>
      <c r="G13" s="1414">
        <v>0</v>
      </c>
      <c r="H13" s="1390" t="e">
        <f>G13/F13*100</f>
        <v>#DIV/0!</v>
      </c>
      <c r="I13" s="1398"/>
    </row>
    <row r="14" spans="1:9" ht="15.75" hidden="1" thickBot="1" x14ac:dyDescent="0.25">
      <c r="A14" s="1384">
        <v>2212</v>
      </c>
      <c r="B14" s="1464">
        <v>6121</v>
      </c>
      <c r="C14" s="1464">
        <v>38500871</v>
      </c>
      <c r="D14" s="1405" t="s">
        <v>548</v>
      </c>
      <c r="E14" s="1414">
        <v>0</v>
      </c>
      <c r="F14" s="1414">
        <v>0</v>
      </c>
      <c r="G14" s="1414">
        <v>0</v>
      </c>
      <c r="H14" s="1390" t="e">
        <f>G14/F14*100</f>
        <v>#DIV/0!</v>
      </c>
      <c r="I14" s="1398"/>
    </row>
    <row r="15" spans="1:9" ht="16.5" thickTop="1" thickBot="1" x14ac:dyDescent="0.3">
      <c r="A15" s="1406" t="s">
        <v>690</v>
      </c>
      <c r="B15" s="1407"/>
      <c r="C15" s="1407"/>
      <c r="D15" s="1408"/>
      <c r="E15" s="1387">
        <f>SUM(E12:E14)</f>
        <v>0</v>
      </c>
      <c r="F15" s="1387">
        <f>SUM(F11:F14)</f>
        <v>0</v>
      </c>
      <c r="G15" s="1387">
        <f>SUM(G11:G14)</f>
        <v>0</v>
      </c>
      <c r="H15" s="1391">
        <v>0</v>
      </c>
      <c r="I15" s="1398"/>
    </row>
    <row r="16" spans="1:9" ht="15.75" thickTop="1" x14ac:dyDescent="0.25">
      <c r="A16" s="1417"/>
      <c r="B16" s="1417"/>
      <c r="C16" s="1417"/>
      <c r="D16" s="1417"/>
      <c r="E16" s="1393"/>
      <c r="F16" s="1393"/>
      <c r="G16" s="1393"/>
      <c r="H16" s="1418"/>
      <c r="I16" s="1398"/>
    </row>
    <row r="17" spans="1:10" s="1309" customFormat="1" ht="15" hidden="1" x14ac:dyDescent="0.25">
      <c r="A17" s="1377" t="s">
        <v>1221</v>
      </c>
      <c r="B17" s="1371"/>
      <c r="C17" s="1371"/>
      <c r="D17" s="1371"/>
      <c r="E17" s="1372"/>
      <c r="F17" s="1398"/>
      <c r="G17" s="1398"/>
      <c r="H17" s="1398"/>
      <c r="I17" s="1372"/>
    </row>
    <row r="18" spans="1:10" s="1249" customFormat="1" ht="15" hidden="1" x14ac:dyDescent="0.25">
      <c r="A18" s="1377" t="s">
        <v>1220</v>
      </c>
      <c r="B18" s="1371"/>
      <c r="C18" s="1371"/>
      <c r="D18" s="1371"/>
      <c r="E18" s="1372"/>
      <c r="F18" s="1398"/>
      <c r="G18" s="1398"/>
      <c r="H18" s="1394" t="s">
        <v>148</v>
      </c>
      <c r="I18" s="1372"/>
    </row>
    <row r="19" spans="1:10" ht="25.5" hidden="1" thickTop="1" thickBot="1" x14ac:dyDescent="0.25">
      <c r="A19" s="1378" t="s">
        <v>149</v>
      </c>
      <c r="B19" s="1379" t="s">
        <v>688</v>
      </c>
      <c r="C19" s="1379" t="s">
        <v>345</v>
      </c>
      <c r="D19" s="1380" t="s">
        <v>151</v>
      </c>
      <c r="E19" s="1402" t="s">
        <v>569</v>
      </c>
      <c r="F19" s="1402" t="s">
        <v>570</v>
      </c>
      <c r="G19" s="1403" t="s">
        <v>797</v>
      </c>
      <c r="H19" s="1404" t="s">
        <v>798</v>
      </c>
    </row>
    <row r="20" spans="1:10" ht="14.25" hidden="1" thickTop="1" thickBot="1" x14ac:dyDescent="0.25">
      <c r="A20" s="1297">
        <v>1</v>
      </c>
      <c r="B20" s="1296">
        <v>2</v>
      </c>
      <c r="C20" s="1296">
        <v>3</v>
      </c>
      <c r="D20" s="1296">
        <v>5</v>
      </c>
      <c r="E20" s="1295">
        <v>6</v>
      </c>
      <c r="F20" s="1295">
        <v>7</v>
      </c>
      <c r="G20" s="1446">
        <v>8</v>
      </c>
      <c r="H20" s="1383" t="s">
        <v>689</v>
      </c>
    </row>
    <row r="21" spans="1:10" ht="15" hidden="1" x14ac:dyDescent="0.2">
      <c r="A21" s="1384">
        <v>2212</v>
      </c>
      <c r="B21" s="1385">
        <v>6121</v>
      </c>
      <c r="C21" s="1385">
        <v>36</v>
      </c>
      <c r="D21" s="1405" t="s">
        <v>548</v>
      </c>
      <c r="E21" s="1414">
        <v>0</v>
      </c>
      <c r="F21" s="1414"/>
      <c r="G21" s="1414"/>
      <c r="H21" s="1390" t="e">
        <f>G21/F21*100</f>
        <v>#DIV/0!</v>
      </c>
      <c r="I21" s="1398"/>
    </row>
    <row r="22" spans="1:10" ht="15" hidden="1" x14ac:dyDescent="0.2">
      <c r="A22" s="1384">
        <v>2212</v>
      </c>
      <c r="B22" s="1385">
        <v>6121</v>
      </c>
      <c r="C22" s="1385">
        <v>38100870</v>
      </c>
      <c r="D22" s="1405" t="s">
        <v>548</v>
      </c>
      <c r="E22" s="1414">
        <v>0</v>
      </c>
      <c r="F22" s="1414"/>
      <c r="G22" s="1414"/>
      <c r="H22" s="1390" t="e">
        <f>G22/F22*100</f>
        <v>#DIV/0!</v>
      </c>
      <c r="I22" s="1398"/>
    </row>
    <row r="23" spans="1:10" ht="15" hidden="1" x14ac:dyDescent="0.2">
      <c r="A23" s="1384">
        <v>2212</v>
      </c>
      <c r="B23" s="1464">
        <v>6121</v>
      </c>
      <c r="C23" s="1464">
        <v>38100874</v>
      </c>
      <c r="D23" s="1405" t="s">
        <v>548</v>
      </c>
      <c r="E23" s="1414">
        <v>0</v>
      </c>
      <c r="F23" s="1414">
        <v>0</v>
      </c>
      <c r="G23" s="1414">
        <v>0</v>
      </c>
      <c r="H23" s="1390" t="e">
        <f>G23/F23*100</f>
        <v>#DIV/0!</v>
      </c>
      <c r="I23" s="1398"/>
    </row>
    <row r="24" spans="1:10" ht="15" hidden="1" x14ac:dyDescent="0.2">
      <c r="A24" s="1384">
        <v>2212</v>
      </c>
      <c r="B24" s="1464">
        <v>6121</v>
      </c>
      <c r="C24" s="1464">
        <v>38500871</v>
      </c>
      <c r="D24" s="1405" t="s">
        <v>548</v>
      </c>
      <c r="E24" s="1414">
        <v>0</v>
      </c>
      <c r="F24" s="1414">
        <v>0</v>
      </c>
      <c r="G24" s="1414">
        <v>0</v>
      </c>
      <c r="H24" s="1390" t="e">
        <f>G24/F24*100</f>
        <v>#DIV/0!</v>
      </c>
      <c r="I24" s="1398"/>
    </row>
    <row r="25" spans="1:10" ht="16.5" hidden="1" thickTop="1" thickBot="1" x14ac:dyDescent="0.3">
      <c r="A25" s="1406" t="s">
        <v>690</v>
      </c>
      <c r="B25" s="1407"/>
      <c r="C25" s="1407"/>
      <c r="D25" s="1408"/>
      <c r="E25" s="1387">
        <f>SUM(E22:E24)</f>
        <v>0</v>
      </c>
      <c r="F25" s="1387">
        <f>SUM(F21:F24)</f>
        <v>0</v>
      </c>
      <c r="G25" s="1387">
        <f>SUM(G21:G24)</f>
        <v>0</v>
      </c>
      <c r="H25" s="1391" t="e">
        <f>G25/F25*100</f>
        <v>#DIV/0!</v>
      </c>
      <c r="I25" s="1398"/>
    </row>
    <row r="26" spans="1:10" s="1465" customFormat="1" ht="18" hidden="1" x14ac:dyDescent="0.25">
      <c r="A26" s="1375"/>
      <c r="B26" s="1371"/>
      <c r="C26" s="1371"/>
      <c r="D26" s="1371"/>
      <c r="E26" s="1372"/>
      <c r="F26" s="1398"/>
      <c r="G26" s="1398"/>
      <c r="H26" s="1398"/>
      <c r="I26" s="1372"/>
      <c r="J26" s="1435"/>
    </row>
    <row r="27" spans="1:10" s="1309" customFormat="1" ht="15" x14ac:dyDescent="0.25">
      <c r="A27" s="1377" t="s">
        <v>1473</v>
      </c>
      <c r="B27" s="1371"/>
      <c r="C27" s="1371"/>
      <c r="D27" s="1371"/>
      <c r="E27" s="1372"/>
      <c r="F27" s="1398"/>
      <c r="G27" s="1398"/>
      <c r="H27" s="1398"/>
      <c r="I27" s="1372"/>
    </row>
    <row r="28" spans="1:10" s="1249" customFormat="1" ht="15.75" thickBot="1" x14ac:dyDescent="0.3">
      <c r="A28" s="1377" t="s">
        <v>1474</v>
      </c>
      <c r="B28" s="1371"/>
      <c r="C28" s="1371"/>
      <c r="D28" s="1371"/>
      <c r="E28" s="1372"/>
      <c r="F28" s="1398"/>
      <c r="G28" s="1398"/>
      <c r="H28" s="1459" t="s">
        <v>148</v>
      </c>
      <c r="I28" s="1372"/>
    </row>
    <row r="29" spans="1:10" ht="25.5" thickTop="1" thickBot="1" x14ac:dyDescent="0.25">
      <c r="A29" s="1378" t="s">
        <v>149</v>
      </c>
      <c r="B29" s="1379" t="s">
        <v>688</v>
      </c>
      <c r="C29" s="1379" t="s">
        <v>345</v>
      </c>
      <c r="D29" s="1380" t="s">
        <v>151</v>
      </c>
      <c r="E29" s="1402" t="s">
        <v>569</v>
      </c>
      <c r="F29" s="1402" t="s">
        <v>570</v>
      </c>
      <c r="G29" s="1403" t="s">
        <v>797</v>
      </c>
      <c r="H29" s="1404" t="s">
        <v>798</v>
      </c>
    </row>
    <row r="30" spans="1:10" ht="14.25" thickTop="1" thickBot="1" x14ac:dyDescent="0.25">
      <c r="A30" s="1297">
        <v>1</v>
      </c>
      <c r="B30" s="1296">
        <v>2</v>
      </c>
      <c r="C30" s="1296">
        <v>3</v>
      </c>
      <c r="D30" s="1296">
        <v>5</v>
      </c>
      <c r="E30" s="1295">
        <v>6</v>
      </c>
      <c r="F30" s="1295">
        <v>7</v>
      </c>
      <c r="G30" s="1446">
        <v>8</v>
      </c>
      <c r="H30" s="1383" t="s">
        <v>689</v>
      </c>
    </row>
    <row r="31" spans="1:10" ht="15.75" thickTop="1" x14ac:dyDescent="0.2">
      <c r="A31" s="1384">
        <v>2212</v>
      </c>
      <c r="B31" s="1464">
        <v>6121</v>
      </c>
      <c r="C31" s="2831" t="s">
        <v>2010</v>
      </c>
      <c r="D31" s="1405" t="s">
        <v>548</v>
      </c>
      <c r="E31" s="1414">
        <v>12498</v>
      </c>
      <c r="F31" s="1414">
        <v>11978</v>
      </c>
      <c r="G31" s="1414">
        <v>11714</v>
      </c>
      <c r="H31" s="1390">
        <f>G31/F31*100</f>
        <v>97.795959258640835</v>
      </c>
    </row>
    <row r="32" spans="1:10" ht="15" x14ac:dyDescent="0.2">
      <c r="A32" s="1384">
        <v>2212</v>
      </c>
      <c r="B32" s="1385">
        <v>6121</v>
      </c>
      <c r="C32" s="1531" t="s">
        <v>2014</v>
      </c>
      <c r="D32" s="1405" t="s">
        <v>548</v>
      </c>
      <c r="E32" s="1414">
        <v>0</v>
      </c>
      <c r="F32" s="1414">
        <v>520</v>
      </c>
      <c r="G32" s="1414">
        <v>441</v>
      </c>
      <c r="H32" s="1390">
        <f>G32/F32*100</f>
        <v>84.807692307692307</v>
      </c>
    </row>
    <row r="33" spans="1:10" ht="15" x14ac:dyDescent="0.2">
      <c r="A33" s="1384">
        <v>2212</v>
      </c>
      <c r="B33" s="1385">
        <v>6121</v>
      </c>
      <c r="C33" s="1531" t="s">
        <v>2013</v>
      </c>
      <c r="D33" s="1405" t="s">
        <v>548</v>
      </c>
      <c r="E33" s="1414">
        <v>0</v>
      </c>
      <c r="F33" s="1414">
        <v>12799</v>
      </c>
      <c r="G33" s="1414">
        <v>12771</v>
      </c>
      <c r="H33" s="1390">
        <f>G33/F33*100</f>
        <v>99.781232908821011</v>
      </c>
      <c r="I33" s="1398"/>
    </row>
    <row r="34" spans="1:10" ht="15" x14ac:dyDescent="0.2">
      <c r="A34" s="1384">
        <v>2212</v>
      </c>
      <c r="B34" s="1464">
        <v>6121</v>
      </c>
      <c r="C34" s="2831" t="s">
        <v>2025</v>
      </c>
      <c r="D34" s="1405" t="s">
        <v>548</v>
      </c>
      <c r="E34" s="1414">
        <v>6605</v>
      </c>
      <c r="F34" s="1414">
        <v>0</v>
      </c>
      <c r="G34" s="1414">
        <v>0</v>
      </c>
      <c r="H34" s="1390">
        <v>0</v>
      </c>
      <c r="I34" s="1398"/>
    </row>
    <row r="35" spans="1:10" ht="15.75" thickBot="1" x14ac:dyDescent="0.25">
      <c r="A35" s="1384">
        <v>2212</v>
      </c>
      <c r="B35" s="1464">
        <v>6121</v>
      </c>
      <c r="C35" s="2831" t="s">
        <v>1886</v>
      </c>
      <c r="D35" s="1405" t="s">
        <v>548</v>
      </c>
      <c r="E35" s="1414">
        <v>0</v>
      </c>
      <c r="F35" s="1414">
        <v>48829</v>
      </c>
      <c r="G35" s="1414">
        <v>48827</v>
      </c>
      <c r="H35" s="1390">
        <f>G35/F35*100</f>
        <v>99.995904073399004</v>
      </c>
      <c r="I35" s="1398"/>
    </row>
    <row r="36" spans="1:10" ht="16.5" thickTop="1" thickBot="1" x14ac:dyDescent="0.3">
      <c r="A36" s="1406" t="s">
        <v>690</v>
      </c>
      <c r="B36" s="1407"/>
      <c r="C36" s="1407"/>
      <c r="D36" s="1408"/>
      <c r="E36" s="1387">
        <f>SUM(E31:E35)</f>
        <v>19103</v>
      </c>
      <c r="F36" s="1387">
        <f>SUM(F31:F35)</f>
        <v>74126</v>
      </c>
      <c r="G36" s="1387">
        <f>SUM(G31:G35)</f>
        <v>73753</v>
      </c>
      <c r="H36" s="1391">
        <f>G36/F36*100</f>
        <v>99.496802741278373</v>
      </c>
      <c r="I36" s="1398"/>
    </row>
    <row r="37" spans="1:10" ht="15.75" thickTop="1" x14ac:dyDescent="0.25">
      <c r="A37" s="1417"/>
      <c r="B37" s="1417"/>
      <c r="C37" s="1417"/>
      <c r="D37" s="1417"/>
      <c r="E37" s="1393"/>
      <c r="F37" s="1393"/>
      <c r="G37" s="1393"/>
      <c r="H37" s="1418"/>
      <c r="I37" s="1398"/>
    </row>
    <row r="38" spans="1:10" s="1309" customFormat="1" ht="15" x14ac:dyDescent="0.25">
      <c r="A38" s="1377" t="s">
        <v>1656</v>
      </c>
      <c r="B38" s="1371"/>
      <c r="C38" s="1371"/>
      <c r="D38" s="1371"/>
      <c r="E38" s="1372"/>
      <c r="F38" s="1398"/>
      <c r="G38" s="1398"/>
      <c r="H38" s="1398"/>
      <c r="I38" s="1372"/>
    </row>
    <row r="39" spans="1:10" s="1249" customFormat="1" ht="15.75" thickBot="1" x14ac:dyDescent="0.3">
      <c r="A39" s="1377" t="s">
        <v>1657</v>
      </c>
      <c r="B39" s="1371"/>
      <c r="C39" s="1371"/>
      <c r="D39" s="1371"/>
      <c r="E39" s="1372"/>
      <c r="F39" s="1398"/>
      <c r="G39" s="1398"/>
      <c r="H39" s="1459" t="s">
        <v>148</v>
      </c>
      <c r="I39" s="1372"/>
    </row>
    <row r="40" spans="1:10" ht="25.5" thickTop="1" thickBot="1" x14ac:dyDescent="0.25">
      <c r="A40" s="1378" t="s">
        <v>149</v>
      </c>
      <c r="B40" s="1379" t="s">
        <v>688</v>
      </c>
      <c r="C40" s="1379" t="s">
        <v>345</v>
      </c>
      <c r="D40" s="1380" t="s">
        <v>151</v>
      </c>
      <c r="E40" s="1402" t="s">
        <v>569</v>
      </c>
      <c r="F40" s="1402" t="s">
        <v>570</v>
      </c>
      <c r="G40" s="1403" t="s">
        <v>797</v>
      </c>
      <c r="H40" s="1404" t="s">
        <v>798</v>
      </c>
    </row>
    <row r="41" spans="1:10" ht="14.25" thickTop="1" thickBot="1" x14ac:dyDescent="0.25">
      <c r="A41" s="1297">
        <v>1</v>
      </c>
      <c r="B41" s="1296">
        <v>2</v>
      </c>
      <c r="C41" s="1296">
        <v>3</v>
      </c>
      <c r="D41" s="1296">
        <v>5</v>
      </c>
      <c r="E41" s="1295">
        <v>6</v>
      </c>
      <c r="F41" s="1295">
        <v>7</v>
      </c>
      <c r="G41" s="1446">
        <v>8</v>
      </c>
      <c r="H41" s="1383" t="s">
        <v>689</v>
      </c>
    </row>
    <row r="42" spans="1:10" ht="15.75" hidden="1" thickTop="1" x14ac:dyDescent="0.2">
      <c r="A42" s="1384">
        <v>2212</v>
      </c>
      <c r="B42" s="1385">
        <v>6121</v>
      </c>
      <c r="C42" s="1385">
        <v>12</v>
      </c>
      <c r="D42" s="1405" t="s">
        <v>548</v>
      </c>
      <c r="E42" s="1414"/>
      <c r="F42" s="1414"/>
      <c r="G42" s="1414"/>
      <c r="H42" s="1390" t="e">
        <f>G42/F42*100</f>
        <v>#DIV/0!</v>
      </c>
      <c r="I42" s="1398"/>
    </row>
    <row r="43" spans="1:10" ht="15.75" thickTop="1" x14ac:dyDescent="0.2">
      <c r="A43" s="1384">
        <v>2212</v>
      </c>
      <c r="B43" s="1464">
        <v>6121</v>
      </c>
      <c r="C43" s="1531" t="s">
        <v>2010</v>
      </c>
      <c r="D43" s="1405" t="s">
        <v>548</v>
      </c>
      <c r="E43" s="1414">
        <v>5882</v>
      </c>
      <c r="F43" s="1414">
        <v>736</v>
      </c>
      <c r="G43" s="1414">
        <v>0</v>
      </c>
      <c r="H43" s="1390">
        <f>G43/F43*100</f>
        <v>0</v>
      </c>
      <c r="I43" s="1398"/>
    </row>
    <row r="44" spans="1:10" ht="15" hidden="1" x14ac:dyDescent="0.2">
      <c r="A44" s="1384">
        <v>2212</v>
      </c>
      <c r="B44" s="1464">
        <v>6121</v>
      </c>
      <c r="C44" s="2831">
        <v>38100884</v>
      </c>
      <c r="D44" s="1405" t="s">
        <v>548</v>
      </c>
      <c r="E44" s="1414"/>
      <c r="F44" s="1414"/>
      <c r="G44" s="1414"/>
      <c r="H44" s="1390" t="e">
        <f>G44/F44*100</f>
        <v>#DIV/0!</v>
      </c>
      <c r="I44" s="1398"/>
    </row>
    <row r="45" spans="1:10" ht="15.75" thickBot="1" x14ac:dyDescent="0.25">
      <c r="A45" s="1384">
        <v>2212</v>
      </c>
      <c r="B45" s="1464">
        <v>6121</v>
      </c>
      <c r="C45" s="2831" t="s">
        <v>2013</v>
      </c>
      <c r="D45" s="1405" t="s">
        <v>548</v>
      </c>
      <c r="E45" s="1414">
        <v>3041</v>
      </c>
      <c r="F45" s="1414">
        <v>0</v>
      </c>
      <c r="G45" s="1414">
        <v>0</v>
      </c>
      <c r="H45" s="1390">
        <v>0</v>
      </c>
      <c r="I45" s="1398"/>
    </row>
    <row r="46" spans="1:10" ht="16.5" thickTop="1" thickBot="1" x14ac:dyDescent="0.3">
      <c r="A46" s="1406" t="s">
        <v>690</v>
      </c>
      <c r="B46" s="1407"/>
      <c r="C46" s="1407"/>
      <c r="D46" s="1408"/>
      <c r="E46" s="1387">
        <f>SUM(E42:E45)</f>
        <v>8923</v>
      </c>
      <c r="F46" s="1387">
        <f>SUM(F42:F45)</f>
        <v>736</v>
      </c>
      <c r="G46" s="1387">
        <f>SUM(G42:G45)</f>
        <v>0</v>
      </c>
      <c r="H46" s="1391">
        <f>G46/F46*100</f>
        <v>0</v>
      </c>
      <c r="I46" s="1398"/>
    </row>
    <row r="47" spans="1:10" s="1465" customFormat="1" ht="18.75" thickTop="1" x14ac:dyDescent="0.25">
      <c r="A47" s="1375"/>
      <c r="B47" s="1371"/>
      <c r="C47" s="1371"/>
      <c r="D47" s="1371"/>
      <c r="E47" s="1372"/>
      <c r="F47" s="1398"/>
      <c r="G47" s="1398"/>
      <c r="H47" s="1398"/>
      <c r="I47" s="1372"/>
      <c r="J47" s="1435"/>
    </row>
    <row r="48" spans="1:10" s="1309" customFormat="1" ht="15" x14ac:dyDescent="0.25">
      <c r="A48" s="1377" t="s">
        <v>1475</v>
      </c>
      <c r="B48" s="1371"/>
      <c r="C48" s="1371"/>
      <c r="D48" s="1371"/>
      <c r="E48" s="1372"/>
      <c r="F48" s="1398"/>
      <c r="G48" s="1398"/>
      <c r="H48" s="1398"/>
      <c r="I48" s="1372"/>
    </row>
    <row r="49" spans="1:10" s="1249" customFormat="1" ht="15.75" thickBot="1" x14ac:dyDescent="0.3">
      <c r="A49" s="1377" t="s">
        <v>1476</v>
      </c>
      <c r="B49" s="1371"/>
      <c r="C49" s="1371"/>
      <c r="D49" s="1371"/>
      <c r="E49" s="1372"/>
      <c r="F49" s="1398"/>
      <c r="G49" s="1398"/>
      <c r="H49" s="1459" t="s">
        <v>148</v>
      </c>
      <c r="I49" s="1372"/>
    </row>
    <row r="50" spans="1:10" ht="25.5" thickTop="1" thickBot="1" x14ac:dyDescent="0.25">
      <c r="A50" s="1378" t="s">
        <v>149</v>
      </c>
      <c r="B50" s="1379" t="s">
        <v>688</v>
      </c>
      <c r="C50" s="1379" t="s">
        <v>345</v>
      </c>
      <c r="D50" s="1380" t="s">
        <v>151</v>
      </c>
      <c r="E50" s="1402" t="s">
        <v>569</v>
      </c>
      <c r="F50" s="1402" t="s">
        <v>570</v>
      </c>
      <c r="G50" s="1403" t="s">
        <v>797</v>
      </c>
      <c r="H50" s="1404" t="s">
        <v>798</v>
      </c>
    </row>
    <row r="51" spans="1:10" ht="14.25" thickTop="1" thickBot="1" x14ac:dyDescent="0.25">
      <c r="A51" s="1297">
        <v>1</v>
      </c>
      <c r="B51" s="1296">
        <v>2</v>
      </c>
      <c r="C51" s="1296">
        <v>3</v>
      </c>
      <c r="D51" s="1296">
        <v>5</v>
      </c>
      <c r="E51" s="1295">
        <v>6</v>
      </c>
      <c r="F51" s="1295">
        <v>7</v>
      </c>
      <c r="G51" s="1446">
        <v>8</v>
      </c>
      <c r="H51" s="1383" t="s">
        <v>689</v>
      </c>
    </row>
    <row r="52" spans="1:10" ht="15.75" thickTop="1" x14ac:dyDescent="0.2">
      <c r="A52" s="1384">
        <v>2212</v>
      </c>
      <c r="B52" s="1385">
        <v>6121</v>
      </c>
      <c r="C52" s="1531" t="s">
        <v>2010</v>
      </c>
      <c r="D52" s="1405" t="s">
        <v>548</v>
      </c>
      <c r="E52" s="1414">
        <v>5669</v>
      </c>
      <c r="F52" s="1414">
        <v>5524</v>
      </c>
      <c r="G52" s="1414">
        <v>5524</v>
      </c>
      <c r="H52" s="1390">
        <f>G52/F52*100</f>
        <v>100</v>
      </c>
    </row>
    <row r="53" spans="1:10" ht="15" x14ac:dyDescent="0.2">
      <c r="A53" s="1384">
        <v>2212</v>
      </c>
      <c r="B53" s="1385">
        <v>6121</v>
      </c>
      <c r="C53" s="1531" t="s">
        <v>2014</v>
      </c>
      <c r="D53" s="1405" t="s">
        <v>548</v>
      </c>
      <c r="E53" s="1414">
        <v>0</v>
      </c>
      <c r="F53" s="1414">
        <v>115</v>
      </c>
      <c r="G53" s="1414">
        <v>114</v>
      </c>
      <c r="H53" s="1390">
        <f>G53/F53*100</f>
        <v>99.130434782608702</v>
      </c>
      <c r="I53" s="1398"/>
    </row>
    <row r="54" spans="1:10" ht="15" x14ac:dyDescent="0.2">
      <c r="A54" s="1384">
        <v>2212</v>
      </c>
      <c r="B54" s="1464">
        <v>6121</v>
      </c>
      <c r="C54" s="2831" t="s">
        <v>2013</v>
      </c>
      <c r="D54" s="1405" t="s">
        <v>548</v>
      </c>
      <c r="E54" s="1414">
        <v>0</v>
      </c>
      <c r="F54" s="1414">
        <v>4271</v>
      </c>
      <c r="G54" s="1414">
        <v>4271</v>
      </c>
      <c r="H54" s="1390">
        <f>G54/F54*100</f>
        <v>100</v>
      </c>
      <c r="I54" s="1398"/>
    </row>
    <row r="55" spans="1:10" ht="15" x14ac:dyDescent="0.2">
      <c r="A55" s="1384">
        <v>2212</v>
      </c>
      <c r="B55" s="1464">
        <v>6121</v>
      </c>
      <c r="C55" s="2831" t="s">
        <v>2025</v>
      </c>
      <c r="D55" s="1405" t="s">
        <v>548</v>
      </c>
      <c r="E55" s="1414">
        <v>2563</v>
      </c>
      <c r="F55" s="1414">
        <v>0</v>
      </c>
      <c r="G55" s="1414">
        <v>0</v>
      </c>
      <c r="H55" s="1390">
        <v>0</v>
      </c>
      <c r="I55" s="1398"/>
    </row>
    <row r="56" spans="1:10" ht="15.75" thickBot="1" x14ac:dyDescent="0.25">
      <c r="A56" s="1384">
        <v>2212</v>
      </c>
      <c r="B56" s="1464">
        <v>6121</v>
      </c>
      <c r="C56" s="2831" t="s">
        <v>1886</v>
      </c>
      <c r="D56" s="1405" t="s">
        <v>548</v>
      </c>
      <c r="E56" s="1414">
        <v>0</v>
      </c>
      <c r="F56" s="1414">
        <v>7739</v>
      </c>
      <c r="G56" s="1414">
        <v>7739</v>
      </c>
      <c r="H56" s="1390">
        <f>G56/F56*100</f>
        <v>100</v>
      </c>
      <c r="I56" s="1398"/>
    </row>
    <row r="57" spans="1:10" ht="16.5" thickTop="1" thickBot="1" x14ac:dyDescent="0.3">
      <c r="A57" s="1406" t="s">
        <v>690</v>
      </c>
      <c r="B57" s="1407"/>
      <c r="C57" s="1407"/>
      <c r="D57" s="1408"/>
      <c r="E57" s="1387">
        <f>SUM(E52:E56)</f>
        <v>8232</v>
      </c>
      <c r="F57" s="1387">
        <f>SUM(F52:F56)</f>
        <v>17649</v>
      </c>
      <c r="G57" s="1387">
        <f>SUM(G52:G56)</f>
        <v>17648</v>
      </c>
      <c r="H57" s="1391">
        <f>G57/F57*100</f>
        <v>99.994333956598098</v>
      </c>
      <c r="I57" s="1398"/>
    </row>
    <row r="58" spans="1:10" s="1465" customFormat="1" ht="18.75" thickTop="1" x14ac:dyDescent="0.25">
      <c r="A58" s="1375"/>
      <c r="B58" s="1371"/>
      <c r="C58" s="1371"/>
      <c r="D58" s="1371"/>
      <c r="E58" s="1372"/>
      <c r="F58" s="1398"/>
      <c r="G58" s="1398"/>
      <c r="H58" s="1398"/>
      <c r="I58" s="1372"/>
      <c r="J58" s="1435"/>
    </row>
    <row r="59" spans="1:10" s="1465" customFormat="1" ht="18" x14ac:dyDescent="0.25">
      <c r="A59" s="1375"/>
      <c r="B59" s="1371"/>
      <c r="C59" s="1371"/>
      <c r="D59" s="1371"/>
      <c r="E59" s="1372"/>
      <c r="F59" s="1398"/>
      <c r="G59" s="1398"/>
      <c r="H59" s="1398"/>
      <c r="I59" s="1372"/>
      <c r="J59" s="1435"/>
    </row>
    <row r="60" spans="1:10" ht="15" x14ac:dyDescent="0.25">
      <c r="A60" s="1377" t="s">
        <v>467</v>
      </c>
    </row>
    <row r="61" spans="1:10" ht="15.75" thickBot="1" x14ac:dyDescent="0.3">
      <c r="A61" s="1377" t="s">
        <v>1477</v>
      </c>
      <c r="H61" s="1398" t="s">
        <v>148</v>
      </c>
    </row>
    <row r="62" spans="1:10" ht="25.5" thickTop="1" thickBot="1" x14ac:dyDescent="0.25">
      <c r="A62" s="1378" t="s">
        <v>149</v>
      </c>
      <c r="B62" s="1379" t="s">
        <v>688</v>
      </c>
      <c r="C62" s="1379" t="s">
        <v>345</v>
      </c>
      <c r="D62" s="1380" t="s">
        <v>151</v>
      </c>
      <c r="E62" s="1402" t="s">
        <v>569</v>
      </c>
      <c r="F62" s="1402" t="s">
        <v>570</v>
      </c>
      <c r="G62" s="1403" t="s">
        <v>797</v>
      </c>
      <c r="H62" s="1404" t="s">
        <v>798</v>
      </c>
    </row>
    <row r="63" spans="1:10" ht="14.25" thickTop="1" thickBot="1" x14ac:dyDescent="0.25">
      <c r="A63" s="1297">
        <v>1</v>
      </c>
      <c r="B63" s="1296">
        <v>2</v>
      </c>
      <c r="C63" s="1296">
        <v>3</v>
      </c>
      <c r="D63" s="1296">
        <v>5</v>
      </c>
      <c r="E63" s="1295">
        <v>6</v>
      </c>
      <c r="F63" s="1295">
        <v>7</v>
      </c>
      <c r="G63" s="1446">
        <v>8</v>
      </c>
      <c r="H63" s="1383" t="s">
        <v>689</v>
      </c>
    </row>
    <row r="64" spans="1:10" ht="15.75" hidden="1" thickTop="1" x14ac:dyDescent="0.2">
      <c r="A64" s="1384">
        <v>2212</v>
      </c>
      <c r="B64" s="1385">
        <v>6121</v>
      </c>
      <c r="C64" s="1385">
        <v>12</v>
      </c>
      <c r="D64" s="1405" t="s">
        <v>548</v>
      </c>
      <c r="E64" s="1414"/>
      <c r="F64" s="1414"/>
      <c r="G64" s="1414"/>
      <c r="H64" s="1390">
        <v>0</v>
      </c>
    </row>
    <row r="65" spans="1:8" ht="15.75" thickTop="1" x14ac:dyDescent="0.2">
      <c r="A65" s="1384">
        <v>2212</v>
      </c>
      <c r="B65" s="1385">
        <v>6121</v>
      </c>
      <c r="C65" s="1531" t="s">
        <v>2010</v>
      </c>
      <c r="D65" s="1405" t="s">
        <v>548</v>
      </c>
      <c r="E65" s="1414">
        <v>0</v>
      </c>
      <c r="F65" s="1414">
        <v>30</v>
      </c>
      <c r="G65" s="1414">
        <v>30</v>
      </c>
      <c r="H65" s="1390">
        <f>G65/F65*100</f>
        <v>100</v>
      </c>
    </row>
    <row r="66" spans="1:8" ht="15" x14ac:dyDescent="0.2">
      <c r="A66" s="1384">
        <v>2212</v>
      </c>
      <c r="B66" s="1464">
        <v>6121</v>
      </c>
      <c r="C66" s="2831" t="s">
        <v>2014</v>
      </c>
      <c r="D66" s="1405" t="s">
        <v>548</v>
      </c>
      <c r="E66" s="1414">
        <v>0</v>
      </c>
      <c r="F66" s="1414">
        <v>216</v>
      </c>
      <c r="G66" s="1414">
        <v>216</v>
      </c>
      <c r="H66" s="1390">
        <f>G66/F66*100</f>
        <v>100</v>
      </c>
    </row>
    <row r="67" spans="1:8" ht="15.75" thickBot="1" x14ac:dyDescent="0.25">
      <c r="A67" s="1384">
        <v>2212</v>
      </c>
      <c r="B67" s="1464">
        <v>6121</v>
      </c>
      <c r="C67" s="2831" t="s">
        <v>2013</v>
      </c>
      <c r="D67" s="1405" t="s">
        <v>548</v>
      </c>
      <c r="E67" s="1414">
        <v>0</v>
      </c>
      <c r="F67" s="1414">
        <v>172</v>
      </c>
      <c r="G67" s="1414">
        <v>172</v>
      </c>
      <c r="H67" s="1390">
        <f>G67/F67*100</f>
        <v>100</v>
      </c>
    </row>
    <row r="68" spans="1:8" ht="15.75" hidden="1" thickBot="1" x14ac:dyDescent="0.25">
      <c r="A68" s="1384">
        <v>2212</v>
      </c>
      <c r="B68" s="1464">
        <v>6121</v>
      </c>
      <c r="C68" s="1464">
        <v>38587505</v>
      </c>
      <c r="D68" s="1405" t="s">
        <v>548</v>
      </c>
      <c r="E68" s="1414"/>
      <c r="F68" s="1414"/>
      <c r="G68" s="1414"/>
      <c r="H68" s="1390" t="e">
        <f>G68/F68*100</f>
        <v>#DIV/0!</v>
      </c>
    </row>
    <row r="69" spans="1:8" ht="16.5" thickTop="1" thickBot="1" x14ac:dyDescent="0.3">
      <c r="A69" s="1406" t="s">
        <v>690</v>
      </c>
      <c r="B69" s="1407"/>
      <c r="C69" s="1407"/>
      <c r="D69" s="1408"/>
      <c r="E69" s="1387">
        <f>SUM(E64:E68)</f>
        <v>0</v>
      </c>
      <c r="F69" s="1387">
        <f>SUM(F64:F68)</f>
        <v>418</v>
      </c>
      <c r="G69" s="1387">
        <f>SUM(G64:G68)</f>
        <v>418</v>
      </c>
      <c r="H69" s="1391">
        <f>G69/F69*100</f>
        <v>100</v>
      </c>
    </row>
    <row r="70" spans="1:8" ht="18.75" thickTop="1" x14ac:dyDescent="0.25">
      <c r="A70" s="1375"/>
    </row>
    <row r="71" spans="1:8" ht="18" x14ac:dyDescent="0.25">
      <c r="A71" s="1375"/>
    </row>
    <row r="72" spans="1:8" ht="15" hidden="1" x14ac:dyDescent="0.25">
      <c r="A72" s="1377" t="s">
        <v>448</v>
      </c>
    </row>
    <row r="73" spans="1:8" ht="15" hidden="1" x14ac:dyDescent="0.25">
      <c r="A73" s="1377" t="s">
        <v>230</v>
      </c>
      <c r="H73" s="1398" t="s">
        <v>148</v>
      </c>
    </row>
    <row r="74" spans="1:8" ht="25.5" hidden="1" thickTop="1" thickBot="1" x14ac:dyDescent="0.25">
      <c r="A74" s="1378" t="s">
        <v>149</v>
      </c>
      <c r="B74" s="1379" t="s">
        <v>688</v>
      </c>
      <c r="C74" s="1379" t="s">
        <v>345</v>
      </c>
      <c r="D74" s="1380" t="s">
        <v>151</v>
      </c>
      <c r="E74" s="1402" t="s">
        <v>569</v>
      </c>
      <c r="F74" s="1402" t="s">
        <v>570</v>
      </c>
      <c r="G74" s="1403" t="s">
        <v>797</v>
      </c>
      <c r="H74" s="1404" t="s">
        <v>798</v>
      </c>
    </row>
    <row r="75" spans="1:8" ht="14.25" hidden="1" thickTop="1" thickBot="1" x14ac:dyDescent="0.25">
      <c r="A75" s="1297">
        <v>1</v>
      </c>
      <c r="B75" s="1296">
        <v>2</v>
      </c>
      <c r="C75" s="1296">
        <v>3</v>
      </c>
      <c r="D75" s="1296">
        <v>5</v>
      </c>
      <c r="E75" s="1295">
        <v>6</v>
      </c>
      <c r="F75" s="1295">
        <v>7</v>
      </c>
      <c r="G75" s="1446">
        <v>8</v>
      </c>
      <c r="H75" s="1383" t="s">
        <v>689</v>
      </c>
    </row>
    <row r="76" spans="1:8" ht="15" hidden="1" x14ac:dyDescent="0.2">
      <c r="A76" s="1384">
        <v>2212</v>
      </c>
      <c r="B76" s="1385">
        <v>6121</v>
      </c>
      <c r="C76" s="1464">
        <v>38100870</v>
      </c>
      <c r="D76" s="1405" t="s">
        <v>548</v>
      </c>
      <c r="E76" s="1414"/>
      <c r="F76" s="1414"/>
      <c r="G76" s="1414"/>
      <c r="H76" s="1390" t="e">
        <f>G76/F76*100</f>
        <v>#DIV/0!</v>
      </c>
    </row>
    <row r="77" spans="1:8" ht="15" hidden="1" x14ac:dyDescent="0.2">
      <c r="A77" s="1384">
        <v>2212</v>
      </c>
      <c r="B77" s="1464">
        <v>6121</v>
      </c>
      <c r="C77" s="1464">
        <v>38100872</v>
      </c>
      <c r="D77" s="1405" t="s">
        <v>548</v>
      </c>
      <c r="E77" s="1414"/>
      <c r="F77" s="1414"/>
      <c r="G77" s="1453"/>
      <c r="H77" s="1390">
        <v>0</v>
      </c>
    </row>
    <row r="78" spans="1:8" ht="15.75" hidden="1" thickBot="1" x14ac:dyDescent="0.25">
      <c r="A78" s="1384">
        <v>2212</v>
      </c>
      <c r="B78" s="1464">
        <v>6121</v>
      </c>
      <c r="C78" s="1464">
        <v>38500871</v>
      </c>
      <c r="D78" s="1405" t="s">
        <v>548</v>
      </c>
      <c r="E78" s="1414"/>
      <c r="F78" s="1411"/>
      <c r="G78" s="1411"/>
      <c r="H78" s="1390" t="e">
        <f>G78/F78*100</f>
        <v>#DIV/0!</v>
      </c>
    </row>
    <row r="79" spans="1:8" ht="16.5" hidden="1" thickTop="1" thickBot="1" x14ac:dyDescent="0.3">
      <c r="A79" s="1406" t="s">
        <v>690</v>
      </c>
      <c r="B79" s="1407"/>
      <c r="C79" s="1407"/>
      <c r="D79" s="1408"/>
      <c r="E79" s="1387">
        <f>SUM(E76:E78)</f>
        <v>0</v>
      </c>
      <c r="F79" s="1387">
        <f>SUM(F76:F78)</f>
        <v>0</v>
      </c>
      <c r="G79" s="1387">
        <f>SUM(G76:G78)</f>
        <v>0</v>
      </c>
      <c r="H79" s="1391" t="e">
        <f>G79/F79*100</f>
        <v>#DIV/0!</v>
      </c>
    </row>
    <row r="80" spans="1:8" ht="18" hidden="1" x14ac:dyDescent="0.25">
      <c r="A80" s="1375"/>
    </row>
    <row r="81" spans="1:9" ht="18" hidden="1" x14ac:dyDescent="0.25">
      <c r="A81" s="1375"/>
    </row>
    <row r="82" spans="1:9" ht="15" hidden="1" x14ac:dyDescent="0.25">
      <c r="A82" s="1377" t="s">
        <v>1415</v>
      </c>
    </row>
    <row r="83" spans="1:9" ht="15" hidden="1" x14ac:dyDescent="0.25">
      <c r="A83" s="1377" t="s">
        <v>969</v>
      </c>
      <c r="H83" s="1459" t="s">
        <v>148</v>
      </c>
    </row>
    <row r="84" spans="1:9" ht="25.5" hidden="1" thickTop="1" thickBot="1" x14ac:dyDescent="0.25">
      <c r="A84" s="1378" t="s">
        <v>149</v>
      </c>
      <c r="B84" s="1379" t="s">
        <v>688</v>
      </c>
      <c r="C84" s="1379" t="s">
        <v>345</v>
      </c>
      <c r="D84" s="1380" t="s">
        <v>151</v>
      </c>
      <c r="E84" s="1402" t="s">
        <v>569</v>
      </c>
      <c r="F84" s="1402" t="s">
        <v>570</v>
      </c>
      <c r="G84" s="1403" t="s">
        <v>797</v>
      </c>
      <c r="H84" s="1404" t="s">
        <v>798</v>
      </c>
    </row>
    <row r="85" spans="1:9" ht="14.25" hidden="1" thickTop="1" thickBot="1" x14ac:dyDescent="0.25">
      <c r="A85" s="1297">
        <v>1</v>
      </c>
      <c r="B85" s="1296">
        <v>2</v>
      </c>
      <c r="C85" s="1296">
        <v>3</v>
      </c>
      <c r="D85" s="1296">
        <v>5</v>
      </c>
      <c r="E85" s="1295">
        <v>6</v>
      </c>
      <c r="F85" s="1295">
        <v>7</v>
      </c>
      <c r="G85" s="1446">
        <v>8</v>
      </c>
      <c r="H85" s="1383" t="s">
        <v>689</v>
      </c>
    </row>
    <row r="86" spans="1:9" ht="15" hidden="1" x14ac:dyDescent="0.2">
      <c r="A86" s="1384">
        <v>2212</v>
      </c>
      <c r="B86" s="1464">
        <v>6121</v>
      </c>
      <c r="C86" s="1464">
        <v>21</v>
      </c>
      <c r="D86" s="1405" t="s">
        <v>548</v>
      </c>
      <c r="E86" s="1414">
        <v>0</v>
      </c>
      <c r="F86" s="1414">
        <v>0</v>
      </c>
      <c r="G86" s="1414">
        <v>0</v>
      </c>
      <c r="H86" s="1390" t="e">
        <f t="shared" ref="H86:H91" si="0">G86/F86*100</f>
        <v>#DIV/0!</v>
      </c>
    </row>
    <row r="87" spans="1:9" ht="15" hidden="1" x14ac:dyDescent="0.2">
      <c r="A87" s="1384">
        <v>2212</v>
      </c>
      <c r="B87" s="1464">
        <v>6121</v>
      </c>
      <c r="C87" s="1464">
        <v>38100872</v>
      </c>
      <c r="D87" s="1405" t="s">
        <v>553</v>
      </c>
      <c r="E87" s="1414">
        <v>0</v>
      </c>
      <c r="F87" s="1414"/>
      <c r="G87" s="1414"/>
      <c r="H87" s="1390" t="e">
        <f t="shared" si="0"/>
        <v>#DIV/0!</v>
      </c>
    </row>
    <row r="88" spans="1:9" ht="15" hidden="1" x14ac:dyDescent="0.2">
      <c r="A88" s="1384">
        <v>2212</v>
      </c>
      <c r="B88" s="1464">
        <v>6121</v>
      </c>
      <c r="C88" s="1464">
        <v>38100874</v>
      </c>
      <c r="D88" s="1405" t="s">
        <v>553</v>
      </c>
      <c r="E88" s="1414">
        <v>0</v>
      </c>
      <c r="F88" s="1414"/>
      <c r="G88" s="1414"/>
      <c r="H88" s="1390" t="e">
        <f t="shared" si="0"/>
        <v>#DIV/0!</v>
      </c>
    </row>
    <row r="89" spans="1:9" ht="15" hidden="1" x14ac:dyDescent="0.2">
      <c r="A89" s="1384">
        <v>2212</v>
      </c>
      <c r="B89" s="1464">
        <v>6121</v>
      </c>
      <c r="C89" s="1464">
        <v>38500871</v>
      </c>
      <c r="D89" s="1405" t="s">
        <v>548</v>
      </c>
      <c r="E89" s="1414">
        <v>0</v>
      </c>
      <c r="F89" s="1414"/>
      <c r="G89" s="1414"/>
      <c r="H89" s="1390" t="e">
        <f t="shared" si="0"/>
        <v>#DIV/0!</v>
      </c>
    </row>
    <row r="90" spans="1:9" ht="15" hidden="1" x14ac:dyDescent="0.2">
      <c r="A90" s="1384">
        <v>2212</v>
      </c>
      <c r="B90" s="1464">
        <v>6121</v>
      </c>
      <c r="C90" s="1464">
        <v>38591628</v>
      </c>
      <c r="D90" s="1405" t="s">
        <v>548</v>
      </c>
      <c r="E90" s="1414">
        <v>0</v>
      </c>
      <c r="F90" s="1414"/>
      <c r="G90" s="1414"/>
      <c r="H90" s="1390" t="e">
        <f t="shared" si="0"/>
        <v>#DIV/0!</v>
      </c>
    </row>
    <row r="91" spans="1:9" ht="16.5" hidden="1" thickTop="1" thickBot="1" x14ac:dyDescent="0.3">
      <c r="A91" s="1406" t="s">
        <v>690</v>
      </c>
      <c r="B91" s="1407"/>
      <c r="C91" s="1407"/>
      <c r="D91" s="1408"/>
      <c r="E91" s="1387">
        <f>SUM(E89:E90)</f>
        <v>0</v>
      </c>
      <c r="F91" s="1387">
        <f>SUM(F86:F90)</f>
        <v>0</v>
      </c>
      <c r="G91" s="1387">
        <f>SUM(G86:G90)</f>
        <v>0</v>
      </c>
      <c r="H91" s="1391" t="e">
        <f t="shared" si="0"/>
        <v>#DIV/0!</v>
      </c>
    </row>
    <row r="92" spans="1:9" hidden="1" x14ac:dyDescent="0.2">
      <c r="A92" s="1460"/>
      <c r="B92" s="1460"/>
      <c r="C92" s="1460"/>
      <c r="D92" s="1460"/>
      <c r="E92" s="1462"/>
      <c r="F92" s="1461"/>
      <c r="G92" s="1461"/>
      <c r="H92" s="1461"/>
      <c r="I92" s="1460"/>
    </row>
    <row r="93" spans="1:9" s="1309" customFormat="1" ht="15" hidden="1" x14ac:dyDescent="0.25">
      <c r="A93" s="1377" t="s">
        <v>1342</v>
      </c>
      <c r="B93" s="1371"/>
      <c r="C93" s="1371"/>
      <c r="D93" s="1371"/>
      <c r="E93" s="1372"/>
      <c r="F93" s="1398"/>
      <c r="G93" s="1398"/>
      <c r="H93" s="1398"/>
      <c r="I93" s="1372"/>
    </row>
    <row r="94" spans="1:9" s="1249" customFormat="1" ht="15" hidden="1" x14ac:dyDescent="0.25">
      <c r="A94" s="1377" t="s">
        <v>1343</v>
      </c>
      <c r="B94" s="1371"/>
      <c r="C94" s="1371"/>
      <c r="D94" s="1371"/>
      <c r="E94" s="1372"/>
      <c r="F94" s="1398"/>
      <c r="G94" s="1398"/>
      <c r="H94" s="1459" t="s">
        <v>148</v>
      </c>
      <c r="I94" s="1372"/>
    </row>
    <row r="95" spans="1:9" ht="25.5" hidden="1" thickTop="1" thickBot="1" x14ac:dyDescent="0.25">
      <c r="A95" s="1378" t="s">
        <v>149</v>
      </c>
      <c r="B95" s="1379" t="s">
        <v>688</v>
      </c>
      <c r="C95" s="1379" t="s">
        <v>345</v>
      </c>
      <c r="D95" s="1380" t="s">
        <v>151</v>
      </c>
      <c r="E95" s="1402" t="s">
        <v>569</v>
      </c>
      <c r="F95" s="1402" t="s">
        <v>570</v>
      </c>
      <c r="G95" s="1403" t="s">
        <v>797</v>
      </c>
      <c r="H95" s="1404" t="s">
        <v>798</v>
      </c>
    </row>
    <row r="96" spans="1:9" ht="14.25" hidden="1" thickTop="1" thickBot="1" x14ac:dyDescent="0.25">
      <c r="A96" s="1297">
        <v>1</v>
      </c>
      <c r="B96" s="1296">
        <v>2</v>
      </c>
      <c r="C96" s="1296">
        <v>3</v>
      </c>
      <c r="D96" s="1296">
        <v>5</v>
      </c>
      <c r="E96" s="1295">
        <v>6</v>
      </c>
      <c r="F96" s="1295">
        <v>7</v>
      </c>
      <c r="G96" s="1446">
        <v>8</v>
      </c>
      <c r="H96" s="1383" t="s">
        <v>689</v>
      </c>
    </row>
    <row r="97" spans="1:9" ht="15" hidden="1" x14ac:dyDescent="0.2">
      <c r="A97" s="1384">
        <v>2212</v>
      </c>
      <c r="B97" s="1385">
        <v>5169</v>
      </c>
      <c r="C97" s="1385">
        <v>38100874</v>
      </c>
      <c r="D97" s="1405" t="s">
        <v>769</v>
      </c>
      <c r="E97" s="1414">
        <v>0</v>
      </c>
      <c r="F97" s="1414"/>
      <c r="G97" s="1414"/>
      <c r="H97" s="1390">
        <v>0</v>
      </c>
    </row>
    <row r="98" spans="1:9" ht="15" hidden="1" x14ac:dyDescent="0.2">
      <c r="A98" s="1384">
        <v>2212</v>
      </c>
      <c r="B98" s="1385">
        <v>6121</v>
      </c>
      <c r="C98" s="1385">
        <v>38100870</v>
      </c>
      <c r="D98" s="1405" t="s">
        <v>548</v>
      </c>
      <c r="E98" s="1414">
        <v>0</v>
      </c>
      <c r="F98" s="1414"/>
      <c r="G98" s="1414"/>
      <c r="H98" s="1390" t="e">
        <f>G98/F98*100</f>
        <v>#DIV/0!</v>
      </c>
      <c r="I98" s="1398"/>
    </row>
    <row r="99" spans="1:9" ht="15" hidden="1" x14ac:dyDescent="0.2">
      <c r="A99" s="1384">
        <v>2212</v>
      </c>
      <c r="B99" s="1464">
        <v>6121</v>
      </c>
      <c r="C99" s="1464">
        <v>38100874</v>
      </c>
      <c r="D99" s="1405" t="s">
        <v>548</v>
      </c>
      <c r="E99" s="1414">
        <v>0</v>
      </c>
      <c r="F99" s="1414"/>
      <c r="G99" s="1414"/>
      <c r="H99" s="1390" t="e">
        <f>G99/F99*100</f>
        <v>#DIV/0!</v>
      </c>
      <c r="I99" s="1398"/>
    </row>
    <row r="100" spans="1:9" ht="15" hidden="1" x14ac:dyDescent="0.2">
      <c r="A100" s="1384">
        <v>2212</v>
      </c>
      <c r="B100" s="1464">
        <v>6121</v>
      </c>
      <c r="C100" s="1464">
        <v>38500871</v>
      </c>
      <c r="D100" s="1405" t="s">
        <v>548</v>
      </c>
      <c r="E100" s="1414">
        <v>0</v>
      </c>
      <c r="F100" s="1414"/>
      <c r="G100" s="1414"/>
      <c r="H100" s="1390" t="e">
        <f>G100/F100*100</f>
        <v>#DIV/0!</v>
      </c>
      <c r="I100" s="1398"/>
    </row>
    <row r="101" spans="1:9" ht="16.5" hidden="1" thickTop="1" thickBot="1" x14ac:dyDescent="0.3">
      <c r="A101" s="1406" t="s">
        <v>690</v>
      </c>
      <c r="B101" s="1407"/>
      <c r="C101" s="1407"/>
      <c r="D101" s="1408"/>
      <c r="E101" s="1387">
        <f>SUM(E97:E100)</f>
        <v>0</v>
      </c>
      <c r="F101" s="1387">
        <f>SUM(F97:F100)</f>
        <v>0</v>
      </c>
      <c r="G101" s="1387">
        <f>SUM(G97:G100)</f>
        <v>0</v>
      </c>
      <c r="H101" s="1391" t="e">
        <f>G101/F101*100</f>
        <v>#DIV/0!</v>
      </c>
      <c r="I101" s="1398"/>
    </row>
    <row r="102" spans="1:9" hidden="1" x14ac:dyDescent="0.2">
      <c r="A102" s="1460"/>
      <c r="B102" s="1460"/>
      <c r="C102" s="1460"/>
      <c r="D102" s="1460"/>
      <c r="E102" s="1462"/>
      <c r="F102" s="1461"/>
      <c r="G102" s="1461"/>
      <c r="H102" s="1461"/>
      <c r="I102" s="1460"/>
    </row>
    <row r="103" spans="1:9" s="1309" customFormat="1" ht="15" hidden="1" x14ac:dyDescent="0.25">
      <c r="A103" s="1377" t="s">
        <v>1219</v>
      </c>
      <c r="B103" s="1371"/>
      <c r="C103" s="1371"/>
      <c r="D103" s="1371"/>
      <c r="E103" s="1372"/>
      <c r="F103" s="1398"/>
      <c r="G103" s="1398"/>
      <c r="H103" s="1398"/>
      <c r="I103" s="1372"/>
    </row>
    <row r="104" spans="1:9" s="1249" customFormat="1" ht="15" hidden="1" x14ac:dyDescent="0.25">
      <c r="A104" s="1377" t="s">
        <v>1218</v>
      </c>
      <c r="B104" s="1371"/>
      <c r="C104" s="1371"/>
      <c r="D104" s="1371"/>
      <c r="E104" s="1372"/>
      <c r="F104" s="1398"/>
      <c r="G104" s="1398"/>
      <c r="H104" s="1459" t="s">
        <v>148</v>
      </c>
      <c r="I104" s="1372"/>
    </row>
    <row r="105" spans="1:9" ht="25.5" hidden="1" thickTop="1" thickBot="1" x14ac:dyDescent="0.25">
      <c r="A105" s="1378" t="s">
        <v>149</v>
      </c>
      <c r="B105" s="1379" t="s">
        <v>688</v>
      </c>
      <c r="C105" s="1379" t="s">
        <v>345</v>
      </c>
      <c r="D105" s="1380" t="s">
        <v>151</v>
      </c>
      <c r="E105" s="1402" t="s">
        <v>569</v>
      </c>
      <c r="F105" s="1402" t="s">
        <v>570</v>
      </c>
      <c r="G105" s="1403" t="s">
        <v>797</v>
      </c>
      <c r="H105" s="1404" t="s">
        <v>798</v>
      </c>
    </row>
    <row r="106" spans="1:9" ht="14.25" hidden="1" thickTop="1" thickBot="1" x14ac:dyDescent="0.25">
      <c r="A106" s="1297">
        <v>1</v>
      </c>
      <c r="B106" s="1296">
        <v>2</v>
      </c>
      <c r="C106" s="1296">
        <v>3</v>
      </c>
      <c r="D106" s="1296">
        <v>5</v>
      </c>
      <c r="E106" s="1295">
        <v>6</v>
      </c>
      <c r="F106" s="1295">
        <v>7</v>
      </c>
      <c r="G106" s="1446">
        <v>8</v>
      </c>
      <c r="H106" s="1383" t="s">
        <v>689</v>
      </c>
    </row>
    <row r="107" spans="1:9" ht="15" hidden="1" x14ac:dyDescent="0.2">
      <c r="A107" s="1384">
        <v>2212</v>
      </c>
      <c r="B107" s="1385">
        <v>6121</v>
      </c>
      <c r="C107" s="1385">
        <v>38100870</v>
      </c>
      <c r="D107" s="1405" t="s">
        <v>548</v>
      </c>
      <c r="E107" s="1414">
        <v>0</v>
      </c>
      <c r="F107" s="1414"/>
      <c r="G107" s="1414"/>
      <c r="H107" s="1390" t="e">
        <f>G107/F107*100</f>
        <v>#DIV/0!</v>
      </c>
      <c r="I107" s="1398"/>
    </row>
    <row r="108" spans="1:9" ht="15" hidden="1" x14ac:dyDescent="0.2">
      <c r="A108" s="1384">
        <v>2212</v>
      </c>
      <c r="B108" s="1464">
        <v>6121</v>
      </c>
      <c r="C108" s="1464">
        <v>38100874</v>
      </c>
      <c r="D108" s="1405" t="s">
        <v>548</v>
      </c>
      <c r="E108" s="1414">
        <v>0</v>
      </c>
      <c r="F108" s="1414"/>
      <c r="G108" s="1414"/>
      <c r="H108" s="1390" t="e">
        <f>G108/F108*100</f>
        <v>#DIV/0!</v>
      </c>
      <c r="I108" s="1398"/>
    </row>
    <row r="109" spans="1:9" ht="15" hidden="1" x14ac:dyDescent="0.2">
      <c r="A109" s="1384">
        <v>2212</v>
      </c>
      <c r="B109" s="1464">
        <v>6121</v>
      </c>
      <c r="C109" s="1464">
        <v>38500871</v>
      </c>
      <c r="D109" s="1405" t="s">
        <v>548</v>
      </c>
      <c r="E109" s="1414">
        <v>0</v>
      </c>
      <c r="F109" s="1414"/>
      <c r="G109" s="1414"/>
      <c r="H109" s="1390" t="e">
        <f>G109/F109*100</f>
        <v>#DIV/0!</v>
      </c>
      <c r="I109" s="1398"/>
    </row>
    <row r="110" spans="1:9" ht="16.5" hidden="1" thickTop="1" thickBot="1" x14ac:dyDescent="0.3">
      <c r="A110" s="1406" t="s">
        <v>690</v>
      </c>
      <c r="B110" s="1407"/>
      <c r="C110" s="1407"/>
      <c r="D110" s="1408"/>
      <c r="E110" s="1387">
        <f>SUM(E107:E109)</f>
        <v>0</v>
      </c>
      <c r="F110" s="1387">
        <f>SUM(F107:F109)</f>
        <v>0</v>
      </c>
      <c r="G110" s="1387">
        <f>SUM(G107:G109)</f>
        <v>0</v>
      </c>
      <c r="H110" s="1391" t="e">
        <f>G110/F110*100</f>
        <v>#DIV/0!</v>
      </c>
      <c r="I110" s="1398"/>
    </row>
    <row r="111" spans="1:9" ht="15" hidden="1" x14ac:dyDescent="0.25">
      <c r="A111" s="1417"/>
      <c r="B111" s="1417"/>
      <c r="C111" s="1417"/>
      <c r="D111" s="1417"/>
      <c r="E111" s="1393"/>
      <c r="F111" s="1393"/>
      <c r="G111" s="1393"/>
      <c r="H111" s="1418"/>
      <c r="I111" s="1398"/>
    </row>
    <row r="112" spans="1:9" s="1309" customFormat="1" ht="15" hidden="1" x14ac:dyDescent="0.25">
      <c r="A112" s="1377" t="s">
        <v>1158</v>
      </c>
      <c r="B112" s="1371"/>
      <c r="C112" s="1371"/>
      <c r="D112" s="1371"/>
      <c r="E112" s="1372"/>
      <c r="F112" s="1398"/>
      <c r="G112" s="1398"/>
      <c r="H112" s="1398"/>
      <c r="I112" s="1372"/>
    </row>
    <row r="113" spans="1:12" s="1249" customFormat="1" ht="15" hidden="1" x14ac:dyDescent="0.25">
      <c r="A113" s="1377" t="s">
        <v>1159</v>
      </c>
      <c r="B113" s="1371"/>
      <c r="C113" s="1371"/>
      <c r="D113" s="1371"/>
      <c r="E113" s="1372"/>
      <c r="F113" s="1398"/>
      <c r="G113" s="1398"/>
      <c r="H113" s="1459" t="s">
        <v>148</v>
      </c>
      <c r="I113" s="1372"/>
    </row>
    <row r="114" spans="1:12" ht="25.5" hidden="1" thickTop="1" thickBot="1" x14ac:dyDescent="0.25">
      <c r="A114" s="1378" t="s">
        <v>149</v>
      </c>
      <c r="B114" s="1379" t="s">
        <v>688</v>
      </c>
      <c r="C114" s="1379" t="s">
        <v>345</v>
      </c>
      <c r="D114" s="1380" t="s">
        <v>151</v>
      </c>
      <c r="E114" s="1402" t="s">
        <v>569</v>
      </c>
      <c r="F114" s="1402" t="s">
        <v>570</v>
      </c>
      <c r="G114" s="1403" t="s">
        <v>797</v>
      </c>
      <c r="H114" s="1404" t="s">
        <v>798</v>
      </c>
    </row>
    <row r="115" spans="1:12" ht="14.25" hidden="1" thickTop="1" thickBot="1" x14ac:dyDescent="0.25">
      <c r="A115" s="1297">
        <v>1</v>
      </c>
      <c r="B115" s="1296">
        <v>2</v>
      </c>
      <c r="C115" s="1296">
        <v>3</v>
      </c>
      <c r="D115" s="1296">
        <v>5</v>
      </c>
      <c r="E115" s="1295">
        <v>6</v>
      </c>
      <c r="F115" s="1295">
        <v>7</v>
      </c>
      <c r="G115" s="1446">
        <v>8</v>
      </c>
      <c r="H115" s="1383" t="s">
        <v>689</v>
      </c>
    </row>
    <row r="116" spans="1:12" ht="15" hidden="1" x14ac:dyDescent="0.2">
      <c r="A116" s="1384">
        <v>2212</v>
      </c>
      <c r="B116" s="1464">
        <v>5363</v>
      </c>
      <c r="C116" s="1385">
        <v>38100884</v>
      </c>
      <c r="D116" s="1405" t="s">
        <v>1353</v>
      </c>
      <c r="E116" s="1414">
        <v>0</v>
      </c>
      <c r="F116" s="1414"/>
      <c r="G116" s="1414"/>
      <c r="H116" s="1390" t="e">
        <f t="shared" ref="H116:H121" si="1">G116/F116*100</f>
        <v>#DIV/0!</v>
      </c>
    </row>
    <row r="117" spans="1:12" ht="15" hidden="1" x14ac:dyDescent="0.2">
      <c r="A117" s="1384">
        <v>2212</v>
      </c>
      <c r="B117" s="1385">
        <v>6121</v>
      </c>
      <c r="C117" s="1385">
        <v>38100870</v>
      </c>
      <c r="D117" s="1405" t="s">
        <v>548</v>
      </c>
      <c r="E117" s="1414">
        <v>0</v>
      </c>
      <c r="F117" s="1414"/>
      <c r="G117" s="1414"/>
      <c r="H117" s="1390" t="e">
        <f t="shared" si="1"/>
        <v>#DIV/0!</v>
      </c>
      <c r="I117" s="1398"/>
    </row>
    <row r="118" spans="1:12" ht="15" hidden="1" x14ac:dyDescent="0.2">
      <c r="A118" s="1384">
        <v>2212</v>
      </c>
      <c r="B118" s="1464">
        <v>6121</v>
      </c>
      <c r="C118" s="1464">
        <v>38100872</v>
      </c>
      <c r="D118" s="1405" t="s">
        <v>548</v>
      </c>
      <c r="E118" s="1414">
        <v>0</v>
      </c>
      <c r="F118" s="1414"/>
      <c r="G118" s="1414"/>
      <c r="H118" s="1390" t="e">
        <f t="shared" si="1"/>
        <v>#DIV/0!</v>
      </c>
      <c r="I118" s="1398"/>
      <c r="K118" s="1249"/>
      <c r="L118" s="1249"/>
    </row>
    <row r="119" spans="1:12" ht="15" hidden="1" x14ac:dyDescent="0.2">
      <c r="A119" s="1384">
        <v>2212</v>
      </c>
      <c r="B119" s="1464">
        <v>6121</v>
      </c>
      <c r="C119" s="1464">
        <v>38100874</v>
      </c>
      <c r="D119" s="1405" t="s">
        <v>548</v>
      </c>
      <c r="E119" s="1414">
        <v>0</v>
      </c>
      <c r="F119" s="1414"/>
      <c r="G119" s="1414"/>
      <c r="H119" s="1390" t="e">
        <f t="shared" si="1"/>
        <v>#DIV/0!</v>
      </c>
      <c r="I119" s="1398"/>
    </row>
    <row r="120" spans="1:12" ht="15" hidden="1" x14ac:dyDescent="0.2">
      <c r="A120" s="1384">
        <v>2212</v>
      </c>
      <c r="B120" s="1464">
        <v>6121</v>
      </c>
      <c r="C120" s="1464">
        <v>38500871</v>
      </c>
      <c r="D120" s="1405" t="s">
        <v>548</v>
      </c>
      <c r="E120" s="1414">
        <v>0</v>
      </c>
      <c r="F120" s="1414"/>
      <c r="G120" s="1414"/>
      <c r="H120" s="1390" t="e">
        <f t="shared" si="1"/>
        <v>#DIV/0!</v>
      </c>
      <c r="I120" s="1398"/>
    </row>
    <row r="121" spans="1:12" ht="16.5" hidden="1" thickTop="1" thickBot="1" x14ac:dyDescent="0.3">
      <c r="A121" s="1406" t="s">
        <v>690</v>
      </c>
      <c r="B121" s="1407"/>
      <c r="C121" s="1407"/>
      <c r="D121" s="1408"/>
      <c r="E121" s="1387">
        <f>SUM(E117:E120)</f>
        <v>0</v>
      </c>
      <c r="F121" s="1387">
        <f>SUM(F117:F120)</f>
        <v>0</v>
      </c>
      <c r="G121" s="1387">
        <f>SUM(G117:G120)</f>
        <v>0</v>
      </c>
      <c r="H121" s="1391" t="e">
        <f t="shared" si="1"/>
        <v>#DIV/0!</v>
      </c>
      <c r="I121" s="1398"/>
    </row>
    <row r="122" spans="1:12" x14ac:dyDescent="0.2">
      <c r="A122" s="1460"/>
      <c r="B122" s="1460"/>
      <c r="C122" s="1460"/>
      <c r="D122" s="1460"/>
      <c r="E122" s="1462"/>
      <c r="F122" s="1461"/>
      <c r="G122" s="1461"/>
      <c r="H122" s="1461"/>
      <c r="I122" s="1460"/>
    </row>
    <row r="123" spans="1:12" ht="14.25" customHeight="1" x14ac:dyDescent="0.25">
      <c r="A123" s="1377" t="s">
        <v>1478</v>
      </c>
      <c r="I123" s="1460"/>
    </row>
    <row r="124" spans="1:12" ht="14.25" customHeight="1" thickBot="1" x14ac:dyDescent="0.3">
      <c r="A124" s="1377" t="s">
        <v>1479</v>
      </c>
      <c r="H124" s="1459" t="s">
        <v>148</v>
      </c>
      <c r="I124" s="1460"/>
    </row>
    <row r="125" spans="1:12" ht="27" customHeight="1" thickTop="1" thickBot="1" x14ac:dyDescent="0.25">
      <c r="A125" s="1378" t="s">
        <v>149</v>
      </c>
      <c r="B125" s="1379" t="s">
        <v>688</v>
      </c>
      <c r="C125" s="1379" t="s">
        <v>345</v>
      </c>
      <c r="D125" s="1380" t="s">
        <v>151</v>
      </c>
      <c r="E125" s="1402" t="s">
        <v>569</v>
      </c>
      <c r="F125" s="1402" t="s">
        <v>570</v>
      </c>
      <c r="G125" s="1403" t="s">
        <v>797</v>
      </c>
      <c r="H125" s="1404" t="s">
        <v>798</v>
      </c>
      <c r="I125" s="1460"/>
    </row>
    <row r="126" spans="1:12" ht="14.25" customHeight="1" thickTop="1" thickBot="1" x14ac:dyDescent="0.25">
      <c r="A126" s="1297">
        <v>1</v>
      </c>
      <c r="B126" s="1296">
        <v>2</v>
      </c>
      <c r="C126" s="1296">
        <v>3</v>
      </c>
      <c r="D126" s="1296">
        <v>5</v>
      </c>
      <c r="E126" s="1295">
        <v>6</v>
      </c>
      <c r="F126" s="1295">
        <v>7</v>
      </c>
      <c r="G126" s="1446">
        <v>8</v>
      </c>
      <c r="H126" s="1383" t="s">
        <v>689</v>
      </c>
      <c r="I126" s="1460"/>
    </row>
    <row r="127" spans="1:12" ht="15.75" hidden="1" thickTop="1" x14ac:dyDescent="0.2">
      <c r="A127" s="1384">
        <v>2212</v>
      </c>
      <c r="B127" s="1464">
        <v>6121</v>
      </c>
      <c r="C127" s="1464">
        <v>38100870</v>
      </c>
      <c r="D127" s="1405" t="s">
        <v>548</v>
      </c>
      <c r="E127" s="1414"/>
      <c r="F127" s="1414"/>
      <c r="G127" s="1414"/>
      <c r="H127" s="1390" t="e">
        <f t="shared" ref="H127:H132" si="2">G127/F127*100</f>
        <v>#DIV/0!</v>
      </c>
      <c r="I127" s="1398"/>
    </row>
    <row r="128" spans="1:12" ht="16.5" thickTop="1" thickBot="1" x14ac:dyDescent="0.25">
      <c r="A128" s="1384">
        <v>2212</v>
      </c>
      <c r="B128" s="1464">
        <v>6121</v>
      </c>
      <c r="C128" s="2831" t="s">
        <v>2029</v>
      </c>
      <c r="D128" s="1405" t="s">
        <v>548</v>
      </c>
      <c r="E128" s="1414">
        <v>0</v>
      </c>
      <c r="F128" s="1414">
        <v>17</v>
      </c>
      <c r="G128" s="1414">
        <v>17</v>
      </c>
      <c r="H128" s="1390">
        <f t="shared" si="2"/>
        <v>100</v>
      </c>
      <c r="I128" s="1398"/>
    </row>
    <row r="129" spans="1:9" ht="15.75" hidden="1" thickBot="1" x14ac:dyDescent="0.25">
      <c r="A129" s="1384">
        <v>2212</v>
      </c>
      <c r="B129" s="1464">
        <v>6121</v>
      </c>
      <c r="C129" s="1464">
        <v>38100880</v>
      </c>
      <c r="D129" s="1405" t="s">
        <v>548</v>
      </c>
      <c r="E129" s="1414"/>
      <c r="F129" s="1414"/>
      <c r="G129" s="1414"/>
      <c r="H129" s="1390" t="e">
        <f t="shared" si="2"/>
        <v>#DIV/0!</v>
      </c>
      <c r="I129" s="1398"/>
    </row>
    <row r="130" spans="1:9" ht="15.75" hidden="1" thickBot="1" x14ac:dyDescent="0.25">
      <c r="A130" s="1384">
        <v>2212</v>
      </c>
      <c r="B130" s="1464">
        <v>6121</v>
      </c>
      <c r="C130" s="1464">
        <v>38100871</v>
      </c>
      <c r="D130" s="1405" t="s">
        <v>548</v>
      </c>
      <c r="E130" s="1414"/>
      <c r="F130" s="1414"/>
      <c r="G130" s="1414"/>
      <c r="H130" s="1390" t="e">
        <f t="shared" si="2"/>
        <v>#DIV/0!</v>
      </c>
      <c r="I130" s="1398"/>
    </row>
    <row r="131" spans="1:9" ht="15.75" hidden="1" thickBot="1" x14ac:dyDescent="0.25">
      <c r="A131" s="1384">
        <v>2212</v>
      </c>
      <c r="B131" s="1464">
        <v>6121</v>
      </c>
      <c r="C131" s="1464">
        <v>38500881</v>
      </c>
      <c r="D131" s="1405" t="s">
        <v>548</v>
      </c>
      <c r="E131" s="1414"/>
      <c r="F131" s="1414"/>
      <c r="G131" s="1414"/>
      <c r="H131" s="1390" t="e">
        <f t="shared" si="2"/>
        <v>#DIV/0!</v>
      </c>
      <c r="I131" s="1398"/>
    </row>
    <row r="132" spans="1:9" ht="14.25" customHeight="1" thickTop="1" thickBot="1" x14ac:dyDescent="0.3">
      <c r="A132" s="1406" t="s">
        <v>690</v>
      </c>
      <c r="B132" s="1407"/>
      <c r="C132" s="1407"/>
      <c r="D132" s="1408"/>
      <c r="E132" s="1387">
        <f>SUM(E127:E131)</f>
        <v>0</v>
      </c>
      <c r="F132" s="1387">
        <f>SUM(F127:F131)</f>
        <v>17</v>
      </c>
      <c r="G132" s="1387">
        <f>SUM(G127:G131)</f>
        <v>17</v>
      </c>
      <c r="H132" s="1391">
        <f t="shared" si="2"/>
        <v>100</v>
      </c>
      <c r="I132" s="1460"/>
    </row>
    <row r="133" spans="1:9" ht="15.75" thickTop="1" x14ac:dyDescent="0.25">
      <c r="A133" s="1417"/>
      <c r="B133" s="1417"/>
      <c r="C133" s="1417"/>
      <c r="D133" s="1417"/>
      <c r="E133" s="1393"/>
      <c r="F133" s="1393"/>
      <c r="G133" s="1393"/>
      <c r="H133" s="1418"/>
      <c r="I133" s="1460"/>
    </row>
    <row r="134" spans="1:9" ht="15" x14ac:dyDescent="0.25">
      <c r="A134" s="1377" t="s">
        <v>1480</v>
      </c>
      <c r="I134" s="1460"/>
    </row>
    <row r="135" spans="1:9" ht="15.75" thickBot="1" x14ac:dyDescent="0.3">
      <c r="A135" s="1377" t="s">
        <v>1481</v>
      </c>
      <c r="H135" s="1459" t="s">
        <v>148</v>
      </c>
      <c r="I135" s="1460"/>
    </row>
    <row r="136" spans="1:9" ht="25.5" thickTop="1" thickBot="1" x14ac:dyDescent="0.25">
      <c r="A136" s="1378" t="s">
        <v>149</v>
      </c>
      <c r="B136" s="1379" t="s">
        <v>688</v>
      </c>
      <c r="C136" s="1379" t="s">
        <v>345</v>
      </c>
      <c r="D136" s="1380" t="s">
        <v>151</v>
      </c>
      <c r="E136" s="1402" t="s">
        <v>569</v>
      </c>
      <c r="F136" s="1402" t="s">
        <v>570</v>
      </c>
      <c r="G136" s="1403" t="s">
        <v>797</v>
      </c>
      <c r="H136" s="1404" t="s">
        <v>798</v>
      </c>
      <c r="I136" s="1460"/>
    </row>
    <row r="137" spans="1:9" ht="14.25" thickTop="1" thickBot="1" x14ac:dyDescent="0.25">
      <c r="A137" s="1297">
        <v>1</v>
      </c>
      <c r="B137" s="1296">
        <v>2</v>
      </c>
      <c r="C137" s="1296">
        <v>3</v>
      </c>
      <c r="D137" s="1296">
        <v>5</v>
      </c>
      <c r="E137" s="1295">
        <v>6</v>
      </c>
      <c r="F137" s="1295">
        <v>7</v>
      </c>
      <c r="G137" s="1446">
        <v>8</v>
      </c>
      <c r="H137" s="1383" t="s">
        <v>689</v>
      </c>
      <c r="I137" s="1460"/>
    </row>
    <row r="138" spans="1:9" ht="15.75" thickTop="1" x14ac:dyDescent="0.2">
      <c r="A138" s="1384">
        <v>2212</v>
      </c>
      <c r="B138" s="1464">
        <v>6121</v>
      </c>
      <c r="C138" s="2831" t="s">
        <v>2028</v>
      </c>
      <c r="D138" s="1405" t="s">
        <v>548</v>
      </c>
      <c r="E138" s="1414">
        <v>6292</v>
      </c>
      <c r="F138" s="1414">
        <v>6052</v>
      </c>
      <c r="G138" s="1414">
        <v>6040</v>
      </c>
      <c r="H138" s="1390">
        <f>G138/F138*100</f>
        <v>99.801718440185056</v>
      </c>
      <c r="I138" s="1460"/>
    </row>
    <row r="139" spans="1:9" ht="15" x14ac:dyDescent="0.2">
      <c r="A139" s="1384">
        <v>2212</v>
      </c>
      <c r="B139" s="1464">
        <v>6121</v>
      </c>
      <c r="C139" s="2831" t="s">
        <v>2029</v>
      </c>
      <c r="D139" s="1405" t="s">
        <v>548</v>
      </c>
      <c r="E139" s="1414">
        <v>0</v>
      </c>
      <c r="F139" s="1414">
        <v>1580</v>
      </c>
      <c r="G139" s="1414">
        <v>1576</v>
      </c>
      <c r="H139" s="1390">
        <f>G139/F139*100</f>
        <v>99.74683544303798</v>
      </c>
      <c r="I139" s="1460"/>
    </row>
    <row r="140" spans="1:9" ht="15" x14ac:dyDescent="0.2">
      <c r="A140" s="1384">
        <v>2212</v>
      </c>
      <c r="B140" s="1464">
        <v>6121</v>
      </c>
      <c r="C140" s="2831" t="s">
        <v>2027</v>
      </c>
      <c r="D140" s="1405" t="s">
        <v>548</v>
      </c>
      <c r="E140" s="1414">
        <v>0</v>
      </c>
      <c r="F140" s="1414">
        <v>9446</v>
      </c>
      <c r="G140" s="1414">
        <v>9406</v>
      </c>
      <c r="H140" s="1390">
        <f>G140/F140*100</f>
        <v>99.576540334533135</v>
      </c>
      <c r="I140" s="1460"/>
    </row>
    <row r="141" spans="1:9" ht="15" x14ac:dyDescent="0.2">
      <c r="A141" s="1384">
        <v>2212</v>
      </c>
      <c r="B141" s="1464">
        <v>6121</v>
      </c>
      <c r="C141" s="2831" t="s">
        <v>2013</v>
      </c>
      <c r="D141" s="1405" t="s">
        <v>548</v>
      </c>
      <c r="E141" s="1414">
        <v>9386</v>
      </c>
      <c r="F141" s="1414">
        <v>0</v>
      </c>
      <c r="G141" s="1414">
        <v>0</v>
      </c>
      <c r="H141" s="1390">
        <v>0</v>
      </c>
      <c r="I141" s="1460"/>
    </row>
    <row r="142" spans="1:9" ht="15.75" thickBot="1" x14ac:dyDescent="0.25">
      <c r="A142" s="1384">
        <v>2212</v>
      </c>
      <c r="B142" s="1464">
        <v>6121</v>
      </c>
      <c r="C142" s="2831" t="s">
        <v>1886</v>
      </c>
      <c r="D142" s="1405" t="s">
        <v>548</v>
      </c>
      <c r="E142" s="1414">
        <v>0</v>
      </c>
      <c r="F142" s="1414">
        <v>25186</v>
      </c>
      <c r="G142" s="1414">
        <v>24820</v>
      </c>
      <c r="H142" s="1390">
        <f>G142/F142*100</f>
        <v>98.546811720797265</v>
      </c>
      <c r="I142" s="1398"/>
    </row>
    <row r="143" spans="1:9" ht="14.25" customHeight="1" thickTop="1" thickBot="1" x14ac:dyDescent="0.3">
      <c r="A143" s="1406" t="s">
        <v>690</v>
      </c>
      <c r="B143" s="1407"/>
      <c r="C143" s="1407"/>
      <c r="D143" s="1408"/>
      <c r="E143" s="1387">
        <f>SUM(E138:E142)</f>
        <v>15678</v>
      </c>
      <c r="F143" s="1387">
        <f>SUM(F138:F142)</f>
        <v>42264</v>
      </c>
      <c r="G143" s="1387">
        <f>SUM(G138:G142)</f>
        <v>41842</v>
      </c>
      <c r="H143" s="1391">
        <f>G143/F143*100</f>
        <v>99.001514291122476</v>
      </c>
      <c r="I143" s="1460"/>
    </row>
    <row r="144" spans="1:9" ht="15.75" thickTop="1" x14ac:dyDescent="0.25">
      <c r="A144" s="1417"/>
      <c r="B144" s="1417"/>
      <c r="C144" s="1417"/>
      <c r="D144" s="1417"/>
      <c r="E144" s="1393"/>
      <c r="F144" s="1393"/>
      <c r="G144" s="1393"/>
      <c r="H144" s="1418"/>
      <c r="I144" s="1460"/>
    </row>
    <row r="145" spans="1:9" ht="15" x14ac:dyDescent="0.25">
      <c r="A145" s="1377" t="s">
        <v>1344</v>
      </c>
      <c r="I145" s="1460"/>
    </row>
    <row r="146" spans="1:9" ht="15.75" thickBot="1" x14ac:dyDescent="0.3">
      <c r="A146" s="1377" t="s">
        <v>1345</v>
      </c>
      <c r="H146" s="1459" t="s">
        <v>148</v>
      </c>
      <c r="I146" s="1460"/>
    </row>
    <row r="147" spans="1:9" ht="25.5" thickTop="1" thickBot="1" x14ac:dyDescent="0.25">
      <c r="A147" s="1378" t="s">
        <v>149</v>
      </c>
      <c r="B147" s="1379" t="s">
        <v>688</v>
      </c>
      <c r="C147" s="1379" t="s">
        <v>345</v>
      </c>
      <c r="D147" s="1380" t="s">
        <v>151</v>
      </c>
      <c r="E147" s="1402" t="s">
        <v>569</v>
      </c>
      <c r="F147" s="1402" t="s">
        <v>570</v>
      </c>
      <c r="G147" s="1403" t="s">
        <v>797</v>
      </c>
      <c r="H147" s="1404" t="s">
        <v>798</v>
      </c>
      <c r="I147" s="1460"/>
    </row>
    <row r="148" spans="1:9" ht="14.25" thickTop="1" thickBot="1" x14ac:dyDescent="0.25">
      <c r="A148" s="1297">
        <v>1</v>
      </c>
      <c r="B148" s="1296">
        <v>2</v>
      </c>
      <c r="C148" s="1296">
        <v>3</v>
      </c>
      <c r="D148" s="1296">
        <v>5</v>
      </c>
      <c r="E148" s="1295">
        <v>6</v>
      </c>
      <c r="F148" s="1295">
        <v>7</v>
      </c>
      <c r="G148" s="1446">
        <v>8</v>
      </c>
      <c r="H148" s="1383" t="s">
        <v>689</v>
      </c>
      <c r="I148" s="1460"/>
    </row>
    <row r="149" spans="1:9" ht="15.75" thickTop="1" x14ac:dyDescent="0.2">
      <c r="A149" s="1384">
        <v>2212</v>
      </c>
      <c r="B149" s="1464">
        <v>6121</v>
      </c>
      <c r="C149" s="2831" t="s">
        <v>2028</v>
      </c>
      <c r="D149" s="1405" t="s">
        <v>548</v>
      </c>
      <c r="E149" s="1414">
        <v>5880</v>
      </c>
      <c r="F149" s="1414">
        <v>10679</v>
      </c>
      <c r="G149" s="1414">
        <v>10679</v>
      </c>
      <c r="H149" s="1390">
        <f>G149/F149*100</f>
        <v>100</v>
      </c>
      <c r="I149" s="1460"/>
    </row>
    <row r="150" spans="1:9" ht="15" x14ac:dyDescent="0.2">
      <c r="A150" s="1384">
        <v>2212</v>
      </c>
      <c r="B150" s="1464">
        <v>6121</v>
      </c>
      <c r="C150" s="2831" t="s">
        <v>2027</v>
      </c>
      <c r="D150" s="1405" t="s">
        <v>548</v>
      </c>
      <c r="E150" s="1414">
        <v>0</v>
      </c>
      <c r="F150" s="1414">
        <v>10029</v>
      </c>
      <c r="G150" s="1414">
        <v>10029</v>
      </c>
      <c r="H150" s="1390">
        <f>G150/F150*100</f>
        <v>100</v>
      </c>
      <c r="I150" s="1460"/>
    </row>
    <row r="151" spans="1:9" ht="15" x14ac:dyDescent="0.2">
      <c r="A151" s="1384">
        <v>2212</v>
      </c>
      <c r="B151" s="1464">
        <v>6121</v>
      </c>
      <c r="C151" s="2831" t="s">
        <v>2013</v>
      </c>
      <c r="D151" s="1405" t="s">
        <v>548</v>
      </c>
      <c r="E151" s="1414">
        <v>21871</v>
      </c>
      <c r="F151" s="1414">
        <v>0</v>
      </c>
      <c r="G151" s="1414">
        <v>0</v>
      </c>
      <c r="H151" s="1390">
        <v>0</v>
      </c>
      <c r="I151" s="1460"/>
    </row>
    <row r="152" spans="1:9" ht="15.75" thickBot="1" x14ac:dyDescent="0.25">
      <c r="A152" s="1384">
        <v>2212</v>
      </c>
      <c r="B152" s="1464">
        <v>6121</v>
      </c>
      <c r="C152" s="2831" t="s">
        <v>1886</v>
      </c>
      <c r="D152" s="1405" t="s">
        <v>548</v>
      </c>
      <c r="E152" s="1414">
        <v>0</v>
      </c>
      <c r="F152" s="1414">
        <v>72803</v>
      </c>
      <c r="G152" s="1414">
        <v>49904</v>
      </c>
      <c r="H152" s="1390">
        <f>G152/F152*100</f>
        <v>68.546625825858825</v>
      </c>
      <c r="I152" s="1398"/>
    </row>
    <row r="153" spans="1:9" ht="14.25" customHeight="1" thickTop="1" thickBot="1" x14ac:dyDescent="0.3">
      <c r="A153" s="1406" t="s">
        <v>690</v>
      </c>
      <c r="B153" s="1407"/>
      <c r="C153" s="1407"/>
      <c r="D153" s="1408"/>
      <c r="E153" s="1387">
        <f>SUM(E149:E152)</f>
        <v>27751</v>
      </c>
      <c r="F153" s="1387">
        <f>SUM(F149:F152)</f>
        <v>93511</v>
      </c>
      <c r="G153" s="1387">
        <f>SUM(G149:G152)</f>
        <v>70612</v>
      </c>
      <c r="H153" s="1391">
        <f>G153/F153*100</f>
        <v>75.511971853578714</v>
      </c>
      <c r="I153" s="1460"/>
    </row>
    <row r="154" spans="1:9" ht="15.75" thickTop="1" x14ac:dyDescent="0.25">
      <c r="A154" s="1417"/>
      <c r="B154" s="1417"/>
      <c r="C154" s="1417"/>
      <c r="D154" s="1417"/>
      <c r="E154" s="1393"/>
      <c r="F154" s="1393"/>
      <c r="G154" s="1393"/>
      <c r="H154" s="1418"/>
      <c r="I154" s="1460"/>
    </row>
    <row r="155" spans="1:9" ht="15" x14ac:dyDescent="0.25">
      <c r="A155" s="1377" t="s">
        <v>1482</v>
      </c>
    </row>
    <row r="156" spans="1:9" ht="15.75" thickBot="1" x14ac:dyDescent="0.3">
      <c r="A156" s="1377" t="s">
        <v>1483</v>
      </c>
      <c r="H156" s="1398" t="s">
        <v>148</v>
      </c>
    </row>
    <row r="157" spans="1:9" ht="25.5" thickTop="1" thickBot="1" x14ac:dyDescent="0.25">
      <c r="A157" s="1378" t="s">
        <v>149</v>
      </c>
      <c r="B157" s="1379" t="s">
        <v>688</v>
      </c>
      <c r="C157" s="1379" t="s">
        <v>345</v>
      </c>
      <c r="D157" s="1380" t="s">
        <v>151</v>
      </c>
      <c r="E157" s="1402" t="s">
        <v>569</v>
      </c>
      <c r="F157" s="1402" t="s">
        <v>570</v>
      </c>
      <c r="G157" s="1403" t="s">
        <v>797</v>
      </c>
      <c r="H157" s="1404" t="s">
        <v>798</v>
      </c>
    </row>
    <row r="158" spans="1:9" ht="14.25" thickTop="1" thickBot="1" x14ac:dyDescent="0.25">
      <c r="A158" s="1297">
        <v>1</v>
      </c>
      <c r="B158" s="1296">
        <v>2</v>
      </c>
      <c r="C158" s="1296">
        <v>3</v>
      </c>
      <c r="D158" s="1296">
        <v>5</v>
      </c>
      <c r="E158" s="1295">
        <v>6</v>
      </c>
      <c r="F158" s="1295">
        <v>7</v>
      </c>
      <c r="G158" s="1446">
        <v>8</v>
      </c>
      <c r="H158" s="1383" t="s">
        <v>689</v>
      </c>
    </row>
    <row r="159" spans="1:9" ht="15.75" thickTop="1" x14ac:dyDescent="0.2">
      <c r="A159" s="1384">
        <v>2212</v>
      </c>
      <c r="B159" s="1385">
        <v>5169</v>
      </c>
      <c r="C159" s="1531" t="s">
        <v>2014</v>
      </c>
      <c r="D159" s="1405" t="s">
        <v>769</v>
      </c>
      <c r="E159" s="1414">
        <v>0</v>
      </c>
      <c r="F159" s="1414">
        <v>73</v>
      </c>
      <c r="G159" s="1414">
        <v>73</v>
      </c>
      <c r="H159" s="1390">
        <f>G159/F159*100</f>
        <v>100</v>
      </c>
    </row>
    <row r="160" spans="1:9" ht="15" x14ac:dyDescent="0.2">
      <c r="A160" s="1384">
        <v>2212</v>
      </c>
      <c r="B160" s="1385">
        <v>6121</v>
      </c>
      <c r="C160" s="1531" t="s">
        <v>2010</v>
      </c>
      <c r="D160" s="1405" t="s">
        <v>548</v>
      </c>
      <c r="E160" s="1414">
        <v>2475</v>
      </c>
      <c r="F160" s="1414">
        <v>2499</v>
      </c>
      <c r="G160" s="1414">
        <v>2499</v>
      </c>
      <c r="H160" s="1390">
        <f>G160/F160*100</f>
        <v>100</v>
      </c>
    </row>
    <row r="161" spans="1:9" ht="15" x14ac:dyDescent="0.2">
      <c r="A161" s="1384">
        <v>2212</v>
      </c>
      <c r="B161" s="1385">
        <v>6121</v>
      </c>
      <c r="C161" s="1531" t="s">
        <v>2013</v>
      </c>
      <c r="D161" s="1405" t="s">
        <v>548</v>
      </c>
      <c r="E161" s="1414">
        <v>0</v>
      </c>
      <c r="F161" s="1414">
        <v>2963</v>
      </c>
      <c r="G161" s="1414">
        <v>2963</v>
      </c>
      <c r="H161" s="1390">
        <f>G161/F161*100</f>
        <v>100</v>
      </c>
    </row>
    <row r="162" spans="1:9" ht="15" x14ac:dyDescent="0.2">
      <c r="A162" s="1384">
        <v>2212</v>
      </c>
      <c r="B162" s="1464">
        <v>6121</v>
      </c>
      <c r="C162" s="2831" t="s">
        <v>2025</v>
      </c>
      <c r="D162" s="1405" t="s">
        <v>548</v>
      </c>
      <c r="E162" s="1414">
        <v>8350</v>
      </c>
      <c r="F162" s="1414">
        <v>0</v>
      </c>
      <c r="G162" s="1414">
        <v>0</v>
      </c>
      <c r="H162" s="1390">
        <v>0</v>
      </c>
    </row>
    <row r="163" spans="1:9" ht="15" hidden="1" x14ac:dyDescent="0.2">
      <c r="A163" s="1384">
        <v>2212</v>
      </c>
      <c r="B163" s="1464">
        <v>6121</v>
      </c>
      <c r="C163" s="2831">
        <v>38500881</v>
      </c>
      <c r="D163" s="1405" t="s">
        <v>548</v>
      </c>
      <c r="E163" s="1414"/>
      <c r="F163" s="1414"/>
      <c r="G163" s="1414"/>
      <c r="H163" s="1390" t="e">
        <f>G163/F163*100</f>
        <v>#DIV/0!</v>
      </c>
    </row>
    <row r="164" spans="1:9" ht="15.75" thickBot="1" x14ac:dyDescent="0.25">
      <c r="A164" s="1384">
        <v>2212</v>
      </c>
      <c r="B164" s="1464">
        <v>6121</v>
      </c>
      <c r="C164" s="2831" t="s">
        <v>1886</v>
      </c>
      <c r="D164" s="1405" t="s">
        <v>548</v>
      </c>
      <c r="E164" s="1414">
        <v>0</v>
      </c>
      <c r="F164" s="1414">
        <v>11198</v>
      </c>
      <c r="G164" s="1414">
        <v>11198</v>
      </c>
      <c r="H164" s="1390">
        <f>G164/F164*100</f>
        <v>100</v>
      </c>
    </row>
    <row r="165" spans="1:9" ht="16.5" thickTop="1" thickBot="1" x14ac:dyDescent="0.3">
      <c r="A165" s="1406" t="s">
        <v>690</v>
      </c>
      <c r="B165" s="1407"/>
      <c r="C165" s="1407"/>
      <c r="D165" s="1408"/>
      <c r="E165" s="1387">
        <f>SUM(E159:E164)</f>
        <v>10825</v>
      </c>
      <c r="F165" s="1387">
        <f>SUM(F159:F164)</f>
        <v>16733</v>
      </c>
      <c r="G165" s="1387">
        <f>SUM(G159:G164)</f>
        <v>16733</v>
      </c>
      <c r="H165" s="1391">
        <f>G165/F165*100</f>
        <v>100</v>
      </c>
    </row>
    <row r="166" spans="1:9" ht="15.75" thickTop="1" x14ac:dyDescent="0.25">
      <c r="A166" s="1417"/>
      <c r="B166" s="1417"/>
      <c r="C166" s="1417"/>
      <c r="D166" s="1417"/>
      <c r="E166" s="1393"/>
      <c r="F166" s="1393"/>
      <c r="G166" s="1393"/>
      <c r="H166" s="1418"/>
      <c r="I166" s="1460"/>
    </row>
    <row r="167" spans="1:9" s="1309" customFormat="1" ht="15" x14ac:dyDescent="0.25">
      <c r="A167" s="1377" t="s">
        <v>1484</v>
      </c>
      <c r="B167" s="1371"/>
      <c r="C167" s="1371"/>
      <c r="D167" s="1371"/>
      <c r="E167" s="1372"/>
      <c r="F167" s="1398"/>
      <c r="G167" s="1398"/>
      <c r="H167" s="1398"/>
      <c r="I167" s="1372"/>
    </row>
    <row r="168" spans="1:9" s="1249" customFormat="1" ht="15.75" thickBot="1" x14ac:dyDescent="0.3">
      <c r="A168" s="1377" t="s">
        <v>1485</v>
      </c>
      <c r="B168" s="1371"/>
      <c r="C168" s="1371"/>
      <c r="D168" s="1371"/>
      <c r="E168" s="1372"/>
      <c r="F168" s="1398"/>
      <c r="G168" s="1398"/>
      <c r="H168" s="1459" t="s">
        <v>148</v>
      </c>
      <c r="I168" s="1372"/>
    </row>
    <row r="169" spans="1:9" ht="25.5" thickTop="1" thickBot="1" x14ac:dyDescent="0.25">
      <c r="A169" s="1378" t="s">
        <v>149</v>
      </c>
      <c r="B169" s="1379" t="s">
        <v>688</v>
      </c>
      <c r="C169" s="1379" t="s">
        <v>345</v>
      </c>
      <c r="D169" s="1380" t="s">
        <v>151</v>
      </c>
      <c r="E169" s="1402" t="s">
        <v>569</v>
      </c>
      <c r="F169" s="1402" t="s">
        <v>570</v>
      </c>
      <c r="G169" s="1403" t="s">
        <v>797</v>
      </c>
      <c r="H169" s="1404" t="s">
        <v>798</v>
      </c>
    </row>
    <row r="170" spans="1:9" ht="14.25" thickTop="1" thickBot="1" x14ac:dyDescent="0.25">
      <c r="A170" s="1297">
        <v>1</v>
      </c>
      <c r="B170" s="1296">
        <v>2</v>
      </c>
      <c r="C170" s="1296">
        <v>3</v>
      </c>
      <c r="D170" s="1296">
        <v>5</v>
      </c>
      <c r="E170" s="1295">
        <v>6</v>
      </c>
      <c r="F170" s="1295">
        <v>7</v>
      </c>
      <c r="G170" s="1446">
        <v>8</v>
      </c>
      <c r="H170" s="1383" t="s">
        <v>689</v>
      </c>
    </row>
    <row r="171" spans="1:9" ht="15.75" thickTop="1" x14ac:dyDescent="0.2">
      <c r="A171" s="1384">
        <v>2212</v>
      </c>
      <c r="B171" s="1385">
        <v>6121</v>
      </c>
      <c r="C171" s="1531" t="s">
        <v>2010</v>
      </c>
      <c r="D171" s="1405" t="s">
        <v>548</v>
      </c>
      <c r="E171" s="1414">
        <v>5398</v>
      </c>
      <c r="F171" s="1414">
        <v>10766</v>
      </c>
      <c r="G171" s="1414">
        <v>7447</v>
      </c>
      <c r="H171" s="1390">
        <f>G171/F171*100</f>
        <v>69.171465725431915</v>
      </c>
      <c r="I171" s="1398"/>
    </row>
    <row r="172" spans="1:9" ht="15" x14ac:dyDescent="0.2">
      <c r="A172" s="1384">
        <v>2212</v>
      </c>
      <c r="B172" s="1464">
        <v>6121</v>
      </c>
      <c r="C172" s="2831" t="s">
        <v>2014</v>
      </c>
      <c r="D172" s="1405" t="s">
        <v>548</v>
      </c>
      <c r="E172" s="1414">
        <v>0</v>
      </c>
      <c r="F172" s="1414">
        <v>7776</v>
      </c>
      <c r="G172" s="1414">
        <v>6949</v>
      </c>
      <c r="H172" s="1390">
        <f>G172/F172*100</f>
        <v>89.364711934156389</v>
      </c>
      <c r="I172" s="1398"/>
    </row>
    <row r="173" spans="1:9" ht="15" x14ac:dyDescent="0.2">
      <c r="A173" s="1384">
        <v>2212</v>
      </c>
      <c r="B173" s="1464">
        <v>6121</v>
      </c>
      <c r="C173" s="2831" t="s">
        <v>2013</v>
      </c>
      <c r="D173" s="1405" t="s">
        <v>548</v>
      </c>
      <c r="E173" s="1414">
        <v>0</v>
      </c>
      <c r="F173" s="1414">
        <v>14550</v>
      </c>
      <c r="G173" s="1414">
        <v>14550</v>
      </c>
      <c r="H173" s="1390">
        <f>G173/F173*100</f>
        <v>100</v>
      </c>
      <c r="I173" s="1398"/>
    </row>
    <row r="174" spans="1:9" ht="15" x14ac:dyDescent="0.2">
      <c r="A174" s="1384">
        <v>2212</v>
      </c>
      <c r="B174" s="1464">
        <v>6121</v>
      </c>
      <c r="C174" s="2831" t="s">
        <v>2025</v>
      </c>
      <c r="D174" s="1405" t="s">
        <v>548</v>
      </c>
      <c r="E174" s="1414">
        <v>7125</v>
      </c>
      <c r="F174" s="1414">
        <v>0</v>
      </c>
      <c r="G174" s="1414">
        <v>0</v>
      </c>
      <c r="H174" s="1390">
        <v>0</v>
      </c>
      <c r="I174" s="1398"/>
    </row>
    <row r="175" spans="1:9" ht="15.75" thickBot="1" x14ac:dyDescent="0.25">
      <c r="A175" s="1384">
        <v>2212</v>
      </c>
      <c r="B175" s="1464">
        <v>6121</v>
      </c>
      <c r="C175" s="2831" t="s">
        <v>1886</v>
      </c>
      <c r="D175" s="1405" t="s">
        <v>548</v>
      </c>
      <c r="E175" s="1414">
        <v>0</v>
      </c>
      <c r="F175" s="1414">
        <v>9206</v>
      </c>
      <c r="G175" s="1414">
        <v>9206</v>
      </c>
      <c r="H175" s="1390">
        <f>G175/F175*100</f>
        <v>100</v>
      </c>
      <c r="I175" s="1398"/>
    </row>
    <row r="176" spans="1:9" ht="16.5" thickTop="1" thickBot="1" x14ac:dyDescent="0.3">
      <c r="A176" s="1406" t="s">
        <v>690</v>
      </c>
      <c r="B176" s="1407"/>
      <c r="C176" s="1407"/>
      <c r="D176" s="1408"/>
      <c r="E176" s="1387">
        <f>SUM(E171:E175)</f>
        <v>12523</v>
      </c>
      <c r="F176" s="1387">
        <f>SUM(F171:F175)</f>
        <v>42298</v>
      </c>
      <c r="G176" s="1387">
        <f>SUM(G171:G175)</f>
        <v>38152</v>
      </c>
      <c r="H176" s="1391">
        <f>G176/F176*100</f>
        <v>90.198118114331649</v>
      </c>
      <c r="I176" s="1398"/>
    </row>
    <row r="177" spans="1:9" ht="15.75" thickTop="1" x14ac:dyDescent="0.25">
      <c r="A177" s="1417"/>
      <c r="B177" s="1417"/>
      <c r="C177" s="1417"/>
      <c r="D177" s="1417"/>
      <c r="E177" s="1393"/>
      <c r="F177" s="1393"/>
      <c r="G177" s="1393"/>
      <c r="H177" s="1418"/>
      <c r="I177" s="1460"/>
    </row>
    <row r="178" spans="1:9" ht="15" x14ac:dyDescent="0.25">
      <c r="A178" s="1377" t="s">
        <v>1486</v>
      </c>
    </row>
    <row r="179" spans="1:9" ht="15.75" thickBot="1" x14ac:dyDescent="0.3">
      <c r="A179" s="1377" t="s">
        <v>1487</v>
      </c>
      <c r="H179" s="1398" t="s">
        <v>148</v>
      </c>
    </row>
    <row r="180" spans="1:9" ht="25.5" thickTop="1" thickBot="1" x14ac:dyDescent="0.25">
      <c r="A180" s="1378" t="s">
        <v>149</v>
      </c>
      <c r="B180" s="1379" t="s">
        <v>688</v>
      </c>
      <c r="C180" s="1379" t="s">
        <v>345</v>
      </c>
      <c r="D180" s="1380" t="s">
        <v>151</v>
      </c>
      <c r="E180" s="1402" t="s">
        <v>569</v>
      </c>
      <c r="F180" s="1402" t="s">
        <v>570</v>
      </c>
      <c r="G180" s="1403" t="s">
        <v>797</v>
      </c>
      <c r="H180" s="1404" t="s">
        <v>798</v>
      </c>
    </row>
    <row r="181" spans="1:9" ht="14.25" thickTop="1" thickBot="1" x14ac:dyDescent="0.25">
      <c r="A181" s="1297">
        <v>1</v>
      </c>
      <c r="B181" s="1296">
        <v>2</v>
      </c>
      <c r="C181" s="1296">
        <v>3</v>
      </c>
      <c r="D181" s="1296">
        <v>5</v>
      </c>
      <c r="E181" s="1295">
        <v>6</v>
      </c>
      <c r="F181" s="1295">
        <v>7</v>
      </c>
      <c r="G181" s="1446">
        <v>8</v>
      </c>
      <c r="H181" s="1383" t="s">
        <v>689</v>
      </c>
    </row>
    <row r="182" spans="1:9" ht="15.75" thickTop="1" x14ac:dyDescent="0.2">
      <c r="A182" s="1384">
        <v>2212</v>
      </c>
      <c r="B182" s="1385">
        <v>6121</v>
      </c>
      <c r="C182" s="1531" t="s">
        <v>2010</v>
      </c>
      <c r="D182" s="1405" t="s">
        <v>548</v>
      </c>
      <c r="E182" s="1414">
        <v>5381</v>
      </c>
      <c r="F182" s="1414">
        <v>5431</v>
      </c>
      <c r="G182" s="1414">
        <v>5429</v>
      </c>
      <c r="H182" s="1390">
        <f>G182/F182*100</f>
        <v>99.96317436936107</v>
      </c>
    </row>
    <row r="183" spans="1:9" ht="15" x14ac:dyDescent="0.2">
      <c r="A183" s="1384">
        <v>2212</v>
      </c>
      <c r="B183" s="1385">
        <v>6121</v>
      </c>
      <c r="C183" s="2831" t="s">
        <v>2014</v>
      </c>
      <c r="D183" s="1405" t="s">
        <v>548</v>
      </c>
      <c r="E183" s="1414">
        <v>0</v>
      </c>
      <c r="F183" s="1414">
        <v>485</v>
      </c>
      <c r="G183" s="1414">
        <v>274</v>
      </c>
      <c r="H183" s="1390">
        <f>G183/F183*100</f>
        <v>56.494845360824741</v>
      </c>
    </row>
    <row r="184" spans="1:9" ht="15" x14ac:dyDescent="0.2">
      <c r="A184" s="1384">
        <v>2212</v>
      </c>
      <c r="B184" s="1464">
        <v>6121</v>
      </c>
      <c r="C184" s="2831" t="s">
        <v>2013</v>
      </c>
      <c r="D184" s="1405" t="s">
        <v>548</v>
      </c>
      <c r="E184" s="1414">
        <v>0</v>
      </c>
      <c r="F184" s="1414">
        <v>4855</v>
      </c>
      <c r="G184" s="1414">
        <v>4848</v>
      </c>
      <c r="H184" s="1390">
        <f>G184/F184*100</f>
        <v>99.855818743563347</v>
      </c>
    </row>
    <row r="185" spans="1:9" ht="15" x14ac:dyDescent="0.2">
      <c r="A185" s="1384">
        <v>2212</v>
      </c>
      <c r="B185" s="1464">
        <v>6121</v>
      </c>
      <c r="C185" s="2831" t="s">
        <v>2025</v>
      </c>
      <c r="D185" s="1405" t="s">
        <v>548</v>
      </c>
      <c r="E185" s="1414">
        <v>11482</v>
      </c>
      <c r="F185" s="1414">
        <v>0</v>
      </c>
      <c r="G185" s="1414">
        <v>0</v>
      </c>
      <c r="H185" s="1390">
        <v>0</v>
      </c>
    </row>
    <row r="186" spans="1:9" ht="15.75" thickBot="1" x14ac:dyDescent="0.25">
      <c r="A186" s="1384">
        <v>2212</v>
      </c>
      <c r="B186" s="1464">
        <v>6121</v>
      </c>
      <c r="C186" s="2831" t="s">
        <v>1886</v>
      </c>
      <c r="D186" s="1405" t="s">
        <v>548</v>
      </c>
      <c r="E186" s="1414">
        <v>0</v>
      </c>
      <c r="F186" s="1414">
        <v>26674</v>
      </c>
      <c r="G186" s="1414">
        <v>26674</v>
      </c>
      <c r="H186" s="1390">
        <f>G186/F186*100</f>
        <v>100</v>
      </c>
    </row>
    <row r="187" spans="1:9" ht="16.5" thickTop="1" thickBot="1" x14ac:dyDescent="0.3">
      <c r="A187" s="1406" t="s">
        <v>690</v>
      </c>
      <c r="B187" s="1407"/>
      <c r="C187" s="1407"/>
      <c r="D187" s="1408"/>
      <c r="E187" s="1387">
        <f>SUM(E182:E186)</f>
        <v>16863</v>
      </c>
      <c r="F187" s="1387">
        <f>SUM(F182:F186)</f>
        <v>37445</v>
      </c>
      <c r="G187" s="1387">
        <f>SUM(G182:G186)</f>
        <v>37225</v>
      </c>
      <c r="H187" s="1391">
        <f>G187/F187*100</f>
        <v>99.412471625050074</v>
      </c>
    </row>
    <row r="188" spans="1:9" ht="15.75" thickTop="1" x14ac:dyDescent="0.25">
      <c r="A188" s="1417"/>
      <c r="B188" s="1417"/>
      <c r="C188" s="1417"/>
      <c r="D188" s="1417"/>
      <c r="E188" s="1393"/>
      <c r="F188" s="1393"/>
      <c r="G188" s="1393"/>
      <c r="H188" s="1418"/>
      <c r="I188" s="1460"/>
    </row>
    <row r="189" spans="1:9" ht="15" x14ac:dyDescent="0.25">
      <c r="A189" s="1377" t="s">
        <v>1488</v>
      </c>
    </row>
    <row r="190" spans="1:9" ht="15.75" thickBot="1" x14ac:dyDescent="0.3">
      <c r="A190" s="1377" t="s">
        <v>1489</v>
      </c>
      <c r="H190" s="1398" t="s">
        <v>148</v>
      </c>
    </row>
    <row r="191" spans="1:9" ht="25.5" thickTop="1" thickBot="1" x14ac:dyDescent="0.25">
      <c r="A191" s="1378" t="s">
        <v>149</v>
      </c>
      <c r="B191" s="1379" t="s">
        <v>688</v>
      </c>
      <c r="C191" s="1379" t="s">
        <v>345</v>
      </c>
      <c r="D191" s="1380" t="s">
        <v>151</v>
      </c>
      <c r="E191" s="1402" t="s">
        <v>569</v>
      </c>
      <c r="F191" s="1402" t="s">
        <v>570</v>
      </c>
      <c r="G191" s="1403" t="s">
        <v>797</v>
      </c>
      <c r="H191" s="1404" t="s">
        <v>798</v>
      </c>
    </row>
    <row r="192" spans="1:9" ht="14.25" thickTop="1" thickBot="1" x14ac:dyDescent="0.25">
      <c r="A192" s="1297">
        <v>1</v>
      </c>
      <c r="B192" s="1296">
        <v>2</v>
      </c>
      <c r="C192" s="1296">
        <v>3</v>
      </c>
      <c r="D192" s="1296">
        <v>5</v>
      </c>
      <c r="E192" s="1295">
        <v>6</v>
      </c>
      <c r="F192" s="1295">
        <v>7</v>
      </c>
      <c r="G192" s="1446">
        <v>8</v>
      </c>
      <c r="H192" s="1383" t="s">
        <v>689</v>
      </c>
    </row>
    <row r="193" spans="1:9" ht="15.75" thickTop="1" x14ac:dyDescent="0.2">
      <c r="A193" s="1384">
        <v>2212</v>
      </c>
      <c r="B193" s="1385">
        <v>6121</v>
      </c>
      <c r="C193" s="1531" t="s">
        <v>2010</v>
      </c>
      <c r="D193" s="1405" t="s">
        <v>548</v>
      </c>
      <c r="E193" s="1414">
        <v>4480</v>
      </c>
      <c r="F193" s="1414">
        <v>2063</v>
      </c>
      <c r="G193" s="1414">
        <v>2063</v>
      </c>
      <c r="H193" s="1390">
        <f>G193/F193*100</f>
        <v>100</v>
      </c>
    </row>
    <row r="194" spans="1:9" ht="15" x14ac:dyDescent="0.2">
      <c r="A194" s="1384">
        <v>2212</v>
      </c>
      <c r="B194" s="1385">
        <v>6121</v>
      </c>
      <c r="C194" s="2831" t="s">
        <v>2014</v>
      </c>
      <c r="D194" s="1405" t="s">
        <v>548</v>
      </c>
      <c r="E194" s="1414">
        <v>0</v>
      </c>
      <c r="F194" s="1414">
        <v>1213</v>
      </c>
      <c r="G194" s="1414">
        <v>1213</v>
      </c>
      <c r="H194" s="1390">
        <f>G194/F194*100</f>
        <v>100</v>
      </c>
    </row>
    <row r="195" spans="1:9" ht="15" x14ac:dyDescent="0.2">
      <c r="A195" s="1384">
        <v>2212</v>
      </c>
      <c r="B195" s="1464">
        <v>6121</v>
      </c>
      <c r="C195" s="2831" t="s">
        <v>2013</v>
      </c>
      <c r="D195" s="1405" t="s">
        <v>548</v>
      </c>
      <c r="E195" s="1414">
        <v>0</v>
      </c>
      <c r="F195" s="1414">
        <v>3251</v>
      </c>
      <c r="G195" s="1414">
        <v>3251</v>
      </c>
      <c r="H195" s="1390">
        <f>G195/F195*100</f>
        <v>100</v>
      </c>
    </row>
    <row r="196" spans="1:9" ht="15" x14ac:dyDescent="0.2">
      <c r="A196" s="1384">
        <v>2212</v>
      </c>
      <c r="B196" s="1464">
        <v>6121</v>
      </c>
      <c r="C196" s="2831" t="s">
        <v>2025</v>
      </c>
      <c r="D196" s="1405" t="s">
        <v>548</v>
      </c>
      <c r="E196" s="1414">
        <v>2207</v>
      </c>
      <c r="F196" s="1414">
        <v>0</v>
      </c>
      <c r="G196" s="1414">
        <v>0</v>
      </c>
      <c r="H196" s="1390">
        <v>0</v>
      </c>
    </row>
    <row r="197" spans="1:9" ht="15.75" thickBot="1" x14ac:dyDescent="0.25">
      <c r="A197" s="1384">
        <v>2212</v>
      </c>
      <c r="B197" s="1464">
        <v>6121</v>
      </c>
      <c r="C197" s="2831" t="s">
        <v>1886</v>
      </c>
      <c r="D197" s="1405" t="s">
        <v>548</v>
      </c>
      <c r="E197" s="1414">
        <v>0</v>
      </c>
      <c r="F197" s="1414">
        <v>9580</v>
      </c>
      <c r="G197" s="1414">
        <v>8440</v>
      </c>
      <c r="H197" s="1390">
        <f>G197/F197*100</f>
        <v>88.100208768267223</v>
      </c>
    </row>
    <row r="198" spans="1:9" ht="16.5" thickTop="1" thickBot="1" x14ac:dyDescent="0.3">
      <c r="A198" s="1406" t="s">
        <v>690</v>
      </c>
      <c r="B198" s="1407"/>
      <c r="C198" s="1407"/>
      <c r="D198" s="1408"/>
      <c r="E198" s="1387">
        <f>SUM(E193:E197)</f>
        <v>6687</v>
      </c>
      <c r="F198" s="1387">
        <f>SUM(F193:F197)</f>
        <v>16107</v>
      </c>
      <c r="G198" s="1387">
        <f>SUM(G193:G197)</f>
        <v>14967</v>
      </c>
      <c r="H198" s="1391">
        <f>G198/F198*100</f>
        <v>92.922331905382748</v>
      </c>
    </row>
    <row r="199" spans="1:9" ht="15.75" thickTop="1" x14ac:dyDescent="0.25">
      <c r="A199" s="1417"/>
      <c r="B199" s="1417"/>
      <c r="C199" s="1417"/>
      <c r="D199" s="1417"/>
      <c r="E199" s="1393"/>
      <c r="F199" s="1393"/>
      <c r="G199" s="1393"/>
      <c r="H199" s="1418"/>
      <c r="I199" s="1460"/>
    </row>
    <row r="200" spans="1:9" ht="15" x14ac:dyDescent="0.25">
      <c r="A200" s="1377" t="s">
        <v>1658</v>
      </c>
    </row>
    <row r="201" spans="1:9" ht="15.75" thickBot="1" x14ac:dyDescent="0.3">
      <c r="A201" s="1377" t="s">
        <v>1346</v>
      </c>
      <c r="H201" s="1398" t="s">
        <v>148</v>
      </c>
    </row>
    <row r="202" spans="1:9" ht="25.5" thickTop="1" thickBot="1" x14ac:dyDescent="0.25">
      <c r="A202" s="1378" t="s">
        <v>149</v>
      </c>
      <c r="B202" s="1379" t="s">
        <v>688</v>
      </c>
      <c r="C202" s="1379" t="s">
        <v>345</v>
      </c>
      <c r="D202" s="1380" t="s">
        <v>151</v>
      </c>
      <c r="E202" s="1402" t="s">
        <v>569</v>
      </c>
      <c r="F202" s="1402" t="s">
        <v>570</v>
      </c>
      <c r="G202" s="1403" t="s">
        <v>797</v>
      </c>
      <c r="H202" s="1404" t="s">
        <v>798</v>
      </c>
    </row>
    <row r="203" spans="1:9" ht="14.25" thickTop="1" thickBot="1" x14ac:dyDescent="0.25">
      <c r="A203" s="1297">
        <v>1</v>
      </c>
      <c r="B203" s="1296">
        <v>2</v>
      </c>
      <c r="C203" s="1296">
        <v>3</v>
      </c>
      <c r="D203" s="1296">
        <v>5</v>
      </c>
      <c r="E203" s="1295">
        <v>6</v>
      </c>
      <c r="F203" s="1295">
        <v>7</v>
      </c>
      <c r="G203" s="1446">
        <v>8</v>
      </c>
      <c r="H203" s="1383" t="s">
        <v>689</v>
      </c>
    </row>
    <row r="204" spans="1:9" ht="15.75" thickTop="1" x14ac:dyDescent="0.2">
      <c r="A204" s="1384">
        <v>2212</v>
      </c>
      <c r="B204" s="1385">
        <v>6121</v>
      </c>
      <c r="C204" s="1531" t="s">
        <v>2010</v>
      </c>
      <c r="D204" s="1405" t="s">
        <v>548</v>
      </c>
      <c r="E204" s="1414">
        <v>5260</v>
      </c>
      <c r="F204" s="1414">
        <v>1119</v>
      </c>
      <c r="G204" s="1414">
        <v>1119</v>
      </c>
      <c r="H204" s="1390">
        <f t="shared" ref="H204:H209" si="3">G204/F204*100</f>
        <v>100</v>
      </c>
    </row>
    <row r="205" spans="1:9" ht="15" x14ac:dyDescent="0.2">
      <c r="A205" s="1384">
        <v>2212</v>
      </c>
      <c r="B205" s="1385">
        <v>6121</v>
      </c>
      <c r="C205" s="1531" t="s">
        <v>2026</v>
      </c>
      <c r="D205" s="1405" t="s">
        <v>548</v>
      </c>
      <c r="E205" s="1414">
        <v>0</v>
      </c>
      <c r="F205" s="1414">
        <v>1850</v>
      </c>
      <c r="G205" s="1414">
        <v>1848</v>
      </c>
      <c r="H205" s="1390">
        <f t="shared" si="3"/>
        <v>99.891891891891888</v>
      </c>
    </row>
    <row r="206" spans="1:9" ht="15" x14ac:dyDescent="0.2">
      <c r="A206" s="1384">
        <v>2212</v>
      </c>
      <c r="B206" s="1464">
        <v>6121</v>
      </c>
      <c r="C206" s="2831" t="s">
        <v>2014</v>
      </c>
      <c r="D206" s="1405" t="s">
        <v>548</v>
      </c>
      <c r="E206" s="1414">
        <v>0</v>
      </c>
      <c r="F206" s="1414">
        <v>2272</v>
      </c>
      <c r="G206" s="1414">
        <v>2272</v>
      </c>
      <c r="H206" s="1390">
        <f t="shared" si="3"/>
        <v>100</v>
      </c>
    </row>
    <row r="207" spans="1:9" ht="15.75" thickBot="1" x14ac:dyDescent="0.25">
      <c r="A207" s="1384">
        <v>2212</v>
      </c>
      <c r="B207" s="1464">
        <v>6121</v>
      </c>
      <c r="C207" s="2831" t="s">
        <v>2013</v>
      </c>
      <c r="D207" s="1405" t="s">
        <v>548</v>
      </c>
      <c r="E207" s="1414">
        <v>2621</v>
      </c>
      <c r="F207" s="1414">
        <v>4490</v>
      </c>
      <c r="G207" s="1414">
        <v>4490</v>
      </c>
      <c r="H207" s="1390">
        <f t="shared" si="3"/>
        <v>100</v>
      </c>
    </row>
    <row r="208" spans="1:9" ht="15.75" hidden="1" thickBot="1" x14ac:dyDescent="0.25">
      <c r="A208" s="1384">
        <v>2212</v>
      </c>
      <c r="B208" s="1464">
        <v>6121</v>
      </c>
      <c r="C208" s="1464">
        <v>38587505</v>
      </c>
      <c r="D208" s="1405" t="s">
        <v>548</v>
      </c>
      <c r="E208" s="1414"/>
      <c r="F208" s="1414"/>
      <c r="G208" s="1414"/>
      <c r="H208" s="1390" t="e">
        <f t="shared" si="3"/>
        <v>#DIV/0!</v>
      </c>
    </row>
    <row r="209" spans="1:9" ht="16.5" thickTop="1" thickBot="1" x14ac:dyDescent="0.3">
      <c r="A209" s="1406" t="s">
        <v>690</v>
      </c>
      <c r="B209" s="1407"/>
      <c r="C209" s="1407"/>
      <c r="D209" s="1408"/>
      <c r="E209" s="1387">
        <f>SUM(E204:E208)</f>
        <v>7881</v>
      </c>
      <c r="F209" s="1387">
        <f>SUM(F204:F208)</f>
        <v>9731</v>
      </c>
      <c r="G209" s="1387">
        <f>SUM(G204:G208)</f>
        <v>9729</v>
      </c>
      <c r="H209" s="1391">
        <f t="shared" si="3"/>
        <v>99.979447127736094</v>
      </c>
    </row>
    <row r="210" spans="1:9" ht="13.5" customHeight="1" thickTop="1" x14ac:dyDescent="0.25">
      <c r="A210" s="1417"/>
      <c r="B210" s="1417"/>
      <c r="C210" s="1417"/>
      <c r="D210" s="1417"/>
      <c r="E210" s="1393"/>
      <c r="F210" s="1393"/>
      <c r="G210" s="1393"/>
      <c r="H210" s="1418"/>
      <c r="I210" s="1460"/>
    </row>
    <row r="211" spans="1:9" ht="15" x14ac:dyDescent="0.25">
      <c r="A211" s="1377" t="s">
        <v>1490</v>
      </c>
    </row>
    <row r="212" spans="1:9" ht="15.75" thickBot="1" x14ac:dyDescent="0.3">
      <c r="A212" s="1377" t="s">
        <v>1491</v>
      </c>
      <c r="H212" s="1398" t="s">
        <v>148</v>
      </c>
    </row>
    <row r="213" spans="1:9" ht="25.5" thickTop="1" thickBot="1" x14ac:dyDescent="0.25">
      <c r="A213" s="1378" t="s">
        <v>149</v>
      </c>
      <c r="B213" s="1379" t="s">
        <v>688</v>
      </c>
      <c r="C213" s="1379" t="s">
        <v>345</v>
      </c>
      <c r="D213" s="1380" t="s">
        <v>151</v>
      </c>
      <c r="E213" s="1402" t="s">
        <v>569</v>
      </c>
      <c r="F213" s="1402" t="s">
        <v>570</v>
      </c>
      <c r="G213" s="1403" t="s">
        <v>797</v>
      </c>
      <c r="H213" s="1404" t="s">
        <v>798</v>
      </c>
    </row>
    <row r="214" spans="1:9" ht="14.25" thickTop="1" thickBot="1" x14ac:dyDescent="0.25">
      <c r="A214" s="1297">
        <v>1</v>
      </c>
      <c r="B214" s="1296">
        <v>2</v>
      </c>
      <c r="C214" s="1296">
        <v>3</v>
      </c>
      <c r="D214" s="1296">
        <v>5</v>
      </c>
      <c r="E214" s="1295">
        <v>6</v>
      </c>
      <c r="F214" s="1295">
        <v>7</v>
      </c>
      <c r="G214" s="1446">
        <v>8</v>
      </c>
      <c r="H214" s="1383" t="s">
        <v>689</v>
      </c>
    </row>
    <row r="215" spans="1:9" ht="15.75" thickTop="1" x14ac:dyDescent="0.2">
      <c r="A215" s="1384">
        <v>2212</v>
      </c>
      <c r="B215" s="1385">
        <v>6121</v>
      </c>
      <c r="C215" s="1531" t="s">
        <v>2010</v>
      </c>
      <c r="D215" s="1405" t="s">
        <v>548</v>
      </c>
      <c r="E215" s="1414">
        <v>9698</v>
      </c>
      <c r="F215" s="1414">
        <v>4429</v>
      </c>
      <c r="G215" s="1414">
        <v>4392</v>
      </c>
      <c r="H215" s="1390">
        <f t="shared" ref="H215:H220" si="4">G215/F215*100</f>
        <v>99.164596974486344</v>
      </c>
    </row>
    <row r="216" spans="1:9" ht="15" x14ac:dyDescent="0.2">
      <c r="A216" s="1384">
        <v>2212</v>
      </c>
      <c r="B216" s="1385">
        <v>6121</v>
      </c>
      <c r="C216" s="1531" t="s">
        <v>2014</v>
      </c>
      <c r="D216" s="1405" t="s">
        <v>548</v>
      </c>
      <c r="E216" s="1414">
        <v>0</v>
      </c>
      <c r="F216" s="1414">
        <v>6218</v>
      </c>
      <c r="G216" s="1414">
        <v>6166</v>
      </c>
      <c r="H216" s="1390">
        <f t="shared" si="4"/>
        <v>99.163718237375363</v>
      </c>
    </row>
    <row r="217" spans="1:9" ht="15" x14ac:dyDescent="0.2">
      <c r="A217" s="1384">
        <v>2212</v>
      </c>
      <c r="B217" s="1464">
        <v>6121</v>
      </c>
      <c r="C217" s="2831" t="s">
        <v>2025</v>
      </c>
      <c r="D217" s="1405" t="s">
        <v>548</v>
      </c>
      <c r="E217" s="1414">
        <v>10806</v>
      </c>
      <c r="F217" s="1414">
        <v>4433</v>
      </c>
      <c r="G217" s="1414">
        <v>4433</v>
      </c>
      <c r="H217" s="1390">
        <f t="shared" si="4"/>
        <v>100</v>
      </c>
    </row>
    <row r="218" spans="1:9" ht="15.75" thickBot="1" x14ac:dyDescent="0.25">
      <c r="A218" s="1384">
        <v>2212</v>
      </c>
      <c r="B218" s="1464">
        <v>6121</v>
      </c>
      <c r="C218" s="2831" t="s">
        <v>1886</v>
      </c>
      <c r="D218" s="1405" t="s">
        <v>548</v>
      </c>
      <c r="E218" s="1414">
        <v>0</v>
      </c>
      <c r="F218" s="1414">
        <v>21532</v>
      </c>
      <c r="G218" s="1414">
        <v>20457</v>
      </c>
      <c r="H218" s="1390">
        <f t="shared" si="4"/>
        <v>95.007430800668772</v>
      </c>
    </row>
    <row r="219" spans="1:9" ht="15.75" hidden="1" thickBot="1" x14ac:dyDescent="0.25">
      <c r="A219" s="1384">
        <v>2212</v>
      </c>
      <c r="B219" s="1464">
        <v>6121</v>
      </c>
      <c r="C219" s="1464">
        <v>38587505</v>
      </c>
      <c r="D219" s="1405" t="s">
        <v>548</v>
      </c>
      <c r="E219" s="1414"/>
      <c r="F219" s="1414"/>
      <c r="G219" s="1414"/>
      <c r="H219" s="1390" t="e">
        <f t="shared" si="4"/>
        <v>#DIV/0!</v>
      </c>
    </row>
    <row r="220" spans="1:9" ht="16.5" thickTop="1" thickBot="1" x14ac:dyDescent="0.3">
      <c r="A220" s="1406" t="s">
        <v>690</v>
      </c>
      <c r="B220" s="1407"/>
      <c r="C220" s="1407"/>
      <c r="D220" s="1408"/>
      <c r="E220" s="1387">
        <f>SUM(E215:E219)</f>
        <v>20504</v>
      </c>
      <c r="F220" s="1387">
        <f>SUM(F215:F219)</f>
        <v>36612</v>
      </c>
      <c r="G220" s="1387">
        <f>SUM(G215:G219)</f>
        <v>35448</v>
      </c>
      <c r="H220" s="1391">
        <f t="shared" si="4"/>
        <v>96.820714519829565</v>
      </c>
    </row>
    <row r="221" spans="1:9" ht="13.5" customHeight="1" thickTop="1" x14ac:dyDescent="0.25">
      <c r="A221" s="1417"/>
      <c r="B221" s="1417"/>
      <c r="C221" s="1417"/>
      <c r="D221" s="1417"/>
      <c r="E221" s="1393"/>
      <c r="F221" s="1393"/>
      <c r="G221" s="1393"/>
      <c r="H221" s="1418"/>
      <c r="I221" s="1460"/>
    </row>
    <row r="222" spans="1:9" s="1309" customFormat="1" ht="15" x14ac:dyDescent="0.25">
      <c r="A222" s="1377" t="s">
        <v>1492</v>
      </c>
      <c r="B222" s="1371"/>
      <c r="C222" s="1371"/>
      <c r="D222" s="1371"/>
      <c r="E222" s="1372"/>
      <c r="F222" s="1398"/>
      <c r="G222" s="1398"/>
      <c r="H222" s="1398"/>
      <c r="I222" s="1372"/>
    </row>
    <row r="223" spans="1:9" s="1249" customFormat="1" ht="15.75" thickBot="1" x14ac:dyDescent="0.3">
      <c r="A223" s="1377" t="s">
        <v>1493</v>
      </c>
      <c r="B223" s="1371"/>
      <c r="C223" s="1371"/>
      <c r="D223" s="1371"/>
      <c r="E223" s="1372"/>
      <c r="F223" s="1398"/>
      <c r="G223" s="1398"/>
      <c r="H223" s="1459" t="s">
        <v>148</v>
      </c>
      <c r="I223" s="1372"/>
    </row>
    <row r="224" spans="1:9" ht="25.5" thickTop="1" thickBot="1" x14ac:dyDescent="0.25">
      <c r="A224" s="1378" t="s">
        <v>149</v>
      </c>
      <c r="B224" s="1379" t="s">
        <v>688</v>
      </c>
      <c r="C224" s="1379" t="s">
        <v>345</v>
      </c>
      <c r="D224" s="1380" t="s">
        <v>151</v>
      </c>
      <c r="E224" s="1402" t="s">
        <v>569</v>
      </c>
      <c r="F224" s="1402" t="s">
        <v>570</v>
      </c>
      <c r="G224" s="1403" t="s">
        <v>797</v>
      </c>
      <c r="H224" s="1404" t="s">
        <v>798</v>
      </c>
    </row>
    <row r="225" spans="1:9" ht="14.25" thickTop="1" thickBot="1" x14ac:dyDescent="0.25">
      <c r="A225" s="1297">
        <v>1</v>
      </c>
      <c r="B225" s="1296">
        <v>2</v>
      </c>
      <c r="C225" s="1296">
        <v>3</v>
      </c>
      <c r="D225" s="1296">
        <v>5</v>
      </c>
      <c r="E225" s="1295">
        <v>6</v>
      </c>
      <c r="F225" s="1295">
        <v>7</v>
      </c>
      <c r="G225" s="1446">
        <v>8</v>
      </c>
      <c r="H225" s="1383" t="s">
        <v>689</v>
      </c>
    </row>
    <row r="226" spans="1:9" ht="15.75" thickTop="1" x14ac:dyDescent="0.2">
      <c r="A226" s="1384">
        <v>2212</v>
      </c>
      <c r="B226" s="1464">
        <v>6121</v>
      </c>
      <c r="C226" s="1531" t="s">
        <v>2010</v>
      </c>
      <c r="D226" s="1405" t="s">
        <v>548</v>
      </c>
      <c r="E226" s="1414">
        <v>2785</v>
      </c>
      <c r="F226" s="1414">
        <v>2427</v>
      </c>
      <c r="G226" s="1414">
        <v>2362</v>
      </c>
      <c r="H226" s="1390">
        <f t="shared" ref="H226:H232" si="5">G226/F226*100</f>
        <v>97.321796456530691</v>
      </c>
    </row>
    <row r="227" spans="1:9" ht="15" x14ac:dyDescent="0.2">
      <c r="A227" s="1384">
        <v>2212</v>
      </c>
      <c r="B227" s="1464">
        <v>6121</v>
      </c>
      <c r="C227" s="2831" t="s">
        <v>2014</v>
      </c>
      <c r="D227" s="1405" t="s">
        <v>548</v>
      </c>
      <c r="E227" s="1414">
        <v>0</v>
      </c>
      <c r="F227" s="1414">
        <v>318</v>
      </c>
      <c r="G227" s="1414">
        <v>227</v>
      </c>
      <c r="H227" s="1390">
        <f t="shared" si="5"/>
        <v>71.383647798742132</v>
      </c>
    </row>
    <row r="228" spans="1:9" ht="15" x14ac:dyDescent="0.2">
      <c r="A228" s="1384">
        <v>2212</v>
      </c>
      <c r="B228" s="1385">
        <v>6121</v>
      </c>
      <c r="C228" s="2831" t="s">
        <v>2013</v>
      </c>
      <c r="D228" s="1405" t="s">
        <v>548</v>
      </c>
      <c r="E228" s="1414">
        <v>0</v>
      </c>
      <c r="F228" s="1414">
        <v>40</v>
      </c>
      <c r="G228" s="1414">
        <v>35</v>
      </c>
      <c r="H228" s="1390">
        <f t="shared" si="5"/>
        <v>87.5</v>
      </c>
    </row>
    <row r="229" spans="1:9" ht="15" x14ac:dyDescent="0.2">
      <c r="A229" s="1384">
        <v>2212</v>
      </c>
      <c r="B229" s="1385">
        <v>6121</v>
      </c>
      <c r="C229" s="2831" t="s">
        <v>2025</v>
      </c>
      <c r="D229" s="1405" t="s">
        <v>548</v>
      </c>
      <c r="E229" s="1414">
        <v>4248</v>
      </c>
      <c r="F229" s="1414">
        <v>1335</v>
      </c>
      <c r="G229" s="1414">
        <v>1335</v>
      </c>
      <c r="H229" s="1390">
        <f t="shared" si="5"/>
        <v>100</v>
      </c>
      <c r="I229" s="1398"/>
    </row>
    <row r="230" spans="1:9" ht="15.75" thickBot="1" x14ac:dyDescent="0.25">
      <c r="A230" s="1384">
        <v>2212</v>
      </c>
      <c r="B230" s="1464">
        <v>6121</v>
      </c>
      <c r="C230" s="2831" t="s">
        <v>1886</v>
      </c>
      <c r="D230" s="1405" t="s">
        <v>548</v>
      </c>
      <c r="E230" s="1414">
        <v>0</v>
      </c>
      <c r="F230" s="1414">
        <v>12744</v>
      </c>
      <c r="G230" s="1414">
        <v>12015</v>
      </c>
      <c r="H230" s="1390">
        <f t="shared" si="5"/>
        <v>94.279661016949163</v>
      </c>
      <c r="I230" s="1398"/>
    </row>
    <row r="231" spans="1:9" ht="15.75" hidden="1" thickBot="1" x14ac:dyDescent="0.25">
      <c r="A231" s="1384">
        <v>2212</v>
      </c>
      <c r="B231" s="1464">
        <v>6121</v>
      </c>
      <c r="C231" s="1464">
        <v>38500871</v>
      </c>
      <c r="D231" s="1405" t="s">
        <v>548</v>
      </c>
      <c r="E231" s="1414">
        <v>0</v>
      </c>
      <c r="F231" s="1414">
        <v>0</v>
      </c>
      <c r="G231" s="1414">
        <v>0</v>
      </c>
      <c r="H231" s="1390" t="e">
        <f t="shared" si="5"/>
        <v>#DIV/0!</v>
      </c>
      <c r="I231" s="1398"/>
    </row>
    <row r="232" spans="1:9" ht="16.5" thickTop="1" thickBot="1" x14ac:dyDescent="0.3">
      <c r="A232" s="1406" t="s">
        <v>690</v>
      </c>
      <c r="B232" s="1407"/>
      <c r="C232" s="1407"/>
      <c r="D232" s="1408"/>
      <c r="E232" s="1387">
        <f>SUM(E226:E231)</f>
        <v>7033</v>
      </c>
      <c r="F232" s="1387">
        <f>SUM(F226:F231)</f>
        <v>16864</v>
      </c>
      <c r="G232" s="1387">
        <f>SUM(G226:G231)</f>
        <v>15974</v>
      </c>
      <c r="H232" s="1391">
        <f t="shared" si="5"/>
        <v>94.722485768500945</v>
      </c>
      <c r="I232" s="1398"/>
    </row>
    <row r="233" spans="1:9" ht="13.5" customHeight="1" thickTop="1" x14ac:dyDescent="0.25">
      <c r="A233" s="1417"/>
      <c r="B233" s="1417"/>
      <c r="C233" s="1417"/>
      <c r="D233" s="1417"/>
      <c r="E233" s="1393"/>
      <c r="F233" s="1393"/>
      <c r="G233" s="1393"/>
      <c r="H233" s="1418"/>
      <c r="I233" s="1460"/>
    </row>
    <row r="234" spans="1:9" s="1309" customFormat="1" ht="15" x14ac:dyDescent="0.25">
      <c r="A234" s="1377" t="s">
        <v>1494</v>
      </c>
      <c r="B234" s="1371"/>
      <c r="C234" s="1371"/>
      <c r="D234" s="1371"/>
      <c r="E234" s="1372"/>
      <c r="F234" s="1398"/>
      <c r="G234" s="1398"/>
      <c r="H234" s="1398"/>
      <c r="I234" s="1372"/>
    </row>
    <row r="235" spans="1:9" s="1249" customFormat="1" ht="15.75" thickBot="1" x14ac:dyDescent="0.3">
      <c r="A235" s="1377" t="s">
        <v>1495</v>
      </c>
      <c r="B235" s="1371"/>
      <c r="C235" s="1371"/>
      <c r="D235" s="1371"/>
      <c r="E235" s="1372"/>
      <c r="F235" s="1398"/>
      <c r="G235" s="1398"/>
      <c r="H235" s="1459" t="s">
        <v>148</v>
      </c>
      <c r="I235" s="1372"/>
    </row>
    <row r="236" spans="1:9" ht="25.5" thickTop="1" thickBot="1" x14ac:dyDescent="0.25">
      <c r="A236" s="1378" t="s">
        <v>149</v>
      </c>
      <c r="B236" s="1379" t="s">
        <v>688</v>
      </c>
      <c r="C236" s="1379" t="s">
        <v>345</v>
      </c>
      <c r="D236" s="1380" t="s">
        <v>151</v>
      </c>
      <c r="E236" s="1402" t="s">
        <v>569</v>
      </c>
      <c r="F236" s="1402" t="s">
        <v>570</v>
      </c>
      <c r="G236" s="1403" t="s">
        <v>797</v>
      </c>
      <c r="H236" s="1404" t="s">
        <v>798</v>
      </c>
    </row>
    <row r="237" spans="1:9" ht="14.25" thickTop="1" thickBot="1" x14ac:dyDescent="0.25">
      <c r="A237" s="1297">
        <v>1</v>
      </c>
      <c r="B237" s="1296">
        <v>2</v>
      </c>
      <c r="C237" s="1296">
        <v>3</v>
      </c>
      <c r="D237" s="1296">
        <v>5</v>
      </c>
      <c r="E237" s="1295">
        <v>6</v>
      </c>
      <c r="F237" s="1295">
        <v>7</v>
      </c>
      <c r="G237" s="1446">
        <v>8</v>
      </c>
      <c r="H237" s="1383" t="s">
        <v>689</v>
      </c>
    </row>
    <row r="238" spans="1:9" ht="15.75" thickTop="1" x14ac:dyDescent="0.2">
      <c r="A238" s="1384">
        <v>2212</v>
      </c>
      <c r="B238" s="1464">
        <v>6121</v>
      </c>
      <c r="C238" s="1531" t="s">
        <v>2010</v>
      </c>
      <c r="D238" s="1405" t="s">
        <v>548</v>
      </c>
      <c r="E238" s="1414">
        <v>2080</v>
      </c>
      <c r="F238" s="1414">
        <v>2261</v>
      </c>
      <c r="G238" s="1414">
        <v>2223</v>
      </c>
      <c r="H238" s="1390">
        <f>G238/F238*100</f>
        <v>98.319327731092429</v>
      </c>
    </row>
    <row r="239" spans="1:9" ht="15" x14ac:dyDescent="0.2">
      <c r="A239" s="1384">
        <v>2212</v>
      </c>
      <c r="B239" s="1385">
        <v>6121</v>
      </c>
      <c r="C239" s="2831" t="s">
        <v>2014</v>
      </c>
      <c r="D239" s="1405" t="s">
        <v>548</v>
      </c>
      <c r="E239" s="1414">
        <v>0</v>
      </c>
      <c r="F239" s="1414">
        <v>514</v>
      </c>
      <c r="G239" s="1414">
        <v>269</v>
      </c>
      <c r="H239" s="1390">
        <f>G239/F239*100</f>
        <v>52.334630350194558</v>
      </c>
    </row>
    <row r="240" spans="1:9" ht="15" x14ac:dyDescent="0.2">
      <c r="A240" s="1384">
        <v>2212</v>
      </c>
      <c r="B240" s="1385">
        <v>6121</v>
      </c>
      <c r="C240" s="2831" t="s">
        <v>2013</v>
      </c>
      <c r="D240" s="1405" t="s">
        <v>548</v>
      </c>
      <c r="E240" s="1414">
        <v>0</v>
      </c>
      <c r="F240" s="1414">
        <v>5960</v>
      </c>
      <c r="G240" s="1414">
        <v>5749</v>
      </c>
      <c r="H240" s="1390">
        <f>G240/F240*100</f>
        <v>96.459731543624159</v>
      </c>
      <c r="I240" s="1398"/>
    </row>
    <row r="241" spans="1:9" ht="15" x14ac:dyDescent="0.2">
      <c r="A241" s="1384">
        <v>2212</v>
      </c>
      <c r="B241" s="1464">
        <v>6121</v>
      </c>
      <c r="C241" s="2831" t="s">
        <v>2025</v>
      </c>
      <c r="D241" s="1405" t="s">
        <v>548</v>
      </c>
      <c r="E241" s="1414">
        <v>1100</v>
      </c>
      <c r="F241" s="1414">
        <v>0</v>
      </c>
      <c r="G241" s="1414">
        <v>0</v>
      </c>
      <c r="H241" s="1390">
        <v>0</v>
      </c>
      <c r="I241" s="1398"/>
    </row>
    <row r="242" spans="1:9" ht="15.75" thickBot="1" x14ac:dyDescent="0.25">
      <c r="A242" s="1384">
        <v>2212</v>
      </c>
      <c r="B242" s="1464">
        <v>6121</v>
      </c>
      <c r="C242" s="2831" t="s">
        <v>1886</v>
      </c>
      <c r="D242" s="1405" t="s">
        <v>548</v>
      </c>
      <c r="E242" s="1414">
        <v>0</v>
      </c>
      <c r="F242" s="1414">
        <v>9898</v>
      </c>
      <c r="G242" s="1414">
        <v>6851</v>
      </c>
      <c r="H242" s="1390">
        <f>G242/F242*100</f>
        <v>69.216003232976362</v>
      </c>
      <c r="I242" s="1398"/>
    </row>
    <row r="243" spans="1:9" ht="16.5" thickTop="1" thickBot="1" x14ac:dyDescent="0.3">
      <c r="A243" s="1406" t="s">
        <v>690</v>
      </c>
      <c r="B243" s="1407"/>
      <c r="C243" s="1407"/>
      <c r="D243" s="1408"/>
      <c r="E243" s="1387">
        <f>SUM(E238:E242)</f>
        <v>3180</v>
      </c>
      <c r="F243" s="1387">
        <f>SUM(F238:F242)</f>
        <v>18633</v>
      </c>
      <c r="G243" s="1387">
        <f>SUM(G238:G242)</f>
        <v>15092</v>
      </c>
      <c r="H243" s="1391">
        <f>G243/F243*100</f>
        <v>80.996082219717707</v>
      </c>
      <c r="I243" s="1398"/>
    </row>
    <row r="244" spans="1:9" ht="13.5" customHeight="1" thickTop="1" x14ac:dyDescent="0.25">
      <c r="A244" s="1417"/>
      <c r="B244" s="1417"/>
      <c r="C244" s="1417"/>
      <c r="D244" s="1417"/>
      <c r="E244" s="1393"/>
      <c r="F244" s="1393"/>
      <c r="G244" s="1393"/>
      <c r="H244" s="1418"/>
      <c r="I244" s="1460"/>
    </row>
    <row r="245" spans="1:9" s="1309" customFormat="1" ht="15" x14ac:dyDescent="0.25">
      <c r="A245" s="1377" t="s">
        <v>1496</v>
      </c>
      <c r="B245" s="1371"/>
      <c r="C245" s="1371"/>
      <c r="D245" s="1371"/>
      <c r="E245" s="1372"/>
      <c r="F245" s="1398"/>
      <c r="G245" s="1398"/>
      <c r="H245" s="1398"/>
      <c r="I245" s="1372"/>
    </row>
    <row r="246" spans="1:9" s="1249" customFormat="1" ht="15.75" thickBot="1" x14ac:dyDescent="0.3">
      <c r="A246" s="1377" t="s">
        <v>1497</v>
      </c>
      <c r="B246" s="1371"/>
      <c r="C246" s="1371"/>
      <c r="D246" s="1371"/>
      <c r="E246" s="1372"/>
      <c r="F246" s="1398"/>
      <c r="G246" s="1398"/>
      <c r="H246" s="1459" t="s">
        <v>148</v>
      </c>
      <c r="I246" s="1372"/>
    </row>
    <row r="247" spans="1:9" ht="25.5" thickTop="1" thickBot="1" x14ac:dyDescent="0.25">
      <c r="A247" s="1378" t="s">
        <v>149</v>
      </c>
      <c r="B247" s="1379" t="s">
        <v>688</v>
      </c>
      <c r="C247" s="1379" t="s">
        <v>345</v>
      </c>
      <c r="D247" s="1380" t="s">
        <v>151</v>
      </c>
      <c r="E247" s="1402" t="s">
        <v>569</v>
      </c>
      <c r="F247" s="1402" t="s">
        <v>570</v>
      </c>
      <c r="G247" s="1403" t="s">
        <v>797</v>
      </c>
      <c r="H247" s="1404" t="s">
        <v>798</v>
      </c>
    </row>
    <row r="248" spans="1:9" ht="14.25" thickTop="1" thickBot="1" x14ac:dyDescent="0.25">
      <c r="A248" s="1297">
        <v>1</v>
      </c>
      <c r="B248" s="1296">
        <v>2</v>
      </c>
      <c r="C248" s="1296">
        <v>3</v>
      </c>
      <c r="D248" s="1296">
        <v>5</v>
      </c>
      <c r="E248" s="1295">
        <v>6</v>
      </c>
      <c r="F248" s="1295">
        <v>7</v>
      </c>
      <c r="G248" s="1446">
        <v>8</v>
      </c>
      <c r="H248" s="1383" t="s">
        <v>689</v>
      </c>
    </row>
    <row r="249" spans="1:9" ht="15.75" thickTop="1" x14ac:dyDescent="0.2">
      <c r="A249" s="1384">
        <v>2212</v>
      </c>
      <c r="B249" s="1464">
        <v>6121</v>
      </c>
      <c r="C249" s="1531" t="s">
        <v>2010</v>
      </c>
      <c r="D249" s="1405" t="s">
        <v>548</v>
      </c>
      <c r="E249" s="1414">
        <v>43069</v>
      </c>
      <c r="F249" s="1414">
        <v>19036</v>
      </c>
      <c r="G249" s="1414">
        <v>19036</v>
      </c>
      <c r="H249" s="1390">
        <f>G249/F249*100</f>
        <v>100</v>
      </c>
    </row>
    <row r="250" spans="1:9" ht="15" x14ac:dyDescent="0.2">
      <c r="A250" s="1384">
        <v>2212</v>
      </c>
      <c r="B250" s="1385">
        <v>6121</v>
      </c>
      <c r="C250" s="2831" t="s">
        <v>2014</v>
      </c>
      <c r="D250" s="1405" t="s">
        <v>548</v>
      </c>
      <c r="E250" s="1414">
        <v>0</v>
      </c>
      <c r="F250" s="1414">
        <v>15363</v>
      </c>
      <c r="G250" s="1414">
        <v>14906</v>
      </c>
      <c r="H250" s="1390">
        <f>G250/F250*100</f>
        <v>97.025320575408443</v>
      </c>
    </row>
    <row r="251" spans="1:9" ht="15" x14ac:dyDescent="0.2">
      <c r="A251" s="1384">
        <v>2212</v>
      </c>
      <c r="B251" s="1385">
        <v>6121</v>
      </c>
      <c r="C251" s="2831" t="s">
        <v>2013</v>
      </c>
      <c r="D251" s="1405" t="s">
        <v>548</v>
      </c>
      <c r="E251" s="1414">
        <v>0</v>
      </c>
      <c r="F251" s="1414">
        <v>16542</v>
      </c>
      <c r="G251" s="1414">
        <v>16542</v>
      </c>
      <c r="H251" s="1390">
        <f>G251/F251*100</f>
        <v>100</v>
      </c>
      <c r="I251" s="1398"/>
    </row>
    <row r="252" spans="1:9" ht="15" x14ac:dyDescent="0.2">
      <c r="A252" s="1384">
        <v>2212</v>
      </c>
      <c r="B252" s="1464">
        <v>6121</v>
      </c>
      <c r="C252" s="2831" t="s">
        <v>2025</v>
      </c>
      <c r="D252" s="1405" t="s">
        <v>548</v>
      </c>
      <c r="E252" s="1414">
        <v>20733</v>
      </c>
      <c r="F252" s="1414">
        <v>0</v>
      </c>
      <c r="G252" s="1414">
        <v>0</v>
      </c>
      <c r="H252" s="1390">
        <v>0</v>
      </c>
      <c r="I252" s="1398"/>
    </row>
    <row r="253" spans="1:9" ht="15.75" thickBot="1" x14ac:dyDescent="0.25">
      <c r="A253" s="1384">
        <v>2212</v>
      </c>
      <c r="B253" s="1464">
        <v>6121</v>
      </c>
      <c r="C253" s="2831" t="s">
        <v>1886</v>
      </c>
      <c r="D253" s="1405" t="s">
        <v>548</v>
      </c>
      <c r="E253" s="1414">
        <v>0</v>
      </c>
      <c r="F253" s="1414">
        <v>58734</v>
      </c>
      <c r="G253" s="1414">
        <v>58260</v>
      </c>
      <c r="H253" s="1390">
        <f>G253/F253*100</f>
        <v>99.192971702931871</v>
      </c>
      <c r="I253" s="1398"/>
    </row>
    <row r="254" spans="1:9" ht="16.5" thickTop="1" thickBot="1" x14ac:dyDescent="0.3">
      <c r="A254" s="1406" t="s">
        <v>690</v>
      </c>
      <c r="B254" s="1407"/>
      <c r="C254" s="1407"/>
      <c r="D254" s="1408"/>
      <c r="E254" s="1387">
        <f>SUM(E249:E253)</f>
        <v>63802</v>
      </c>
      <c r="F254" s="1387">
        <f>SUM(F249:F253)</f>
        <v>109675</v>
      </c>
      <c r="G254" s="1387">
        <f>SUM(G249:G253)</f>
        <v>108744</v>
      </c>
      <c r="H254" s="1391">
        <f>G254/F254*100</f>
        <v>99.151128333713245</v>
      </c>
      <c r="I254" s="1398"/>
    </row>
    <row r="255" spans="1:9" ht="15.75" thickTop="1" x14ac:dyDescent="0.25">
      <c r="A255" s="1417"/>
      <c r="B255" s="1417"/>
      <c r="C255" s="1417"/>
      <c r="D255" s="1417"/>
      <c r="E255" s="1393"/>
      <c r="F255" s="1393"/>
      <c r="G255" s="1393"/>
      <c r="H255" s="1418"/>
      <c r="I255" s="1460"/>
    </row>
    <row r="256" spans="1:9" s="1309" customFormat="1" ht="15" hidden="1" x14ac:dyDescent="0.25">
      <c r="A256" s="1377" t="s">
        <v>1659</v>
      </c>
      <c r="B256" s="1371"/>
      <c r="C256" s="1371"/>
      <c r="D256" s="1371"/>
      <c r="E256" s="1372"/>
      <c r="F256" s="1398"/>
      <c r="G256" s="1398"/>
      <c r="H256" s="1398"/>
      <c r="I256" s="1372"/>
    </row>
    <row r="257" spans="1:9" s="1249" customFormat="1" ht="15" hidden="1" x14ac:dyDescent="0.25">
      <c r="A257" s="1377" t="s">
        <v>1660</v>
      </c>
      <c r="B257" s="1371"/>
      <c r="C257" s="1371"/>
      <c r="D257" s="1371"/>
      <c r="E257" s="1372"/>
      <c r="F257" s="1398"/>
      <c r="G257" s="1398"/>
      <c r="H257" s="1459" t="s">
        <v>148</v>
      </c>
      <c r="I257" s="1372"/>
    </row>
    <row r="258" spans="1:9" ht="25.5" hidden="1" thickTop="1" thickBot="1" x14ac:dyDescent="0.25">
      <c r="A258" s="1378" t="s">
        <v>149</v>
      </c>
      <c r="B258" s="1379" t="s">
        <v>688</v>
      </c>
      <c r="C258" s="1379" t="s">
        <v>345</v>
      </c>
      <c r="D258" s="1380" t="s">
        <v>151</v>
      </c>
      <c r="E258" s="1402" t="s">
        <v>569</v>
      </c>
      <c r="F258" s="1402" t="s">
        <v>570</v>
      </c>
      <c r="G258" s="1403" t="s">
        <v>797</v>
      </c>
      <c r="H258" s="1404" t="s">
        <v>798</v>
      </c>
    </row>
    <row r="259" spans="1:9" ht="14.25" hidden="1" thickTop="1" thickBot="1" x14ac:dyDescent="0.25">
      <c r="A259" s="1297">
        <v>1</v>
      </c>
      <c r="B259" s="1296">
        <v>2</v>
      </c>
      <c r="C259" s="1296">
        <v>3</v>
      </c>
      <c r="D259" s="1296">
        <v>5</v>
      </c>
      <c r="E259" s="1295">
        <v>6</v>
      </c>
      <c r="F259" s="1295">
        <v>7</v>
      </c>
      <c r="G259" s="1446">
        <v>8</v>
      </c>
      <c r="H259" s="1383" t="s">
        <v>689</v>
      </c>
    </row>
    <row r="260" spans="1:9" ht="15" hidden="1" x14ac:dyDescent="0.2">
      <c r="A260" s="1384">
        <v>2212</v>
      </c>
      <c r="B260" s="1464">
        <v>6121</v>
      </c>
      <c r="C260" s="1464">
        <v>12</v>
      </c>
      <c r="D260" s="1405" t="s">
        <v>548</v>
      </c>
      <c r="E260" s="1414">
        <v>0</v>
      </c>
      <c r="F260" s="1414">
        <v>0</v>
      </c>
      <c r="G260" s="1414">
        <v>0</v>
      </c>
      <c r="H260" s="1390" t="e">
        <f t="shared" ref="H260:H265" si="6">G260/F260*100</f>
        <v>#DIV/0!</v>
      </c>
    </row>
    <row r="261" spans="1:9" ht="15" hidden="1" x14ac:dyDescent="0.2">
      <c r="A261" s="1384">
        <v>2212</v>
      </c>
      <c r="B261" s="1385">
        <v>6121</v>
      </c>
      <c r="C261" s="1385">
        <v>38100880</v>
      </c>
      <c r="D261" s="1405" t="s">
        <v>548</v>
      </c>
      <c r="E261" s="1414">
        <v>0</v>
      </c>
      <c r="F261" s="1414">
        <v>0</v>
      </c>
      <c r="G261" s="1414">
        <v>0</v>
      </c>
      <c r="H261" s="1390" t="e">
        <f t="shared" si="6"/>
        <v>#DIV/0!</v>
      </c>
    </row>
    <row r="262" spans="1:9" ht="15" hidden="1" x14ac:dyDescent="0.2">
      <c r="A262" s="1384">
        <v>2212</v>
      </c>
      <c r="B262" s="1385">
        <v>6121</v>
      </c>
      <c r="C262" s="1385">
        <v>38100884</v>
      </c>
      <c r="D262" s="1405" t="s">
        <v>548</v>
      </c>
      <c r="E262" s="1414"/>
      <c r="F262" s="1414"/>
      <c r="G262" s="1414"/>
      <c r="H262" s="1390" t="e">
        <f t="shared" si="6"/>
        <v>#DIV/0!</v>
      </c>
      <c r="I262" s="1398"/>
    </row>
    <row r="263" spans="1:9" ht="15" hidden="1" x14ac:dyDescent="0.2">
      <c r="A263" s="1384">
        <v>2212</v>
      </c>
      <c r="B263" s="1464">
        <v>6121</v>
      </c>
      <c r="C263" s="1464">
        <v>38500881</v>
      </c>
      <c r="D263" s="1405" t="s">
        <v>548</v>
      </c>
      <c r="E263" s="1414">
        <v>0</v>
      </c>
      <c r="F263" s="1414">
        <v>0</v>
      </c>
      <c r="G263" s="1414">
        <v>0</v>
      </c>
      <c r="H263" s="1390" t="e">
        <f t="shared" si="6"/>
        <v>#DIV/0!</v>
      </c>
      <c r="I263" s="1398"/>
    </row>
    <row r="264" spans="1:9" ht="15" hidden="1" x14ac:dyDescent="0.2">
      <c r="A264" s="1384">
        <v>2212</v>
      </c>
      <c r="B264" s="1464">
        <v>6121</v>
      </c>
      <c r="C264" s="1464">
        <v>38500871</v>
      </c>
      <c r="D264" s="1405" t="s">
        <v>548</v>
      </c>
      <c r="E264" s="1414">
        <v>0</v>
      </c>
      <c r="F264" s="1414">
        <v>0</v>
      </c>
      <c r="G264" s="1414">
        <v>0</v>
      </c>
      <c r="H264" s="1390" t="e">
        <f t="shared" si="6"/>
        <v>#DIV/0!</v>
      </c>
      <c r="I264" s="1398"/>
    </row>
    <row r="265" spans="1:9" ht="16.5" hidden="1" thickTop="1" thickBot="1" x14ac:dyDescent="0.3">
      <c r="A265" s="1406" t="s">
        <v>690</v>
      </c>
      <c r="B265" s="1407"/>
      <c r="C265" s="1407"/>
      <c r="D265" s="1408"/>
      <c r="E265" s="1387">
        <f>SUM(E260:E264)</f>
        <v>0</v>
      </c>
      <c r="F265" s="1387">
        <f>SUM(F260:F264)</f>
        <v>0</v>
      </c>
      <c r="G265" s="1387">
        <f>SUM(G260:G264)</f>
        <v>0</v>
      </c>
      <c r="H265" s="1391" t="e">
        <f t="shared" si="6"/>
        <v>#DIV/0!</v>
      </c>
      <c r="I265" s="1398"/>
    </row>
    <row r="266" spans="1:9" ht="15" hidden="1" x14ac:dyDescent="0.25">
      <c r="A266" s="1417"/>
      <c r="B266" s="1417"/>
      <c r="C266" s="1417"/>
      <c r="D266" s="1417"/>
      <c r="E266" s="1393"/>
      <c r="F266" s="1393"/>
      <c r="G266" s="1393"/>
      <c r="H266" s="1418"/>
      <c r="I266" s="1460"/>
    </row>
    <row r="267" spans="1:9" s="1309" customFormat="1" ht="15" hidden="1" x14ac:dyDescent="0.25">
      <c r="A267" s="1377" t="s">
        <v>1661</v>
      </c>
      <c r="B267" s="1371"/>
      <c r="C267" s="1371"/>
      <c r="D267" s="1371"/>
      <c r="E267" s="1372"/>
      <c r="F267" s="1398"/>
      <c r="G267" s="1398"/>
      <c r="H267" s="1398"/>
      <c r="I267" s="1372"/>
    </row>
    <row r="268" spans="1:9" s="1249" customFormat="1" ht="15" hidden="1" x14ac:dyDescent="0.25">
      <c r="A268" s="1377" t="s">
        <v>1662</v>
      </c>
      <c r="B268" s="1371"/>
      <c r="C268" s="1371"/>
      <c r="D268" s="1371"/>
      <c r="E268" s="1372"/>
      <c r="F268" s="1398"/>
      <c r="G268" s="1398"/>
      <c r="H268" s="1459" t="s">
        <v>148</v>
      </c>
      <c r="I268" s="1372"/>
    </row>
    <row r="269" spans="1:9" ht="25.5" hidden="1" thickTop="1" thickBot="1" x14ac:dyDescent="0.25">
      <c r="A269" s="1378" t="s">
        <v>149</v>
      </c>
      <c r="B269" s="1379" t="s">
        <v>688</v>
      </c>
      <c r="C269" s="1379" t="s">
        <v>345</v>
      </c>
      <c r="D269" s="1380" t="s">
        <v>151</v>
      </c>
      <c r="E269" s="1402" t="s">
        <v>569</v>
      </c>
      <c r="F269" s="1402" t="s">
        <v>570</v>
      </c>
      <c r="G269" s="1403" t="s">
        <v>797</v>
      </c>
      <c r="H269" s="1404" t="s">
        <v>798</v>
      </c>
    </row>
    <row r="270" spans="1:9" ht="14.25" hidden="1" thickTop="1" thickBot="1" x14ac:dyDescent="0.25">
      <c r="A270" s="1297">
        <v>1</v>
      </c>
      <c r="B270" s="1296">
        <v>2</v>
      </c>
      <c r="C270" s="1296">
        <v>3</v>
      </c>
      <c r="D270" s="1296">
        <v>5</v>
      </c>
      <c r="E270" s="1295">
        <v>6</v>
      </c>
      <c r="F270" s="1295">
        <v>7</v>
      </c>
      <c r="G270" s="1446">
        <v>8</v>
      </c>
      <c r="H270" s="1383" t="s">
        <v>689</v>
      </c>
    </row>
    <row r="271" spans="1:9" ht="15" hidden="1" x14ac:dyDescent="0.2">
      <c r="A271" s="1384">
        <v>2212</v>
      </c>
      <c r="B271" s="1464">
        <v>6121</v>
      </c>
      <c r="C271" s="1464">
        <v>12</v>
      </c>
      <c r="D271" s="1405" t="s">
        <v>548</v>
      </c>
      <c r="E271" s="1414">
        <v>0</v>
      </c>
      <c r="F271" s="1414">
        <v>0</v>
      </c>
      <c r="G271" s="1414">
        <v>0</v>
      </c>
      <c r="H271" s="1390" t="e">
        <f t="shared" ref="H271:H276" si="7">G271/F271*100</f>
        <v>#DIV/0!</v>
      </c>
    </row>
    <row r="272" spans="1:9" ht="15" hidden="1" x14ac:dyDescent="0.2">
      <c r="A272" s="1384">
        <v>2212</v>
      </c>
      <c r="B272" s="1385">
        <v>6121</v>
      </c>
      <c r="C272" s="1385">
        <v>38100880</v>
      </c>
      <c r="D272" s="1405" t="s">
        <v>548</v>
      </c>
      <c r="E272" s="1414">
        <v>0</v>
      </c>
      <c r="F272" s="1414">
        <v>0</v>
      </c>
      <c r="G272" s="1414">
        <v>0</v>
      </c>
      <c r="H272" s="1390" t="e">
        <f t="shared" si="7"/>
        <v>#DIV/0!</v>
      </c>
    </row>
    <row r="273" spans="1:9" ht="15" hidden="1" x14ac:dyDescent="0.2">
      <c r="A273" s="1384">
        <v>2212</v>
      </c>
      <c r="B273" s="1385">
        <v>6121</v>
      </c>
      <c r="C273" s="1385">
        <v>38100884</v>
      </c>
      <c r="D273" s="1405" t="s">
        <v>548</v>
      </c>
      <c r="E273" s="1414"/>
      <c r="F273" s="1414"/>
      <c r="G273" s="1414"/>
      <c r="H273" s="1390" t="e">
        <f t="shared" si="7"/>
        <v>#DIV/0!</v>
      </c>
      <c r="I273" s="1398"/>
    </row>
    <row r="274" spans="1:9" ht="15" hidden="1" x14ac:dyDescent="0.2">
      <c r="A274" s="1384">
        <v>2212</v>
      </c>
      <c r="B274" s="1464">
        <v>6121</v>
      </c>
      <c r="C274" s="1464">
        <v>38500881</v>
      </c>
      <c r="D274" s="1405" t="s">
        <v>548</v>
      </c>
      <c r="E274" s="1414">
        <v>0</v>
      </c>
      <c r="F274" s="1414">
        <v>0</v>
      </c>
      <c r="G274" s="1414">
        <v>0</v>
      </c>
      <c r="H274" s="1390" t="e">
        <f t="shared" si="7"/>
        <v>#DIV/0!</v>
      </c>
      <c r="I274" s="1398"/>
    </row>
    <row r="275" spans="1:9" ht="15" hidden="1" x14ac:dyDescent="0.2">
      <c r="A275" s="1384">
        <v>2212</v>
      </c>
      <c r="B275" s="1464">
        <v>6121</v>
      </c>
      <c r="C275" s="1464">
        <v>38500871</v>
      </c>
      <c r="D275" s="1405" t="s">
        <v>548</v>
      </c>
      <c r="E275" s="1414">
        <v>0</v>
      </c>
      <c r="F275" s="1414">
        <v>0</v>
      </c>
      <c r="G275" s="1414">
        <v>0</v>
      </c>
      <c r="H275" s="1390" t="e">
        <f t="shared" si="7"/>
        <v>#DIV/0!</v>
      </c>
      <c r="I275" s="1398"/>
    </row>
    <row r="276" spans="1:9" ht="16.5" hidden="1" thickTop="1" thickBot="1" x14ac:dyDescent="0.3">
      <c r="A276" s="1406" t="s">
        <v>690</v>
      </c>
      <c r="B276" s="1407"/>
      <c r="C276" s="1407"/>
      <c r="D276" s="1408"/>
      <c r="E276" s="1387">
        <f>SUM(E271:E275)</f>
        <v>0</v>
      </c>
      <c r="F276" s="1387">
        <f>SUM(F271:F275)</f>
        <v>0</v>
      </c>
      <c r="G276" s="1387">
        <f>SUM(G271:G275)</f>
        <v>0</v>
      </c>
      <c r="H276" s="1391" t="e">
        <f t="shared" si="7"/>
        <v>#DIV/0!</v>
      </c>
      <c r="I276" s="1398"/>
    </row>
    <row r="277" spans="1:9" ht="15" hidden="1" x14ac:dyDescent="0.25">
      <c r="A277" s="1417"/>
      <c r="B277" s="1417"/>
      <c r="C277" s="1417"/>
      <c r="D277" s="1417"/>
      <c r="E277" s="1393"/>
      <c r="F277" s="1393"/>
      <c r="G277" s="1393"/>
      <c r="H277" s="1418"/>
      <c r="I277" s="1460"/>
    </row>
    <row r="278" spans="1:9" s="1309" customFormat="1" ht="15" hidden="1" x14ac:dyDescent="0.25">
      <c r="A278" s="1377" t="s">
        <v>1663</v>
      </c>
      <c r="B278" s="1371"/>
      <c r="C278" s="1371"/>
      <c r="D278" s="1371"/>
      <c r="E278" s="1372"/>
      <c r="F278" s="1398"/>
      <c r="G278" s="1398"/>
      <c r="H278" s="1398"/>
      <c r="I278" s="1372"/>
    </row>
    <row r="279" spans="1:9" s="1249" customFormat="1" ht="15" hidden="1" x14ac:dyDescent="0.25">
      <c r="A279" s="1377" t="s">
        <v>1664</v>
      </c>
      <c r="B279" s="1371"/>
      <c r="C279" s="1371"/>
      <c r="D279" s="1371"/>
      <c r="E279" s="1372"/>
      <c r="F279" s="1398"/>
      <c r="G279" s="1398"/>
      <c r="H279" s="1459" t="s">
        <v>148</v>
      </c>
      <c r="I279" s="1372"/>
    </row>
    <row r="280" spans="1:9" ht="25.5" hidden="1" thickTop="1" thickBot="1" x14ac:dyDescent="0.25">
      <c r="A280" s="1378" t="s">
        <v>149</v>
      </c>
      <c r="B280" s="1379" t="s">
        <v>688</v>
      </c>
      <c r="C280" s="1379" t="s">
        <v>345</v>
      </c>
      <c r="D280" s="1380" t="s">
        <v>151</v>
      </c>
      <c r="E280" s="1402" t="s">
        <v>569</v>
      </c>
      <c r="F280" s="1402" t="s">
        <v>570</v>
      </c>
      <c r="G280" s="1403" t="s">
        <v>797</v>
      </c>
      <c r="H280" s="1404" t="s">
        <v>798</v>
      </c>
    </row>
    <row r="281" spans="1:9" ht="14.25" hidden="1" thickTop="1" thickBot="1" x14ac:dyDescent="0.25">
      <c r="A281" s="1297">
        <v>1</v>
      </c>
      <c r="B281" s="1296">
        <v>2</v>
      </c>
      <c r="C281" s="1296">
        <v>3</v>
      </c>
      <c r="D281" s="1296">
        <v>5</v>
      </c>
      <c r="E281" s="1295">
        <v>6</v>
      </c>
      <c r="F281" s="1295">
        <v>7</v>
      </c>
      <c r="G281" s="1446">
        <v>8</v>
      </c>
      <c r="H281" s="1383" t="s">
        <v>689</v>
      </c>
    </row>
    <row r="282" spans="1:9" ht="15" hidden="1" x14ac:dyDescent="0.2">
      <c r="A282" s="1384">
        <v>2212</v>
      </c>
      <c r="B282" s="1464">
        <v>6121</v>
      </c>
      <c r="C282" s="1464">
        <v>12</v>
      </c>
      <c r="D282" s="1405" t="s">
        <v>548</v>
      </c>
      <c r="E282" s="1414">
        <v>0</v>
      </c>
      <c r="F282" s="1414">
        <v>0</v>
      </c>
      <c r="G282" s="1414">
        <v>0</v>
      </c>
      <c r="H282" s="1390" t="e">
        <f t="shared" ref="H282:H287" si="8">G282/F282*100</f>
        <v>#DIV/0!</v>
      </c>
    </row>
    <row r="283" spans="1:9" ht="15" hidden="1" x14ac:dyDescent="0.2">
      <c r="A283" s="1384">
        <v>2212</v>
      </c>
      <c r="B283" s="1385">
        <v>6121</v>
      </c>
      <c r="C283" s="1385">
        <v>38100880</v>
      </c>
      <c r="D283" s="1405" t="s">
        <v>548</v>
      </c>
      <c r="E283" s="1414">
        <v>0</v>
      </c>
      <c r="F283" s="1414">
        <v>0</v>
      </c>
      <c r="G283" s="1414">
        <v>0</v>
      </c>
      <c r="H283" s="1390" t="e">
        <f t="shared" si="8"/>
        <v>#DIV/0!</v>
      </c>
    </row>
    <row r="284" spans="1:9" ht="15" hidden="1" x14ac:dyDescent="0.2">
      <c r="A284" s="1384">
        <v>2212</v>
      </c>
      <c r="B284" s="1385">
        <v>6121</v>
      </c>
      <c r="C284" s="1385">
        <v>38100884</v>
      </c>
      <c r="D284" s="1405" t="s">
        <v>548</v>
      </c>
      <c r="E284" s="1414"/>
      <c r="F284" s="1414"/>
      <c r="G284" s="1414"/>
      <c r="H284" s="1390" t="e">
        <f t="shared" si="8"/>
        <v>#DIV/0!</v>
      </c>
      <c r="I284" s="1398"/>
    </row>
    <row r="285" spans="1:9" ht="15" hidden="1" x14ac:dyDescent="0.2">
      <c r="A285" s="1384">
        <v>2212</v>
      </c>
      <c r="B285" s="1464">
        <v>6121</v>
      </c>
      <c r="C285" s="1464">
        <v>38500881</v>
      </c>
      <c r="D285" s="1405" t="s">
        <v>548</v>
      </c>
      <c r="E285" s="1414">
        <v>0</v>
      </c>
      <c r="F285" s="1414">
        <v>0</v>
      </c>
      <c r="G285" s="1414">
        <v>0</v>
      </c>
      <c r="H285" s="1390" t="e">
        <f t="shared" si="8"/>
        <v>#DIV/0!</v>
      </c>
      <c r="I285" s="1398"/>
    </row>
    <row r="286" spans="1:9" ht="15" hidden="1" x14ac:dyDescent="0.2">
      <c r="A286" s="1384">
        <v>2212</v>
      </c>
      <c r="B286" s="1464">
        <v>6121</v>
      </c>
      <c r="C286" s="1464">
        <v>38500871</v>
      </c>
      <c r="D286" s="1405" t="s">
        <v>548</v>
      </c>
      <c r="E286" s="1414">
        <v>0</v>
      </c>
      <c r="F286" s="1414">
        <v>0</v>
      </c>
      <c r="G286" s="1414">
        <v>0</v>
      </c>
      <c r="H286" s="1390" t="e">
        <f t="shared" si="8"/>
        <v>#DIV/0!</v>
      </c>
      <c r="I286" s="1398"/>
    </row>
    <row r="287" spans="1:9" ht="16.5" hidden="1" thickTop="1" thickBot="1" x14ac:dyDescent="0.3">
      <c r="A287" s="1406" t="s">
        <v>690</v>
      </c>
      <c r="B287" s="1407"/>
      <c r="C287" s="1407"/>
      <c r="D287" s="1408"/>
      <c r="E287" s="1387">
        <f>SUM(E282:E286)</f>
        <v>0</v>
      </c>
      <c r="F287" s="1387">
        <f>SUM(F282:F286)</f>
        <v>0</v>
      </c>
      <c r="G287" s="1387">
        <f>SUM(G282:G286)</f>
        <v>0</v>
      </c>
      <c r="H287" s="1391" t="e">
        <f t="shared" si="8"/>
        <v>#DIV/0!</v>
      </c>
      <c r="I287" s="1398"/>
    </row>
    <row r="288" spans="1:9" ht="13.5" hidden="1" customHeight="1" thickTop="1" x14ac:dyDescent="0.25">
      <c r="A288" s="1417"/>
      <c r="B288" s="1417"/>
      <c r="C288" s="1417"/>
      <c r="D288" s="1417"/>
      <c r="E288" s="1393"/>
      <c r="F288" s="1393"/>
      <c r="G288" s="1393"/>
      <c r="H288" s="1418"/>
      <c r="I288" s="1460"/>
    </row>
    <row r="289" spans="1:9" s="1309" customFormat="1" ht="15" x14ac:dyDescent="0.25">
      <c r="A289" s="1377" t="s">
        <v>1665</v>
      </c>
      <c r="B289" s="1371"/>
      <c r="C289" s="1371"/>
      <c r="D289" s="1371"/>
      <c r="E289" s="1372"/>
      <c r="F289" s="1398"/>
      <c r="G289" s="1398"/>
      <c r="H289" s="1398"/>
      <c r="I289" s="1372"/>
    </row>
    <row r="290" spans="1:9" s="1249" customFormat="1" ht="15.75" thickBot="1" x14ac:dyDescent="0.3">
      <c r="A290" s="1377" t="s">
        <v>1666</v>
      </c>
      <c r="B290" s="1371"/>
      <c r="C290" s="1371"/>
      <c r="D290" s="1371"/>
      <c r="E290" s="1372"/>
      <c r="F290" s="1398"/>
      <c r="G290" s="1398"/>
      <c r="H290" s="1459" t="s">
        <v>148</v>
      </c>
      <c r="I290" s="1372"/>
    </row>
    <row r="291" spans="1:9" ht="25.5" thickTop="1" thickBot="1" x14ac:dyDescent="0.25">
      <c r="A291" s="1378" t="s">
        <v>149</v>
      </c>
      <c r="B291" s="1379" t="s">
        <v>688</v>
      </c>
      <c r="C291" s="1379" t="s">
        <v>345</v>
      </c>
      <c r="D291" s="1380" t="s">
        <v>151</v>
      </c>
      <c r="E291" s="1402" t="s">
        <v>569</v>
      </c>
      <c r="F291" s="1402" t="s">
        <v>570</v>
      </c>
      <c r="G291" s="1403" t="s">
        <v>797</v>
      </c>
      <c r="H291" s="1404" t="s">
        <v>798</v>
      </c>
    </row>
    <row r="292" spans="1:9" ht="14.25" thickTop="1" thickBot="1" x14ac:dyDescent="0.25">
      <c r="A292" s="1297">
        <v>1</v>
      </c>
      <c r="B292" s="1296">
        <v>2</v>
      </c>
      <c r="C292" s="1296">
        <v>3</v>
      </c>
      <c r="D292" s="1296">
        <v>5</v>
      </c>
      <c r="E292" s="1295">
        <v>6</v>
      </c>
      <c r="F292" s="1295">
        <v>7</v>
      </c>
      <c r="G292" s="1446">
        <v>8</v>
      </c>
      <c r="H292" s="1383" t="s">
        <v>689</v>
      </c>
    </row>
    <row r="293" spans="1:9" ht="15.75" thickTop="1" x14ac:dyDescent="0.2">
      <c r="A293" s="1384">
        <v>2212</v>
      </c>
      <c r="B293" s="1464">
        <v>6121</v>
      </c>
      <c r="C293" s="1531" t="s">
        <v>2010</v>
      </c>
      <c r="D293" s="1405" t="s">
        <v>548</v>
      </c>
      <c r="E293" s="1414">
        <v>0</v>
      </c>
      <c r="F293" s="1414">
        <v>3100</v>
      </c>
      <c r="G293" s="1414">
        <v>2781</v>
      </c>
      <c r="H293" s="1390">
        <f t="shared" ref="H293:H298" si="9">G293/F293*100</f>
        <v>89.709677419354833</v>
      </c>
    </row>
    <row r="294" spans="1:9" ht="15" x14ac:dyDescent="0.2">
      <c r="A294" s="1384">
        <v>2212</v>
      </c>
      <c r="B294" s="1385">
        <v>6121</v>
      </c>
      <c r="C294" s="2831" t="s">
        <v>2014</v>
      </c>
      <c r="D294" s="1405" t="s">
        <v>548</v>
      </c>
      <c r="E294" s="1414">
        <v>0</v>
      </c>
      <c r="F294" s="1414">
        <v>1139</v>
      </c>
      <c r="G294" s="1414">
        <v>472</v>
      </c>
      <c r="H294" s="1390">
        <f t="shared" si="9"/>
        <v>41.439859525899912</v>
      </c>
    </row>
    <row r="295" spans="1:9" ht="15" x14ac:dyDescent="0.2">
      <c r="A295" s="1384">
        <v>2212</v>
      </c>
      <c r="B295" s="1385">
        <v>6121</v>
      </c>
      <c r="C295" s="2831" t="s">
        <v>2013</v>
      </c>
      <c r="D295" s="1405" t="s">
        <v>548</v>
      </c>
      <c r="E295" s="1414">
        <v>0</v>
      </c>
      <c r="F295" s="1414">
        <v>17271</v>
      </c>
      <c r="G295" s="1414">
        <v>16848</v>
      </c>
      <c r="H295" s="1390">
        <f t="shared" si="9"/>
        <v>97.550807712350178</v>
      </c>
      <c r="I295" s="1398"/>
    </row>
    <row r="296" spans="1:9" ht="15" hidden="1" x14ac:dyDescent="0.2">
      <c r="A296" s="1384">
        <v>2212</v>
      </c>
      <c r="B296" s="1464">
        <v>6121</v>
      </c>
      <c r="C296" s="2831">
        <v>38500881</v>
      </c>
      <c r="D296" s="1405" t="s">
        <v>548</v>
      </c>
      <c r="E296" s="1414">
        <v>0</v>
      </c>
      <c r="F296" s="1414">
        <v>0</v>
      </c>
      <c r="G296" s="1414">
        <v>0</v>
      </c>
      <c r="H296" s="1390" t="e">
        <f t="shared" si="9"/>
        <v>#DIV/0!</v>
      </c>
      <c r="I296" s="1398"/>
    </row>
    <row r="297" spans="1:9" ht="15.75" thickBot="1" x14ac:dyDescent="0.25">
      <c r="A297" s="1384">
        <v>2212</v>
      </c>
      <c r="B297" s="1464">
        <v>6121</v>
      </c>
      <c r="C297" s="2831" t="s">
        <v>1886</v>
      </c>
      <c r="D297" s="1405" t="s">
        <v>548</v>
      </c>
      <c r="E297" s="1414">
        <v>0</v>
      </c>
      <c r="F297" s="1414">
        <v>36000</v>
      </c>
      <c r="G297" s="1414">
        <v>35989</v>
      </c>
      <c r="H297" s="1390">
        <f t="shared" si="9"/>
        <v>99.969444444444449</v>
      </c>
      <c r="I297" s="1398"/>
    </row>
    <row r="298" spans="1:9" ht="16.5" thickTop="1" thickBot="1" x14ac:dyDescent="0.3">
      <c r="A298" s="1406" t="s">
        <v>690</v>
      </c>
      <c r="B298" s="1407"/>
      <c r="C298" s="1407"/>
      <c r="D298" s="1408"/>
      <c r="E298" s="1387">
        <f>SUM(E293:E297)</f>
        <v>0</v>
      </c>
      <c r="F298" s="1387">
        <f>SUM(F293:F297)</f>
        <v>57510</v>
      </c>
      <c r="G298" s="1387">
        <f>SUM(G293:G297)</f>
        <v>56090</v>
      </c>
      <c r="H298" s="1391">
        <f t="shared" si="9"/>
        <v>97.53086419753086</v>
      </c>
      <c r="I298" s="1398"/>
    </row>
    <row r="299" spans="1:9" ht="13.5" customHeight="1" thickTop="1" x14ac:dyDescent="0.25">
      <c r="A299" s="1417"/>
      <c r="B299" s="1417"/>
      <c r="C299" s="1417"/>
      <c r="D299" s="1417"/>
      <c r="E299" s="1393"/>
      <c r="F299" s="1393"/>
      <c r="G299" s="1393"/>
      <c r="H299" s="1418"/>
      <c r="I299" s="1460"/>
    </row>
    <row r="300" spans="1:9" s="1309" customFormat="1" ht="15" x14ac:dyDescent="0.25">
      <c r="A300" s="1377" t="s">
        <v>2024</v>
      </c>
      <c r="B300" s="1371"/>
      <c r="C300" s="1371"/>
      <c r="D300" s="1371"/>
      <c r="E300" s="1372"/>
      <c r="F300" s="1398"/>
      <c r="G300" s="1398"/>
      <c r="H300" s="1398"/>
      <c r="I300" s="1372"/>
    </row>
    <row r="301" spans="1:9" s="1249" customFormat="1" ht="15.75" thickBot="1" x14ac:dyDescent="0.3">
      <c r="A301" s="1377" t="s">
        <v>2023</v>
      </c>
      <c r="B301" s="1371"/>
      <c r="C301" s="1371"/>
      <c r="D301" s="1371"/>
      <c r="E301" s="1372"/>
      <c r="F301" s="1398"/>
      <c r="G301" s="1398"/>
      <c r="H301" s="1459" t="s">
        <v>148</v>
      </c>
      <c r="I301" s="1372"/>
    </row>
    <row r="302" spans="1:9" ht="25.5" thickTop="1" thickBot="1" x14ac:dyDescent="0.25">
      <c r="A302" s="1378" t="s">
        <v>149</v>
      </c>
      <c r="B302" s="1379" t="s">
        <v>688</v>
      </c>
      <c r="C302" s="1379" t="s">
        <v>345</v>
      </c>
      <c r="D302" s="1380" t="s">
        <v>151</v>
      </c>
      <c r="E302" s="1402" t="s">
        <v>569</v>
      </c>
      <c r="F302" s="1402" t="s">
        <v>570</v>
      </c>
      <c r="G302" s="1403" t="s">
        <v>797</v>
      </c>
      <c r="H302" s="1404" t="s">
        <v>798</v>
      </c>
    </row>
    <row r="303" spans="1:9" ht="14.25" thickTop="1" thickBot="1" x14ac:dyDescent="0.25">
      <c r="A303" s="1297">
        <v>1</v>
      </c>
      <c r="B303" s="1296">
        <v>2</v>
      </c>
      <c r="C303" s="1296">
        <v>3</v>
      </c>
      <c r="D303" s="1296">
        <v>5</v>
      </c>
      <c r="E303" s="1295">
        <v>6</v>
      </c>
      <c r="F303" s="1295">
        <v>7</v>
      </c>
      <c r="G303" s="1446">
        <v>8</v>
      </c>
      <c r="H303" s="1383" t="s">
        <v>689</v>
      </c>
    </row>
    <row r="304" spans="1:9" ht="15.75" hidden="1" thickTop="1" x14ac:dyDescent="0.2">
      <c r="A304" s="1384">
        <v>2212</v>
      </c>
      <c r="B304" s="1464">
        <v>6121</v>
      </c>
      <c r="C304" s="1464">
        <v>12</v>
      </c>
      <c r="D304" s="1405" t="s">
        <v>548</v>
      </c>
      <c r="E304" s="1414">
        <v>0</v>
      </c>
      <c r="F304" s="1414">
        <v>0</v>
      </c>
      <c r="G304" s="1414">
        <v>0</v>
      </c>
      <c r="H304" s="1390" t="e">
        <f t="shared" ref="H304:H309" si="10">G304/F304*100</f>
        <v>#DIV/0!</v>
      </c>
    </row>
    <row r="305" spans="1:9" ht="15.75" hidden="1" thickTop="1" x14ac:dyDescent="0.2">
      <c r="A305" s="1384">
        <v>2212</v>
      </c>
      <c r="B305" s="1385">
        <v>6121</v>
      </c>
      <c r="C305" s="1385">
        <v>38100880</v>
      </c>
      <c r="D305" s="1405" t="s">
        <v>548</v>
      </c>
      <c r="E305" s="1414">
        <v>0</v>
      </c>
      <c r="F305" s="1414">
        <v>0</v>
      </c>
      <c r="G305" s="1414">
        <v>0</v>
      </c>
      <c r="H305" s="1390" t="e">
        <f t="shared" si="10"/>
        <v>#DIV/0!</v>
      </c>
    </row>
    <row r="306" spans="1:9" ht="16.5" thickTop="1" thickBot="1" x14ac:dyDescent="0.25">
      <c r="A306" s="1384">
        <v>2212</v>
      </c>
      <c r="B306" s="1385">
        <v>6121</v>
      </c>
      <c r="C306" s="1531" t="s">
        <v>2010</v>
      </c>
      <c r="D306" s="1405" t="s">
        <v>548</v>
      </c>
      <c r="E306" s="1414">
        <v>0</v>
      </c>
      <c r="F306" s="1414">
        <v>779</v>
      </c>
      <c r="G306" s="1414">
        <v>772</v>
      </c>
      <c r="H306" s="1390">
        <f t="shared" si="10"/>
        <v>99.101412066752246</v>
      </c>
      <c r="I306" s="1398"/>
    </row>
    <row r="307" spans="1:9" ht="15.75" hidden="1" thickBot="1" x14ac:dyDescent="0.25">
      <c r="A307" s="1384">
        <v>2212</v>
      </c>
      <c r="B307" s="1464">
        <v>6121</v>
      </c>
      <c r="C307" s="1464">
        <v>38500881</v>
      </c>
      <c r="D307" s="1405" t="s">
        <v>548</v>
      </c>
      <c r="E307" s="1414">
        <v>0</v>
      </c>
      <c r="F307" s="1414">
        <v>0</v>
      </c>
      <c r="G307" s="1414">
        <v>0</v>
      </c>
      <c r="H307" s="1390" t="e">
        <f t="shared" si="10"/>
        <v>#DIV/0!</v>
      </c>
      <c r="I307" s="1398"/>
    </row>
    <row r="308" spans="1:9" ht="15.75" hidden="1" thickBot="1" x14ac:dyDescent="0.25">
      <c r="A308" s="1384">
        <v>2212</v>
      </c>
      <c r="B308" s="1464">
        <v>6121</v>
      </c>
      <c r="C308" s="1464">
        <v>38500871</v>
      </c>
      <c r="D308" s="1405" t="s">
        <v>548</v>
      </c>
      <c r="E308" s="1414">
        <v>0</v>
      </c>
      <c r="F308" s="1414">
        <v>0</v>
      </c>
      <c r="G308" s="1414">
        <v>0</v>
      </c>
      <c r="H308" s="1390" t="e">
        <f t="shared" si="10"/>
        <v>#DIV/0!</v>
      </c>
      <c r="I308" s="1398"/>
    </row>
    <row r="309" spans="1:9" ht="16.5" thickTop="1" thickBot="1" x14ac:dyDescent="0.3">
      <c r="A309" s="1406" t="s">
        <v>690</v>
      </c>
      <c r="B309" s="1407"/>
      <c r="C309" s="1407"/>
      <c r="D309" s="1408"/>
      <c r="E309" s="1387">
        <f>SUM(E304:E308)</f>
        <v>0</v>
      </c>
      <c r="F309" s="1387">
        <f>SUM(F304:F308)</f>
        <v>779</v>
      </c>
      <c r="G309" s="1387">
        <f>SUM(G304:G308)</f>
        <v>772</v>
      </c>
      <c r="H309" s="1391">
        <f t="shared" si="10"/>
        <v>99.101412066752246</v>
      </c>
      <c r="I309" s="1398"/>
    </row>
    <row r="310" spans="1:9" ht="15.75" thickTop="1" x14ac:dyDescent="0.25">
      <c r="A310" s="1417"/>
      <c r="B310" s="1417"/>
      <c r="C310" s="1417"/>
      <c r="D310" s="1417"/>
      <c r="E310" s="1393"/>
      <c r="F310" s="1393"/>
      <c r="G310" s="1393"/>
      <c r="H310" s="1418"/>
      <c r="I310" s="1460"/>
    </row>
    <row r="311" spans="1:9" s="1309" customFormat="1" ht="15" x14ac:dyDescent="0.25">
      <c r="A311" s="1377" t="s">
        <v>2022</v>
      </c>
      <c r="B311" s="1371"/>
      <c r="C311" s="1371"/>
      <c r="D311" s="1371"/>
      <c r="E311" s="1372"/>
      <c r="F311" s="1398"/>
      <c r="G311" s="1398"/>
      <c r="H311" s="1398"/>
      <c r="I311" s="1372"/>
    </row>
    <row r="312" spans="1:9" s="1249" customFormat="1" ht="15.75" thickBot="1" x14ac:dyDescent="0.3">
      <c r="A312" s="1377" t="s">
        <v>2021</v>
      </c>
      <c r="B312" s="1371"/>
      <c r="C312" s="1371"/>
      <c r="D312" s="1371"/>
      <c r="E312" s="1372"/>
      <c r="F312" s="1398"/>
      <c r="G312" s="1398"/>
      <c r="H312" s="1459" t="s">
        <v>148</v>
      </c>
      <c r="I312" s="1372"/>
    </row>
    <row r="313" spans="1:9" ht="25.5" thickTop="1" thickBot="1" x14ac:dyDescent="0.25">
      <c r="A313" s="1378" t="s">
        <v>149</v>
      </c>
      <c r="B313" s="1379" t="s">
        <v>688</v>
      </c>
      <c r="C313" s="1379" t="s">
        <v>345</v>
      </c>
      <c r="D313" s="1380" t="s">
        <v>151</v>
      </c>
      <c r="E313" s="1402" t="s">
        <v>569</v>
      </c>
      <c r="F313" s="1402" t="s">
        <v>570</v>
      </c>
      <c r="G313" s="1403" t="s">
        <v>797</v>
      </c>
      <c r="H313" s="1404" t="s">
        <v>798</v>
      </c>
    </row>
    <row r="314" spans="1:9" ht="14.25" thickTop="1" thickBot="1" x14ac:dyDescent="0.25">
      <c r="A314" s="1297">
        <v>1</v>
      </c>
      <c r="B314" s="1296">
        <v>2</v>
      </c>
      <c r="C314" s="1296">
        <v>3</v>
      </c>
      <c r="D314" s="1296">
        <v>5</v>
      </c>
      <c r="E314" s="1295">
        <v>6</v>
      </c>
      <c r="F314" s="1295">
        <v>7</v>
      </c>
      <c r="G314" s="1446">
        <v>8</v>
      </c>
      <c r="H314" s="1383" t="s">
        <v>689</v>
      </c>
    </row>
    <row r="315" spans="1:9" ht="15.75" hidden="1" thickTop="1" x14ac:dyDescent="0.2">
      <c r="A315" s="1384">
        <v>2212</v>
      </c>
      <c r="B315" s="1464">
        <v>6121</v>
      </c>
      <c r="C315" s="1464">
        <v>12</v>
      </c>
      <c r="D315" s="1405" t="s">
        <v>548</v>
      </c>
      <c r="E315" s="1414">
        <v>0</v>
      </c>
      <c r="F315" s="1414">
        <v>0</v>
      </c>
      <c r="G315" s="1414">
        <v>0</v>
      </c>
      <c r="H315" s="1390" t="e">
        <f t="shared" ref="H315:H320" si="11">G315/F315*100</f>
        <v>#DIV/0!</v>
      </c>
    </row>
    <row r="316" spans="1:9" ht="15.75" hidden="1" thickTop="1" x14ac:dyDescent="0.2">
      <c r="A316" s="1384">
        <v>2212</v>
      </c>
      <c r="B316" s="1385">
        <v>6121</v>
      </c>
      <c r="C316" s="1385">
        <v>38100880</v>
      </c>
      <c r="D316" s="1405" t="s">
        <v>548</v>
      </c>
      <c r="E316" s="1414">
        <v>0</v>
      </c>
      <c r="F316" s="1414">
        <v>0</v>
      </c>
      <c r="G316" s="1414">
        <v>0</v>
      </c>
      <c r="H316" s="1390" t="e">
        <f t="shared" si="11"/>
        <v>#DIV/0!</v>
      </c>
    </row>
    <row r="317" spans="1:9" ht="16.5" thickTop="1" thickBot="1" x14ac:dyDescent="0.25">
      <c r="A317" s="1384">
        <v>2212</v>
      </c>
      <c r="B317" s="1385">
        <v>6121</v>
      </c>
      <c r="C317" s="1531" t="s">
        <v>2010</v>
      </c>
      <c r="D317" s="1405" t="s">
        <v>548</v>
      </c>
      <c r="E317" s="1414">
        <v>0</v>
      </c>
      <c r="F317" s="1414">
        <v>800</v>
      </c>
      <c r="G317" s="1414">
        <v>165</v>
      </c>
      <c r="H317" s="1390">
        <f t="shared" si="11"/>
        <v>20.625</v>
      </c>
      <c r="I317" s="1398"/>
    </row>
    <row r="318" spans="1:9" ht="15.75" hidden="1" thickBot="1" x14ac:dyDescent="0.25">
      <c r="A318" s="1384">
        <v>2212</v>
      </c>
      <c r="B318" s="1464">
        <v>6121</v>
      </c>
      <c r="C318" s="1464">
        <v>38500881</v>
      </c>
      <c r="D318" s="1405" t="s">
        <v>548</v>
      </c>
      <c r="E318" s="1414">
        <v>0</v>
      </c>
      <c r="F318" s="1414">
        <v>0</v>
      </c>
      <c r="G318" s="1414">
        <v>0</v>
      </c>
      <c r="H318" s="1390" t="e">
        <f t="shared" si="11"/>
        <v>#DIV/0!</v>
      </c>
      <c r="I318" s="1398"/>
    </row>
    <row r="319" spans="1:9" ht="15.75" hidden="1" thickBot="1" x14ac:dyDescent="0.25">
      <c r="A319" s="1384">
        <v>2212</v>
      </c>
      <c r="B319" s="1464">
        <v>6121</v>
      </c>
      <c r="C319" s="1464">
        <v>38500871</v>
      </c>
      <c r="D319" s="1405" t="s">
        <v>548</v>
      </c>
      <c r="E319" s="1414">
        <v>0</v>
      </c>
      <c r="F319" s="1414">
        <v>0</v>
      </c>
      <c r="G319" s="1414">
        <v>0</v>
      </c>
      <c r="H319" s="1390" t="e">
        <f t="shared" si="11"/>
        <v>#DIV/0!</v>
      </c>
      <c r="I319" s="1398"/>
    </row>
    <row r="320" spans="1:9" ht="16.5" thickTop="1" thickBot="1" x14ac:dyDescent="0.3">
      <c r="A320" s="1406" t="s">
        <v>690</v>
      </c>
      <c r="B320" s="1407"/>
      <c r="C320" s="1407"/>
      <c r="D320" s="1408"/>
      <c r="E320" s="1387">
        <f>SUM(E315:E319)</f>
        <v>0</v>
      </c>
      <c r="F320" s="1387">
        <f>SUM(F315:F319)</f>
        <v>800</v>
      </c>
      <c r="G320" s="1387">
        <f>SUM(G315:G319)</f>
        <v>165</v>
      </c>
      <c r="H320" s="1391">
        <f t="shared" si="11"/>
        <v>20.625</v>
      </c>
      <c r="I320" s="1398"/>
    </row>
    <row r="321" spans="1:9" ht="15.75" thickTop="1" x14ac:dyDescent="0.25">
      <c r="A321" s="1417"/>
      <c r="B321" s="1417"/>
      <c r="C321" s="1417"/>
      <c r="D321" s="1417"/>
      <c r="E321" s="1393"/>
      <c r="F321" s="1393"/>
      <c r="G321" s="1393"/>
      <c r="H321" s="1418"/>
      <c r="I321" s="1460"/>
    </row>
    <row r="322" spans="1:9" s="1309" customFormat="1" ht="15" x14ac:dyDescent="0.25">
      <c r="A322" s="1377" t="s">
        <v>2020</v>
      </c>
      <c r="B322" s="1371"/>
      <c r="C322" s="1371"/>
      <c r="D322" s="1371"/>
      <c r="E322" s="1372"/>
      <c r="F322" s="1398"/>
      <c r="G322" s="1398"/>
      <c r="H322" s="1398"/>
      <c r="I322" s="1372"/>
    </row>
    <row r="323" spans="1:9" s="1249" customFormat="1" ht="15.75" thickBot="1" x14ac:dyDescent="0.3">
      <c r="A323" s="1377" t="s">
        <v>2019</v>
      </c>
      <c r="B323" s="1371"/>
      <c r="C323" s="1371"/>
      <c r="D323" s="1371"/>
      <c r="E323" s="1372"/>
      <c r="F323" s="1398"/>
      <c r="G323" s="1398"/>
      <c r="H323" s="1459" t="s">
        <v>148</v>
      </c>
      <c r="I323" s="1372"/>
    </row>
    <row r="324" spans="1:9" ht="25.5" thickTop="1" thickBot="1" x14ac:dyDescent="0.25">
      <c r="A324" s="1378" t="s">
        <v>149</v>
      </c>
      <c r="B324" s="1379" t="s">
        <v>688</v>
      </c>
      <c r="C324" s="1379" t="s">
        <v>345</v>
      </c>
      <c r="D324" s="1380" t="s">
        <v>151</v>
      </c>
      <c r="E324" s="1402" t="s">
        <v>569</v>
      </c>
      <c r="F324" s="1402" t="s">
        <v>570</v>
      </c>
      <c r="G324" s="1403" t="s">
        <v>797</v>
      </c>
      <c r="H324" s="1404" t="s">
        <v>798</v>
      </c>
    </row>
    <row r="325" spans="1:9" ht="14.25" thickTop="1" thickBot="1" x14ac:dyDescent="0.25">
      <c r="A325" s="1297">
        <v>1</v>
      </c>
      <c r="B325" s="1296">
        <v>2</v>
      </c>
      <c r="C325" s="1296">
        <v>3</v>
      </c>
      <c r="D325" s="1296">
        <v>5</v>
      </c>
      <c r="E325" s="1295">
        <v>6</v>
      </c>
      <c r="F325" s="1295">
        <v>7</v>
      </c>
      <c r="G325" s="1446">
        <v>8</v>
      </c>
      <c r="H325" s="1383" t="s">
        <v>689</v>
      </c>
    </row>
    <row r="326" spans="1:9" ht="15.75" thickTop="1" x14ac:dyDescent="0.2">
      <c r="A326" s="1384">
        <v>2212</v>
      </c>
      <c r="B326" s="1464">
        <v>6121</v>
      </c>
      <c r="C326" s="1531" t="s">
        <v>2010</v>
      </c>
      <c r="D326" s="1405" t="s">
        <v>548</v>
      </c>
      <c r="E326" s="1414">
        <v>0</v>
      </c>
      <c r="F326" s="1414">
        <v>581</v>
      </c>
      <c r="G326" s="1414">
        <v>226</v>
      </c>
      <c r="H326" s="1390">
        <f t="shared" ref="H326:H331" si="12">G326/F326*100</f>
        <v>38.89845094664372</v>
      </c>
    </row>
    <row r="327" spans="1:9" ht="15" x14ac:dyDescent="0.2">
      <c r="A327" s="1384">
        <v>2212</v>
      </c>
      <c r="B327" s="1385">
        <v>6121</v>
      </c>
      <c r="C327" s="2831" t="s">
        <v>2014</v>
      </c>
      <c r="D327" s="1405" t="s">
        <v>548</v>
      </c>
      <c r="E327" s="1414">
        <v>0</v>
      </c>
      <c r="F327" s="1414">
        <v>269</v>
      </c>
      <c r="G327" s="1414">
        <v>182</v>
      </c>
      <c r="H327" s="1390">
        <f t="shared" si="12"/>
        <v>67.657992565055764</v>
      </c>
    </row>
    <row r="328" spans="1:9" ht="15" x14ac:dyDescent="0.2">
      <c r="A328" s="1384">
        <v>2212</v>
      </c>
      <c r="B328" s="1385">
        <v>6121</v>
      </c>
      <c r="C328" s="2831" t="s">
        <v>2013</v>
      </c>
      <c r="D328" s="1405" t="s">
        <v>548</v>
      </c>
      <c r="E328" s="1414"/>
      <c r="F328" s="1414">
        <v>690</v>
      </c>
      <c r="G328" s="1414">
        <v>570</v>
      </c>
      <c r="H328" s="1390">
        <f t="shared" si="12"/>
        <v>82.608695652173907</v>
      </c>
      <c r="I328" s="1398"/>
    </row>
    <row r="329" spans="1:9" ht="15" hidden="1" x14ac:dyDescent="0.2">
      <c r="A329" s="1384">
        <v>2212</v>
      </c>
      <c r="B329" s="1464">
        <v>6121</v>
      </c>
      <c r="C329" s="2831">
        <v>38500881</v>
      </c>
      <c r="D329" s="1405" t="s">
        <v>548</v>
      </c>
      <c r="E329" s="1414">
        <v>0</v>
      </c>
      <c r="F329" s="1414">
        <v>0</v>
      </c>
      <c r="G329" s="1414">
        <v>0</v>
      </c>
      <c r="H329" s="1390" t="e">
        <f t="shared" si="12"/>
        <v>#DIV/0!</v>
      </c>
      <c r="I329" s="1398"/>
    </row>
    <row r="330" spans="1:9" ht="15.75" thickBot="1" x14ac:dyDescent="0.25">
      <c r="A330" s="1384">
        <v>2212</v>
      </c>
      <c r="B330" s="1464">
        <v>6121</v>
      </c>
      <c r="C330" s="2831" t="s">
        <v>1886</v>
      </c>
      <c r="D330" s="1405" t="s">
        <v>548</v>
      </c>
      <c r="E330" s="1414">
        <v>0</v>
      </c>
      <c r="F330" s="1414">
        <v>3723</v>
      </c>
      <c r="G330" s="1414">
        <v>3723</v>
      </c>
      <c r="H330" s="1390">
        <f t="shared" si="12"/>
        <v>100</v>
      </c>
      <c r="I330" s="1398"/>
    </row>
    <row r="331" spans="1:9" ht="16.5" thickTop="1" thickBot="1" x14ac:dyDescent="0.3">
      <c r="A331" s="1406" t="s">
        <v>690</v>
      </c>
      <c r="B331" s="1407"/>
      <c r="C331" s="1407"/>
      <c r="D331" s="1408"/>
      <c r="E331" s="1387">
        <f>SUM(E326:E330)</f>
        <v>0</v>
      </c>
      <c r="F331" s="1387">
        <f>SUM(F326:F330)</f>
        <v>5263</v>
      </c>
      <c r="G331" s="1387">
        <f>SUM(G326:G330)</f>
        <v>4701</v>
      </c>
      <c r="H331" s="1391">
        <f t="shared" si="12"/>
        <v>89.321679650389513</v>
      </c>
      <c r="I331" s="1398"/>
    </row>
    <row r="332" spans="1:9" ht="15.75" thickTop="1" x14ac:dyDescent="0.25">
      <c r="A332" s="1417"/>
      <c r="B332" s="1417"/>
      <c r="C332" s="1417"/>
      <c r="D332" s="1417"/>
      <c r="E332" s="1393"/>
      <c r="F332" s="1393"/>
      <c r="G332" s="1393"/>
      <c r="H332" s="1418"/>
      <c r="I332" s="1460"/>
    </row>
    <row r="333" spans="1:9" s="1309" customFormat="1" ht="15" x14ac:dyDescent="0.25">
      <c r="A333" s="1377" t="s">
        <v>2018</v>
      </c>
      <c r="B333" s="1371"/>
      <c r="C333" s="1371"/>
      <c r="D333" s="1371"/>
      <c r="E333" s="1372"/>
      <c r="F333" s="1398"/>
      <c r="G333" s="1398"/>
      <c r="H333" s="1398"/>
      <c r="I333" s="1372"/>
    </row>
    <row r="334" spans="1:9" s="1249" customFormat="1" ht="15.75" thickBot="1" x14ac:dyDescent="0.3">
      <c r="A334" s="1377" t="s">
        <v>2017</v>
      </c>
      <c r="B334" s="1371"/>
      <c r="C334" s="1371"/>
      <c r="D334" s="1371"/>
      <c r="E334" s="1372"/>
      <c r="F334" s="1398"/>
      <c r="G334" s="1398"/>
      <c r="H334" s="1459" t="s">
        <v>148</v>
      </c>
      <c r="I334" s="1372"/>
    </row>
    <row r="335" spans="1:9" ht="25.5" thickTop="1" thickBot="1" x14ac:dyDescent="0.25">
      <c r="A335" s="1378" t="s">
        <v>149</v>
      </c>
      <c r="B335" s="1379" t="s">
        <v>688</v>
      </c>
      <c r="C335" s="1379" t="s">
        <v>345</v>
      </c>
      <c r="D335" s="1380" t="s">
        <v>151</v>
      </c>
      <c r="E335" s="1402" t="s">
        <v>569</v>
      </c>
      <c r="F335" s="1402" t="s">
        <v>570</v>
      </c>
      <c r="G335" s="1403" t="s">
        <v>797</v>
      </c>
      <c r="H335" s="1404" t="s">
        <v>798</v>
      </c>
    </row>
    <row r="336" spans="1:9" ht="14.25" thickTop="1" thickBot="1" x14ac:dyDescent="0.25">
      <c r="A336" s="1297">
        <v>1</v>
      </c>
      <c r="B336" s="1296">
        <v>2</v>
      </c>
      <c r="C336" s="1296">
        <v>3</v>
      </c>
      <c r="D336" s="1296">
        <v>5</v>
      </c>
      <c r="E336" s="1295">
        <v>6</v>
      </c>
      <c r="F336" s="1295">
        <v>7</v>
      </c>
      <c r="G336" s="1446">
        <v>8</v>
      </c>
      <c r="H336" s="1383" t="s">
        <v>689</v>
      </c>
    </row>
    <row r="337" spans="1:9" ht="15.75" thickTop="1" x14ac:dyDescent="0.2">
      <c r="A337" s="1384">
        <v>2212</v>
      </c>
      <c r="B337" s="1464">
        <v>6121</v>
      </c>
      <c r="C337" s="1531" t="s">
        <v>2010</v>
      </c>
      <c r="D337" s="1405" t="s">
        <v>548</v>
      </c>
      <c r="E337" s="1414">
        <v>0</v>
      </c>
      <c r="F337" s="1414">
        <v>1162</v>
      </c>
      <c r="G337" s="1414">
        <v>1045</v>
      </c>
      <c r="H337" s="1390">
        <f t="shared" ref="H337:H342" si="13">G337/F337*100</f>
        <v>89.93115318416524</v>
      </c>
    </row>
    <row r="338" spans="1:9" ht="15" x14ac:dyDescent="0.2">
      <c r="A338" s="1384">
        <v>2212</v>
      </c>
      <c r="B338" s="1385">
        <v>6121</v>
      </c>
      <c r="C338" s="2831" t="s">
        <v>2014</v>
      </c>
      <c r="D338" s="1405" t="s">
        <v>548</v>
      </c>
      <c r="E338" s="1414">
        <v>0</v>
      </c>
      <c r="F338" s="1414">
        <v>1806</v>
      </c>
      <c r="G338" s="1414">
        <v>1655</v>
      </c>
      <c r="H338" s="1390">
        <f t="shared" si="13"/>
        <v>91.638981173864892</v>
      </c>
    </row>
    <row r="339" spans="1:9" ht="15" x14ac:dyDescent="0.2">
      <c r="A339" s="1384">
        <v>2212</v>
      </c>
      <c r="B339" s="1385">
        <v>6121</v>
      </c>
      <c r="C339" s="2831" t="s">
        <v>2013</v>
      </c>
      <c r="D339" s="1405" t="s">
        <v>548</v>
      </c>
      <c r="E339" s="1414">
        <v>0</v>
      </c>
      <c r="F339" s="1414">
        <v>16892</v>
      </c>
      <c r="G339" s="1414">
        <v>16693</v>
      </c>
      <c r="H339" s="1390">
        <f t="shared" si="13"/>
        <v>98.821927539663747</v>
      </c>
      <c r="I339" s="1398"/>
    </row>
    <row r="340" spans="1:9" ht="15" hidden="1" x14ac:dyDescent="0.2">
      <c r="A340" s="1384">
        <v>2212</v>
      </c>
      <c r="B340" s="1464">
        <v>6121</v>
      </c>
      <c r="C340" s="2831">
        <v>38500881</v>
      </c>
      <c r="D340" s="1405" t="s">
        <v>548</v>
      </c>
      <c r="E340" s="1414">
        <v>0</v>
      </c>
      <c r="F340" s="1414">
        <v>0</v>
      </c>
      <c r="G340" s="1414">
        <v>0</v>
      </c>
      <c r="H340" s="1390" t="e">
        <f t="shared" si="13"/>
        <v>#DIV/0!</v>
      </c>
      <c r="I340" s="1398"/>
    </row>
    <row r="341" spans="1:9" ht="15.75" thickBot="1" x14ac:dyDescent="0.25">
      <c r="A341" s="1384">
        <v>2212</v>
      </c>
      <c r="B341" s="1464">
        <v>6121</v>
      </c>
      <c r="C341" s="2831" t="s">
        <v>1886</v>
      </c>
      <c r="D341" s="1405" t="s">
        <v>548</v>
      </c>
      <c r="E341" s="1414">
        <v>0</v>
      </c>
      <c r="F341" s="1414">
        <v>20000</v>
      </c>
      <c r="G341" s="1414">
        <v>0</v>
      </c>
      <c r="H341" s="1390">
        <f t="shared" si="13"/>
        <v>0</v>
      </c>
      <c r="I341" s="1398"/>
    </row>
    <row r="342" spans="1:9" ht="16.5" thickTop="1" thickBot="1" x14ac:dyDescent="0.3">
      <c r="A342" s="1406" t="s">
        <v>690</v>
      </c>
      <c r="B342" s="1407"/>
      <c r="C342" s="1407"/>
      <c r="D342" s="1408"/>
      <c r="E342" s="1387">
        <f>SUM(E337:E341)</f>
        <v>0</v>
      </c>
      <c r="F342" s="1387">
        <f>SUM(F337:F341)</f>
        <v>39860</v>
      </c>
      <c r="G342" s="1387">
        <f>SUM(G337:G341)</f>
        <v>19393</v>
      </c>
      <c r="H342" s="1391">
        <f t="shared" si="13"/>
        <v>48.65278474661315</v>
      </c>
      <c r="I342" s="1398"/>
    </row>
    <row r="343" spans="1:9" ht="13.5" thickTop="1" x14ac:dyDescent="0.2">
      <c r="A343" s="1460"/>
      <c r="B343" s="1460"/>
      <c r="C343" s="1460"/>
      <c r="D343" s="1460"/>
      <c r="E343" s="1462"/>
      <c r="F343" s="1461"/>
      <c r="G343" s="1461"/>
      <c r="H343" s="1461"/>
      <c r="I343" s="1460"/>
    </row>
    <row r="344" spans="1:9" s="1309" customFormat="1" ht="15" x14ac:dyDescent="0.25">
      <c r="A344" s="1377" t="s">
        <v>2016</v>
      </c>
      <c r="B344" s="1371"/>
      <c r="C344" s="1371"/>
      <c r="D344" s="1371"/>
      <c r="E344" s="1372"/>
      <c r="F344" s="1398"/>
      <c r="G344" s="1398"/>
      <c r="H344" s="1398"/>
      <c r="I344" s="1372"/>
    </row>
    <row r="345" spans="1:9" s="1249" customFormat="1" ht="15.75" thickBot="1" x14ac:dyDescent="0.3">
      <c r="A345" s="1377" t="s">
        <v>2015</v>
      </c>
      <c r="B345" s="1371"/>
      <c r="C345" s="1371"/>
      <c r="D345" s="1371"/>
      <c r="E345" s="1372"/>
      <c r="F345" s="1398"/>
      <c r="G345" s="1398"/>
      <c r="H345" s="1459" t="s">
        <v>148</v>
      </c>
      <c r="I345" s="1372"/>
    </row>
    <row r="346" spans="1:9" ht="25.5" thickTop="1" thickBot="1" x14ac:dyDescent="0.25">
      <c r="A346" s="1378" t="s">
        <v>149</v>
      </c>
      <c r="B346" s="1379" t="s">
        <v>688</v>
      </c>
      <c r="C346" s="1379" t="s">
        <v>345</v>
      </c>
      <c r="D346" s="1380" t="s">
        <v>151</v>
      </c>
      <c r="E346" s="1402" t="s">
        <v>569</v>
      </c>
      <c r="F346" s="1402" t="s">
        <v>570</v>
      </c>
      <c r="G346" s="1403" t="s">
        <v>797</v>
      </c>
      <c r="H346" s="1404" t="s">
        <v>798</v>
      </c>
    </row>
    <row r="347" spans="1:9" ht="14.25" thickTop="1" thickBot="1" x14ac:dyDescent="0.25">
      <c r="A347" s="1297">
        <v>1</v>
      </c>
      <c r="B347" s="1296">
        <v>2</v>
      </c>
      <c r="C347" s="1296">
        <v>3</v>
      </c>
      <c r="D347" s="1296">
        <v>5</v>
      </c>
      <c r="E347" s="1295">
        <v>6</v>
      </c>
      <c r="F347" s="1295">
        <v>7</v>
      </c>
      <c r="G347" s="1446">
        <v>8</v>
      </c>
      <c r="H347" s="1383" t="s">
        <v>689</v>
      </c>
    </row>
    <row r="348" spans="1:9" ht="15.75" thickTop="1" x14ac:dyDescent="0.2">
      <c r="A348" s="1384">
        <v>2212</v>
      </c>
      <c r="B348" s="1464">
        <v>6121</v>
      </c>
      <c r="C348" s="1531" t="s">
        <v>2010</v>
      </c>
      <c r="D348" s="1405" t="s">
        <v>548</v>
      </c>
      <c r="E348" s="1414">
        <v>0</v>
      </c>
      <c r="F348" s="1414">
        <v>426</v>
      </c>
      <c r="G348" s="1414">
        <v>383</v>
      </c>
      <c r="H348" s="1390">
        <f t="shared" ref="H348:H353" si="14">G348/F348*100</f>
        <v>89.906103286384976</v>
      </c>
    </row>
    <row r="349" spans="1:9" ht="15" x14ac:dyDescent="0.2">
      <c r="A349" s="1384">
        <v>2212</v>
      </c>
      <c r="B349" s="1385">
        <v>6121</v>
      </c>
      <c r="C349" s="2831" t="s">
        <v>2014</v>
      </c>
      <c r="D349" s="1405" t="s">
        <v>548</v>
      </c>
      <c r="E349" s="1414">
        <v>0</v>
      </c>
      <c r="F349" s="1414">
        <v>1468</v>
      </c>
      <c r="G349" s="1414">
        <v>1429</v>
      </c>
      <c r="H349" s="1390">
        <f t="shared" si="14"/>
        <v>97.343324250681192</v>
      </c>
    </row>
    <row r="350" spans="1:9" ht="15" x14ac:dyDescent="0.2">
      <c r="A350" s="1384">
        <v>2212</v>
      </c>
      <c r="B350" s="1385">
        <v>6121</v>
      </c>
      <c r="C350" s="2831" t="s">
        <v>2013</v>
      </c>
      <c r="D350" s="1405" t="s">
        <v>548</v>
      </c>
      <c r="E350" s="1414">
        <v>0</v>
      </c>
      <c r="F350" s="1414">
        <v>2155</v>
      </c>
      <c r="G350" s="1414">
        <v>2147</v>
      </c>
      <c r="H350" s="1390">
        <f t="shared" si="14"/>
        <v>99.62877030162413</v>
      </c>
      <c r="I350" s="1398"/>
    </row>
    <row r="351" spans="1:9" ht="15" hidden="1" x14ac:dyDescent="0.2">
      <c r="A351" s="1384">
        <v>2212</v>
      </c>
      <c r="B351" s="1464">
        <v>6121</v>
      </c>
      <c r="C351" s="2831">
        <v>38500881</v>
      </c>
      <c r="D351" s="1405" t="s">
        <v>548</v>
      </c>
      <c r="E351" s="1414">
        <v>0</v>
      </c>
      <c r="F351" s="1414">
        <v>0</v>
      </c>
      <c r="G351" s="1414">
        <v>0</v>
      </c>
      <c r="H351" s="1390" t="e">
        <f t="shared" si="14"/>
        <v>#DIV/0!</v>
      </c>
      <c r="I351" s="1398"/>
    </row>
    <row r="352" spans="1:9" ht="15.75" thickBot="1" x14ac:dyDescent="0.25">
      <c r="A352" s="1384">
        <v>2212</v>
      </c>
      <c r="B352" s="1464">
        <v>6121</v>
      </c>
      <c r="C352" s="2831" t="s">
        <v>1886</v>
      </c>
      <c r="D352" s="1405" t="s">
        <v>548</v>
      </c>
      <c r="E352" s="1414">
        <v>0</v>
      </c>
      <c r="F352" s="1414">
        <v>7600</v>
      </c>
      <c r="G352" s="1414">
        <v>5126</v>
      </c>
      <c r="H352" s="1390">
        <f t="shared" si="14"/>
        <v>67.44736842105263</v>
      </c>
      <c r="I352" s="1398"/>
    </row>
    <row r="353" spans="1:9" ht="16.5" thickTop="1" thickBot="1" x14ac:dyDescent="0.3">
      <c r="A353" s="1406" t="s">
        <v>690</v>
      </c>
      <c r="B353" s="1407"/>
      <c r="C353" s="1407"/>
      <c r="D353" s="1408"/>
      <c r="E353" s="1387">
        <f>SUM(E348:E352)</f>
        <v>0</v>
      </c>
      <c r="F353" s="1387">
        <f>SUM(F348:F352)</f>
        <v>11649</v>
      </c>
      <c r="G353" s="1387">
        <f>SUM(G348:G352)</f>
        <v>9085</v>
      </c>
      <c r="H353" s="1391">
        <f t="shared" si="14"/>
        <v>77.989526998025582</v>
      </c>
      <c r="I353" s="1398"/>
    </row>
    <row r="354" spans="1:9" ht="13.5" thickTop="1" x14ac:dyDescent="0.2">
      <c r="A354" s="1460"/>
      <c r="B354" s="1460"/>
      <c r="C354" s="1460"/>
      <c r="D354" s="1460"/>
      <c r="E354" s="1462"/>
      <c r="F354" s="1461"/>
      <c r="G354" s="1461"/>
      <c r="H354" s="1461"/>
      <c r="I354" s="1460"/>
    </row>
    <row r="355" spans="1:9" s="1309" customFormat="1" ht="15" x14ac:dyDescent="0.25">
      <c r="A355" s="1377" t="s">
        <v>2012</v>
      </c>
      <c r="B355" s="1371"/>
      <c r="C355" s="1371"/>
      <c r="D355" s="1371"/>
      <c r="E355" s="1372"/>
      <c r="F355" s="1398"/>
      <c r="G355" s="1398"/>
      <c r="H355" s="1398"/>
      <c r="I355" s="1372"/>
    </row>
    <row r="356" spans="1:9" s="1249" customFormat="1" ht="15.75" thickBot="1" x14ac:dyDescent="0.3">
      <c r="A356" s="1377" t="s">
        <v>2011</v>
      </c>
      <c r="B356" s="1371"/>
      <c r="C356" s="1371"/>
      <c r="D356" s="1371"/>
      <c r="E356" s="1372"/>
      <c r="F356" s="1398"/>
      <c r="G356" s="1398"/>
      <c r="H356" s="1459" t="s">
        <v>148</v>
      </c>
      <c r="I356" s="1372"/>
    </row>
    <row r="357" spans="1:9" ht="25.5" thickTop="1" thickBot="1" x14ac:dyDescent="0.25">
      <c r="A357" s="1378" t="s">
        <v>149</v>
      </c>
      <c r="B357" s="1379" t="s">
        <v>688</v>
      </c>
      <c r="C357" s="1379" t="s">
        <v>345</v>
      </c>
      <c r="D357" s="1380" t="s">
        <v>151</v>
      </c>
      <c r="E357" s="1402" t="s">
        <v>569</v>
      </c>
      <c r="F357" s="1402" t="s">
        <v>570</v>
      </c>
      <c r="G357" s="1403" t="s">
        <v>797</v>
      </c>
      <c r="H357" s="1404" t="s">
        <v>798</v>
      </c>
    </row>
    <row r="358" spans="1:9" ht="14.25" thickTop="1" thickBot="1" x14ac:dyDescent="0.25">
      <c r="A358" s="1297">
        <v>1</v>
      </c>
      <c r="B358" s="1296">
        <v>2</v>
      </c>
      <c r="C358" s="1296">
        <v>3</v>
      </c>
      <c r="D358" s="1296">
        <v>5</v>
      </c>
      <c r="E358" s="1295">
        <v>6</v>
      </c>
      <c r="F358" s="1295">
        <v>7</v>
      </c>
      <c r="G358" s="1446">
        <v>8</v>
      </c>
      <c r="H358" s="1383" t="s">
        <v>689</v>
      </c>
    </row>
    <row r="359" spans="1:9" ht="15.75" hidden="1" thickTop="1" x14ac:dyDescent="0.2">
      <c r="A359" s="1384">
        <v>2212</v>
      </c>
      <c r="B359" s="1464">
        <v>6121</v>
      </c>
      <c r="C359" s="1464">
        <v>12</v>
      </c>
      <c r="D359" s="1405" t="s">
        <v>548</v>
      </c>
      <c r="E359" s="1414">
        <v>0</v>
      </c>
      <c r="F359" s="1414">
        <v>0</v>
      </c>
      <c r="G359" s="1414">
        <v>0</v>
      </c>
      <c r="H359" s="1390" t="e">
        <f t="shared" ref="H359:H364" si="15">G359/F359*100</f>
        <v>#DIV/0!</v>
      </c>
    </row>
    <row r="360" spans="1:9" ht="15.75" hidden="1" thickTop="1" x14ac:dyDescent="0.2">
      <c r="A360" s="1384">
        <v>2212</v>
      </c>
      <c r="B360" s="1385">
        <v>6121</v>
      </c>
      <c r="C360" s="1385">
        <v>38100880</v>
      </c>
      <c r="D360" s="1405" t="s">
        <v>548</v>
      </c>
      <c r="E360" s="1414">
        <v>0</v>
      </c>
      <c r="F360" s="1414">
        <v>0</v>
      </c>
      <c r="G360" s="1414">
        <v>0</v>
      </c>
      <c r="H360" s="1390" t="e">
        <f t="shared" si="15"/>
        <v>#DIV/0!</v>
      </c>
    </row>
    <row r="361" spans="1:9" ht="16.5" thickTop="1" thickBot="1" x14ac:dyDescent="0.25">
      <c r="A361" s="1384">
        <v>2212</v>
      </c>
      <c r="B361" s="1385">
        <v>6121</v>
      </c>
      <c r="C361" s="1531" t="s">
        <v>2010</v>
      </c>
      <c r="D361" s="1405" t="s">
        <v>548</v>
      </c>
      <c r="E361" s="1414">
        <v>0</v>
      </c>
      <c r="F361" s="1414">
        <v>738</v>
      </c>
      <c r="G361" s="1414">
        <v>0</v>
      </c>
      <c r="H361" s="1390">
        <f t="shared" si="15"/>
        <v>0</v>
      </c>
      <c r="I361" s="1398"/>
    </row>
    <row r="362" spans="1:9" ht="15.75" hidden="1" thickBot="1" x14ac:dyDescent="0.25">
      <c r="A362" s="1384">
        <v>2212</v>
      </c>
      <c r="B362" s="1464">
        <v>6121</v>
      </c>
      <c r="C362" s="1464">
        <v>38500881</v>
      </c>
      <c r="D362" s="1405" t="s">
        <v>548</v>
      </c>
      <c r="E362" s="1414">
        <v>0</v>
      </c>
      <c r="F362" s="1414">
        <v>0</v>
      </c>
      <c r="G362" s="1414">
        <v>0</v>
      </c>
      <c r="H362" s="1390" t="e">
        <f t="shared" si="15"/>
        <v>#DIV/0!</v>
      </c>
      <c r="I362" s="1398"/>
    </row>
    <row r="363" spans="1:9" ht="15.75" hidden="1" thickBot="1" x14ac:dyDescent="0.25">
      <c r="A363" s="1384">
        <v>2212</v>
      </c>
      <c r="B363" s="1464">
        <v>6121</v>
      </c>
      <c r="C363" s="1464">
        <v>38500871</v>
      </c>
      <c r="D363" s="1405" t="s">
        <v>548</v>
      </c>
      <c r="E363" s="1414">
        <v>0</v>
      </c>
      <c r="F363" s="1414">
        <v>0</v>
      </c>
      <c r="G363" s="1414">
        <v>0</v>
      </c>
      <c r="H363" s="1390" t="e">
        <f t="shared" si="15"/>
        <v>#DIV/0!</v>
      </c>
      <c r="I363" s="1398"/>
    </row>
    <row r="364" spans="1:9" ht="16.5" thickTop="1" thickBot="1" x14ac:dyDescent="0.3">
      <c r="A364" s="1406" t="s">
        <v>690</v>
      </c>
      <c r="B364" s="1407"/>
      <c r="C364" s="1407"/>
      <c r="D364" s="1408"/>
      <c r="E364" s="1387">
        <f>SUM(E359:E363)</f>
        <v>0</v>
      </c>
      <c r="F364" s="1387">
        <f>SUM(F359:F363)</f>
        <v>738</v>
      </c>
      <c r="G364" s="1387">
        <f>SUM(G359:G363)</f>
        <v>0</v>
      </c>
      <c r="H364" s="1391">
        <f t="shared" si="15"/>
        <v>0</v>
      </c>
      <c r="I364" s="1398"/>
    </row>
    <row r="365" spans="1:9" ht="13.5" thickTop="1" x14ac:dyDescent="0.2">
      <c r="A365" s="1460"/>
      <c r="B365" s="1460"/>
      <c r="C365" s="1460"/>
      <c r="D365" s="1460"/>
      <c r="E365" s="1462"/>
      <c r="F365" s="1461"/>
      <c r="G365" s="1461"/>
      <c r="H365" s="1461"/>
      <c r="I365" s="1460"/>
    </row>
    <row r="366" spans="1:9" x14ac:dyDescent="0.2">
      <c r="A366" s="1460"/>
      <c r="B366" s="1460"/>
      <c r="C366" s="1460"/>
      <c r="D366" s="1460"/>
      <c r="E366" s="1462"/>
      <c r="F366" s="1461"/>
      <c r="G366" s="1461"/>
      <c r="H366" s="1461"/>
      <c r="I366" s="1460"/>
    </row>
    <row r="367" spans="1:9" x14ac:dyDescent="0.2">
      <c r="A367" s="1460"/>
      <c r="B367" s="1460"/>
      <c r="C367" s="1460"/>
      <c r="D367" s="1460"/>
      <c r="E367" s="1462"/>
      <c r="F367" s="1461"/>
      <c r="G367" s="1461"/>
      <c r="H367" s="1461"/>
      <c r="I367" s="1460"/>
    </row>
    <row r="368" spans="1:9" x14ac:dyDescent="0.2">
      <c r="A368" s="1460"/>
      <c r="B368" s="1460"/>
      <c r="C368" s="1460"/>
      <c r="D368" s="1460"/>
      <c r="E368" s="1462"/>
      <c r="F368" s="1461"/>
      <c r="G368" s="1461"/>
      <c r="H368" s="1461"/>
      <c r="I368" s="1460"/>
    </row>
    <row r="369" spans="1:9" x14ac:dyDescent="0.2">
      <c r="A369" s="1460"/>
      <c r="B369" s="1460"/>
      <c r="C369" s="1460"/>
      <c r="D369" s="1460"/>
      <c r="E369" s="1462"/>
      <c r="F369" s="1461"/>
      <c r="G369" s="1461"/>
      <c r="H369" s="1461"/>
      <c r="I369" s="1460"/>
    </row>
    <row r="370" spans="1:9" x14ac:dyDescent="0.2">
      <c r="A370" s="1460"/>
      <c r="B370" s="1460"/>
      <c r="C370" s="1460"/>
      <c r="D370" s="1460"/>
      <c r="E370" s="1462"/>
      <c r="F370" s="1461"/>
      <c r="G370" s="1461"/>
      <c r="H370" s="1461"/>
      <c r="I370" s="1460"/>
    </row>
    <row r="371" spans="1:9" x14ac:dyDescent="0.2">
      <c r="A371" s="1460"/>
      <c r="B371" s="1460"/>
      <c r="C371" s="1460"/>
      <c r="D371" s="1460"/>
      <c r="E371" s="1462"/>
      <c r="F371" s="1461"/>
      <c r="G371" s="1461"/>
      <c r="H371" s="1461"/>
      <c r="I371" s="1460"/>
    </row>
    <row r="372" spans="1:9" x14ac:dyDescent="0.2">
      <c r="A372" s="1460"/>
      <c r="B372" s="1460"/>
      <c r="C372" s="1460"/>
      <c r="D372" s="1460"/>
      <c r="E372" s="1462"/>
      <c r="F372" s="1461"/>
      <c r="G372" s="1461"/>
      <c r="H372" s="1461"/>
      <c r="I372" s="1460"/>
    </row>
    <row r="373" spans="1:9" x14ac:dyDescent="0.2">
      <c r="A373" s="1460"/>
      <c r="B373" s="1460"/>
      <c r="C373" s="1460"/>
      <c r="D373" s="1460"/>
      <c r="E373" s="1462"/>
      <c r="F373" s="1461"/>
      <c r="G373" s="1461"/>
      <c r="H373" s="1461"/>
      <c r="I373" s="1460"/>
    </row>
    <row r="374" spans="1:9" ht="15.75" thickBot="1" x14ac:dyDescent="0.3">
      <c r="A374" s="1377" t="s">
        <v>229</v>
      </c>
      <c r="H374" s="1459" t="s">
        <v>148</v>
      </c>
      <c r="I374" s="1458"/>
    </row>
    <row r="375" spans="1:9" ht="25.5" thickTop="1" thickBot="1" x14ac:dyDescent="0.25">
      <c r="A375" s="1378" t="s">
        <v>149</v>
      </c>
      <c r="B375" s="1379" t="s">
        <v>688</v>
      </c>
      <c r="C375" s="1379" t="s">
        <v>345</v>
      </c>
      <c r="D375" s="1380" t="s">
        <v>151</v>
      </c>
      <c r="E375" s="1402" t="s">
        <v>569</v>
      </c>
      <c r="F375" s="1402" t="s">
        <v>570</v>
      </c>
      <c r="G375" s="1403" t="s">
        <v>797</v>
      </c>
      <c r="H375" s="1404" t="s">
        <v>798</v>
      </c>
    </row>
    <row r="376" spans="1:9" ht="14.25" thickTop="1" thickBot="1" x14ac:dyDescent="0.25">
      <c r="A376" s="1297">
        <v>1</v>
      </c>
      <c r="B376" s="1296">
        <v>2</v>
      </c>
      <c r="C376" s="1296">
        <v>3</v>
      </c>
      <c r="D376" s="1296">
        <v>5</v>
      </c>
      <c r="E376" s="1295">
        <v>6</v>
      </c>
      <c r="F376" s="1295">
        <v>7</v>
      </c>
      <c r="G376" s="1446">
        <v>8</v>
      </c>
      <c r="H376" s="1383" t="s">
        <v>689</v>
      </c>
    </row>
    <row r="377" spans="1:9" s="1400" customFormat="1" ht="15.75" thickTop="1" x14ac:dyDescent="0.25">
      <c r="A377" s="1457">
        <v>6330</v>
      </c>
      <c r="B377" s="1385">
        <v>5345</v>
      </c>
      <c r="C377" s="2830" t="s">
        <v>1760</v>
      </c>
      <c r="D377" s="1454" t="s">
        <v>693</v>
      </c>
      <c r="E377" s="1401">
        <v>0</v>
      </c>
      <c r="F377" s="1401">
        <v>0</v>
      </c>
      <c r="G377" s="1456">
        <v>97320</v>
      </c>
      <c r="H377" s="1388">
        <v>0</v>
      </c>
    </row>
    <row r="378" spans="1:9" s="1400" customFormat="1" ht="15.75" thickBot="1" x14ac:dyDescent="0.3">
      <c r="A378" s="1384">
        <v>6409</v>
      </c>
      <c r="B378" s="1385">
        <v>5909</v>
      </c>
      <c r="C378" s="1531" t="s">
        <v>1760</v>
      </c>
      <c r="D378" s="1454" t="s">
        <v>705</v>
      </c>
      <c r="E378" s="1414">
        <v>0</v>
      </c>
      <c r="F378" s="1414">
        <v>0</v>
      </c>
      <c r="G378" s="1453">
        <v>0</v>
      </c>
      <c r="H378" s="1390">
        <v>0</v>
      </c>
    </row>
    <row r="379" spans="1:9" ht="16.5" thickTop="1" thickBot="1" x14ac:dyDescent="0.3">
      <c r="A379" s="1406" t="s">
        <v>690</v>
      </c>
      <c r="B379" s="1407"/>
      <c r="C379" s="1407"/>
      <c r="D379" s="1408"/>
      <c r="E379" s="1387">
        <f>SUM(E377:E378)</f>
        <v>0</v>
      </c>
      <c r="F379" s="1387">
        <f>SUM(F377:F378)</f>
        <v>0</v>
      </c>
      <c r="G379" s="1387">
        <f>SUM(G377:G378)</f>
        <v>97320</v>
      </c>
      <c r="H379" s="1391">
        <v>0</v>
      </c>
    </row>
    <row r="380" spans="1:9" ht="17.25" customHeight="1" thickTop="1" x14ac:dyDescent="0.2"/>
    <row r="381" spans="1:9" ht="14.25" customHeight="1" x14ac:dyDescent="0.2"/>
    <row r="382" spans="1:9" ht="15.75" customHeight="1" x14ac:dyDescent="0.2"/>
    <row r="383" spans="1:9" ht="12.75" hidden="1" customHeight="1" x14ac:dyDescent="0.2"/>
    <row r="384" spans="1:9" ht="18.75" hidden="1" customHeight="1" x14ac:dyDescent="0.2"/>
    <row r="385" spans="1:16" ht="15" hidden="1" customHeight="1" x14ac:dyDescent="0.2"/>
    <row r="386" spans="1:16" ht="19.5" customHeight="1" x14ac:dyDescent="0.2"/>
    <row r="387" spans="1:16" ht="18.75" customHeight="1" x14ac:dyDescent="0.2"/>
    <row r="388" spans="1:16" ht="16.5" x14ac:dyDescent="0.25">
      <c r="A388" s="1429" t="s">
        <v>423</v>
      </c>
      <c r="B388" s="1430"/>
      <c r="C388" s="1431"/>
      <c r="D388" s="1432"/>
      <c r="E388" s="1433">
        <f>SUM(E389:E391)</f>
        <v>236135</v>
      </c>
      <c r="F388" s="1433">
        <f>F389+F390+F391+F392</f>
        <v>649418</v>
      </c>
      <c r="G388" s="1433">
        <f>G389+G390+G391+G392</f>
        <v>683880</v>
      </c>
      <c r="H388" s="1452">
        <f>G388/F388*100</f>
        <v>105.30659759969696</v>
      </c>
      <c r="K388" s="1435">
        <f>K389+K390+K391</f>
        <v>236135000</v>
      </c>
      <c r="L388" s="1435">
        <f>L389+L390+L391</f>
        <v>649418386.59000003</v>
      </c>
      <c r="M388" s="1435">
        <f>M389+M390+M391</f>
        <v>683880235.83999991</v>
      </c>
    </row>
    <row r="389" spans="1:16" ht="15" x14ac:dyDescent="0.2">
      <c r="A389" s="1263" t="s">
        <v>242</v>
      </c>
      <c r="B389" s="1265"/>
      <c r="C389" s="1261"/>
      <c r="D389" s="1436"/>
      <c r="E389" s="1264">
        <f>E159+E378</f>
        <v>0</v>
      </c>
      <c r="F389" s="1264">
        <f>F159+F378</f>
        <v>73</v>
      </c>
      <c r="G389" s="1264">
        <f>G159+G378</f>
        <v>73</v>
      </c>
      <c r="H389" s="1451">
        <f>G389/F389*100</f>
        <v>100</v>
      </c>
      <c r="K389" s="1437">
        <v>0</v>
      </c>
      <c r="L389" s="1437">
        <v>72563.7</v>
      </c>
      <c r="M389" s="1437">
        <f>72563.7+367.59</f>
        <v>72931.289999999994</v>
      </c>
    </row>
    <row r="390" spans="1:16" ht="15" x14ac:dyDescent="0.2">
      <c r="A390" s="1263" t="s">
        <v>243</v>
      </c>
      <c r="B390" s="1262"/>
      <c r="C390" s="1261"/>
      <c r="D390" s="1438"/>
      <c r="E390" s="1264">
        <f>E11+E31+E32+E33+E34+E35+E43+E45+E52+E53+E54+E55+E56+E65+E66+E67+E128+E138+E139+E140+E141+E142+E149+E150+E151+E152+E160+E161+E162+E164+E171+E172+E173+E174+E175+E182+E183+E184+E185+E186+E193+E194+E195+E196+E197+E204+E205+E206+E207+E215+E216+E217+E218+E226+E227+E228+E229+E230+E238+E239+E240+E241+E242+E249+E250+E251+E252+E253+E293+E294+E295+E297+E306+E317+E326+E327+E328+E330+E337+E338+E339+E341+E348+E349+E350+E352+E361</f>
        <v>236135</v>
      </c>
      <c r="F390" s="1264">
        <f>F11+F31+F32+F33+F34+F35+F43+F45+F52+F53+F54+F55+F56+F65+F66+F67+F128+F138+F139+F140+F141+F142+F149+F150+F151+F152+F160+F161+F162+F164+F171+F172+F173+F174+F175+F182+F183+F184+F185+F186+F193+F194+F195+F196+F197+F204+F205+F206+F207+F215+F216+F217+F218+F226+F227+F228+F229+F230+F238+F239+F240+F241+F242+F249+F250+F251+F252+F253+F293+F294+F295+F297+F306+F317+F326+F327+F328+F330+F337+F338+F339+F341+F348+F349+F350+F352+F361</f>
        <v>649345</v>
      </c>
      <c r="G390" s="1264">
        <f>G11+G31+G32+G33+G34+G35+G43+G45+G52+G53+G54+G55+G56+G65+G66+G67+G128+G138+G139+G140+G141+G142+G149+G150+G151+G152+G160+G161+G162+G164+G171+G172+G173+G174+G175+G182+G183+G184+G185+G186+G193+G194+G195+G196+G197+G204+G205+G206+G207+G215+G216+G217+G218+G226+G227+G228+G229+G230+G238+G239+G240+G241+G242+G249+G250+G251+G252+G253+G293+G294+G295+G297+G306+G317+G326+G327+G328+G330+G337+G338+G339+G341+G348+G349+G350+G352+G361</f>
        <v>586487</v>
      </c>
      <c r="H390" s="1451">
        <f>G390/F390*100</f>
        <v>90.319783782118904</v>
      </c>
      <c r="K390" s="1437">
        <v>236135000</v>
      </c>
      <c r="L390" s="1437">
        <v>649345822.88999999</v>
      </c>
      <c r="M390" s="1437">
        <v>586487536.25999999</v>
      </c>
    </row>
    <row r="391" spans="1:16" ht="15" x14ac:dyDescent="0.2">
      <c r="A391" s="1263" t="s">
        <v>424</v>
      </c>
      <c r="B391" s="1262"/>
      <c r="C391" s="1261"/>
      <c r="D391" s="1438"/>
      <c r="E391" s="1264">
        <f>E377</f>
        <v>0</v>
      </c>
      <c r="F391" s="1264">
        <f>F377</f>
        <v>0</v>
      </c>
      <c r="G391" s="1264">
        <f>G377</f>
        <v>97320</v>
      </c>
      <c r="H391" s="1451">
        <v>0</v>
      </c>
      <c r="K391" s="1437">
        <v>0</v>
      </c>
      <c r="L391" s="1437">
        <v>0</v>
      </c>
      <c r="M391" s="1437">
        <v>97319768.290000007</v>
      </c>
    </row>
    <row r="392" spans="1:16" ht="15" x14ac:dyDescent="0.2">
      <c r="A392" s="1263"/>
      <c r="B392" s="1262"/>
      <c r="C392" s="1261"/>
      <c r="D392" s="1438"/>
      <c r="E392" s="1264"/>
      <c r="F392" s="1264"/>
      <c r="G392" s="1264"/>
      <c r="H392" s="1260"/>
    </row>
    <row r="393" spans="1:16" ht="51" customHeight="1" thickBot="1" x14ac:dyDescent="0.4">
      <c r="A393" s="3148" t="s">
        <v>1352</v>
      </c>
      <c r="B393" s="3207"/>
      <c r="C393" s="3207"/>
      <c r="D393" s="3207"/>
      <c r="E393" s="1258">
        <f>SUM(E388)</f>
        <v>236135</v>
      </c>
      <c r="F393" s="1258">
        <f>SUM(F388)</f>
        <v>649418</v>
      </c>
      <c r="G393" s="1258">
        <f>SUM(G388)</f>
        <v>683880</v>
      </c>
      <c r="H393" s="1257">
        <f>(G393/F393)*100</f>
        <v>105.30659759969696</v>
      </c>
    </row>
    <row r="394" spans="1:16" ht="13.5" thickTop="1" x14ac:dyDescent="0.2"/>
    <row r="399" spans="1:16" x14ac:dyDescent="0.2">
      <c r="P399" s="1398"/>
    </row>
  </sheetData>
  <mergeCells count="1">
    <mergeCell ref="A393:D393"/>
  </mergeCells>
  <pageMargins left="0.78740157480314965" right="0.98425196850393704" top="0.98425196850393704" bottom="0.98425196850393704" header="0.51181102362204722" footer="0.51181102362204722"/>
  <pageSetup paperSize="9" scale="65" firstPageNumber="131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  <rowBreaks count="4" manualBreakCount="4">
    <brk id="133" max="7" man="1"/>
    <brk id="188" max="7" man="1"/>
    <brk id="255" max="7" man="1"/>
    <brk id="372" max="7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725"/>
  <sheetViews>
    <sheetView showGridLines="0"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5" style="1371" customWidth="1"/>
    <col min="2" max="2" width="6.7109375" style="1371" customWidth="1"/>
    <col min="3" max="3" width="10.140625" style="1371" customWidth="1"/>
    <col min="4" max="4" width="46.42578125" style="1372" customWidth="1"/>
    <col min="5" max="5" width="15.42578125" style="1398" customWidth="1"/>
    <col min="6" max="6" width="15.5703125" style="1398" customWidth="1"/>
    <col min="7" max="7" width="15.85546875" style="1398" customWidth="1"/>
    <col min="8" max="8" width="9" style="1372" customWidth="1"/>
    <col min="9" max="9" width="5.28515625" style="1372" customWidth="1"/>
    <col min="10" max="10" width="16" style="1372" bestFit="1" customWidth="1"/>
    <col min="11" max="11" width="17.28515625" style="1372" customWidth="1"/>
    <col min="12" max="12" width="17.42578125" style="1372" customWidth="1"/>
    <col min="13" max="256" width="9.140625" style="1372"/>
    <col min="257" max="257" width="4.7109375" style="1372" customWidth="1"/>
    <col min="258" max="258" width="6.7109375" style="1372" customWidth="1"/>
    <col min="259" max="259" width="8.85546875" style="1372" customWidth="1"/>
    <col min="260" max="260" width="46.42578125" style="1372" customWidth="1"/>
    <col min="261" max="261" width="12.85546875" style="1372" customWidth="1"/>
    <col min="262" max="262" width="15.5703125" style="1372" customWidth="1"/>
    <col min="263" max="263" width="15.85546875" style="1372" customWidth="1"/>
    <col min="264" max="264" width="7.140625" style="1372" customWidth="1"/>
    <col min="265" max="265" width="5.28515625" style="1372" customWidth="1"/>
    <col min="266" max="266" width="9.140625" style="1372"/>
    <col min="267" max="267" width="15.5703125" style="1372" customWidth="1"/>
    <col min="268" max="268" width="16" style="1372" customWidth="1"/>
    <col min="269" max="512" width="9.140625" style="1372"/>
    <col min="513" max="513" width="4.7109375" style="1372" customWidth="1"/>
    <col min="514" max="514" width="6.7109375" style="1372" customWidth="1"/>
    <col min="515" max="515" width="8.85546875" style="1372" customWidth="1"/>
    <col min="516" max="516" width="46.42578125" style="1372" customWidth="1"/>
    <col min="517" max="517" width="12.85546875" style="1372" customWidth="1"/>
    <col min="518" max="518" width="15.5703125" style="1372" customWidth="1"/>
    <col min="519" max="519" width="15.85546875" style="1372" customWidth="1"/>
    <col min="520" max="520" width="7.140625" style="1372" customWidth="1"/>
    <col min="521" max="521" width="5.28515625" style="1372" customWidth="1"/>
    <col min="522" max="522" width="9.140625" style="1372"/>
    <col min="523" max="523" width="15.5703125" style="1372" customWidth="1"/>
    <col min="524" max="524" width="16" style="1372" customWidth="1"/>
    <col min="525" max="768" width="9.140625" style="1372"/>
    <col min="769" max="769" width="4.7109375" style="1372" customWidth="1"/>
    <col min="770" max="770" width="6.7109375" style="1372" customWidth="1"/>
    <col min="771" max="771" width="8.85546875" style="1372" customWidth="1"/>
    <col min="772" max="772" width="46.42578125" style="1372" customWidth="1"/>
    <col min="773" max="773" width="12.85546875" style="1372" customWidth="1"/>
    <col min="774" max="774" width="15.5703125" style="1372" customWidth="1"/>
    <col min="775" max="775" width="15.85546875" style="1372" customWidth="1"/>
    <col min="776" max="776" width="7.140625" style="1372" customWidth="1"/>
    <col min="777" max="777" width="5.28515625" style="1372" customWidth="1"/>
    <col min="778" max="778" width="9.140625" style="1372"/>
    <col min="779" max="779" width="15.5703125" style="1372" customWidth="1"/>
    <col min="780" max="780" width="16" style="1372" customWidth="1"/>
    <col min="781" max="1024" width="9.140625" style="1372"/>
    <col min="1025" max="1025" width="4.7109375" style="1372" customWidth="1"/>
    <col min="1026" max="1026" width="6.7109375" style="1372" customWidth="1"/>
    <col min="1027" max="1027" width="8.85546875" style="1372" customWidth="1"/>
    <col min="1028" max="1028" width="46.42578125" style="1372" customWidth="1"/>
    <col min="1029" max="1029" width="12.85546875" style="1372" customWidth="1"/>
    <col min="1030" max="1030" width="15.5703125" style="1372" customWidth="1"/>
    <col min="1031" max="1031" width="15.85546875" style="1372" customWidth="1"/>
    <col min="1032" max="1032" width="7.140625" style="1372" customWidth="1"/>
    <col min="1033" max="1033" width="5.28515625" style="1372" customWidth="1"/>
    <col min="1034" max="1034" width="9.140625" style="1372"/>
    <col min="1035" max="1035" width="15.5703125" style="1372" customWidth="1"/>
    <col min="1036" max="1036" width="16" style="1372" customWidth="1"/>
    <col min="1037" max="1280" width="9.140625" style="1372"/>
    <col min="1281" max="1281" width="4.7109375" style="1372" customWidth="1"/>
    <col min="1282" max="1282" width="6.7109375" style="1372" customWidth="1"/>
    <col min="1283" max="1283" width="8.85546875" style="1372" customWidth="1"/>
    <col min="1284" max="1284" width="46.42578125" style="1372" customWidth="1"/>
    <col min="1285" max="1285" width="12.85546875" style="1372" customWidth="1"/>
    <col min="1286" max="1286" width="15.5703125" style="1372" customWidth="1"/>
    <col min="1287" max="1287" width="15.85546875" style="1372" customWidth="1"/>
    <col min="1288" max="1288" width="7.140625" style="1372" customWidth="1"/>
    <col min="1289" max="1289" width="5.28515625" style="1372" customWidth="1"/>
    <col min="1290" max="1290" width="9.140625" style="1372"/>
    <col min="1291" max="1291" width="15.5703125" style="1372" customWidth="1"/>
    <col min="1292" max="1292" width="16" style="1372" customWidth="1"/>
    <col min="1293" max="1536" width="9.140625" style="1372"/>
    <col min="1537" max="1537" width="4.7109375" style="1372" customWidth="1"/>
    <col min="1538" max="1538" width="6.7109375" style="1372" customWidth="1"/>
    <col min="1539" max="1539" width="8.85546875" style="1372" customWidth="1"/>
    <col min="1540" max="1540" width="46.42578125" style="1372" customWidth="1"/>
    <col min="1541" max="1541" width="12.85546875" style="1372" customWidth="1"/>
    <col min="1542" max="1542" width="15.5703125" style="1372" customWidth="1"/>
    <col min="1543" max="1543" width="15.85546875" style="1372" customWidth="1"/>
    <col min="1544" max="1544" width="7.140625" style="1372" customWidth="1"/>
    <col min="1545" max="1545" width="5.28515625" style="1372" customWidth="1"/>
    <col min="1546" max="1546" width="9.140625" style="1372"/>
    <col min="1547" max="1547" width="15.5703125" style="1372" customWidth="1"/>
    <col min="1548" max="1548" width="16" style="1372" customWidth="1"/>
    <col min="1549" max="1792" width="9.140625" style="1372"/>
    <col min="1793" max="1793" width="4.7109375" style="1372" customWidth="1"/>
    <col min="1794" max="1794" width="6.7109375" style="1372" customWidth="1"/>
    <col min="1795" max="1795" width="8.85546875" style="1372" customWidth="1"/>
    <col min="1796" max="1796" width="46.42578125" style="1372" customWidth="1"/>
    <col min="1797" max="1797" width="12.85546875" style="1372" customWidth="1"/>
    <col min="1798" max="1798" width="15.5703125" style="1372" customWidth="1"/>
    <col min="1799" max="1799" width="15.85546875" style="1372" customWidth="1"/>
    <col min="1800" max="1800" width="7.140625" style="1372" customWidth="1"/>
    <col min="1801" max="1801" width="5.28515625" style="1372" customWidth="1"/>
    <col min="1802" max="1802" width="9.140625" style="1372"/>
    <col min="1803" max="1803" width="15.5703125" style="1372" customWidth="1"/>
    <col min="1804" max="1804" width="16" style="1372" customWidth="1"/>
    <col min="1805" max="2048" width="9.140625" style="1372"/>
    <col min="2049" max="2049" width="4.7109375" style="1372" customWidth="1"/>
    <col min="2050" max="2050" width="6.7109375" style="1372" customWidth="1"/>
    <col min="2051" max="2051" width="8.85546875" style="1372" customWidth="1"/>
    <col min="2052" max="2052" width="46.42578125" style="1372" customWidth="1"/>
    <col min="2053" max="2053" width="12.85546875" style="1372" customWidth="1"/>
    <col min="2054" max="2054" width="15.5703125" style="1372" customWidth="1"/>
    <col min="2055" max="2055" width="15.85546875" style="1372" customWidth="1"/>
    <col min="2056" max="2056" width="7.140625" style="1372" customWidth="1"/>
    <col min="2057" max="2057" width="5.28515625" style="1372" customWidth="1"/>
    <col min="2058" max="2058" width="9.140625" style="1372"/>
    <col min="2059" max="2059" width="15.5703125" style="1372" customWidth="1"/>
    <col min="2060" max="2060" width="16" style="1372" customWidth="1"/>
    <col min="2061" max="2304" width="9.140625" style="1372"/>
    <col min="2305" max="2305" width="4.7109375" style="1372" customWidth="1"/>
    <col min="2306" max="2306" width="6.7109375" style="1372" customWidth="1"/>
    <col min="2307" max="2307" width="8.85546875" style="1372" customWidth="1"/>
    <col min="2308" max="2308" width="46.42578125" style="1372" customWidth="1"/>
    <col min="2309" max="2309" width="12.85546875" style="1372" customWidth="1"/>
    <col min="2310" max="2310" width="15.5703125" style="1372" customWidth="1"/>
    <col min="2311" max="2311" width="15.85546875" style="1372" customWidth="1"/>
    <col min="2312" max="2312" width="7.140625" style="1372" customWidth="1"/>
    <col min="2313" max="2313" width="5.28515625" style="1372" customWidth="1"/>
    <col min="2314" max="2314" width="9.140625" style="1372"/>
    <col min="2315" max="2315" width="15.5703125" style="1372" customWidth="1"/>
    <col min="2316" max="2316" width="16" style="1372" customWidth="1"/>
    <col min="2317" max="2560" width="9.140625" style="1372"/>
    <col min="2561" max="2561" width="4.7109375" style="1372" customWidth="1"/>
    <col min="2562" max="2562" width="6.7109375" style="1372" customWidth="1"/>
    <col min="2563" max="2563" width="8.85546875" style="1372" customWidth="1"/>
    <col min="2564" max="2564" width="46.42578125" style="1372" customWidth="1"/>
    <col min="2565" max="2565" width="12.85546875" style="1372" customWidth="1"/>
    <col min="2566" max="2566" width="15.5703125" style="1372" customWidth="1"/>
    <col min="2567" max="2567" width="15.85546875" style="1372" customWidth="1"/>
    <col min="2568" max="2568" width="7.140625" style="1372" customWidth="1"/>
    <col min="2569" max="2569" width="5.28515625" style="1372" customWidth="1"/>
    <col min="2570" max="2570" width="9.140625" style="1372"/>
    <col min="2571" max="2571" width="15.5703125" style="1372" customWidth="1"/>
    <col min="2572" max="2572" width="16" style="1372" customWidth="1"/>
    <col min="2573" max="2816" width="9.140625" style="1372"/>
    <col min="2817" max="2817" width="4.7109375" style="1372" customWidth="1"/>
    <col min="2818" max="2818" width="6.7109375" style="1372" customWidth="1"/>
    <col min="2819" max="2819" width="8.85546875" style="1372" customWidth="1"/>
    <col min="2820" max="2820" width="46.42578125" style="1372" customWidth="1"/>
    <col min="2821" max="2821" width="12.85546875" style="1372" customWidth="1"/>
    <col min="2822" max="2822" width="15.5703125" style="1372" customWidth="1"/>
    <col min="2823" max="2823" width="15.85546875" style="1372" customWidth="1"/>
    <col min="2824" max="2824" width="7.140625" style="1372" customWidth="1"/>
    <col min="2825" max="2825" width="5.28515625" style="1372" customWidth="1"/>
    <col min="2826" max="2826" width="9.140625" style="1372"/>
    <col min="2827" max="2827" width="15.5703125" style="1372" customWidth="1"/>
    <col min="2828" max="2828" width="16" style="1372" customWidth="1"/>
    <col min="2829" max="3072" width="9.140625" style="1372"/>
    <col min="3073" max="3073" width="4.7109375" style="1372" customWidth="1"/>
    <col min="3074" max="3074" width="6.7109375" style="1372" customWidth="1"/>
    <col min="3075" max="3075" width="8.85546875" style="1372" customWidth="1"/>
    <col min="3076" max="3076" width="46.42578125" style="1372" customWidth="1"/>
    <col min="3077" max="3077" width="12.85546875" style="1372" customWidth="1"/>
    <col min="3078" max="3078" width="15.5703125" style="1372" customWidth="1"/>
    <col min="3079" max="3079" width="15.85546875" style="1372" customWidth="1"/>
    <col min="3080" max="3080" width="7.140625" style="1372" customWidth="1"/>
    <col min="3081" max="3081" width="5.28515625" style="1372" customWidth="1"/>
    <col min="3082" max="3082" width="9.140625" style="1372"/>
    <col min="3083" max="3083" width="15.5703125" style="1372" customWidth="1"/>
    <col min="3084" max="3084" width="16" style="1372" customWidth="1"/>
    <col min="3085" max="3328" width="9.140625" style="1372"/>
    <col min="3329" max="3329" width="4.7109375" style="1372" customWidth="1"/>
    <col min="3330" max="3330" width="6.7109375" style="1372" customWidth="1"/>
    <col min="3331" max="3331" width="8.85546875" style="1372" customWidth="1"/>
    <col min="3332" max="3332" width="46.42578125" style="1372" customWidth="1"/>
    <col min="3333" max="3333" width="12.85546875" style="1372" customWidth="1"/>
    <col min="3334" max="3334" width="15.5703125" style="1372" customWidth="1"/>
    <col min="3335" max="3335" width="15.85546875" style="1372" customWidth="1"/>
    <col min="3336" max="3336" width="7.140625" style="1372" customWidth="1"/>
    <col min="3337" max="3337" width="5.28515625" style="1372" customWidth="1"/>
    <col min="3338" max="3338" width="9.140625" style="1372"/>
    <col min="3339" max="3339" width="15.5703125" style="1372" customWidth="1"/>
    <col min="3340" max="3340" width="16" style="1372" customWidth="1"/>
    <col min="3341" max="3584" width="9.140625" style="1372"/>
    <col min="3585" max="3585" width="4.7109375" style="1372" customWidth="1"/>
    <col min="3586" max="3586" width="6.7109375" style="1372" customWidth="1"/>
    <col min="3587" max="3587" width="8.85546875" style="1372" customWidth="1"/>
    <col min="3588" max="3588" width="46.42578125" style="1372" customWidth="1"/>
    <col min="3589" max="3589" width="12.85546875" style="1372" customWidth="1"/>
    <col min="3590" max="3590" width="15.5703125" style="1372" customWidth="1"/>
    <col min="3591" max="3591" width="15.85546875" style="1372" customWidth="1"/>
    <col min="3592" max="3592" width="7.140625" style="1372" customWidth="1"/>
    <col min="3593" max="3593" width="5.28515625" style="1372" customWidth="1"/>
    <col min="3594" max="3594" width="9.140625" style="1372"/>
    <col min="3595" max="3595" width="15.5703125" style="1372" customWidth="1"/>
    <col min="3596" max="3596" width="16" style="1372" customWidth="1"/>
    <col min="3597" max="3840" width="9.140625" style="1372"/>
    <col min="3841" max="3841" width="4.7109375" style="1372" customWidth="1"/>
    <col min="3842" max="3842" width="6.7109375" style="1372" customWidth="1"/>
    <col min="3843" max="3843" width="8.85546875" style="1372" customWidth="1"/>
    <col min="3844" max="3844" width="46.42578125" style="1372" customWidth="1"/>
    <col min="3845" max="3845" width="12.85546875" style="1372" customWidth="1"/>
    <col min="3846" max="3846" width="15.5703125" style="1372" customWidth="1"/>
    <col min="3847" max="3847" width="15.85546875" style="1372" customWidth="1"/>
    <col min="3848" max="3848" width="7.140625" style="1372" customWidth="1"/>
    <col min="3849" max="3849" width="5.28515625" style="1372" customWidth="1"/>
    <col min="3850" max="3850" width="9.140625" style="1372"/>
    <col min="3851" max="3851" width="15.5703125" style="1372" customWidth="1"/>
    <col min="3852" max="3852" width="16" style="1372" customWidth="1"/>
    <col min="3853" max="4096" width="9.140625" style="1372"/>
    <col min="4097" max="4097" width="4.7109375" style="1372" customWidth="1"/>
    <col min="4098" max="4098" width="6.7109375" style="1372" customWidth="1"/>
    <col min="4099" max="4099" width="8.85546875" style="1372" customWidth="1"/>
    <col min="4100" max="4100" width="46.42578125" style="1372" customWidth="1"/>
    <col min="4101" max="4101" width="12.85546875" style="1372" customWidth="1"/>
    <col min="4102" max="4102" width="15.5703125" style="1372" customWidth="1"/>
    <col min="4103" max="4103" width="15.85546875" style="1372" customWidth="1"/>
    <col min="4104" max="4104" width="7.140625" style="1372" customWidth="1"/>
    <col min="4105" max="4105" width="5.28515625" style="1372" customWidth="1"/>
    <col min="4106" max="4106" width="9.140625" style="1372"/>
    <col min="4107" max="4107" width="15.5703125" style="1372" customWidth="1"/>
    <col min="4108" max="4108" width="16" style="1372" customWidth="1"/>
    <col min="4109" max="4352" width="9.140625" style="1372"/>
    <col min="4353" max="4353" width="4.7109375" style="1372" customWidth="1"/>
    <col min="4354" max="4354" width="6.7109375" style="1372" customWidth="1"/>
    <col min="4355" max="4355" width="8.85546875" style="1372" customWidth="1"/>
    <col min="4356" max="4356" width="46.42578125" style="1372" customWidth="1"/>
    <col min="4357" max="4357" width="12.85546875" style="1372" customWidth="1"/>
    <col min="4358" max="4358" width="15.5703125" style="1372" customWidth="1"/>
    <col min="4359" max="4359" width="15.85546875" style="1372" customWidth="1"/>
    <col min="4360" max="4360" width="7.140625" style="1372" customWidth="1"/>
    <col min="4361" max="4361" width="5.28515625" style="1372" customWidth="1"/>
    <col min="4362" max="4362" width="9.140625" style="1372"/>
    <col min="4363" max="4363" width="15.5703125" style="1372" customWidth="1"/>
    <col min="4364" max="4364" width="16" style="1372" customWidth="1"/>
    <col min="4365" max="4608" width="9.140625" style="1372"/>
    <col min="4609" max="4609" width="4.7109375" style="1372" customWidth="1"/>
    <col min="4610" max="4610" width="6.7109375" style="1372" customWidth="1"/>
    <col min="4611" max="4611" width="8.85546875" style="1372" customWidth="1"/>
    <col min="4612" max="4612" width="46.42578125" style="1372" customWidth="1"/>
    <col min="4613" max="4613" width="12.85546875" style="1372" customWidth="1"/>
    <col min="4614" max="4614" width="15.5703125" style="1372" customWidth="1"/>
    <col min="4615" max="4615" width="15.85546875" style="1372" customWidth="1"/>
    <col min="4616" max="4616" width="7.140625" style="1372" customWidth="1"/>
    <col min="4617" max="4617" width="5.28515625" style="1372" customWidth="1"/>
    <col min="4618" max="4618" width="9.140625" style="1372"/>
    <col min="4619" max="4619" width="15.5703125" style="1372" customWidth="1"/>
    <col min="4620" max="4620" width="16" style="1372" customWidth="1"/>
    <col min="4621" max="4864" width="9.140625" style="1372"/>
    <col min="4865" max="4865" width="4.7109375" style="1372" customWidth="1"/>
    <col min="4866" max="4866" width="6.7109375" style="1372" customWidth="1"/>
    <col min="4867" max="4867" width="8.85546875" style="1372" customWidth="1"/>
    <col min="4868" max="4868" width="46.42578125" style="1372" customWidth="1"/>
    <col min="4869" max="4869" width="12.85546875" style="1372" customWidth="1"/>
    <col min="4870" max="4870" width="15.5703125" style="1372" customWidth="1"/>
    <col min="4871" max="4871" width="15.85546875" style="1372" customWidth="1"/>
    <col min="4872" max="4872" width="7.140625" style="1372" customWidth="1"/>
    <col min="4873" max="4873" width="5.28515625" style="1372" customWidth="1"/>
    <col min="4874" max="4874" width="9.140625" style="1372"/>
    <col min="4875" max="4875" width="15.5703125" style="1372" customWidth="1"/>
    <col min="4876" max="4876" width="16" style="1372" customWidth="1"/>
    <col min="4877" max="5120" width="9.140625" style="1372"/>
    <col min="5121" max="5121" width="4.7109375" style="1372" customWidth="1"/>
    <col min="5122" max="5122" width="6.7109375" style="1372" customWidth="1"/>
    <col min="5123" max="5123" width="8.85546875" style="1372" customWidth="1"/>
    <col min="5124" max="5124" width="46.42578125" style="1372" customWidth="1"/>
    <col min="5125" max="5125" width="12.85546875" style="1372" customWidth="1"/>
    <col min="5126" max="5126" width="15.5703125" style="1372" customWidth="1"/>
    <col min="5127" max="5127" width="15.85546875" style="1372" customWidth="1"/>
    <col min="5128" max="5128" width="7.140625" style="1372" customWidth="1"/>
    <col min="5129" max="5129" width="5.28515625" style="1372" customWidth="1"/>
    <col min="5130" max="5130" width="9.140625" style="1372"/>
    <col min="5131" max="5131" width="15.5703125" style="1372" customWidth="1"/>
    <col min="5132" max="5132" width="16" style="1372" customWidth="1"/>
    <col min="5133" max="5376" width="9.140625" style="1372"/>
    <col min="5377" max="5377" width="4.7109375" style="1372" customWidth="1"/>
    <col min="5378" max="5378" width="6.7109375" style="1372" customWidth="1"/>
    <col min="5379" max="5379" width="8.85546875" style="1372" customWidth="1"/>
    <col min="5380" max="5380" width="46.42578125" style="1372" customWidth="1"/>
    <col min="5381" max="5381" width="12.85546875" style="1372" customWidth="1"/>
    <col min="5382" max="5382" width="15.5703125" style="1372" customWidth="1"/>
    <col min="5383" max="5383" width="15.85546875" style="1372" customWidth="1"/>
    <col min="5384" max="5384" width="7.140625" style="1372" customWidth="1"/>
    <col min="5385" max="5385" width="5.28515625" style="1372" customWidth="1"/>
    <col min="5386" max="5386" width="9.140625" style="1372"/>
    <col min="5387" max="5387" width="15.5703125" style="1372" customWidth="1"/>
    <col min="5388" max="5388" width="16" style="1372" customWidth="1"/>
    <col min="5389" max="5632" width="9.140625" style="1372"/>
    <col min="5633" max="5633" width="4.7109375" style="1372" customWidth="1"/>
    <col min="5634" max="5634" width="6.7109375" style="1372" customWidth="1"/>
    <col min="5635" max="5635" width="8.85546875" style="1372" customWidth="1"/>
    <col min="5636" max="5636" width="46.42578125" style="1372" customWidth="1"/>
    <col min="5637" max="5637" width="12.85546875" style="1372" customWidth="1"/>
    <col min="5638" max="5638" width="15.5703125" style="1372" customWidth="1"/>
    <col min="5639" max="5639" width="15.85546875" style="1372" customWidth="1"/>
    <col min="5640" max="5640" width="7.140625" style="1372" customWidth="1"/>
    <col min="5641" max="5641" width="5.28515625" style="1372" customWidth="1"/>
    <col min="5642" max="5642" width="9.140625" style="1372"/>
    <col min="5643" max="5643" width="15.5703125" style="1372" customWidth="1"/>
    <col min="5644" max="5644" width="16" style="1372" customWidth="1"/>
    <col min="5645" max="5888" width="9.140625" style="1372"/>
    <col min="5889" max="5889" width="4.7109375" style="1372" customWidth="1"/>
    <col min="5890" max="5890" width="6.7109375" style="1372" customWidth="1"/>
    <col min="5891" max="5891" width="8.85546875" style="1372" customWidth="1"/>
    <col min="5892" max="5892" width="46.42578125" style="1372" customWidth="1"/>
    <col min="5893" max="5893" width="12.85546875" style="1372" customWidth="1"/>
    <col min="5894" max="5894" width="15.5703125" style="1372" customWidth="1"/>
    <col min="5895" max="5895" width="15.85546875" style="1372" customWidth="1"/>
    <col min="5896" max="5896" width="7.140625" style="1372" customWidth="1"/>
    <col min="5897" max="5897" width="5.28515625" style="1372" customWidth="1"/>
    <col min="5898" max="5898" width="9.140625" style="1372"/>
    <col min="5899" max="5899" width="15.5703125" style="1372" customWidth="1"/>
    <col min="5900" max="5900" width="16" style="1372" customWidth="1"/>
    <col min="5901" max="6144" width="9.140625" style="1372"/>
    <col min="6145" max="6145" width="4.7109375" style="1372" customWidth="1"/>
    <col min="6146" max="6146" width="6.7109375" style="1372" customWidth="1"/>
    <col min="6147" max="6147" width="8.85546875" style="1372" customWidth="1"/>
    <col min="6148" max="6148" width="46.42578125" style="1372" customWidth="1"/>
    <col min="6149" max="6149" width="12.85546875" style="1372" customWidth="1"/>
    <col min="6150" max="6150" width="15.5703125" style="1372" customWidth="1"/>
    <col min="6151" max="6151" width="15.85546875" style="1372" customWidth="1"/>
    <col min="6152" max="6152" width="7.140625" style="1372" customWidth="1"/>
    <col min="6153" max="6153" width="5.28515625" style="1372" customWidth="1"/>
    <col min="6154" max="6154" width="9.140625" style="1372"/>
    <col min="6155" max="6155" width="15.5703125" style="1372" customWidth="1"/>
    <col min="6156" max="6156" width="16" style="1372" customWidth="1"/>
    <col min="6157" max="6400" width="9.140625" style="1372"/>
    <col min="6401" max="6401" width="4.7109375" style="1372" customWidth="1"/>
    <col min="6402" max="6402" width="6.7109375" style="1372" customWidth="1"/>
    <col min="6403" max="6403" width="8.85546875" style="1372" customWidth="1"/>
    <col min="6404" max="6404" width="46.42578125" style="1372" customWidth="1"/>
    <col min="6405" max="6405" width="12.85546875" style="1372" customWidth="1"/>
    <col min="6406" max="6406" width="15.5703125" style="1372" customWidth="1"/>
    <col min="6407" max="6407" width="15.85546875" style="1372" customWidth="1"/>
    <col min="6408" max="6408" width="7.140625" style="1372" customWidth="1"/>
    <col min="6409" max="6409" width="5.28515625" style="1372" customWidth="1"/>
    <col min="6410" max="6410" width="9.140625" style="1372"/>
    <col min="6411" max="6411" width="15.5703125" style="1372" customWidth="1"/>
    <col min="6412" max="6412" width="16" style="1372" customWidth="1"/>
    <col min="6413" max="6656" width="9.140625" style="1372"/>
    <col min="6657" max="6657" width="4.7109375" style="1372" customWidth="1"/>
    <col min="6658" max="6658" width="6.7109375" style="1372" customWidth="1"/>
    <col min="6659" max="6659" width="8.85546875" style="1372" customWidth="1"/>
    <col min="6660" max="6660" width="46.42578125" style="1372" customWidth="1"/>
    <col min="6661" max="6661" width="12.85546875" style="1372" customWidth="1"/>
    <col min="6662" max="6662" width="15.5703125" style="1372" customWidth="1"/>
    <col min="6663" max="6663" width="15.85546875" style="1372" customWidth="1"/>
    <col min="6664" max="6664" width="7.140625" style="1372" customWidth="1"/>
    <col min="6665" max="6665" width="5.28515625" style="1372" customWidth="1"/>
    <col min="6666" max="6666" width="9.140625" style="1372"/>
    <col min="6667" max="6667" width="15.5703125" style="1372" customWidth="1"/>
    <col min="6668" max="6668" width="16" style="1372" customWidth="1"/>
    <col min="6669" max="6912" width="9.140625" style="1372"/>
    <col min="6913" max="6913" width="4.7109375" style="1372" customWidth="1"/>
    <col min="6914" max="6914" width="6.7109375" style="1372" customWidth="1"/>
    <col min="6915" max="6915" width="8.85546875" style="1372" customWidth="1"/>
    <col min="6916" max="6916" width="46.42578125" style="1372" customWidth="1"/>
    <col min="6917" max="6917" width="12.85546875" style="1372" customWidth="1"/>
    <col min="6918" max="6918" width="15.5703125" style="1372" customWidth="1"/>
    <col min="6919" max="6919" width="15.85546875" style="1372" customWidth="1"/>
    <col min="6920" max="6920" width="7.140625" style="1372" customWidth="1"/>
    <col min="6921" max="6921" width="5.28515625" style="1372" customWidth="1"/>
    <col min="6922" max="6922" width="9.140625" style="1372"/>
    <col min="6923" max="6923" width="15.5703125" style="1372" customWidth="1"/>
    <col min="6924" max="6924" width="16" style="1372" customWidth="1"/>
    <col min="6925" max="7168" width="9.140625" style="1372"/>
    <col min="7169" max="7169" width="4.7109375" style="1372" customWidth="1"/>
    <col min="7170" max="7170" width="6.7109375" style="1372" customWidth="1"/>
    <col min="7171" max="7171" width="8.85546875" style="1372" customWidth="1"/>
    <col min="7172" max="7172" width="46.42578125" style="1372" customWidth="1"/>
    <col min="7173" max="7173" width="12.85546875" style="1372" customWidth="1"/>
    <col min="7174" max="7174" width="15.5703125" style="1372" customWidth="1"/>
    <col min="7175" max="7175" width="15.85546875" style="1372" customWidth="1"/>
    <col min="7176" max="7176" width="7.140625" style="1372" customWidth="1"/>
    <col min="7177" max="7177" width="5.28515625" style="1372" customWidth="1"/>
    <col min="7178" max="7178" width="9.140625" style="1372"/>
    <col min="7179" max="7179" width="15.5703125" style="1372" customWidth="1"/>
    <col min="7180" max="7180" width="16" style="1372" customWidth="1"/>
    <col min="7181" max="7424" width="9.140625" style="1372"/>
    <col min="7425" max="7425" width="4.7109375" style="1372" customWidth="1"/>
    <col min="7426" max="7426" width="6.7109375" style="1372" customWidth="1"/>
    <col min="7427" max="7427" width="8.85546875" style="1372" customWidth="1"/>
    <col min="7428" max="7428" width="46.42578125" style="1372" customWidth="1"/>
    <col min="7429" max="7429" width="12.85546875" style="1372" customWidth="1"/>
    <col min="7430" max="7430" width="15.5703125" style="1372" customWidth="1"/>
    <col min="7431" max="7431" width="15.85546875" style="1372" customWidth="1"/>
    <col min="7432" max="7432" width="7.140625" style="1372" customWidth="1"/>
    <col min="7433" max="7433" width="5.28515625" style="1372" customWidth="1"/>
    <col min="7434" max="7434" width="9.140625" style="1372"/>
    <col min="7435" max="7435" width="15.5703125" style="1372" customWidth="1"/>
    <col min="7436" max="7436" width="16" style="1372" customWidth="1"/>
    <col min="7437" max="7680" width="9.140625" style="1372"/>
    <col min="7681" max="7681" width="4.7109375" style="1372" customWidth="1"/>
    <col min="7682" max="7682" width="6.7109375" style="1372" customWidth="1"/>
    <col min="7683" max="7683" width="8.85546875" style="1372" customWidth="1"/>
    <col min="7684" max="7684" width="46.42578125" style="1372" customWidth="1"/>
    <col min="7685" max="7685" width="12.85546875" style="1372" customWidth="1"/>
    <col min="7686" max="7686" width="15.5703125" style="1372" customWidth="1"/>
    <col min="7687" max="7687" width="15.85546875" style="1372" customWidth="1"/>
    <col min="7688" max="7688" width="7.140625" style="1372" customWidth="1"/>
    <col min="7689" max="7689" width="5.28515625" style="1372" customWidth="1"/>
    <col min="7690" max="7690" width="9.140625" style="1372"/>
    <col min="7691" max="7691" width="15.5703125" style="1372" customWidth="1"/>
    <col min="7692" max="7692" width="16" style="1372" customWidth="1"/>
    <col min="7693" max="7936" width="9.140625" style="1372"/>
    <col min="7937" max="7937" width="4.7109375" style="1372" customWidth="1"/>
    <col min="7938" max="7938" width="6.7109375" style="1372" customWidth="1"/>
    <col min="7939" max="7939" width="8.85546875" style="1372" customWidth="1"/>
    <col min="7940" max="7940" width="46.42578125" style="1372" customWidth="1"/>
    <col min="7941" max="7941" width="12.85546875" style="1372" customWidth="1"/>
    <col min="7942" max="7942" width="15.5703125" style="1372" customWidth="1"/>
    <col min="7943" max="7943" width="15.85546875" style="1372" customWidth="1"/>
    <col min="7944" max="7944" width="7.140625" style="1372" customWidth="1"/>
    <col min="7945" max="7945" width="5.28515625" style="1372" customWidth="1"/>
    <col min="7946" max="7946" width="9.140625" style="1372"/>
    <col min="7947" max="7947" width="15.5703125" style="1372" customWidth="1"/>
    <col min="7948" max="7948" width="16" style="1372" customWidth="1"/>
    <col min="7949" max="8192" width="9.140625" style="1372"/>
    <col min="8193" max="8193" width="4.7109375" style="1372" customWidth="1"/>
    <col min="8194" max="8194" width="6.7109375" style="1372" customWidth="1"/>
    <col min="8195" max="8195" width="8.85546875" style="1372" customWidth="1"/>
    <col min="8196" max="8196" width="46.42578125" style="1372" customWidth="1"/>
    <col min="8197" max="8197" width="12.85546875" style="1372" customWidth="1"/>
    <col min="8198" max="8198" width="15.5703125" style="1372" customWidth="1"/>
    <col min="8199" max="8199" width="15.85546875" style="1372" customWidth="1"/>
    <col min="8200" max="8200" width="7.140625" style="1372" customWidth="1"/>
    <col min="8201" max="8201" width="5.28515625" style="1372" customWidth="1"/>
    <col min="8202" max="8202" width="9.140625" style="1372"/>
    <col min="8203" max="8203" width="15.5703125" style="1372" customWidth="1"/>
    <col min="8204" max="8204" width="16" style="1372" customWidth="1"/>
    <col min="8205" max="8448" width="9.140625" style="1372"/>
    <col min="8449" max="8449" width="4.7109375" style="1372" customWidth="1"/>
    <col min="8450" max="8450" width="6.7109375" style="1372" customWidth="1"/>
    <col min="8451" max="8451" width="8.85546875" style="1372" customWidth="1"/>
    <col min="8452" max="8452" width="46.42578125" style="1372" customWidth="1"/>
    <col min="8453" max="8453" width="12.85546875" style="1372" customWidth="1"/>
    <col min="8454" max="8454" width="15.5703125" style="1372" customWidth="1"/>
    <col min="8455" max="8455" width="15.85546875" style="1372" customWidth="1"/>
    <col min="8456" max="8456" width="7.140625" style="1372" customWidth="1"/>
    <col min="8457" max="8457" width="5.28515625" style="1372" customWidth="1"/>
    <col min="8458" max="8458" width="9.140625" style="1372"/>
    <col min="8459" max="8459" width="15.5703125" style="1372" customWidth="1"/>
    <col min="8460" max="8460" width="16" style="1372" customWidth="1"/>
    <col min="8461" max="8704" width="9.140625" style="1372"/>
    <col min="8705" max="8705" width="4.7109375" style="1372" customWidth="1"/>
    <col min="8706" max="8706" width="6.7109375" style="1372" customWidth="1"/>
    <col min="8707" max="8707" width="8.85546875" style="1372" customWidth="1"/>
    <col min="8708" max="8708" width="46.42578125" style="1372" customWidth="1"/>
    <col min="8709" max="8709" width="12.85546875" style="1372" customWidth="1"/>
    <col min="8710" max="8710" width="15.5703125" style="1372" customWidth="1"/>
    <col min="8711" max="8711" width="15.85546875" style="1372" customWidth="1"/>
    <col min="8712" max="8712" width="7.140625" style="1372" customWidth="1"/>
    <col min="8713" max="8713" width="5.28515625" style="1372" customWidth="1"/>
    <col min="8714" max="8714" width="9.140625" style="1372"/>
    <col min="8715" max="8715" width="15.5703125" style="1372" customWidth="1"/>
    <col min="8716" max="8716" width="16" style="1372" customWidth="1"/>
    <col min="8717" max="8960" width="9.140625" style="1372"/>
    <col min="8961" max="8961" width="4.7109375" style="1372" customWidth="1"/>
    <col min="8962" max="8962" width="6.7109375" style="1372" customWidth="1"/>
    <col min="8963" max="8963" width="8.85546875" style="1372" customWidth="1"/>
    <col min="8964" max="8964" width="46.42578125" style="1372" customWidth="1"/>
    <col min="8965" max="8965" width="12.85546875" style="1372" customWidth="1"/>
    <col min="8966" max="8966" width="15.5703125" style="1372" customWidth="1"/>
    <col min="8967" max="8967" width="15.85546875" style="1372" customWidth="1"/>
    <col min="8968" max="8968" width="7.140625" style="1372" customWidth="1"/>
    <col min="8969" max="8969" width="5.28515625" style="1372" customWidth="1"/>
    <col min="8970" max="8970" width="9.140625" style="1372"/>
    <col min="8971" max="8971" width="15.5703125" style="1372" customWidth="1"/>
    <col min="8972" max="8972" width="16" style="1372" customWidth="1"/>
    <col min="8973" max="9216" width="9.140625" style="1372"/>
    <col min="9217" max="9217" width="4.7109375" style="1372" customWidth="1"/>
    <col min="9218" max="9218" width="6.7109375" style="1372" customWidth="1"/>
    <col min="9219" max="9219" width="8.85546875" style="1372" customWidth="1"/>
    <col min="9220" max="9220" width="46.42578125" style="1372" customWidth="1"/>
    <col min="9221" max="9221" width="12.85546875" style="1372" customWidth="1"/>
    <col min="9222" max="9222" width="15.5703125" style="1372" customWidth="1"/>
    <col min="9223" max="9223" width="15.85546875" style="1372" customWidth="1"/>
    <col min="9224" max="9224" width="7.140625" style="1372" customWidth="1"/>
    <col min="9225" max="9225" width="5.28515625" style="1372" customWidth="1"/>
    <col min="9226" max="9226" width="9.140625" style="1372"/>
    <col min="9227" max="9227" width="15.5703125" style="1372" customWidth="1"/>
    <col min="9228" max="9228" width="16" style="1372" customWidth="1"/>
    <col min="9229" max="9472" width="9.140625" style="1372"/>
    <col min="9473" max="9473" width="4.7109375" style="1372" customWidth="1"/>
    <col min="9474" max="9474" width="6.7109375" style="1372" customWidth="1"/>
    <col min="9475" max="9475" width="8.85546875" style="1372" customWidth="1"/>
    <col min="9476" max="9476" width="46.42578125" style="1372" customWidth="1"/>
    <col min="9477" max="9477" width="12.85546875" style="1372" customWidth="1"/>
    <col min="9478" max="9478" width="15.5703125" style="1372" customWidth="1"/>
    <col min="9479" max="9479" width="15.85546875" style="1372" customWidth="1"/>
    <col min="9480" max="9480" width="7.140625" style="1372" customWidth="1"/>
    <col min="9481" max="9481" width="5.28515625" style="1372" customWidth="1"/>
    <col min="9482" max="9482" width="9.140625" style="1372"/>
    <col min="9483" max="9483" width="15.5703125" style="1372" customWidth="1"/>
    <col min="9484" max="9484" width="16" style="1372" customWidth="1"/>
    <col min="9485" max="9728" width="9.140625" style="1372"/>
    <col min="9729" max="9729" width="4.7109375" style="1372" customWidth="1"/>
    <col min="9730" max="9730" width="6.7109375" style="1372" customWidth="1"/>
    <col min="9731" max="9731" width="8.85546875" style="1372" customWidth="1"/>
    <col min="9732" max="9732" width="46.42578125" style="1372" customWidth="1"/>
    <col min="9733" max="9733" width="12.85546875" style="1372" customWidth="1"/>
    <col min="9734" max="9734" width="15.5703125" style="1372" customWidth="1"/>
    <col min="9735" max="9735" width="15.85546875" style="1372" customWidth="1"/>
    <col min="9736" max="9736" width="7.140625" style="1372" customWidth="1"/>
    <col min="9737" max="9737" width="5.28515625" style="1372" customWidth="1"/>
    <col min="9738" max="9738" width="9.140625" style="1372"/>
    <col min="9739" max="9739" width="15.5703125" style="1372" customWidth="1"/>
    <col min="9740" max="9740" width="16" style="1372" customWidth="1"/>
    <col min="9741" max="9984" width="9.140625" style="1372"/>
    <col min="9985" max="9985" width="4.7109375" style="1372" customWidth="1"/>
    <col min="9986" max="9986" width="6.7109375" style="1372" customWidth="1"/>
    <col min="9987" max="9987" width="8.85546875" style="1372" customWidth="1"/>
    <col min="9988" max="9988" width="46.42578125" style="1372" customWidth="1"/>
    <col min="9989" max="9989" width="12.85546875" style="1372" customWidth="1"/>
    <col min="9990" max="9990" width="15.5703125" style="1372" customWidth="1"/>
    <col min="9991" max="9991" width="15.85546875" style="1372" customWidth="1"/>
    <col min="9992" max="9992" width="7.140625" style="1372" customWidth="1"/>
    <col min="9993" max="9993" width="5.28515625" style="1372" customWidth="1"/>
    <col min="9994" max="9994" width="9.140625" style="1372"/>
    <col min="9995" max="9995" width="15.5703125" style="1372" customWidth="1"/>
    <col min="9996" max="9996" width="16" style="1372" customWidth="1"/>
    <col min="9997" max="10240" width="9.140625" style="1372"/>
    <col min="10241" max="10241" width="4.7109375" style="1372" customWidth="1"/>
    <col min="10242" max="10242" width="6.7109375" style="1372" customWidth="1"/>
    <col min="10243" max="10243" width="8.85546875" style="1372" customWidth="1"/>
    <col min="10244" max="10244" width="46.42578125" style="1372" customWidth="1"/>
    <col min="10245" max="10245" width="12.85546875" style="1372" customWidth="1"/>
    <col min="10246" max="10246" width="15.5703125" style="1372" customWidth="1"/>
    <col min="10247" max="10247" width="15.85546875" style="1372" customWidth="1"/>
    <col min="10248" max="10248" width="7.140625" style="1372" customWidth="1"/>
    <col min="10249" max="10249" width="5.28515625" style="1372" customWidth="1"/>
    <col min="10250" max="10250" width="9.140625" style="1372"/>
    <col min="10251" max="10251" width="15.5703125" style="1372" customWidth="1"/>
    <col min="10252" max="10252" width="16" style="1372" customWidth="1"/>
    <col min="10253" max="10496" width="9.140625" style="1372"/>
    <col min="10497" max="10497" width="4.7109375" style="1372" customWidth="1"/>
    <col min="10498" max="10498" width="6.7109375" style="1372" customWidth="1"/>
    <col min="10499" max="10499" width="8.85546875" style="1372" customWidth="1"/>
    <col min="10500" max="10500" width="46.42578125" style="1372" customWidth="1"/>
    <col min="10501" max="10501" width="12.85546875" style="1372" customWidth="1"/>
    <col min="10502" max="10502" width="15.5703125" style="1372" customWidth="1"/>
    <col min="10503" max="10503" width="15.85546875" style="1372" customWidth="1"/>
    <col min="10504" max="10504" width="7.140625" style="1372" customWidth="1"/>
    <col min="10505" max="10505" width="5.28515625" style="1372" customWidth="1"/>
    <col min="10506" max="10506" width="9.140625" style="1372"/>
    <col min="10507" max="10507" width="15.5703125" style="1372" customWidth="1"/>
    <col min="10508" max="10508" width="16" style="1372" customWidth="1"/>
    <col min="10509" max="10752" width="9.140625" style="1372"/>
    <col min="10753" max="10753" width="4.7109375" style="1372" customWidth="1"/>
    <col min="10754" max="10754" width="6.7109375" style="1372" customWidth="1"/>
    <col min="10755" max="10755" width="8.85546875" style="1372" customWidth="1"/>
    <col min="10756" max="10756" width="46.42578125" style="1372" customWidth="1"/>
    <col min="10757" max="10757" width="12.85546875" style="1372" customWidth="1"/>
    <col min="10758" max="10758" width="15.5703125" style="1372" customWidth="1"/>
    <col min="10759" max="10759" width="15.85546875" style="1372" customWidth="1"/>
    <col min="10760" max="10760" width="7.140625" style="1372" customWidth="1"/>
    <col min="10761" max="10761" width="5.28515625" style="1372" customWidth="1"/>
    <col min="10762" max="10762" width="9.140625" style="1372"/>
    <col min="10763" max="10763" width="15.5703125" style="1372" customWidth="1"/>
    <col min="10764" max="10764" width="16" style="1372" customWidth="1"/>
    <col min="10765" max="11008" width="9.140625" style="1372"/>
    <col min="11009" max="11009" width="4.7109375" style="1372" customWidth="1"/>
    <col min="11010" max="11010" width="6.7109375" style="1372" customWidth="1"/>
    <col min="11011" max="11011" width="8.85546875" style="1372" customWidth="1"/>
    <col min="11012" max="11012" width="46.42578125" style="1372" customWidth="1"/>
    <col min="11013" max="11013" width="12.85546875" style="1372" customWidth="1"/>
    <col min="11014" max="11014" width="15.5703125" style="1372" customWidth="1"/>
    <col min="11015" max="11015" width="15.85546875" style="1372" customWidth="1"/>
    <col min="11016" max="11016" width="7.140625" style="1372" customWidth="1"/>
    <col min="11017" max="11017" width="5.28515625" style="1372" customWidth="1"/>
    <col min="11018" max="11018" width="9.140625" style="1372"/>
    <col min="11019" max="11019" width="15.5703125" style="1372" customWidth="1"/>
    <col min="11020" max="11020" width="16" style="1372" customWidth="1"/>
    <col min="11021" max="11264" width="9.140625" style="1372"/>
    <col min="11265" max="11265" width="4.7109375" style="1372" customWidth="1"/>
    <col min="11266" max="11266" width="6.7109375" style="1372" customWidth="1"/>
    <col min="11267" max="11267" width="8.85546875" style="1372" customWidth="1"/>
    <col min="11268" max="11268" width="46.42578125" style="1372" customWidth="1"/>
    <col min="11269" max="11269" width="12.85546875" style="1372" customWidth="1"/>
    <col min="11270" max="11270" width="15.5703125" style="1372" customWidth="1"/>
    <col min="11271" max="11271" width="15.85546875" style="1372" customWidth="1"/>
    <col min="11272" max="11272" width="7.140625" style="1372" customWidth="1"/>
    <col min="11273" max="11273" width="5.28515625" style="1372" customWidth="1"/>
    <col min="11274" max="11274" width="9.140625" style="1372"/>
    <col min="11275" max="11275" width="15.5703125" style="1372" customWidth="1"/>
    <col min="11276" max="11276" width="16" style="1372" customWidth="1"/>
    <col min="11277" max="11520" width="9.140625" style="1372"/>
    <col min="11521" max="11521" width="4.7109375" style="1372" customWidth="1"/>
    <col min="11522" max="11522" width="6.7109375" style="1372" customWidth="1"/>
    <col min="11523" max="11523" width="8.85546875" style="1372" customWidth="1"/>
    <col min="11524" max="11524" width="46.42578125" style="1372" customWidth="1"/>
    <col min="11525" max="11525" width="12.85546875" style="1372" customWidth="1"/>
    <col min="11526" max="11526" width="15.5703125" style="1372" customWidth="1"/>
    <col min="11527" max="11527" width="15.85546875" style="1372" customWidth="1"/>
    <col min="11528" max="11528" width="7.140625" style="1372" customWidth="1"/>
    <col min="11529" max="11529" width="5.28515625" style="1372" customWidth="1"/>
    <col min="11530" max="11530" width="9.140625" style="1372"/>
    <col min="11531" max="11531" width="15.5703125" style="1372" customWidth="1"/>
    <col min="11532" max="11532" width="16" style="1372" customWidth="1"/>
    <col min="11533" max="11776" width="9.140625" style="1372"/>
    <col min="11777" max="11777" width="4.7109375" style="1372" customWidth="1"/>
    <col min="11778" max="11778" width="6.7109375" style="1372" customWidth="1"/>
    <col min="11779" max="11779" width="8.85546875" style="1372" customWidth="1"/>
    <col min="11780" max="11780" width="46.42578125" style="1372" customWidth="1"/>
    <col min="11781" max="11781" width="12.85546875" style="1372" customWidth="1"/>
    <col min="11782" max="11782" width="15.5703125" style="1372" customWidth="1"/>
    <col min="11783" max="11783" width="15.85546875" style="1372" customWidth="1"/>
    <col min="11784" max="11784" width="7.140625" style="1372" customWidth="1"/>
    <col min="11785" max="11785" width="5.28515625" style="1372" customWidth="1"/>
    <col min="11786" max="11786" width="9.140625" style="1372"/>
    <col min="11787" max="11787" width="15.5703125" style="1372" customWidth="1"/>
    <col min="11788" max="11788" width="16" style="1372" customWidth="1"/>
    <col min="11789" max="12032" width="9.140625" style="1372"/>
    <col min="12033" max="12033" width="4.7109375" style="1372" customWidth="1"/>
    <col min="12034" max="12034" width="6.7109375" style="1372" customWidth="1"/>
    <col min="12035" max="12035" width="8.85546875" style="1372" customWidth="1"/>
    <col min="12036" max="12036" width="46.42578125" style="1372" customWidth="1"/>
    <col min="12037" max="12037" width="12.85546875" style="1372" customWidth="1"/>
    <col min="12038" max="12038" width="15.5703125" style="1372" customWidth="1"/>
    <col min="12039" max="12039" width="15.85546875" style="1372" customWidth="1"/>
    <col min="12040" max="12040" width="7.140625" style="1372" customWidth="1"/>
    <col min="12041" max="12041" width="5.28515625" style="1372" customWidth="1"/>
    <col min="12042" max="12042" width="9.140625" style="1372"/>
    <col min="12043" max="12043" width="15.5703125" style="1372" customWidth="1"/>
    <col min="12044" max="12044" width="16" style="1372" customWidth="1"/>
    <col min="12045" max="12288" width="9.140625" style="1372"/>
    <col min="12289" max="12289" width="4.7109375" style="1372" customWidth="1"/>
    <col min="12290" max="12290" width="6.7109375" style="1372" customWidth="1"/>
    <col min="12291" max="12291" width="8.85546875" style="1372" customWidth="1"/>
    <col min="12292" max="12292" width="46.42578125" style="1372" customWidth="1"/>
    <col min="12293" max="12293" width="12.85546875" style="1372" customWidth="1"/>
    <col min="12294" max="12294" width="15.5703125" style="1372" customWidth="1"/>
    <col min="12295" max="12295" width="15.85546875" style="1372" customWidth="1"/>
    <col min="12296" max="12296" width="7.140625" style="1372" customWidth="1"/>
    <col min="12297" max="12297" width="5.28515625" style="1372" customWidth="1"/>
    <col min="12298" max="12298" width="9.140625" style="1372"/>
    <col min="12299" max="12299" width="15.5703125" style="1372" customWidth="1"/>
    <col min="12300" max="12300" width="16" style="1372" customWidth="1"/>
    <col min="12301" max="12544" width="9.140625" style="1372"/>
    <col min="12545" max="12545" width="4.7109375" style="1372" customWidth="1"/>
    <col min="12546" max="12546" width="6.7109375" style="1372" customWidth="1"/>
    <col min="12547" max="12547" width="8.85546875" style="1372" customWidth="1"/>
    <col min="12548" max="12548" width="46.42578125" style="1372" customWidth="1"/>
    <col min="12549" max="12549" width="12.85546875" style="1372" customWidth="1"/>
    <col min="12550" max="12550" width="15.5703125" style="1372" customWidth="1"/>
    <col min="12551" max="12551" width="15.85546875" style="1372" customWidth="1"/>
    <col min="12552" max="12552" width="7.140625" style="1372" customWidth="1"/>
    <col min="12553" max="12553" width="5.28515625" style="1372" customWidth="1"/>
    <col min="12554" max="12554" width="9.140625" style="1372"/>
    <col min="12555" max="12555" width="15.5703125" style="1372" customWidth="1"/>
    <col min="12556" max="12556" width="16" style="1372" customWidth="1"/>
    <col min="12557" max="12800" width="9.140625" style="1372"/>
    <col min="12801" max="12801" width="4.7109375" style="1372" customWidth="1"/>
    <col min="12802" max="12802" width="6.7109375" style="1372" customWidth="1"/>
    <col min="12803" max="12803" width="8.85546875" style="1372" customWidth="1"/>
    <col min="12804" max="12804" width="46.42578125" style="1372" customWidth="1"/>
    <col min="12805" max="12805" width="12.85546875" style="1372" customWidth="1"/>
    <col min="12806" max="12806" width="15.5703125" style="1372" customWidth="1"/>
    <col min="12807" max="12807" width="15.85546875" style="1372" customWidth="1"/>
    <col min="12808" max="12808" width="7.140625" style="1372" customWidth="1"/>
    <col min="12809" max="12809" width="5.28515625" style="1372" customWidth="1"/>
    <col min="12810" max="12810" width="9.140625" style="1372"/>
    <col min="12811" max="12811" width="15.5703125" style="1372" customWidth="1"/>
    <col min="12812" max="12812" width="16" style="1372" customWidth="1"/>
    <col min="12813" max="13056" width="9.140625" style="1372"/>
    <col min="13057" max="13057" width="4.7109375" style="1372" customWidth="1"/>
    <col min="13058" max="13058" width="6.7109375" style="1372" customWidth="1"/>
    <col min="13059" max="13059" width="8.85546875" style="1372" customWidth="1"/>
    <col min="13060" max="13060" width="46.42578125" style="1372" customWidth="1"/>
    <col min="13061" max="13061" width="12.85546875" style="1372" customWidth="1"/>
    <col min="13062" max="13062" width="15.5703125" style="1372" customWidth="1"/>
    <col min="13063" max="13063" width="15.85546875" style="1372" customWidth="1"/>
    <col min="13064" max="13064" width="7.140625" style="1372" customWidth="1"/>
    <col min="13065" max="13065" width="5.28515625" style="1372" customWidth="1"/>
    <col min="13066" max="13066" width="9.140625" style="1372"/>
    <col min="13067" max="13067" width="15.5703125" style="1372" customWidth="1"/>
    <col min="13068" max="13068" width="16" style="1372" customWidth="1"/>
    <col min="13069" max="13312" width="9.140625" style="1372"/>
    <col min="13313" max="13313" width="4.7109375" style="1372" customWidth="1"/>
    <col min="13314" max="13314" width="6.7109375" style="1372" customWidth="1"/>
    <col min="13315" max="13315" width="8.85546875" style="1372" customWidth="1"/>
    <col min="13316" max="13316" width="46.42578125" style="1372" customWidth="1"/>
    <col min="13317" max="13317" width="12.85546875" style="1372" customWidth="1"/>
    <col min="13318" max="13318" width="15.5703125" style="1372" customWidth="1"/>
    <col min="13319" max="13319" width="15.85546875" style="1372" customWidth="1"/>
    <col min="13320" max="13320" width="7.140625" style="1372" customWidth="1"/>
    <col min="13321" max="13321" width="5.28515625" style="1372" customWidth="1"/>
    <col min="13322" max="13322" width="9.140625" style="1372"/>
    <col min="13323" max="13323" width="15.5703125" style="1372" customWidth="1"/>
    <col min="13324" max="13324" width="16" style="1372" customWidth="1"/>
    <col min="13325" max="13568" width="9.140625" style="1372"/>
    <col min="13569" max="13569" width="4.7109375" style="1372" customWidth="1"/>
    <col min="13570" max="13570" width="6.7109375" style="1372" customWidth="1"/>
    <col min="13571" max="13571" width="8.85546875" style="1372" customWidth="1"/>
    <col min="13572" max="13572" width="46.42578125" style="1372" customWidth="1"/>
    <col min="13573" max="13573" width="12.85546875" style="1372" customWidth="1"/>
    <col min="13574" max="13574" width="15.5703125" style="1372" customWidth="1"/>
    <col min="13575" max="13575" width="15.85546875" style="1372" customWidth="1"/>
    <col min="13576" max="13576" width="7.140625" style="1372" customWidth="1"/>
    <col min="13577" max="13577" width="5.28515625" style="1372" customWidth="1"/>
    <col min="13578" max="13578" width="9.140625" style="1372"/>
    <col min="13579" max="13579" width="15.5703125" style="1372" customWidth="1"/>
    <col min="13580" max="13580" width="16" style="1372" customWidth="1"/>
    <col min="13581" max="13824" width="9.140625" style="1372"/>
    <col min="13825" max="13825" width="4.7109375" style="1372" customWidth="1"/>
    <col min="13826" max="13826" width="6.7109375" style="1372" customWidth="1"/>
    <col min="13827" max="13827" width="8.85546875" style="1372" customWidth="1"/>
    <col min="13828" max="13828" width="46.42578125" style="1372" customWidth="1"/>
    <col min="13829" max="13829" width="12.85546875" style="1372" customWidth="1"/>
    <col min="13830" max="13830" width="15.5703125" style="1372" customWidth="1"/>
    <col min="13831" max="13831" width="15.85546875" style="1372" customWidth="1"/>
    <col min="13832" max="13832" width="7.140625" style="1372" customWidth="1"/>
    <col min="13833" max="13833" width="5.28515625" style="1372" customWidth="1"/>
    <col min="13834" max="13834" width="9.140625" style="1372"/>
    <col min="13835" max="13835" width="15.5703125" style="1372" customWidth="1"/>
    <col min="13836" max="13836" width="16" style="1372" customWidth="1"/>
    <col min="13837" max="14080" width="9.140625" style="1372"/>
    <col min="14081" max="14081" width="4.7109375" style="1372" customWidth="1"/>
    <col min="14082" max="14082" width="6.7109375" style="1372" customWidth="1"/>
    <col min="14083" max="14083" width="8.85546875" style="1372" customWidth="1"/>
    <col min="14084" max="14084" width="46.42578125" style="1372" customWidth="1"/>
    <col min="14085" max="14085" width="12.85546875" style="1372" customWidth="1"/>
    <col min="14086" max="14086" width="15.5703125" style="1372" customWidth="1"/>
    <col min="14087" max="14087" width="15.85546875" style="1372" customWidth="1"/>
    <col min="14088" max="14088" width="7.140625" style="1372" customWidth="1"/>
    <col min="14089" max="14089" width="5.28515625" style="1372" customWidth="1"/>
    <col min="14090" max="14090" width="9.140625" style="1372"/>
    <col min="14091" max="14091" width="15.5703125" style="1372" customWidth="1"/>
    <col min="14092" max="14092" width="16" style="1372" customWidth="1"/>
    <col min="14093" max="14336" width="9.140625" style="1372"/>
    <col min="14337" max="14337" width="4.7109375" style="1372" customWidth="1"/>
    <col min="14338" max="14338" width="6.7109375" style="1372" customWidth="1"/>
    <col min="14339" max="14339" width="8.85546875" style="1372" customWidth="1"/>
    <col min="14340" max="14340" width="46.42578125" style="1372" customWidth="1"/>
    <col min="14341" max="14341" width="12.85546875" style="1372" customWidth="1"/>
    <col min="14342" max="14342" width="15.5703125" style="1372" customWidth="1"/>
    <col min="14343" max="14343" width="15.85546875" style="1372" customWidth="1"/>
    <col min="14344" max="14344" width="7.140625" style="1372" customWidth="1"/>
    <col min="14345" max="14345" width="5.28515625" style="1372" customWidth="1"/>
    <col min="14346" max="14346" width="9.140625" style="1372"/>
    <col min="14347" max="14347" width="15.5703125" style="1372" customWidth="1"/>
    <col min="14348" max="14348" width="16" style="1372" customWidth="1"/>
    <col min="14349" max="14592" width="9.140625" style="1372"/>
    <col min="14593" max="14593" width="4.7109375" style="1372" customWidth="1"/>
    <col min="14594" max="14594" width="6.7109375" style="1372" customWidth="1"/>
    <col min="14595" max="14595" width="8.85546875" style="1372" customWidth="1"/>
    <col min="14596" max="14596" width="46.42578125" style="1372" customWidth="1"/>
    <col min="14597" max="14597" width="12.85546875" style="1372" customWidth="1"/>
    <col min="14598" max="14598" width="15.5703125" style="1372" customWidth="1"/>
    <col min="14599" max="14599" width="15.85546875" style="1372" customWidth="1"/>
    <col min="14600" max="14600" width="7.140625" style="1372" customWidth="1"/>
    <col min="14601" max="14601" width="5.28515625" style="1372" customWidth="1"/>
    <col min="14602" max="14602" width="9.140625" style="1372"/>
    <col min="14603" max="14603" width="15.5703125" style="1372" customWidth="1"/>
    <col min="14604" max="14604" width="16" style="1372" customWidth="1"/>
    <col min="14605" max="14848" width="9.140625" style="1372"/>
    <col min="14849" max="14849" width="4.7109375" style="1372" customWidth="1"/>
    <col min="14850" max="14850" width="6.7109375" style="1372" customWidth="1"/>
    <col min="14851" max="14851" width="8.85546875" style="1372" customWidth="1"/>
    <col min="14852" max="14852" width="46.42578125" style="1372" customWidth="1"/>
    <col min="14853" max="14853" width="12.85546875" style="1372" customWidth="1"/>
    <col min="14854" max="14854" width="15.5703125" style="1372" customWidth="1"/>
    <col min="14855" max="14855" width="15.85546875" style="1372" customWidth="1"/>
    <col min="14856" max="14856" width="7.140625" style="1372" customWidth="1"/>
    <col min="14857" max="14857" width="5.28515625" style="1372" customWidth="1"/>
    <col min="14858" max="14858" width="9.140625" style="1372"/>
    <col min="14859" max="14859" width="15.5703125" style="1372" customWidth="1"/>
    <col min="14860" max="14860" width="16" style="1372" customWidth="1"/>
    <col min="14861" max="15104" width="9.140625" style="1372"/>
    <col min="15105" max="15105" width="4.7109375" style="1372" customWidth="1"/>
    <col min="15106" max="15106" width="6.7109375" style="1372" customWidth="1"/>
    <col min="15107" max="15107" width="8.85546875" style="1372" customWidth="1"/>
    <col min="15108" max="15108" width="46.42578125" style="1372" customWidth="1"/>
    <col min="15109" max="15109" width="12.85546875" style="1372" customWidth="1"/>
    <col min="15110" max="15110" width="15.5703125" style="1372" customWidth="1"/>
    <col min="15111" max="15111" width="15.85546875" style="1372" customWidth="1"/>
    <col min="15112" max="15112" width="7.140625" style="1372" customWidth="1"/>
    <col min="15113" max="15113" width="5.28515625" style="1372" customWidth="1"/>
    <col min="15114" max="15114" width="9.140625" style="1372"/>
    <col min="15115" max="15115" width="15.5703125" style="1372" customWidth="1"/>
    <col min="15116" max="15116" width="16" style="1372" customWidth="1"/>
    <col min="15117" max="15360" width="9.140625" style="1372"/>
    <col min="15361" max="15361" width="4.7109375" style="1372" customWidth="1"/>
    <col min="15362" max="15362" width="6.7109375" style="1372" customWidth="1"/>
    <col min="15363" max="15363" width="8.85546875" style="1372" customWidth="1"/>
    <col min="15364" max="15364" width="46.42578125" style="1372" customWidth="1"/>
    <col min="15365" max="15365" width="12.85546875" style="1372" customWidth="1"/>
    <col min="15366" max="15366" width="15.5703125" style="1372" customWidth="1"/>
    <col min="15367" max="15367" width="15.85546875" style="1372" customWidth="1"/>
    <col min="15368" max="15368" width="7.140625" style="1372" customWidth="1"/>
    <col min="15369" max="15369" width="5.28515625" style="1372" customWidth="1"/>
    <col min="15370" max="15370" width="9.140625" style="1372"/>
    <col min="15371" max="15371" width="15.5703125" style="1372" customWidth="1"/>
    <col min="15372" max="15372" width="16" style="1372" customWidth="1"/>
    <col min="15373" max="15616" width="9.140625" style="1372"/>
    <col min="15617" max="15617" width="4.7109375" style="1372" customWidth="1"/>
    <col min="15618" max="15618" width="6.7109375" style="1372" customWidth="1"/>
    <col min="15619" max="15619" width="8.85546875" style="1372" customWidth="1"/>
    <col min="15620" max="15620" width="46.42578125" style="1372" customWidth="1"/>
    <col min="15621" max="15621" width="12.85546875" style="1372" customWidth="1"/>
    <col min="15622" max="15622" width="15.5703125" style="1372" customWidth="1"/>
    <col min="15623" max="15623" width="15.85546875" style="1372" customWidth="1"/>
    <col min="15624" max="15624" width="7.140625" style="1372" customWidth="1"/>
    <col min="15625" max="15625" width="5.28515625" style="1372" customWidth="1"/>
    <col min="15626" max="15626" width="9.140625" style="1372"/>
    <col min="15627" max="15627" width="15.5703125" style="1372" customWidth="1"/>
    <col min="15628" max="15628" width="16" style="1372" customWidth="1"/>
    <col min="15629" max="15872" width="9.140625" style="1372"/>
    <col min="15873" max="15873" width="4.7109375" style="1372" customWidth="1"/>
    <col min="15874" max="15874" width="6.7109375" style="1372" customWidth="1"/>
    <col min="15875" max="15875" width="8.85546875" style="1372" customWidth="1"/>
    <col min="15876" max="15876" width="46.42578125" style="1372" customWidth="1"/>
    <col min="15877" max="15877" width="12.85546875" style="1372" customWidth="1"/>
    <col min="15878" max="15878" width="15.5703125" style="1372" customWidth="1"/>
    <col min="15879" max="15879" width="15.85546875" style="1372" customWidth="1"/>
    <col min="15880" max="15880" width="7.140625" style="1372" customWidth="1"/>
    <col min="15881" max="15881" width="5.28515625" style="1372" customWidth="1"/>
    <col min="15882" max="15882" width="9.140625" style="1372"/>
    <col min="15883" max="15883" width="15.5703125" style="1372" customWidth="1"/>
    <col min="15884" max="15884" width="16" style="1372" customWidth="1"/>
    <col min="15885" max="16128" width="9.140625" style="1372"/>
    <col min="16129" max="16129" width="4.7109375" style="1372" customWidth="1"/>
    <col min="16130" max="16130" width="6.7109375" style="1372" customWidth="1"/>
    <col min="16131" max="16131" width="8.85546875" style="1372" customWidth="1"/>
    <col min="16132" max="16132" width="46.42578125" style="1372" customWidth="1"/>
    <col min="16133" max="16133" width="12.85546875" style="1372" customWidth="1"/>
    <col min="16134" max="16134" width="15.5703125" style="1372" customWidth="1"/>
    <col min="16135" max="16135" width="15.85546875" style="1372" customWidth="1"/>
    <col min="16136" max="16136" width="7.140625" style="1372" customWidth="1"/>
    <col min="16137" max="16137" width="5.28515625" style="1372" customWidth="1"/>
    <col min="16138" max="16138" width="9.140625" style="1372"/>
    <col min="16139" max="16139" width="15.5703125" style="1372" customWidth="1"/>
    <col min="16140" max="16140" width="16" style="1372" customWidth="1"/>
    <col min="16141" max="16384" width="9.140625" style="1372"/>
  </cols>
  <sheetData>
    <row r="1" spans="1:8" ht="19.5" customHeight="1" thickBot="1" x14ac:dyDescent="0.3">
      <c r="A1" s="1342" t="s">
        <v>831</v>
      </c>
      <c r="B1" s="1341"/>
      <c r="C1" s="1367"/>
      <c r="D1" s="1339"/>
      <c r="E1" s="1338"/>
      <c r="F1" s="1339"/>
      <c r="G1" s="1467"/>
      <c r="H1" s="1342"/>
    </row>
    <row r="2" spans="1:8" ht="19.5" customHeight="1" x14ac:dyDescent="0.25">
      <c r="A2" s="1375"/>
      <c r="B2" s="1919"/>
      <c r="C2" s="1919"/>
      <c r="D2" s="1919"/>
      <c r="E2" s="1919"/>
      <c r="F2" s="1919"/>
      <c r="G2" s="1919"/>
      <c r="H2" s="1919"/>
    </row>
    <row r="3" spans="1:8" ht="19.5" customHeight="1" x14ac:dyDescent="0.25">
      <c r="A3" s="1337" t="s">
        <v>336</v>
      </c>
      <c r="B3" s="1919"/>
      <c r="C3" s="1370" t="s">
        <v>2030</v>
      </c>
      <c r="D3" s="1919"/>
      <c r="E3" s="1919"/>
      <c r="F3" s="1919"/>
      <c r="G3" s="1919"/>
      <c r="H3" s="1445" t="s">
        <v>832</v>
      </c>
    </row>
    <row r="4" spans="1:8" ht="18" x14ac:dyDescent="0.25">
      <c r="B4" s="1400"/>
      <c r="C4" s="1370" t="s">
        <v>318</v>
      </c>
      <c r="D4" s="1400"/>
      <c r="E4" s="1400"/>
      <c r="F4" s="1400"/>
      <c r="G4" s="1400"/>
      <c r="H4" s="1445"/>
    </row>
    <row r="5" spans="1:8" ht="18" x14ac:dyDescent="0.25">
      <c r="B5" s="1400"/>
      <c r="C5" s="1370" t="s">
        <v>2009</v>
      </c>
      <c r="D5" s="1336"/>
      <c r="E5" s="1400"/>
      <c r="F5" s="1400"/>
      <c r="G5" s="1400"/>
      <c r="H5" s="1445"/>
    </row>
    <row r="6" spans="1:8" ht="18" x14ac:dyDescent="0.25">
      <c r="B6" s="1400"/>
      <c r="C6" s="1370" t="s">
        <v>1450</v>
      </c>
      <c r="D6" s="1254"/>
      <c r="E6" s="1400"/>
      <c r="F6" s="1400"/>
      <c r="G6" s="1400"/>
      <c r="H6" s="1445"/>
    </row>
    <row r="7" spans="1:8" ht="18" x14ac:dyDescent="0.25">
      <c r="A7" s="1375" t="s">
        <v>833</v>
      </c>
      <c r="B7" s="1400"/>
      <c r="C7" s="1400"/>
      <c r="D7" s="1400"/>
      <c r="E7" s="1400"/>
      <c r="F7" s="1400"/>
      <c r="G7" s="1400"/>
      <c r="H7" s="1445"/>
    </row>
    <row r="8" spans="1:8" ht="18" x14ac:dyDescent="0.25">
      <c r="A8" s="1375"/>
      <c r="B8" s="1400"/>
      <c r="C8" s="1400"/>
      <c r="D8" s="1400"/>
      <c r="E8" s="1400"/>
      <c r="F8" s="1400"/>
      <c r="G8" s="1400"/>
      <c r="H8" s="1445"/>
    </row>
    <row r="9" spans="1:8" ht="18" x14ac:dyDescent="0.25">
      <c r="A9" s="1377" t="s">
        <v>1667</v>
      </c>
      <c r="B9" s="1400"/>
      <c r="C9" s="1400"/>
      <c r="D9" s="1400"/>
      <c r="E9" s="1400"/>
      <c r="F9" s="1400"/>
      <c r="G9" s="1400"/>
      <c r="H9" s="1445"/>
    </row>
    <row r="10" spans="1:8" ht="16.5" thickBot="1" x14ac:dyDescent="0.3">
      <c r="A10" s="1376" t="s">
        <v>1655</v>
      </c>
      <c r="H10" s="1394" t="s">
        <v>148</v>
      </c>
    </row>
    <row r="11" spans="1:8" s="1292" customFormat="1" ht="25.5" thickTop="1" thickBot="1" x14ac:dyDescent="0.25">
      <c r="A11" s="1378" t="s">
        <v>149</v>
      </c>
      <c r="B11" s="1379" t="s">
        <v>688</v>
      </c>
      <c r="C11" s="1379" t="s">
        <v>345</v>
      </c>
      <c r="D11" s="1380" t="s">
        <v>151</v>
      </c>
      <c r="E11" s="1402" t="s">
        <v>569</v>
      </c>
      <c r="F11" s="1402" t="s">
        <v>570</v>
      </c>
      <c r="G11" s="1403" t="s">
        <v>797</v>
      </c>
      <c r="H11" s="1404" t="s">
        <v>798</v>
      </c>
    </row>
    <row r="12" spans="1:8" s="1292" customFormat="1" ht="13.5" thickTop="1" thickBot="1" x14ac:dyDescent="0.25">
      <c r="A12" s="1297">
        <v>1</v>
      </c>
      <c r="B12" s="1296">
        <v>2</v>
      </c>
      <c r="C12" s="1296">
        <v>3</v>
      </c>
      <c r="D12" s="1296">
        <v>4</v>
      </c>
      <c r="E12" s="1295">
        <v>5</v>
      </c>
      <c r="F12" s="1295">
        <v>6</v>
      </c>
      <c r="G12" s="1446">
        <v>7</v>
      </c>
      <c r="H12" s="1468" t="s">
        <v>54</v>
      </c>
    </row>
    <row r="13" spans="1:8" ht="16.5" thickTop="1" thickBot="1" x14ac:dyDescent="0.25">
      <c r="A13" s="1463">
        <v>3719</v>
      </c>
      <c r="B13" s="1469">
        <v>5169</v>
      </c>
      <c r="C13" s="2832" t="s">
        <v>1760</v>
      </c>
      <c r="D13" s="1405" t="s">
        <v>769</v>
      </c>
      <c r="E13" s="1401">
        <v>0</v>
      </c>
      <c r="F13" s="1401">
        <v>416</v>
      </c>
      <c r="G13" s="1401">
        <v>129</v>
      </c>
      <c r="H13" s="1390">
        <f>G13/F13*100</f>
        <v>31.009615384615387</v>
      </c>
    </row>
    <row r="14" spans="1:8" ht="15.75" hidden="1" thickBot="1" x14ac:dyDescent="0.25">
      <c r="A14" s="1463">
        <v>3122</v>
      </c>
      <c r="B14" s="1469">
        <v>6121</v>
      </c>
      <c r="C14" s="1472">
        <v>53100872</v>
      </c>
      <c r="D14" s="1405" t="s">
        <v>548</v>
      </c>
      <c r="E14" s="1414">
        <v>0</v>
      </c>
      <c r="F14" s="1414"/>
      <c r="G14" s="1414"/>
      <c r="H14" s="1390" t="e">
        <f>G14/F14*100</f>
        <v>#DIV/0!</v>
      </c>
    </row>
    <row r="15" spans="1:8" ht="15.75" hidden="1" thickBot="1" x14ac:dyDescent="0.25">
      <c r="A15" s="1463">
        <v>3122</v>
      </c>
      <c r="B15" s="1469">
        <v>6121</v>
      </c>
      <c r="C15" s="1472">
        <v>53100874</v>
      </c>
      <c r="D15" s="1405" t="s">
        <v>548</v>
      </c>
      <c r="E15" s="1414">
        <v>0</v>
      </c>
      <c r="F15" s="1414">
        <v>0</v>
      </c>
      <c r="G15" s="1414">
        <v>0</v>
      </c>
      <c r="H15" s="1390" t="e">
        <f>G15/F15*100</f>
        <v>#DIV/0!</v>
      </c>
    </row>
    <row r="16" spans="1:8" ht="15.75" hidden="1" thickBot="1" x14ac:dyDescent="0.25">
      <c r="A16" s="1463">
        <v>3122</v>
      </c>
      <c r="B16" s="1469">
        <v>6121</v>
      </c>
      <c r="C16" s="1472">
        <v>53500871</v>
      </c>
      <c r="D16" s="1405" t="s">
        <v>548</v>
      </c>
      <c r="E16" s="1414">
        <v>0</v>
      </c>
      <c r="F16" s="1414"/>
      <c r="G16" s="1414"/>
      <c r="H16" s="1396">
        <v>0</v>
      </c>
    </row>
    <row r="17" spans="1:9" s="1397" customFormat="1" ht="16.5" thickTop="1" thickBot="1" x14ac:dyDescent="0.3">
      <c r="A17" s="3219" t="s">
        <v>690</v>
      </c>
      <c r="B17" s="3220"/>
      <c r="C17" s="3220"/>
      <c r="D17" s="3220"/>
      <c r="E17" s="1387">
        <f>SUM(E13:E16)</f>
        <v>0</v>
      </c>
      <c r="F17" s="1387">
        <f>SUM(F13:F16)</f>
        <v>416</v>
      </c>
      <c r="G17" s="1387">
        <f>SUM(G13:G16)</f>
        <v>129</v>
      </c>
      <c r="H17" s="1391">
        <v>0</v>
      </c>
      <c r="I17" s="1476"/>
    </row>
    <row r="18" spans="1:9" s="1397" customFormat="1" ht="15.75" thickTop="1" x14ac:dyDescent="0.25">
      <c r="A18" s="1392"/>
      <c r="B18" s="1392"/>
      <c r="C18" s="1392"/>
      <c r="D18" s="1392"/>
      <c r="E18" s="1393"/>
      <c r="F18" s="1393"/>
      <c r="G18" s="1393"/>
      <c r="H18" s="1418"/>
      <c r="I18" s="1476"/>
    </row>
    <row r="19" spans="1:9" ht="18" hidden="1" x14ac:dyDescent="0.25">
      <c r="A19" s="1377" t="s">
        <v>988</v>
      </c>
      <c r="B19" s="1400"/>
      <c r="C19" s="1400"/>
      <c r="D19" s="1400"/>
      <c r="E19" s="1400"/>
      <c r="F19" s="1400"/>
      <c r="G19" s="1400"/>
      <c r="H19" s="1445"/>
    </row>
    <row r="20" spans="1:9" ht="15.75" hidden="1" x14ac:dyDescent="0.25">
      <c r="A20" s="1376" t="s">
        <v>989</v>
      </c>
      <c r="H20" s="1394" t="s">
        <v>148</v>
      </c>
    </row>
    <row r="21" spans="1:9" s="1292" customFormat="1" ht="25.5" hidden="1" thickTop="1" thickBot="1" x14ac:dyDescent="0.25">
      <c r="A21" s="1378" t="s">
        <v>149</v>
      </c>
      <c r="B21" s="1379" t="s">
        <v>688</v>
      </c>
      <c r="C21" s="1379" t="s">
        <v>345</v>
      </c>
      <c r="D21" s="1380" t="s">
        <v>151</v>
      </c>
      <c r="E21" s="1402" t="s">
        <v>569</v>
      </c>
      <c r="F21" s="1402" t="s">
        <v>570</v>
      </c>
      <c r="G21" s="1403" t="s">
        <v>797</v>
      </c>
      <c r="H21" s="1404" t="s">
        <v>798</v>
      </c>
    </row>
    <row r="22" spans="1:9" s="1292" customFormat="1" ht="13.5" hidden="1" thickTop="1" thickBot="1" x14ac:dyDescent="0.25">
      <c r="A22" s="1297">
        <v>1</v>
      </c>
      <c r="B22" s="1296">
        <v>2</v>
      </c>
      <c r="C22" s="1296">
        <v>3</v>
      </c>
      <c r="D22" s="1296">
        <v>4</v>
      </c>
      <c r="E22" s="1295">
        <v>5</v>
      </c>
      <c r="F22" s="1295">
        <v>6</v>
      </c>
      <c r="G22" s="1446">
        <v>7</v>
      </c>
      <c r="H22" s="1468" t="s">
        <v>54</v>
      </c>
    </row>
    <row r="23" spans="1:9" ht="15.75" hidden="1" thickTop="1" x14ac:dyDescent="0.2">
      <c r="A23" s="1463">
        <v>3122</v>
      </c>
      <c r="B23" s="1469">
        <v>6121</v>
      </c>
      <c r="C23" s="1472">
        <v>54100870</v>
      </c>
      <c r="D23" s="1405" t="s">
        <v>548</v>
      </c>
      <c r="E23" s="1401"/>
      <c r="F23" s="1401"/>
      <c r="G23" s="1401"/>
      <c r="H23" s="1388" t="e">
        <f t="shared" ref="H23:H29" si="0">G23/F23*100</f>
        <v>#DIV/0!</v>
      </c>
    </row>
    <row r="24" spans="1:9" ht="15" hidden="1" x14ac:dyDescent="0.2">
      <c r="A24" s="1463">
        <v>3122</v>
      </c>
      <c r="B24" s="1469">
        <v>6121</v>
      </c>
      <c r="C24" s="1472">
        <v>54100874</v>
      </c>
      <c r="D24" s="1405" t="s">
        <v>548</v>
      </c>
      <c r="E24" s="1414"/>
      <c r="F24" s="1414"/>
      <c r="G24" s="1414"/>
      <c r="H24" s="1390" t="e">
        <f t="shared" si="0"/>
        <v>#DIV/0!</v>
      </c>
    </row>
    <row r="25" spans="1:9" ht="15" hidden="1" x14ac:dyDescent="0.2">
      <c r="A25" s="1463">
        <v>3122</v>
      </c>
      <c r="B25" s="1469">
        <v>6121</v>
      </c>
      <c r="C25" s="1472">
        <v>54100880</v>
      </c>
      <c r="D25" s="1405" t="s">
        <v>548</v>
      </c>
      <c r="E25" s="1414"/>
      <c r="F25" s="1414"/>
      <c r="G25" s="1414"/>
      <c r="H25" s="1390" t="e">
        <f t="shared" si="0"/>
        <v>#DIV/0!</v>
      </c>
    </row>
    <row r="26" spans="1:9" ht="15" hidden="1" x14ac:dyDescent="0.2">
      <c r="A26" s="1463">
        <v>3122</v>
      </c>
      <c r="B26" s="1469">
        <v>6121</v>
      </c>
      <c r="C26" s="1472">
        <v>54100884</v>
      </c>
      <c r="D26" s="1405" t="s">
        <v>548</v>
      </c>
      <c r="E26" s="1414"/>
      <c r="F26" s="1414"/>
      <c r="G26" s="1414"/>
      <c r="H26" s="1390" t="e">
        <f t="shared" si="0"/>
        <v>#DIV/0!</v>
      </c>
    </row>
    <row r="27" spans="1:9" ht="15" hidden="1" x14ac:dyDescent="0.2">
      <c r="A27" s="1463">
        <v>3122</v>
      </c>
      <c r="B27" s="1469">
        <v>6121</v>
      </c>
      <c r="C27" s="1472">
        <v>54190877</v>
      </c>
      <c r="D27" s="1405" t="s">
        <v>548</v>
      </c>
      <c r="E27" s="1414"/>
      <c r="F27" s="1414"/>
      <c r="G27" s="1414"/>
      <c r="H27" s="1390" t="e">
        <f t="shared" si="0"/>
        <v>#DIV/0!</v>
      </c>
    </row>
    <row r="28" spans="1:9" ht="15" hidden="1" x14ac:dyDescent="0.2">
      <c r="A28" s="1463">
        <v>3122</v>
      </c>
      <c r="B28" s="1469">
        <v>6121</v>
      </c>
      <c r="C28" s="1472">
        <v>54515835</v>
      </c>
      <c r="D28" s="1405" t="s">
        <v>548</v>
      </c>
      <c r="E28" s="1414"/>
      <c r="F28" s="1414"/>
      <c r="G28" s="1414"/>
      <c r="H28" s="1390" t="e">
        <f t="shared" si="0"/>
        <v>#DIV/0!</v>
      </c>
    </row>
    <row r="29" spans="1:9" s="1397" customFormat="1" ht="16.5" hidden="1" thickTop="1" thickBot="1" x14ac:dyDescent="0.3">
      <c r="A29" s="3219" t="s">
        <v>690</v>
      </c>
      <c r="B29" s="3220"/>
      <c r="C29" s="3220"/>
      <c r="D29" s="3220"/>
      <c r="E29" s="1387">
        <f>SUM(E23:E28)</f>
        <v>0</v>
      </c>
      <c r="F29" s="1387">
        <f>SUM(F23:F28)</f>
        <v>0</v>
      </c>
      <c r="G29" s="1387">
        <f>SUM(G23:G28)</f>
        <v>0</v>
      </c>
      <c r="H29" s="1391" t="e">
        <f t="shared" si="0"/>
        <v>#DIV/0!</v>
      </c>
      <c r="I29" s="1476"/>
    </row>
    <row r="30" spans="1:9" s="1397" customFormat="1" ht="15" hidden="1" x14ac:dyDescent="0.25">
      <c r="A30" s="1392"/>
      <c r="B30" s="1392"/>
      <c r="C30" s="1392"/>
      <c r="D30" s="1392"/>
      <c r="E30" s="1393"/>
      <c r="F30" s="1393"/>
      <c r="G30" s="1393"/>
      <c r="H30" s="1418"/>
      <c r="I30" s="1476"/>
    </row>
    <row r="31" spans="1:9" ht="18" hidden="1" x14ac:dyDescent="0.25">
      <c r="A31" s="1377" t="s">
        <v>72</v>
      </c>
      <c r="B31" s="1400"/>
      <c r="C31" s="1400"/>
      <c r="D31" s="1400"/>
      <c r="E31" s="1400"/>
      <c r="F31" s="1400"/>
      <c r="G31" s="1400"/>
      <c r="H31" s="1445"/>
    </row>
    <row r="32" spans="1:9" ht="15.75" hidden="1" x14ac:dyDescent="0.25">
      <c r="A32" s="1376" t="s">
        <v>73</v>
      </c>
      <c r="H32" s="1394" t="s">
        <v>148</v>
      </c>
    </row>
    <row r="33" spans="1:9" s="1292" customFormat="1" ht="25.5" hidden="1" thickTop="1" thickBot="1" x14ac:dyDescent="0.25">
      <c r="A33" s="1378" t="s">
        <v>149</v>
      </c>
      <c r="B33" s="1379" t="s">
        <v>688</v>
      </c>
      <c r="C33" s="1379" t="s">
        <v>345</v>
      </c>
      <c r="D33" s="1380" t="s">
        <v>151</v>
      </c>
      <c r="E33" s="1402" t="s">
        <v>569</v>
      </c>
      <c r="F33" s="1402" t="s">
        <v>570</v>
      </c>
      <c r="G33" s="1403" t="s">
        <v>797</v>
      </c>
      <c r="H33" s="1404" t="s">
        <v>798</v>
      </c>
    </row>
    <row r="34" spans="1:9" s="1292" customFormat="1" ht="13.5" hidden="1" thickTop="1" thickBot="1" x14ac:dyDescent="0.25">
      <c r="A34" s="1297">
        <v>1</v>
      </c>
      <c r="B34" s="1296">
        <v>2</v>
      </c>
      <c r="C34" s="1296">
        <v>3</v>
      </c>
      <c r="D34" s="1296">
        <v>4</v>
      </c>
      <c r="E34" s="1295">
        <v>5</v>
      </c>
      <c r="F34" s="1295">
        <v>6</v>
      </c>
      <c r="G34" s="1446">
        <v>7</v>
      </c>
      <c r="H34" s="1468" t="s">
        <v>54</v>
      </c>
    </row>
    <row r="35" spans="1:9" s="1292" customFormat="1" ht="15" hidden="1" x14ac:dyDescent="0.2">
      <c r="A35" s="1463">
        <v>3122</v>
      </c>
      <c r="B35" s="1469">
        <v>6121</v>
      </c>
      <c r="C35" s="1472">
        <v>53100870</v>
      </c>
      <c r="D35" s="1405" t="s">
        <v>548</v>
      </c>
      <c r="E35" s="1414"/>
      <c r="F35" s="1414"/>
      <c r="G35" s="1414"/>
      <c r="H35" s="1390" t="e">
        <f t="shared" ref="H35:H44" si="1">G35/F35*100</f>
        <v>#DIV/0!</v>
      </c>
    </row>
    <row r="36" spans="1:9" s="1292" customFormat="1" ht="15" hidden="1" x14ac:dyDescent="0.2">
      <c r="A36" s="1463">
        <v>3122</v>
      </c>
      <c r="B36" s="1469">
        <v>6121</v>
      </c>
      <c r="C36" s="1472">
        <v>53100872</v>
      </c>
      <c r="D36" s="1405" t="s">
        <v>548</v>
      </c>
      <c r="E36" s="1414"/>
      <c r="F36" s="1414"/>
      <c r="G36" s="1414"/>
      <c r="H36" s="1390" t="e">
        <f t="shared" si="1"/>
        <v>#DIV/0!</v>
      </c>
    </row>
    <row r="37" spans="1:9" s="1292" customFormat="1" ht="15" hidden="1" x14ac:dyDescent="0.2">
      <c r="A37" s="1463">
        <v>3122</v>
      </c>
      <c r="B37" s="1469">
        <v>6121</v>
      </c>
      <c r="C37" s="1472">
        <v>53500871</v>
      </c>
      <c r="D37" s="1405" t="s">
        <v>548</v>
      </c>
      <c r="E37" s="1414"/>
      <c r="F37" s="1414"/>
      <c r="G37" s="1414"/>
      <c r="H37" s="1390" t="e">
        <f t="shared" si="1"/>
        <v>#DIV/0!</v>
      </c>
    </row>
    <row r="38" spans="1:9" ht="15" hidden="1" x14ac:dyDescent="0.2">
      <c r="A38" s="1463">
        <v>3122</v>
      </c>
      <c r="B38" s="1469">
        <v>6121</v>
      </c>
      <c r="C38" s="1472">
        <v>54100870</v>
      </c>
      <c r="D38" s="1405" t="s">
        <v>548</v>
      </c>
      <c r="E38" s="1414"/>
      <c r="F38" s="1414"/>
      <c r="G38" s="1414"/>
      <c r="H38" s="1390" t="e">
        <f t="shared" si="1"/>
        <v>#DIV/0!</v>
      </c>
    </row>
    <row r="39" spans="1:9" ht="15" hidden="1" x14ac:dyDescent="0.2">
      <c r="A39" s="1463">
        <v>3122</v>
      </c>
      <c r="B39" s="1469">
        <v>6121</v>
      </c>
      <c r="C39" s="1472">
        <v>54100874</v>
      </c>
      <c r="D39" s="1405" t="s">
        <v>548</v>
      </c>
      <c r="E39" s="1414"/>
      <c r="F39" s="1414"/>
      <c r="G39" s="1414"/>
      <c r="H39" s="1390" t="e">
        <f t="shared" si="1"/>
        <v>#DIV/0!</v>
      </c>
    </row>
    <row r="40" spans="1:9" ht="15" hidden="1" x14ac:dyDescent="0.2">
      <c r="A40" s="1463">
        <v>3122</v>
      </c>
      <c r="B40" s="1469">
        <v>6121</v>
      </c>
      <c r="C40" s="1472">
        <v>54100880</v>
      </c>
      <c r="D40" s="1405" t="s">
        <v>548</v>
      </c>
      <c r="E40" s="1414"/>
      <c r="F40" s="1414"/>
      <c r="G40" s="1414"/>
      <c r="H40" s="1390" t="e">
        <f t="shared" si="1"/>
        <v>#DIV/0!</v>
      </c>
    </row>
    <row r="41" spans="1:9" ht="15" hidden="1" x14ac:dyDescent="0.2">
      <c r="A41" s="1463">
        <v>3122</v>
      </c>
      <c r="B41" s="1469">
        <v>6121</v>
      </c>
      <c r="C41" s="1472">
        <v>54100884</v>
      </c>
      <c r="D41" s="1405" t="s">
        <v>548</v>
      </c>
      <c r="E41" s="1414"/>
      <c r="F41" s="1414"/>
      <c r="G41" s="1414"/>
      <c r="H41" s="1390" t="e">
        <f t="shared" si="1"/>
        <v>#DIV/0!</v>
      </c>
    </row>
    <row r="42" spans="1:9" ht="15" hidden="1" x14ac:dyDescent="0.2">
      <c r="A42" s="1463">
        <v>3122</v>
      </c>
      <c r="B42" s="1469">
        <v>6121</v>
      </c>
      <c r="C42" s="1472">
        <v>54190877</v>
      </c>
      <c r="D42" s="1405" t="s">
        <v>548</v>
      </c>
      <c r="E42" s="1414"/>
      <c r="F42" s="1414"/>
      <c r="G42" s="1414"/>
      <c r="H42" s="1390" t="e">
        <f t="shared" si="1"/>
        <v>#DIV/0!</v>
      </c>
    </row>
    <row r="43" spans="1:9" ht="15" hidden="1" x14ac:dyDescent="0.2">
      <c r="A43" s="1463">
        <v>3122</v>
      </c>
      <c r="B43" s="1469">
        <v>6121</v>
      </c>
      <c r="C43" s="1472">
        <v>54515835</v>
      </c>
      <c r="D43" s="1405" t="s">
        <v>548</v>
      </c>
      <c r="E43" s="1414"/>
      <c r="F43" s="1414"/>
      <c r="G43" s="1414"/>
      <c r="H43" s="1390" t="e">
        <f t="shared" si="1"/>
        <v>#DIV/0!</v>
      </c>
    </row>
    <row r="44" spans="1:9" s="1397" customFormat="1" ht="16.5" hidden="1" thickTop="1" thickBot="1" x14ac:dyDescent="0.3">
      <c r="A44" s="3219" t="s">
        <v>690</v>
      </c>
      <c r="B44" s="3220"/>
      <c r="C44" s="3220"/>
      <c r="D44" s="3220"/>
      <c r="E44" s="1387">
        <f>SUM(E35:E43)</f>
        <v>0</v>
      </c>
      <c r="F44" s="1387">
        <f>SUM(F35:F43)</f>
        <v>0</v>
      </c>
      <c r="G44" s="1387">
        <f>SUM(G35:G43)</f>
        <v>0</v>
      </c>
      <c r="H44" s="1391" t="e">
        <f t="shared" si="1"/>
        <v>#DIV/0!</v>
      </c>
      <c r="I44" s="1476"/>
    </row>
    <row r="45" spans="1:9" s="1397" customFormat="1" ht="15" hidden="1" x14ac:dyDescent="0.25">
      <c r="A45" s="1392"/>
      <c r="B45" s="1392"/>
      <c r="C45" s="1392"/>
      <c r="D45" s="1392"/>
      <c r="E45" s="1393"/>
      <c r="F45" s="1393"/>
      <c r="G45" s="1393"/>
      <c r="H45" s="1418"/>
      <c r="I45" s="1476"/>
    </row>
    <row r="46" spans="1:9" ht="18" hidden="1" x14ac:dyDescent="0.25">
      <c r="A46" s="1377" t="s">
        <v>74</v>
      </c>
      <c r="B46" s="1400"/>
      <c r="C46" s="1400"/>
      <c r="D46" s="1400"/>
      <c r="E46" s="1400"/>
      <c r="F46" s="1400"/>
      <c r="G46" s="1400"/>
      <c r="H46" s="1445"/>
    </row>
    <row r="47" spans="1:9" ht="15.75" hidden="1" x14ac:dyDescent="0.25">
      <c r="A47" s="1376" t="s">
        <v>75</v>
      </c>
      <c r="H47" s="1394" t="s">
        <v>148</v>
      </c>
    </row>
    <row r="48" spans="1:9" s="1292" customFormat="1" ht="25.5" hidden="1" thickTop="1" thickBot="1" x14ac:dyDescent="0.25">
      <c r="A48" s="1378" t="s">
        <v>149</v>
      </c>
      <c r="B48" s="1379" t="s">
        <v>688</v>
      </c>
      <c r="C48" s="1379" t="s">
        <v>345</v>
      </c>
      <c r="D48" s="1380" t="s">
        <v>151</v>
      </c>
      <c r="E48" s="1402" t="s">
        <v>569</v>
      </c>
      <c r="F48" s="1402" t="s">
        <v>570</v>
      </c>
      <c r="G48" s="1403" t="s">
        <v>797</v>
      </c>
      <c r="H48" s="1404" t="s">
        <v>798</v>
      </c>
    </row>
    <row r="49" spans="1:9" s="1292" customFormat="1" ht="13.5" hidden="1" thickTop="1" thickBot="1" x14ac:dyDescent="0.25">
      <c r="A49" s="1297">
        <v>1</v>
      </c>
      <c r="B49" s="1296">
        <v>2</v>
      </c>
      <c r="C49" s="1296">
        <v>3</v>
      </c>
      <c r="D49" s="1296">
        <v>4</v>
      </c>
      <c r="E49" s="1295">
        <v>5</v>
      </c>
      <c r="F49" s="1295">
        <v>6</v>
      </c>
      <c r="G49" s="1446">
        <v>7</v>
      </c>
      <c r="H49" s="1468" t="s">
        <v>54</v>
      </c>
    </row>
    <row r="50" spans="1:9" s="1292" customFormat="1" ht="15" hidden="1" x14ac:dyDescent="0.2">
      <c r="A50" s="1463">
        <v>3121</v>
      </c>
      <c r="B50" s="1469">
        <v>6121</v>
      </c>
      <c r="C50" s="1472">
        <v>54100870</v>
      </c>
      <c r="D50" s="1405" t="s">
        <v>548</v>
      </c>
      <c r="E50" s="1414"/>
      <c r="F50" s="1414"/>
      <c r="G50" s="1414"/>
      <c r="H50" s="1390" t="e">
        <f t="shared" ref="H50:H56" si="2">G50/F50*100</f>
        <v>#DIV/0!</v>
      </c>
    </row>
    <row r="51" spans="1:9" ht="15" hidden="1" x14ac:dyDescent="0.2">
      <c r="A51" s="1463">
        <v>3121</v>
      </c>
      <c r="B51" s="1469">
        <v>6121</v>
      </c>
      <c r="C51" s="1472">
        <v>54100874</v>
      </c>
      <c r="D51" s="1405" t="s">
        <v>548</v>
      </c>
      <c r="E51" s="1414"/>
      <c r="F51" s="1414"/>
      <c r="G51" s="1414"/>
      <c r="H51" s="1390" t="e">
        <f t="shared" si="2"/>
        <v>#DIV/0!</v>
      </c>
    </row>
    <row r="52" spans="1:9" ht="15" hidden="1" x14ac:dyDescent="0.2">
      <c r="A52" s="1463">
        <v>3121</v>
      </c>
      <c r="B52" s="1469">
        <v>6121</v>
      </c>
      <c r="C52" s="1472">
        <v>54100880</v>
      </c>
      <c r="D52" s="1405" t="s">
        <v>548</v>
      </c>
      <c r="E52" s="1414"/>
      <c r="F52" s="1414"/>
      <c r="G52" s="1414"/>
      <c r="H52" s="1390" t="e">
        <f t="shared" si="2"/>
        <v>#DIV/0!</v>
      </c>
    </row>
    <row r="53" spans="1:9" ht="15" hidden="1" x14ac:dyDescent="0.2">
      <c r="A53" s="1463">
        <v>3121</v>
      </c>
      <c r="B53" s="1469">
        <v>6121</v>
      </c>
      <c r="C53" s="1472">
        <v>54100884</v>
      </c>
      <c r="D53" s="1405" t="s">
        <v>548</v>
      </c>
      <c r="E53" s="1414"/>
      <c r="F53" s="1414"/>
      <c r="G53" s="1414"/>
      <c r="H53" s="1390" t="e">
        <f t="shared" si="2"/>
        <v>#DIV/0!</v>
      </c>
    </row>
    <row r="54" spans="1:9" ht="15" hidden="1" x14ac:dyDescent="0.2">
      <c r="A54" s="1463">
        <v>3121</v>
      </c>
      <c r="B54" s="1469">
        <v>6121</v>
      </c>
      <c r="C54" s="1472">
        <v>54190877</v>
      </c>
      <c r="D54" s="1405" t="s">
        <v>548</v>
      </c>
      <c r="E54" s="1414"/>
      <c r="F54" s="1414"/>
      <c r="G54" s="1414"/>
      <c r="H54" s="1390" t="e">
        <f t="shared" si="2"/>
        <v>#DIV/0!</v>
      </c>
    </row>
    <row r="55" spans="1:9" ht="15" hidden="1" x14ac:dyDescent="0.2">
      <c r="A55" s="1463">
        <v>3121</v>
      </c>
      <c r="B55" s="1469">
        <v>6121</v>
      </c>
      <c r="C55" s="1472">
        <v>54515835</v>
      </c>
      <c r="D55" s="1405" t="s">
        <v>548</v>
      </c>
      <c r="E55" s="1414"/>
      <c r="F55" s="1414"/>
      <c r="G55" s="1414"/>
      <c r="H55" s="1390" t="e">
        <f t="shared" si="2"/>
        <v>#DIV/0!</v>
      </c>
    </row>
    <row r="56" spans="1:9" s="1397" customFormat="1" ht="16.5" hidden="1" thickTop="1" thickBot="1" x14ac:dyDescent="0.3">
      <c r="A56" s="3219" t="s">
        <v>690</v>
      </c>
      <c r="B56" s="3220"/>
      <c r="C56" s="3220"/>
      <c r="D56" s="3220"/>
      <c r="E56" s="1387">
        <f>SUM(E50:E55)</f>
        <v>0</v>
      </c>
      <c r="F56" s="1387">
        <f>SUM(F50:F55)</f>
        <v>0</v>
      </c>
      <c r="G56" s="1387">
        <f>SUM(G50:G55)</f>
        <v>0</v>
      </c>
      <c r="H56" s="1391" t="e">
        <f t="shared" si="2"/>
        <v>#DIV/0!</v>
      </c>
      <c r="I56" s="1476"/>
    </row>
    <row r="57" spans="1:9" s="1397" customFormat="1" ht="15" hidden="1" x14ac:dyDescent="0.25">
      <c r="A57" s="1392"/>
      <c r="B57" s="1392"/>
      <c r="C57" s="1392"/>
      <c r="D57" s="1392"/>
      <c r="E57" s="1393"/>
      <c r="F57" s="1393"/>
      <c r="G57" s="1393"/>
      <c r="H57" s="1418"/>
      <c r="I57" s="1476"/>
    </row>
    <row r="58" spans="1:9" ht="18" x14ac:dyDescent="0.25">
      <c r="A58" s="1377" t="s">
        <v>1668</v>
      </c>
      <c r="B58" s="1400"/>
      <c r="C58" s="1400"/>
      <c r="D58" s="1400"/>
      <c r="E58" s="1400"/>
      <c r="F58" s="1400"/>
      <c r="G58" s="1400"/>
      <c r="H58" s="1445"/>
    </row>
    <row r="59" spans="1:9" ht="16.5" thickBot="1" x14ac:dyDescent="0.3">
      <c r="A59" s="1376" t="s">
        <v>1669</v>
      </c>
      <c r="H59" s="1394" t="s">
        <v>148</v>
      </c>
    </row>
    <row r="60" spans="1:9" s="1292" customFormat="1" ht="25.5" thickTop="1" thickBot="1" x14ac:dyDescent="0.25">
      <c r="A60" s="1378" t="s">
        <v>149</v>
      </c>
      <c r="B60" s="1379" t="s">
        <v>688</v>
      </c>
      <c r="C60" s="1379" t="s">
        <v>345</v>
      </c>
      <c r="D60" s="1380" t="s">
        <v>151</v>
      </c>
      <c r="E60" s="1402" t="s">
        <v>569</v>
      </c>
      <c r="F60" s="1402" t="s">
        <v>570</v>
      </c>
      <c r="G60" s="1403" t="s">
        <v>797</v>
      </c>
      <c r="H60" s="1404" t="s">
        <v>798</v>
      </c>
    </row>
    <row r="61" spans="1:9" s="1292" customFormat="1" ht="13.5" thickTop="1" thickBot="1" x14ac:dyDescent="0.25">
      <c r="A61" s="1297">
        <v>1</v>
      </c>
      <c r="B61" s="1296">
        <v>2</v>
      </c>
      <c r="C61" s="1296">
        <v>3</v>
      </c>
      <c r="D61" s="1296">
        <v>4</v>
      </c>
      <c r="E61" s="1295">
        <v>5</v>
      </c>
      <c r="F61" s="1295">
        <v>6</v>
      </c>
      <c r="G61" s="1446">
        <v>7</v>
      </c>
      <c r="H61" s="1468" t="s">
        <v>54</v>
      </c>
    </row>
    <row r="62" spans="1:9" ht="15.75" thickTop="1" x14ac:dyDescent="0.2">
      <c r="A62" s="1463">
        <v>3122</v>
      </c>
      <c r="B62" s="1469">
        <v>6121</v>
      </c>
      <c r="C62" s="2832" t="s">
        <v>2010</v>
      </c>
      <c r="D62" s="1405" t="s">
        <v>548</v>
      </c>
      <c r="E62" s="1414">
        <v>6034</v>
      </c>
      <c r="F62" s="1414">
        <v>728</v>
      </c>
      <c r="G62" s="1414">
        <v>728</v>
      </c>
      <c r="H62" s="1390">
        <f>G62/F62*100</f>
        <v>100</v>
      </c>
    </row>
    <row r="63" spans="1:9" ht="15" x14ac:dyDescent="0.2">
      <c r="A63" s="1463">
        <v>3122</v>
      </c>
      <c r="B63" s="1469">
        <v>6121</v>
      </c>
      <c r="C63" s="2832" t="s">
        <v>2014</v>
      </c>
      <c r="D63" s="1405" t="s">
        <v>548</v>
      </c>
      <c r="E63" s="1414">
        <v>0</v>
      </c>
      <c r="F63" s="1414">
        <v>2167</v>
      </c>
      <c r="G63" s="1414">
        <v>2161</v>
      </c>
      <c r="H63" s="1390">
        <f>G63/F63*100</f>
        <v>99.723119520073837</v>
      </c>
    </row>
    <row r="64" spans="1:9" ht="15" x14ac:dyDescent="0.2">
      <c r="A64" s="1463">
        <v>3122</v>
      </c>
      <c r="B64" s="1469">
        <v>6121</v>
      </c>
      <c r="C64" s="2832" t="s">
        <v>2036</v>
      </c>
      <c r="D64" s="1405" t="s">
        <v>548</v>
      </c>
      <c r="E64" s="1414">
        <v>0</v>
      </c>
      <c r="F64" s="1414">
        <v>327</v>
      </c>
      <c r="G64" s="1414">
        <v>292</v>
      </c>
      <c r="H64" s="1390">
        <f>G64/F64*100</f>
        <v>89.296636085626915</v>
      </c>
    </row>
    <row r="65" spans="1:9" ht="15.75" thickBot="1" x14ac:dyDescent="0.25">
      <c r="A65" s="1463">
        <v>3122</v>
      </c>
      <c r="B65" s="1469">
        <v>6121</v>
      </c>
      <c r="C65" s="2832" t="s">
        <v>2035</v>
      </c>
      <c r="D65" s="1405" t="s">
        <v>548</v>
      </c>
      <c r="E65" s="1414">
        <v>0</v>
      </c>
      <c r="F65" s="1414">
        <v>5561</v>
      </c>
      <c r="G65" s="1414">
        <v>4959</v>
      </c>
      <c r="H65" s="1390">
        <f>G65/F65*100</f>
        <v>89.174608883294368</v>
      </c>
    </row>
    <row r="66" spans="1:9" s="1397" customFormat="1" ht="16.5" thickTop="1" thickBot="1" x14ac:dyDescent="0.3">
      <c r="A66" s="3219" t="s">
        <v>690</v>
      </c>
      <c r="B66" s="3220"/>
      <c r="C66" s="3220"/>
      <c r="D66" s="3220"/>
      <c r="E66" s="1387">
        <f>SUM(E62:E65)</f>
        <v>6034</v>
      </c>
      <c r="F66" s="1387">
        <f>SUM(F62:F65)</f>
        <v>8783</v>
      </c>
      <c r="G66" s="1387">
        <f>SUM(G62:G65)</f>
        <v>8140</v>
      </c>
      <c r="H66" s="1391">
        <f>G66/F66*100</f>
        <v>92.679039052715467</v>
      </c>
      <c r="I66" s="1476"/>
    </row>
    <row r="67" spans="1:9" s="1397" customFormat="1" ht="15.75" thickTop="1" x14ac:dyDescent="0.25">
      <c r="A67" s="1392"/>
      <c r="B67" s="1392"/>
      <c r="C67" s="1392"/>
      <c r="D67" s="1392"/>
      <c r="E67" s="1393"/>
      <c r="F67" s="1393"/>
      <c r="G67" s="1393"/>
      <c r="H67" s="1418"/>
      <c r="I67" s="1476"/>
    </row>
    <row r="68" spans="1:9" ht="18" x14ac:dyDescent="0.25">
      <c r="A68" s="1377" t="s">
        <v>746</v>
      </c>
      <c r="B68" s="1400"/>
      <c r="C68" s="1400"/>
      <c r="D68" s="1400"/>
      <c r="E68" s="1400"/>
      <c r="F68" s="1400"/>
      <c r="G68" s="1400"/>
      <c r="H68" s="1445"/>
    </row>
    <row r="69" spans="1:9" ht="16.5" thickBot="1" x14ac:dyDescent="0.3">
      <c r="A69" s="1376" t="s">
        <v>747</v>
      </c>
      <c r="H69" s="1394" t="s">
        <v>148</v>
      </c>
    </row>
    <row r="70" spans="1:9" s="1292" customFormat="1" ht="25.5" thickTop="1" thickBot="1" x14ac:dyDescent="0.25">
      <c r="A70" s="1378" t="s">
        <v>149</v>
      </c>
      <c r="B70" s="1379" t="s">
        <v>688</v>
      </c>
      <c r="C70" s="1379" t="s">
        <v>345</v>
      </c>
      <c r="D70" s="1380" t="s">
        <v>151</v>
      </c>
      <c r="E70" s="1402" t="s">
        <v>569</v>
      </c>
      <c r="F70" s="1402" t="s">
        <v>570</v>
      </c>
      <c r="G70" s="1403" t="s">
        <v>797</v>
      </c>
      <c r="H70" s="1404" t="s">
        <v>798</v>
      </c>
    </row>
    <row r="71" spans="1:9" s="1292" customFormat="1" ht="13.5" thickTop="1" thickBot="1" x14ac:dyDescent="0.25">
      <c r="A71" s="1297">
        <v>1</v>
      </c>
      <c r="B71" s="1296">
        <v>2</v>
      </c>
      <c r="C71" s="1296">
        <v>3</v>
      </c>
      <c r="D71" s="1296">
        <v>4</v>
      </c>
      <c r="E71" s="1295">
        <v>5</v>
      </c>
      <c r="F71" s="1295">
        <v>6</v>
      </c>
      <c r="G71" s="1446">
        <v>7</v>
      </c>
      <c r="H71" s="1468" t="s">
        <v>54</v>
      </c>
    </row>
    <row r="72" spans="1:9" ht="16.5" thickTop="1" thickBot="1" x14ac:dyDescent="0.25">
      <c r="A72" s="1463">
        <v>3122</v>
      </c>
      <c r="B72" s="1469">
        <v>6121</v>
      </c>
      <c r="C72" s="2832" t="s">
        <v>2038</v>
      </c>
      <c r="D72" s="1405" t="s">
        <v>548</v>
      </c>
      <c r="E72" s="1414">
        <v>365</v>
      </c>
      <c r="F72" s="1414">
        <v>365</v>
      </c>
      <c r="G72" s="1414">
        <v>0</v>
      </c>
      <c r="H72" s="1390">
        <f t="shared" ref="H72:H77" si="3">G72/F72*100</f>
        <v>0</v>
      </c>
    </row>
    <row r="73" spans="1:9" ht="15.75" hidden="1" thickBot="1" x14ac:dyDescent="0.25">
      <c r="A73" s="1463">
        <v>3122</v>
      </c>
      <c r="B73" s="1469">
        <v>6121</v>
      </c>
      <c r="C73" s="1472">
        <v>54100880</v>
      </c>
      <c r="D73" s="1405" t="s">
        <v>548</v>
      </c>
      <c r="E73" s="1414"/>
      <c r="F73" s="1414"/>
      <c r="G73" s="1414"/>
      <c r="H73" s="1390" t="e">
        <f t="shared" si="3"/>
        <v>#DIV/0!</v>
      </c>
    </row>
    <row r="74" spans="1:9" ht="15.75" hidden="1" thickBot="1" x14ac:dyDescent="0.25">
      <c r="A74" s="1463">
        <v>3122</v>
      </c>
      <c r="B74" s="1469">
        <v>6121</v>
      </c>
      <c r="C74" s="1472">
        <v>54100884</v>
      </c>
      <c r="D74" s="1405" t="s">
        <v>548</v>
      </c>
      <c r="E74" s="1414"/>
      <c r="F74" s="1414"/>
      <c r="G74" s="1414"/>
      <c r="H74" s="1390" t="e">
        <f t="shared" si="3"/>
        <v>#DIV/0!</v>
      </c>
    </row>
    <row r="75" spans="1:9" ht="15.75" hidden="1" thickBot="1" x14ac:dyDescent="0.25">
      <c r="A75" s="1463">
        <v>3122</v>
      </c>
      <c r="B75" s="1469">
        <v>6121</v>
      </c>
      <c r="C75" s="1472">
        <v>54190877</v>
      </c>
      <c r="D75" s="1405" t="s">
        <v>548</v>
      </c>
      <c r="E75" s="1414"/>
      <c r="F75" s="1414"/>
      <c r="G75" s="1414"/>
      <c r="H75" s="1390" t="e">
        <f t="shared" si="3"/>
        <v>#DIV/0!</v>
      </c>
    </row>
    <row r="76" spans="1:9" ht="15.75" hidden="1" thickBot="1" x14ac:dyDescent="0.25">
      <c r="A76" s="1463">
        <v>3122</v>
      </c>
      <c r="B76" s="1469">
        <v>6121</v>
      </c>
      <c r="C76" s="1472">
        <v>54515835</v>
      </c>
      <c r="D76" s="1405" t="s">
        <v>548</v>
      </c>
      <c r="E76" s="1414"/>
      <c r="F76" s="1414"/>
      <c r="G76" s="1414"/>
      <c r="H76" s="1390" t="e">
        <f t="shared" si="3"/>
        <v>#DIV/0!</v>
      </c>
    </row>
    <row r="77" spans="1:9" s="1397" customFormat="1" ht="16.5" thickTop="1" thickBot="1" x14ac:dyDescent="0.3">
      <c r="A77" s="3219" t="s">
        <v>690</v>
      </c>
      <c r="B77" s="3220"/>
      <c r="C77" s="3220"/>
      <c r="D77" s="3220"/>
      <c r="E77" s="1387">
        <f>SUM(E72:E76)</f>
        <v>365</v>
      </c>
      <c r="F77" s="1387">
        <f>SUM(F72:F76)</f>
        <v>365</v>
      </c>
      <c r="G77" s="1387">
        <f>SUM(G72:G76)</f>
        <v>0</v>
      </c>
      <c r="H77" s="1391">
        <f t="shared" si="3"/>
        <v>0</v>
      </c>
      <c r="I77" s="1476"/>
    </row>
    <row r="78" spans="1:9" s="1397" customFormat="1" ht="15.75" thickTop="1" x14ac:dyDescent="0.25">
      <c r="A78" s="1392"/>
      <c r="B78" s="1392"/>
      <c r="C78" s="1392"/>
      <c r="D78" s="1392"/>
      <c r="E78" s="1393"/>
      <c r="F78" s="1393"/>
      <c r="G78" s="1393"/>
      <c r="H78" s="1418"/>
      <c r="I78" s="1476"/>
    </row>
    <row r="79" spans="1:9" ht="18" hidden="1" x14ac:dyDescent="0.25">
      <c r="A79" s="1377" t="s">
        <v>1670</v>
      </c>
      <c r="B79" s="1400"/>
      <c r="C79" s="1400"/>
      <c r="D79" s="1400"/>
      <c r="E79" s="1400"/>
      <c r="F79" s="1400"/>
      <c r="G79" s="1400"/>
      <c r="H79" s="1445"/>
    </row>
    <row r="80" spans="1:9" ht="15.75" hidden="1" x14ac:dyDescent="0.25">
      <c r="A80" s="1376" t="s">
        <v>82</v>
      </c>
      <c r="H80" s="1394" t="s">
        <v>148</v>
      </c>
    </row>
    <row r="81" spans="1:9" s="1292" customFormat="1" ht="25.5" hidden="1" thickTop="1" thickBot="1" x14ac:dyDescent="0.25">
      <c r="A81" s="1378" t="s">
        <v>149</v>
      </c>
      <c r="B81" s="1379" t="s">
        <v>688</v>
      </c>
      <c r="C81" s="1379" t="s">
        <v>345</v>
      </c>
      <c r="D81" s="1380" t="s">
        <v>151</v>
      </c>
      <c r="E81" s="1402" t="s">
        <v>569</v>
      </c>
      <c r="F81" s="1402" t="s">
        <v>570</v>
      </c>
      <c r="G81" s="1403" t="s">
        <v>797</v>
      </c>
      <c r="H81" s="1404" t="s">
        <v>798</v>
      </c>
    </row>
    <row r="82" spans="1:9" s="1292" customFormat="1" ht="13.5" hidden="1" thickTop="1" thickBot="1" x14ac:dyDescent="0.25">
      <c r="A82" s="1297">
        <v>1</v>
      </c>
      <c r="B82" s="1296">
        <v>2</v>
      </c>
      <c r="C82" s="1296">
        <v>3</v>
      </c>
      <c r="D82" s="1296">
        <v>4</v>
      </c>
      <c r="E82" s="1295">
        <v>5</v>
      </c>
      <c r="F82" s="1295">
        <v>6</v>
      </c>
      <c r="G82" s="1446">
        <v>7</v>
      </c>
      <c r="H82" s="1468" t="s">
        <v>54</v>
      </c>
    </row>
    <row r="83" spans="1:9" ht="15" hidden="1" x14ac:dyDescent="0.2">
      <c r="A83" s="1463">
        <v>3123</v>
      </c>
      <c r="B83" s="1469">
        <v>6121</v>
      </c>
      <c r="C83" s="1472">
        <v>10</v>
      </c>
      <c r="D83" s="1405" t="s">
        <v>548</v>
      </c>
      <c r="E83" s="1414"/>
      <c r="F83" s="1414"/>
      <c r="G83" s="1414"/>
      <c r="H83" s="1390">
        <v>0</v>
      </c>
    </row>
    <row r="84" spans="1:9" ht="15" hidden="1" x14ac:dyDescent="0.2">
      <c r="A84" s="1463">
        <v>3123</v>
      </c>
      <c r="B84" s="1469">
        <v>6121</v>
      </c>
      <c r="C84" s="1472">
        <v>53100884</v>
      </c>
      <c r="D84" s="1405" t="s">
        <v>548</v>
      </c>
      <c r="E84" s="1414"/>
      <c r="F84" s="1414"/>
      <c r="G84" s="1414"/>
      <c r="H84" s="1390" t="e">
        <f t="shared" ref="H84:H89" si="4">G84/F84*100</f>
        <v>#DIV/0!</v>
      </c>
    </row>
    <row r="85" spans="1:9" ht="15" hidden="1" x14ac:dyDescent="0.2">
      <c r="A85" s="1463">
        <v>3123</v>
      </c>
      <c r="B85" s="1469">
        <v>6121</v>
      </c>
      <c r="C85" s="1472">
        <v>54100880</v>
      </c>
      <c r="D85" s="1405" t="s">
        <v>548</v>
      </c>
      <c r="E85" s="1414"/>
      <c r="F85" s="1414"/>
      <c r="G85" s="1414"/>
      <c r="H85" s="1390" t="e">
        <f t="shared" si="4"/>
        <v>#DIV/0!</v>
      </c>
    </row>
    <row r="86" spans="1:9" ht="15" hidden="1" x14ac:dyDescent="0.2">
      <c r="A86" s="1463">
        <v>3123</v>
      </c>
      <c r="B86" s="1469">
        <v>6121</v>
      </c>
      <c r="C86" s="1472">
        <v>54100884</v>
      </c>
      <c r="D86" s="1405" t="s">
        <v>548</v>
      </c>
      <c r="E86" s="1414"/>
      <c r="F86" s="1414"/>
      <c r="G86" s="1414"/>
      <c r="H86" s="1390" t="e">
        <f t="shared" si="4"/>
        <v>#DIV/0!</v>
      </c>
    </row>
    <row r="87" spans="1:9" ht="15" hidden="1" x14ac:dyDescent="0.2">
      <c r="A87" s="1463">
        <v>3123</v>
      </c>
      <c r="B87" s="1469">
        <v>6121</v>
      </c>
      <c r="C87" s="1472">
        <v>54190877</v>
      </c>
      <c r="D87" s="1405" t="s">
        <v>548</v>
      </c>
      <c r="E87" s="1414"/>
      <c r="F87" s="1414"/>
      <c r="G87" s="1414"/>
      <c r="H87" s="1390" t="e">
        <f t="shared" si="4"/>
        <v>#DIV/0!</v>
      </c>
    </row>
    <row r="88" spans="1:9" ht="15" hidden="1" x14ac:dyDescent="0.2">
      <c r="A88" s="1463">
        <v>3123</v>
      </c>
      <c r="B88" s="1469">
        <v>6121</v>
      </c>
      <c r="C88" s="1472">
        <v>54515835</v>
      </c>
      <c r="D88" s="1405" t="s">
        <v>548</v>
      </c>
      <c r="E88" s="1414"/>
      <c r="F88" s="1414"/>
      <c r="G88" s="1414"/>
      <c r="H88" s="1390" t="e">
        <f t="shared" si="4"/>
        <v>#DIV/0!</v>
      </c>
    </row>
    <row r="89" spans="1:9" s="1397" customFormat="1" ht="16.5" hidden="1" thickTop="1" thickBot="1" x14ac:dyDescent="0.3">
      <c r="A89" s="3219" t="s">
        <v>690</v>
      </c>
      <c r="B89" s="3220"/>
      <c r="C89" s="3220"/>
      <c r="D89" s="3220"/>
      <c r="E89" s="1387">
        <f>SUM(E83:E88)</f>
        <v>0</v>
      </c>
      <c r="F89" s="1387">
        <f>SUM(F83:F88)</f>
        <v>0</v>
      </c>
      <c r="G89" s="1387">
        <f>SUM(G83:G88)</f>
        <v>0</v>
      </c>
      <c r="H89" s="1391" t="e">
        <f t="shared" si="4"/>
        <v>#DIV/0!</v>
      </c>
      <c r="I89" s="1476"/>
    </row>
    <row r="90" spans="1:9" s="1397" customFormat="1" ht="15" hidden="1" x14ac:dyDescent="0.25">
      <c r="A90" s="1392"/>
      <c r="B90" s="1392"/>
      <c r="C90" s="1392"/>
      <c r="D90" s="1392"/>
      <c r="E90" s="1393"/>
      <c r="F90" s="1393"/>
      <c r="G90" s="1393"/>
      <c r="H90" s="1418"/>
      <c r="I90" s="1476"/>
    </row>
    <row r="91" spans="1:9" s="1397" customFormat="1" ht="15" hidden="1" x14ac:dyDescent="0.25">
      <c r="A91" s="1392"/>
      <c r="B91" s="1392"/>
      <c r="C91" s="1392"/>
      <c r="D91" s="1392"/>
      <c r="E91" s="1393"/>
      <c r="F91" s="1393"/>
      <c r="G91" s="1393"/>
      <c r="H91" s="1418"/>
      <c r="I91" s="1476"/>
    </row>
    <row r="92" spans="1:9" ht="18" hidden="1" x14ac:dyDescent="0.25">
      <c r="A92" s="1377" t="s">
        <v>83</v>
      </c>
      <c r="B92" s="1400"/>
      <c r="C92" s="1400"/>
      <c r="D92" s="1400"/>
      <c r="E92" s="1400"/>
      <c r="F92" s="1400"/>
      <c r="G92" s="1400"/>
      <c r="H92" s="1445"/>
    </row>
    <row r="93" spans="1:9" ht="15.75" hidden="1" x14ac:dyDescent="0.25">
      <c r="A93" s="1376" t="s">
        <v>84</v>
      </c>
      <c r="H93" s="1394" t="s">
        <v>148</v>
      </c>
    </row>
    <row r="94" spans="1:9" s="1292" customFormat="1" ht="25.5" hidden="1" thickTop="1" thickBot="1" x14ac:dyDescent="0.25">
      <c r="A94" s="1378" t="s">
        <v>149</v>
      </c>
      <c r="B94" s="1379" t="s">
        <v>688</v>
      </c>
      <c r="C94" s="1379" t="s">
        <v>345</v>
      </c>
      <c r="D94" s="1380" t="s">
        <v>151</v>
      </c>
      <c r="E94" s="1402" t="s">
        <v>569</v>
      </c>
      <c r="F94" s="1402" t="s">
        <v>570</v>
      </c>
      <c r="G94" s="1403" t="s">
        <v>797</v>
      </c>
      <c r="H94" s="1404" t="s">
        <v>798</v>
      </c>
    </row>
    <row r="95" spans="1:9" s="1292" customFormat="1" ht="13.5" hidden="1" thickTop="1" thickBot="1" x14ac:dyDescent="0.25">
      <c r="A95" s="1297">
        <v>1</v>
      </c>
      <c r="B95" s="1296">
        <v>2</v>
      </c>
      <c r="C95" s="1296">
        <v>3</v>
      </c>
      <c r="D95" s="1296">
        <v>4</v>
      </c>
      <c r="E95" s="1295">
        <v>5</v>
      </c>
      <c r="F95" s="1295">
        <v>6</v>
      </c>
      <c r="G95" s="1446">
        <v>7</v>
      </c>
      <c r="H95" s="1468" t="s">
        <v>54</v>
      </c>
    </row>
    <row r="96" spans="1:9" s="1292" customFormat="1" ht="15.75" hidden="1" thickTop="1" x14ac:dyDescent="0.2">
      <c r="A96" s="1463">
        <v>3122</v>
      </c>
      <c r="B96" s="1469">
        <v>6121</v>
      </c>
      <c r="C96" s="1472">
        <v>53100870</v>
      </c>
      <c r="D96" s="1405" t="s">
        <v>548</v>
      </c>
      <c r="E96" s="1401"/>
      <c r="F96" s="1932"/>
      <c r="G96" s="1401"/>
      <c r="H96" s="1706" t="e">
        <f t="shared" ref="H96:H107" si="5">G96/F96*100</f>
        <v>#DIV/0!</v>
      </c>
    </row>
    <row r="97" spans="1:9" s="1292" customFormat="1" ht="15" hidden="1" x14ac:dyDescent="0.2">
      <c r="A97" s="1463">
        <v>3122</v>
      </c>
      <c r="B97" s="1469">
        <v>6121</v>
      </c>
      <c r="C97" s="1472">
        <v>53100872</v>
      </c>
      <c r="D97" s="1405" t="s">
        <v>548</v>
      </c>
      <c r="E97" s="1414"/>
      <c r="F97" s="1414"/>
      <c r="G97" s="1414"/>
      <c r="H97" s="1706" t="e">
        <f t="shared" si="5"/>
        <v>#DIV/0!</v>
      </c>
    </row>
    <row r="98" spans="1:9" s="1292" customFormat="1" ht="15" hidden="1" x14ac:dyDescent="0.2">
      <c r="A98" s="1463">
        <v>3122</v>
      </c>
      <c r="B98" s="1469">
        <v>6121</v>
      </c>
      <c r="C98" s="1472">
        <v>53100874</v>
      </c>
      <c r="D98" s="1405" t="s">
        <v>548</v>
      </c>
      <c r="E98" s="1414"/>
      <c r="F98" s="1414"/>
      <c r="G98" s="1414"/>
      <c r="H98" s="1706" t="e">
        <f t="shared" si="5"/>
        <v>#DIV/0!</v>
      </c>
    </row>
    <row r="99" spans="1:9" s="1292" customFormat="1" ht="15" hidden="1" x14ac:dyDescent="0.2">
      <c r="A99" s="1463">
        <v>3122</v>
      </c>
      <c r="B99" s="1469">
        <v>6121</v>
      </c>
      <c r="C99" s="1472">
        <v>53500871</v>
      </c>
      <c r="D99" s="1405" t="s">
        <v>548</v>
      </c>
      <c r="E99" s="1414"/>
      <c r="F99" s="1414"/>
      <c r="G99" s="1414"/>
      <c r="H99" s="1706" t="e">
        <f t="shared" si="5"/>
        <v>#DIV/0!</v>
      </c>
    </row>
    <row r="100" spans="1:9" s="1292" customFormat="1" ht="15" hidden="1" x14ac:dyDescent="0.2">
      <c r="A100" s="1463">
        <v>3122</v>
      </c>
      <c r="B100" s="1469">
        <v>6121</v>
      </c>
      <c r="C100" s="1472">
        <v>54100870</v>
      </c>
      <c r="D100" s="1405" t="s">
        <v>548</v>
      </c>
      <c r="E100" s="1414"/>
      <c r="F100" s="1414"/>
      <c r="G100" s="1414"/>
      <c r="H100" s="1706" t="e">
        <f t="shared" si="5"/>
        <v>#DIV/0!</v>
      </c>
    </row>
    <row r="101" spans="1:9" s="1292" customFormat="1" ht="15" hidden="1" x14ac:dyDescent="0.2">
      <c r="A101" s="1463">
        <v>3122</v>
      </c>
      <c r="B101" s="1469">
        <v>6121</v>
      </c>
      <c r="C101" s="1472">
        <v>54100872</v>
      </c>
      <c r="D101" s="1405" t="s">
        <v>548</v>
      </c>
      <c r="E101" s="1414"/>
      <c r="F101" s="1414"/>
      <c r="G101" s="1414"/>
      <c r="H101" s="1706" t="e">
        <f t="shared" si="5"/>
        <v>#DIV/0!</v>
      </c>
    </row>
    <row r="102" spans="1:9" s="1292" customFormat="1" ht="15" hidden="1" x14ac:dyDescent="0.2">
      <c r="A102" s="1463">
        <v>3122</v>
      </c>
      <c r="B102" s="1469">
        <v>6121</v>
      </c>
      <c r="C102" s="1472">
        <v>54100874</v>
      </c>
      <c r="D102" s="1405" t="s">
        <v>548</v>
      </c>
      <c r="E102" s="1705"/>
      <c r="F102" s="1414"/>
      <c r="G102" s="1414"/>
      <c r="H102" s="1706" t="e">
        <f t="shared" si="5"/>
        <v>#DIV/0!</v>
      </c>
    </row>
    <row r="103" spans="1:9" s="1292" customFormat="1" ht="15" hidden="1" x14ac:dyDescent="0.2">
      <c r="A103" s="1463">
        <v>3122</v>
      </c>
      <c r="B103" s="1469">
        <v>6121</v>
      </c>
      <c r="C103" s="1472">
        <v>54100880</v>
      </c>
      <c r="D103" s="1405" t="s">
        <v>548</v>
      </c>
      <c r="E103" s="1414"/>
      <c r="F103" s="1414"/>
      <c r="G103" s="1414"/>
      <c r="H103" s="1706" t="e">
        <f t="shared" si="5"/>
        <v>#DIV/0!</v>
      </c>
    </row>
    <row r="104" spans="1:9" s="1292" customFormat="1" ht="15" hidden="1" x14ac:dyDescent="0.2">
      <c r="A104" s="1463">
        <v>3122</v>
      </c>
      <c r="B104" s="1469">
        <v>6121</v>
      </c>
      <c r="C104" s="1472">
        <v>54100884</v>
      </c>
      <c r="D104" s="1405" t="s">
        <v>548</v>
      </c>
      <c r="E104" s="1705"/>
      <c r="F104" s="1414"/>
      <c r="G104" s="1414"/>
      <c r="H104" s="1706" t="e">
        <f t="shared" si="5"/>
        <v>#DIV/0!</v>
      </c>
    </row>
    <row r="105" spans="1:9" ht="15" hidden="1" x14ac:dyDescent="0.2">
      <c r="A105" s="1463">
        <v>3122</v>
      </c>
      <c r="B105" s="1469">
        <v>6121</v>
      </c>
      <c r="C105" s="1472">
        <v>54190877</v>
      </c>
      <c r="D105" s="1405" t="s">
        <v>548</v>
      </c>
      <c r="E105" s="1414"/>
      <c r="F105" s="1414"/>
      <c r="G105" s="1414"/>
      <c r="H105" s="1706" t="e">
        <f t="shared" si="5"/>
        <v>#DIV/0!</v>
      </c>
    </row>
    <row r="106" spans="1:9" ht="15" hidden="1" x14ac:dyDescent="0.2">
      <c r="A106" s="1463">
        <v>3122</v>
      </c>
      <c r="B106" s="1469">
        <v>6121</v>
      </c>
      <c r="C106" s="1472">
        <v>54500871</v>
      </c>
      <c r="D106" s="1405" t="s">
        <v>548</v>
      </c>
      <c r="E106" s="1414"/>
      <c r="F106" s="1414"/>
      <c r="G106" s="1414"/>
      <c r="H106" s="1706" t="e">
        <f t="shared" si="5"/>
        <v>#DIV/0!</v>
      </c>
    </row>
    <row r="107" spans="1:9" ht="15" hidden="1" x14ac:dyDescent="0.2">
      <c r="A107" s="1463">
        <v>3122</v>
      </c>
      <c r="B107" s="1469">
        <v>6121</v>
      </c>
      <c r="C107" s="1472">
        <v>54515835</v>
      </c>
      <c r="D107" s="1405" t="s">
        <v>548</v>
      </c>
      <c r="E107" s="1414"/>
      <c r="F107" s="1414"/>
      <c r="G107" s="1414"/>
      <c r="H107" s="1390" t="e">
        <f t="shared" si="5"/>
        <v>#DIV/0!</v>
      </c>
    </row>
    <row r="108" spans="1:9" ht="15.75" hidden="1" thickBot="1" x14ac:dyDescent="0.25">
      <c r="A108" s="1463">
        <v>3122</v>
      </c>
      <c r="B108" s="1469">
        <v>6121</v>
      </c>
      <c r="C108" s="1472">
        <v>53500871</v>
      </c>
      <c r="D108" s="1405" t="s">
        <v>548</v>
      </c>
      <c r="E108" s="1414">
        <v>0</v>
      </c>
      <c r="F108" s="1414"/>
      <c r="G108" s="1414"/>
      <c r="H108" s="1396">
        <v>0</v>
      </c>
    </row>
    <row r="109" spans="1:9" s="1397" customFormat="1" ht="16.5" hidden="1" thickTop="1" thickBot="1" x14ac:dyDescent="0.3">
      <c r="A109" s="3219" t="s">
        <v>690</v>
      </c>
      <c r="B109" s="3220"/>
      <c r="C109" s="3220"/>
      <c r="D109" s="3220"/>
      <c r="E109" s="1387">
        <f>SUM(E96:E108)</f>
        <v>0</v>
      </c>
      <c r="F109" s="1387">
        <f>SUM(F96:F108)</f>
        <v>0</v>
      </c>
      <c r="G109" s="1387">
        <f>SUM(G96:G108)</f>
        <v>0</v>
      </c>
      <c r="H109" s="1391" t="e">
        <f>G109/F109*100</f>
        <v>#DIV/0!</v>
      </c>
      <c r="I109" s="1476"/>
    </row>
    <row r="110" spans="1:9" s="1397" customFormat="1" ht="15" hidden="1" x14ac:dyDescent="0.25">
      <c r="A110" s="1392"/>
      <c r="B110" s="1392"/>
      <c r="C110" s="1392"/>
      <c r="D110" s="1392"/>
      <c r="E110" s="1393"/>
      <c r="F110" s="1393"/>
      <c r="G110" s="1393"/>
      <c r="H110" s="1418"/>
      <c r="I110" s="1476"/>
    </row>
    <row r="111" spans="1:9" ht="18" hidden="1" x14ac:dyDescent="0.25">
      <c r="A111" s="1377" t="s">
        <v>85</v>
      </c>
      <c r="B111" s="1400"/>
      <c r="C111" s="1400"/>
      <c r="D111" s="1400"/>
      <c r="E111" s="1400"/>
      <c r="F111" s="1400"/>
      <c r="G111" s="1400"/>
      <c r="H111" s="1445"/>
    </row>
    <row r="112" spans="1:9" ht="15.75" hidden="1" x14ac:dyDescent="0.25">
      <c r="A112" s="1376" t="s">
        <v>86</v>
      </c>
      <c r="H112" s="1394" t="s">
        <v>148</v>
      </c>
    </row>
    <row r="113" spans="1:9" s="1292" customFormat="1" ht="25.5" hidden="1" thickTop="1" thickBot="1" x14ac:dyDescent="0.25">
      <c r="A113" s="1378" t="s">
        <v>149</v>
      </c>
      <c r="B113" s="1379" t="s">
        <v>688</v>
      </c>
      <c r="C113" s="1379" t="s">
        <v>345</v>
      </c>
      <c r="D113" s="1380" t="s">
        <v>151</v>
      </c>
      <c r="E113" s="1402" t="s">
        <v>569</v>
      </c>
      <c r="F113" s="1402" t="s">
        <v>570</v>
      </c>
      <c r="G113" s="1403" t="s">
        <v>797</v>
      </c>
      <c r="H113" s="1404" t="s">
        <v>798</v>
      </c>
    </row>
    <row r="114" spans="1:9" s="1292" customFormat="1" ht="13.5" hidden="1" thickTop="1" thickBot="1" x14ac:dyDescent="0.25">
      <c r="A114" s="1297">
        <v>1</v>
      </c>
      <c r="B114" s="1296">
        <v>2</v>
      </c>
      <c r="C114" s="1296">
        <v>3</v>
      </c>
      <c r="D114" s="1296">
        <v>4</v>
      </c>
      <c r="E114" s="1295">
        <v>5</v>
      </c>
      <c r="F114" s="1295">
        <v>6</v>
      </c>
      <c r="G114" s="1446">
        <v>7</v>
      </c>
      <c r="H114" s="1468" t="s">
        <v>54</v>
      </c>
    </row>
    <row r="115" spans="1:9" ht="15" hidden="1" x14ac:dyDescent="0.2">
      <c r="A115" s="1463">
        <v>3122</v>
      </c>
      <c r="B115" s="1469">
        <v>6121</v>
      </c>
      <c r="C115" s="1472">
        <v>54100870</v>
      </c>
      <c r="D115" s="1405" t="s">
        <v>548</v>
      </c>
      <c r="E115" s="1414"/>
      <c r="F115" s="1414"/>
      <c r="G115" s="1414"/>
      <c r="H115" s="1390" t="e">
        <f t="shared" ref="H115:H121" si="6">G115/F115*100</f>
        <v>#DIV/0!</v>
      </c>
    </row>
    <row r="116" spans="1:9" ht="15" hidden="1" x14ac:dyDescent="0.2">
      <c r="A116" s="1463">
        <v>3122</v>
      </c>
      <c r="B116" s="1469">
        <v>6121</v>
      </c>
      <c r="C116" s="1472">
        <v>54100874</v>
      </c>
      <c r="D116" s="1405" t="s">
        <v>548</v>
      </c>
      <c r="E116" s="1414"/>
      <c r="F116" s="1414"/>
      <c r="G116" s="1414"/>
      <c r="H116" s="1390" t="e">
        <f t="shared" si="6"/>
        <v>#DIV/0!</v>
      </c>
    </row>
    <row r="117" spans="1:9" ht="15" hidden="1" x14ac:dyDescent="0.2">
      <c r="A117" s="1463">
        <v>3122</v>
      </c>
      <c r="B117" s="1469">
        <v>6121</v>
      </c>
      <c r="C117" s="1472">
        <v>54100880</v>
      </c>
      <c r="D117" s="1405" t="s">
        <v>548</v>
      </c>
      <c r="E117" s="1414"/>
      <c r="F117" s="1414"/>
      <c r="G117" s="1414"/>
      <c r="H117" s="1390" t="e">
        <f t="shared" si="6"/>
        <v>#DIV/0!</v>
      </c>
    </row>
    <row r="118" spans="1:9" ht="15" hidden="1" x14ac:dyDescent="0.2">
      <c r="A118" s="1463">
        <v>3122</v>
      </c>
      <c r="B118" s="1469">
        <v>6121</v>
      </c>
      <c r="C118" s="1472">
        <v>54100884</v>
      </c>
      <c r="D118" s="1405" t="s">
        <v>548</v>
      </c>
      <c r="E118" s="1414"/>
      <c r="F118" s="1414"/>
      <c r="G118" s="1414"/>
      <c r="H118" s="1390" t="e">
        <f t="shared" si="6"/>
        <v>#DIV/0!</v>
      </c>
    </row>
    <row r="119" spans="1:9" ht="15" hidden="1" x14ac:dyDescent="0.2">
      <c r="A119" s="1463">
        <v>3122</v>
      </c>
      <c r="B119" s="1469">
        <v>6121</v>
      </c>
      <c r="C119" s="1472">
        <v>54190877</v>
      </c>
      <c r="D119" s="1405" t="s">
        <v>548</v>
      </c>
      <c r="E119" s="1414"/>
      <c r="F119" s="1414"/>
      <c r="G119" s="1414"/>
      <c r="H119" s="1390" t="e">
        <f t="shared" si="6"/>
        <v>#DIV/0!</v>
      </c>
    </row>
    <row r="120" spans="1:9" ht="15" hidden="1" x14ac:dyDescent="0.2">
      <c r="A120" s="1463">
        <v>3122</v>
      </c>
      <c r="B120" s="1469">
        <v>6121</v>
      </c>
      <c r="C120" s="1472">
        <v>54515835</v>
      </c>
      <c r="D120" s="1405" t="s">
        <v>548</v>
      </c>
      <c r="E120" s="1414"/>
      <c r="F120" s="1414"/>
      <c r="G120" s="1414"/>
      <c r="H120" s="1390" t="e">
        <f t="shared" si="6"/>
        <v>#DIV/0!</v>
      </c>
    </row>
    <row r="121" spans="1:9" s="1397" customFormat="1" ht="16.5" hidden="1" thickTop="1" thickBot="1" x14ac:dyDescent="0.3">
      <c r="A121" s="3219" t="s">
        <v>690</v>
      </c>
      <c r="B121" s="3220"/>
      <c r="C121" s="3220"/>
      <c r="D121" s="3220"/>
      <c r="E121" s="1387">
        <f>SUM(E115:E120)</f>
        <v>0</v>
      </c>
      <c r="F121" s="1387">
        <f>SUM(F115:F120)</f>
        <v>0</v>
      </c>
      <c r="G121" s="1387">
        <f>SUM(G115:G120)</f>
        <v>0</v>
      </c>
      <c r="H121" s="1391" t="e">
        <f t="shared" si="6"/>
        <v>#DIV/0!</v>
      </c>
      <c r="I121" s="1476"/>
    </row>
    <row r="122" spans="1:9" s="1397" customFormat="1" ht="15" hidden="1" x14ac:dyDescent="0.25">
      <c r="A122" s="1392"/>
      <c r="B122" s="1392"/>
      <c r="C122" s="1392"/>
      <c r="D122" s="1392"/>
      <c r="E122" s="1393"/>
      <c r="F122" s="1393"/>
      <c r="G122" s="1393"/>
      <c r="H122" s="1418"/>
      <c r="I122" s="1476"/>
    </row>
    <row r="123" spans="1:9" ht="18" hidden="1" x14ac:dyDescent="0.25">
      <c r="A123" s="1377" t="s">
        <v>1505</v>
      </c>
      <c r="B123" s="1400"/>
      <c r="C123" s="1400"/>
      <c r="D123" s="1400"/>
      <c r="E123" s="1400"/>
      <c r="F123" s="1400"/>
      <c r="G123" s="1400"/>
      <c r="H123" s="1445"/>
    </row>
    <row r="124" spans="1:9" ht="15.75" hidden="1" x14ac:dyDescent="0.25">
      <c r="A124" s="1376" t="s">
        <v>87</v>
      </c>
      <c r="H124" s="1394" t="s">
        <v>148</v>
      </c>
    </row>
    <row r="125" spans="1:9" s="1292" customFormat="1" ht="25.5" hidden="1" thickTop="1" thickBot="1" x14ac:dyDescent="0.25">
      <c r="A125" s="1378" t="s">
        <v>149</v>
      </c>
      <c r="B125" s="1379" t="s">
        <v>688</v>
      </c>
      <c r="C125" s="1379" t="s">
        <v>345</v>
      </c>
      <c r="D125" s="1380" t="s">
        <v>151</v>
      </c>
      <c r="E125" s="1402" t="s">
        <v>569</v>
      </c>
      <c r="F125" s="1402" t="s">
        <v>570</v>
      </c>
      <c r="G125" s="1403" t="s">
        <v>797</v>
      </c>
      <c r="H125" s="1404" t="s">
        <v>798</v>
      </c>
    </row>
    <row r="126" spans="1:9" s="1292" customFormat="1" ht="13.5" hidden="1" thickTop="1" thickBot="1" x14ac:dyDescent="0.25">
      <c r="A126" s="1297">
        <v>1</v>
      </c>
      <c r="B126" s="1296">
        <v>2</v>
      </c>
      <c r="C126" s="1296">
        <v>3</v>
      </c>
      <c r="D126" s="1296">
        <v>4</v>
      </c>
      <c r="E126" s="1295">
        <v>5</v>
      </c>
      <c r="F126" s="1295">
        <v>6</v>
      </c>
      <c r="G126" s="1446">
        <v>7</v>
      </c>
      <c r="H126" s="1468" t="s">
        <v>54</v>
      </c>
    </row>
    <row r="127" spans="1:9" ht="15.75" hidden="1" thickTop="1" x14ac:dyDescent="0.2">
      <c r="A127" s="1463">
        <v>3121</v>
      </c>
      <c r="B127" s="1469">
        <v>6121</v>
      </c>
      <c r="C127" s="1472">
        <v>54100870</v>
      </c>
      <c r="D127" s="1405" t="s">
        <v>548</v>
      </c>
      <c r="E127" s="1401"/>
      <c r="F127" s="1401"/>
      <c r="G127" s="1401"/>
      <c r="H127" s="1388" t="e">
        <f t="shared" ref="H127:H133" si="7">G127/F127*100</f>
        <v>#DIV/0!</v>
      </c>
    </row>
    <row r="128" spans="1:9" ht="15" hidden="1" x14ac:dyDescent="0.2">
      <c r="A128" s="1463">
        <v>3121</v>
      </c>
      <c r="B128" s="1469">
        <v>6121</v>
      </c>
      <c r="C128" s="1472">
        <v>54100874</v>
      </c>
      <c r="D128" s="1405" t="s">
        <v>548</v>
      </c>
      <c r="E128" s="1414"/>
      <c r="F128" s="1414"/>
      <c r="G128" s="1414"/>
      <c r="H128" s="1390" t="e">
        <f t="shared" si="7"/>
        <v>#DIV/0!</v>
      </c>
    </row>
    <row r="129" spans="1:9" ht="15" hidden="1" x14ac:dyDescent="0.2">
      <c r="A129" s="1463">
        <v>3121</v>
      </c>
      <c r="B129" s="1469">
        <v>6121</v>
      </c>
      <c r="C129" s="1472">
        <v>54100880</v>
      </c>
      <c r="D129" s="1405" t="s">
        <v>548</v>
      </c>
      <c r="E129" s="1414"/>
      <c r="F129" s="1414"/>
      <c r="G129" s="1414"/>
      <c r="H129" s="1390" t="e">
        <f t="shared" si="7"/>
        <v>#DIV/0!</v>
      </c>
    </row>
    <row r="130" spans="1:9" ht="15" hidden="1" x14ac:dyDescent="0.2">
      <c r="A130" s="1463">
        <v>3121</v>
      </c>
      <c r="B130" s="1469">
        <v>6121</v>
      </c>
      <c r="C130" s="1472">
        <v>54100884</v>
      </c>
      <c r="D130" s="1405" t="s">
        <v>548</v>
      </c>
      <c r="E130" s="1414"/>
      <c r="F130" s="1414"/>
      <c r="G130" s="1414"/>
      <c r="H130" s="1390" t="e">
        <f t="shared" si="7"/>
        <v>#DIV/0!</v>
      </c>
    </row>
    <row r="131" spans="1:9" ht="15" hidden="1" x14ac:dyDescent="0.2">
      <c r="A131" s="1463">
        <v>3121</v>
      </c>
      <c r="B131" s="1469">
        <v>6121</v>
      </c>
      <c r="C131" s="1472">
        <v>54190877</v>
      </c>
      <c r="D131" s="1405" t="s">
        <v>548</v>
      </c>
      <c r="E131" s="1414"/>
      <c r="F131" s="1414"/>
      <c r="G131" s="1414"/>
      <c r="H131" s="1390" t="e">
        <f t="shared" si="7"/>
        <v>#DIV/0!</v>
      </c>
    </row>
    <row r="132" spans="1:9" ht="15" hidden="1" x14ac:dyDescent="0.2">
      <c r="A132" s="1463">
        <v>3121</v>
      </c>
      <c r="B132" s="1469">
        <v>6121</v>
      </c>
      <c r="C132" s="1472">
        <v>54515835</v>
      </c>
      <c r="D132" s="1405" t="s">
        <v>548</v>
      </c>
      <c r="E132" s="1414"/>
      <c r="F132" s="1414"/>
      <c r="G132" s="1414"/>
      <c r="H132" s="1390" t="e">
        <f t="shared" si="7"/>
        <v>#DIV/0!</v>
      </c>
    </row>
    <row r="133" spans="1:9" s="1397" customFormat="1" ht="16.5" hidden="1" thickTop="1" thickBot="1" x14ac:dyDescent="0.3">
      <c r="A133" s="3219" t="s">
        <v>690</v>
      </c>
      <c r="B133" s="3220"/>
      <c r="C133" s="3220"/>
      <c r="D133" s="3220"/>
      <c r="E133" s="1387">
        <f>SUM(E127:E132)</f>
        <v>0</v>
      </c>
      <c r="F133" s="1387">
        <f>SUM(F127:F132)</f>
        <v>0</v>
      </c>
      <c r="G133" s="1387">
        <f>SUM(G127:G132)</f>
        <v>0</v>
      </c>
      <c r="H133" s="1391" t="e">
        <f t="shared" si="7"/>
        <v>#DIV/0!</v>
      </c>
      <c r="I133" s="1476"/>
    </row>
    <row r="134" spans="1:9" hidden="1" x14ac:dyDescent="0.2"/>
    <row r="135" spans="1:9" ht="18" hidden="1" x14ac:dyDescent="0.25">
      <c r="A135" s="1377" t="s">
        <v>88</v>
      </c>
      <c r="B135" s="1400"/>
      <c r="C135" s="1400"/>
      <c r="D135" s="1400"/>
      <c r="E135" s="1400"/>
      <c r="F135" s="1400"/>
      <c r="G135" s="1400"/>
      <c r="H135" s="1445"/>
    </row>
    <row r="136" spans="1:9" ht="15.75" hidden="1" x14ac:dyDescent="0.25">
      <c r="A136" s="1376" t="s">
        <v>89</v>
      </c>
      <c r="H136" s="1394" t="s">
        <v>148</v>
      </c>
    </row>
    <row r="137" spans="1:9" s="1292" customFormat="1" ht="25.5" hidden="1" thickTop="1" thickBot="1" x14ac:dyDescent="0.25">
      <c r="A137" s="1378" t="s">
        <v>149</v>
      </c>
      <c r="B137" s="1379" t="s">
        <v>688</v>
      </c>
      <c r="C137" s="1379" t="s">
        <v>345</v>
      </c>
      <c r="D137" s="1380" t="s">
        <v>151</v>
      </c>
      <c r="E137" s="1402" t="s">
        <v>569</v>
      </c>
      <c r="F137" s="1402" t="s">
        <v>570</v>
      </c>
      <c r="G137" s="1403" t="s">
        <v>797</v>
      </c>
      <c r="H137" s="1404" t="s">
        <v>798</v>
      </c>
    </row>
    <row r="138" spans="1:9" s="1292" customFormat="1" ht="13.5" hidden="1" thickTop="1" thickBot="1" x14ac:dyDescent="0.25">
      <c r="A138" s="1297">
        <v>1</v>
      </c>
      <c r="B138" s="1296">
        <v>2</v>
      </c>
      <c r="C138" s="1296">
        <v>3</v>
      </c>
      <c r="D138" s="1296">
        <v>4</v>
      </c>
      <c r="E138" s="1295">
        <v>5</v>
      </c>
      <c r="F138" s="1295">
        <v>6</v>
      </c>
      <c r="G138" s="1446">
        <v>7</v>
      </c>
      <c r="H138" s="1468" t="s">
        <v>54</v>
      </c>
    </row>
    <row r="139" spans="1:9" ht="15" hidden="1" x14ac:dyDescent="0.2">
      <c r="A139" s="1463">
        <v>3122</v>
      </c>
      <c r="B139" s="1469">
        <v>6121</v>
      </c>
      <c r="C139" s="1472">
        <v>53100870</v>
      </c>
      <c r="D139" s="1405" t="s">
        <v>548</v>
      </c>
      <c r="E139" s="1414"/>
      <c r="F139" s="1414"/>
      <c r="G139" s="1414"/>
      <c r="H139" s="1390">
        <v>0</v>
      </c>
    </row>
    <row r="140" spans="1:9" ht="15" hidden="1" x14ac:dyDescent="0.2">
      <c r="A140" s="1463">
        <v>3122</v>
      </c>
      <c r="B140" s="1469">
        <v>6121</v>
      </c>
      <c r="C140" s="1472">
        <v>53100872</v>
      </c>
      <c r="D140" s="1405" t="s">
        <v>548</v>
      </c>
      <c r="E140" s="1414"/>
      <c r="F140" s="1414"/>
      <c r="G140" s="1414"/>
      <c r="H140" s="1390">
        <v>0</v>
      </c>
    </row>
    <row r="141" spans="1:9" ht="15" hidden="1" x14ac:dyDescent="0.2">
      <c r="A141" s="1463">
        <v>3122</v>
      </c>
      <c r="B141" s="1469">
        <v>6121</v>
      </c>
      <c r="C141" s="1472">
        <v>53500871</v>
      </c>
      <c r="D141" s="1405" t="s">
        <v>548</v>
      </c>
      <c r="E141" s="1414"/>
      <c r="F141" s="1414"/>
      <c r="G141" s="1414"/>
      <c r="H141" s="1390" t="e">
        <f t="shared" ref="H141:H147" si="8">G141/F141*100</f>
        <v>#DIV/0!</v>
      </c>
    </row>
    <row r="142" spans="1:9" ht="15" hidden="1" x14ac:dyDescent="0.2">
      <c r="A142" s="1463">
        <v>3122</v>
      </c>
      <c r="B142" s="1469">
        <v>6121</v>
      </c>
      <c r="C142" s="1472">
        <v>54100870</v>
      </c>
      <c r="D142" s="1405" t="s">
        <v>548</v>
      </c>
      <c r="E142" s="1414"/>
      <c r="F142" s="1414"/>
      <c r="G142" s="1414"/>
      <c r="H142" s="1390" t="e">
        <f t="shared" si="8"/>
        <v>#DIV/0!</v>
      </c>
    </row>
    <row r="143" spans="1:9" ht="15" hidden="1" x14ac:dyDescent="0.2">
      <c r="A143" s="1463">
        <v>3122</v>
      </c>
      <c r="B143" s="1469">
        <v>6121</v>
      </c>
      <c r="C143" s="1472">
        <v>54100874</v>
      </c>
      <c r="D143" s="1405" t="s">
        <v>548</v>
      </c>
      <c r="E143" s="1414"/>
      <c r="F143" s="1414"/>
      <c r="G143" s="1414"/>
      <c r="H143" s="1390" t="e">
        <f t="shared" si="8"/>
        <v>#DIV/0!</v>
      </c>
    </row>
    <row r="144" spans="1:9" ht="15" hidden="1" x14ac:dyDescent="0.2">
      <c r="A144" s="1463">
        <v>3122</v>
      </c>
      <c r="B144" s="1469">
        <v>6121</v>
      </c>
      <c r="C144" s="1472">
        <v>54100880</v>
      </c>
      <c r="D144" s="1405" t="s">
        <v>548</v>
      </c>
      <c r="E144" s="1414"/>
      <c r="F144" s="1414"/>
      <c r="G144" s="1414"/>
      <c r="H144" s="1390" t="e">
        <f t="shared" si="8"/>
        <v>#DIV/0!</v>
      </c>
    </row>
    <row r="145" spans="1:9" ht="15" hidden="1" x14ac:dyDescent="0.2">
      <c r="A145" s="1463">
        <v>3122</v>
      </c>
      <c r="B145" s="1469">
        <v>6121</v>
      </c>
      <c r="C145" s="1472">
        <v>54100884</v>
      </c>
      <c r="D145" s="1405" t="s">
        <v>548</v>
      </c>
      <c r="E145" s="1414"/>
      <c r="F145" s="1414"/>
      <c r="G145" s="1414"/>
      <c r="H145" s="1390" t="e">
        <f t="shared" si="8"/>
        <v>#DIV/0!</v>
      </c>
    </row>
    <row r="146" spans="1:9" ht="15" hidden="1" x14ac:dyDescent="0.2">
      <c r="A146" s="1463">
        <v>3122</v>
      </c>
      <c r="B146" s="1469">
        <v>6121</v>
      </c>
      <c r="C146" s="1472">
        <v>54190877</v>
      </c>
      <c r="D146" s="1405" t="s">
        <v>548</v>
      </c>
      <c r="E146" s="1414"/>
      <c r="F146" s="1414"/>
      <c r="G146" s="1414"/>
      <c r="H146" s="1390" t="e">
        <f t="shared" si="8"/>
        <v>#DIV/0!</v>
      </c>
    </row>
    <row r="147" spans="1:9" ht="15" hidden="1" x14ac:dyDescent="0.2">
      <c r="A147" s="1463">
        <v>3122</v>
      </c>
      <c r="B147" s="1469">
        <v>6121</v>
      </c>
      <c r="C147" s="1472">
        <v>54515835</v>
      </c>
      <c r="D147" s="1405" t="s">
        <v>548</v>
      </c>
      <c r="E147" s="1414"/>
      <c r="F147" s="1414"/>
      <c r="G147" s="1414"/>
      <c r="H147" s="1390" t="e">
        <f t="shared" si="8"/>
        <v>#DIV/0!</v>
      </c>
    </row>
    <row r="148" spans="1:9" ht="15.75" hidden="1" thickBot="1" x14ac:dyDescent="0.25">
      <c r="A148" s="1463">
        <v>3122</v>
      </c>
      <c r="B148" s="1469">
        <v>6121</v>
      </c>
      <c r="C148" s="1472">
        <v>53500871</v>
      </c>
      <c r="D148" s="1405" t="s">
        <v>548</v>
      </c>
      <c r="E148" s="1414">
        <v>0</v>
      </c>
      <c r="F148" s="1414"/>
      <c r="G148" s="1414"/>
      <c r="H148" s="1396">
        <v>0</v>
      </c>
    </row>
    <row r="149" spans="1:9" s="1397" customFormat="1" ht="16.5" hidden="1" thickTop="1" thickBot="1" x14ac:dyDescent="0.3">
      <c r="A149" s="3219" t="s">
        <v>690</v>
      </c>
      <c r="B149" s="3220"/>
      <c r="C149" s="3220"/>
      <c r="D149" s="3220"/>
      <c r="E149" s="1387">
        <f>SUM(E139:E148)</f>
        <v>0</v>
      </c>
      <c r="F149" s="1387">
        <f>SUM(F139:F148)</f>
        <v>0</v>
      </c>
      <c r="G149" s="1387">
        <f>SUM(G139:G148)</f>
        <v>0</v>
      </c>
      <c r="H149" s="1391" t="e">
        <f>G149/F149*100</f>
        <v>#DIV/0!</v>
      </c>
      <c r="I149" s="1476"/>
    </row>
    <row r="150" spans="1:9" s="1397" customFormat="1" ht="15" hidden="1" x14ac:dyDescent="0.25">
      <c r="A150" s="1392"/>
      <c r="B150" s="1392"/>
      <c r="C150" s="1392"/>
      <c r="D150" s="1392"/>
      <c r="E150" s="1393"/>
      <c r="F150" s="1393"/>
      <c r="G150" s="1393"/>
      <c r="H150" s="1418"/>
      <c r="I150" s="1476"/>
    </row>
    <row r="151" spans="1:9" ht="18" hidden="1" x14ac:dyDescent="0.25">
      <c r="A151" s="1377" t="s">
        <v>1414</v>
      </c>
      <c r="B151" s="1400"/>
      <c r="C151" s="1400"/>
      <c r="D151" s="1400"/>
      <c r="E151" s="1400"/>
      <c r="F151" s="1400"/>
      <c r="G151" s="1400"/>
      <c r="H151" s="1445"/>
    </row>
    <row r="152" spans="1:9" ht="15.75" hidden="1" x14ac:dyDescent="0.25">
      <c r="A152" s="1376" t="s">
        <v>90</v>
      </c>
      <c r="H152" s="1394" t="s">
        <v>148</v>
      </c>
    </row>
    <row r="153" spans="1:9" s="1292" customFormat="1" ht="25.5" hidden="1" thickTop="1" thickBot="1" x14ac:dyDescent="0.25">
      <c r="A153" s="1378" t="s">
        <v>149</v>
      </c>
      <c r="B153" s="1379" t="s">
        <v>688</v>
      </c>
      <c r="C153" s="1379" t="s">
        <v>345</v>
      </c>
      <c r="D153" s="1380" t="s">
        <v>151</v>
      </c>
      <c r="E153" s="1402" t="s">
        <v>569</v>
      </c>
      <c r="F153" s="1402" t="s">
        <v>570</v>
      </c>
      <c r="G153" s="1403" t="s">
        <v>797</v>
      </c>
      <c r="H153" s="1404" t="s">
        <v>798</v>
      </c>
    </row>
    <row r="154" spans="1:9" s="1292" customFormat="1" ht="13.5" hidden="1" thickTop="1" thickBot="1" x14ac:dyDescent="0.25">
      <c r="A154" s="1297">
        <v>1</v>
      </c>
      <c r="B154" s="1296">
        <v>2</v>
      </c>
      <c r="C154" s="1296">
        <v>3</v>
      </c>
      <c r="D154" s="1296">
        <v>4</v>
      </c>
      <c r="E154" s="1295">
        <v>5</v>
      </c>
      <c r="F154" s="1295">
        <v>6</v>
      </c>
      <c r="G154" s="1446">
        <v>7</v>
      </c>
      <c r="H154" s="1468" t="s">
        <v>54</v>
      </c>
    </row>
    <row r="155" spans="1:9" ht="15.75" hidden="1" thickTop="1" x14ac:dyDescent="0.2">
      <c r="A155" s="1463">
        <v>3122</v>
      </c>
      <c r="B155" s="1469">
        <v>6121</v>
      </c>
      <c r="C155" s="1472">
        <v>54100870</v>
      </c>
      <c r="D155" s="1405" t="s">
        <v>548</v>
      </c>
      <c r="E155" s="1401"/>
      <c r="F155" s="1401"/>
      <c r="G155" s="1401"/>
      <c r="H155" s="1388" t="e">
        <f t="shared" ref="H155:H161" si="9">G155/F155*100</f>
        <v>#DIV/0!</v>
      </c>
    </row>
    <row r="156" spans="1:9" ht="15" hidden="1" x14ac:dyDescent="0.2">
      <c r="A156" s="1463">
        <v>3122</v>
      </c>
      <c r="B156" s="1469">
        <v>6121</v>
      </c>
      <c r="C156" s="1472">
        <v>54100874</v>
      </c>
      <c r="D156" s="1405" t="s">
        <v>548</v>
      </c>
      <c r="E156" s="1414"/>
      <c r="F156" s="1414"/>
      <c r="G156" s="1414"/>
      <c r="H156" s="1390" t="e">
        <f t="shared" si="9"/>
        <v>#DIV/0!</v>
      </c>
    </row>
    <row r="157" spans="1:9" ht="15" hidden="1" x14ac:dyDescent="0.2">
      <c r="A157" s="1463">
        <v>3122</v>
      </c>
      <c r="B157" s="1469">
        <v>6121</v>
      </c>
      <c r="C157" s="1472">
        <v>54100880</v>
      </c>
      <c r="D157" s="1405" t="s">
        <v>548</v>
      </c>
      <c r="E157" s="1414"/>
      <c r="F157" s="1414"/>
      <c r="G157" s="1414"/>
      <c r="H157" s="1390" t="e">
        <f t="shared" si="9"/>
        <v>#DIV/0!</v>
      </c>
    </row>
    <row r="158" spans="1:9" ht="15" hidden="1" x14ac:dyDescent="0.2">
      <c r="A158" s="1463">
        <v>3122</v>
      </c>
      <c r="B158" s="1469">
        <v>6121</v>
      </c>
      <c r="C158" s="1472">
        <v>54100884</v>
      </c>
      <c r="D158" s="1405" t="s">
        <v>548</v>
      </c>
      <c r="E158" s="1414"/>
      <c r="F158" s="1414"/>
      <c r="G158" s="1414"/>
      <c r="H158" s="1390" t="e">
        <f t="shared" si="9"/>
        <v>#DIV/0!</v>
      </c>
    </row>
    <row r="159" spans="1:9" ht="15" hidden="1" x14ac:dyDescent="0.2">
      <c r="A159" s="1463">
        <v>3122</v>
      </c>
      <c r="B159" s="1469">
        <v>6121</v>
      </c>
      <c r="C159" s="1472">
        <v>54190877</v>
      </c>
      <c r="D159" s="1405" t="s">
        <v>548</v>
      </c>
      <c r="E159" s="1414"/>
      <c r="F159" s="1414"/>
      <c r="G159" s="1414"/>
      <c r="H159" s="1390" t="e">
        <f t="shared" si="9"/>
        <v>#DIV/0!</v>
      </c>
    </row>
    <row r="160" spans="1:9" ht="15" hidden="1" x14ac:dyDescent="0.2">
      <c r="A160" s="1463">
        <v>3122</v>
      </c>
      <c r="B160" s="1469">
        <v>6121</v>
      </c>
      <c r="C160" s="1472">
        <v>54515835</v>
      </c>
      <c r="D160" s="1405" t="s">
        <v>548</v>
      </c>
      <c r="E160" s="1414"/>
      <c r="F160" s="1414"/>
      <c r="G160" s="1414"/>
      <c r="H160" s="1390" t="e">
        <f t="shared" si="9"/>
        <v>#DIV/0!</v>
      </c>
    </row>
    <row r="161" spans="1:9" s="1397" customFormat="1" ht="16.5" hidden="1" thickTop="1" thickBot="1" x14ac:dyDescent="0.3">
      <c r="A161" s="3219" t="s">
        <v>690</v>
      </c>
      <c r="B161" s="3220"/>
      <c r="C161" s="3220"/>
      <c r="D161" s="3220"/>
      <c r="E161" s="1387">
        <f>SUM(E155:E160)</f>
        <v>0</v>
      </c>
      <c r="F161" s="1387">
        <f>SUM(F155:F160)</f>
        <v>0</v>
      </c>
      <c r="G161" s="1387">
        <f>SUM(G155:G160)</f>
        <v>0</v>
      </c>
      <c r="H161" s="1391" t="e">
        <f t="shared" si="9"/>
        <v>#DIV/0!</v>
      </c>
      <c r="I161" s="1476"/>
    </row>
    <row r="162" spans="1:9" s="1397" customFormat="1" ht="15" hidden="1" x14ac:dyDescent="0.25">
      <c r="A162" s="1392"/>
      <c r="B162" s="1392"/>
      <c r="C162" s="1392"/>
      <c r="D162" s="1392"/>
      <c r="E162" s="1393"/>
      <c r="F162" s="1393"/>
      <c r="G162" s="1393"/>
      <c r="H162" s="1418"/>
      <c r="I162" s="1476"/>
    </row>
    <row r="163" spans="1:9" ht="18" hidden="1" x14ac:dyDescent="0.25">
      <c r="A163" s="1377" t="s">
        <v>91</v>
      </c>
      <c r="B163" s="1400"/>
      <c r="C163" s="1400"/>
      <c r="D163" s="1400"/>
      <c r="E163" s="1400"/>
      <c r="F163" s="1400"/>
      <c r="G163" s="1400"/>
      <c r="H163" s="1445"/>
    </row>
    <row r="164" spans="1:9" ht="15.75" hidden="1" x14ac:dyDescent="0.25">
      <c r="A164" s="1376" t="s">
        <v>92</v>
      </c>
      <c r="H164" s="1394" t="s">
        <v>148</v>
      </c>
    </row>
    <row r="165" spans="1:9" s="1292" customFormat="1" ht="25.5" hidden="1" thickTop="1" thickBot="1" x14ac:dyDescent="0.25">
      <c r="A165" s="1378" t="s">
        <v>149</v>
      </c>
      <c r="B165" s="1379" t="s">
        <v>688</v>
      </c>
      <c r="C165" s="1379" t="s">
        <v>345</v>
      </c>
      <c r="D165" s="1380" t="s">
        <v>151</v>
      </c>
      <c r="E165" s="1402" t="s">
        <v>569</v>
      </c>
      <c r="F165" s="1402" t="s">
        <v>570</v>
      </c>
      <c r="G165" s="1403" t="s">
        <v>797</v>
      </c>
      <c r="H165" s="1404" t="s">
        <v>798</v>
      </c>
    </row>
    <row r="166" spans="1:9" s="1292" customFormat="1" ht="13.5" hidden="1" thickTop="1" thickBot="1" x14ac:dyDescent="0.25">
      <c r="A166" s="1297">
        <v>1</v>
      </c>
      <c r="B166" s="1296">
        <v>2</v>
      </c>
      <c r="C166" s="1296">
        <v>3</v>
      </c>
      <c r="D166" s="1296">
        <v>4</v>
      </c>
      <c r="E166" s="1295">
        <v>5</v>
      </c>
      <c r="F166" s="1295">
        <v>6</v>
      </c>
      <c r="G166" s="1446">
        <v>7</v>
      </c>
      <c r="H166" s="1468" t="s">
        <v>54</v>
      </c>
    </row>
    <row r="167" spans="1:9" ht="15" hidden="1" x14ac:dyDescent="0.2">
      <c r="A167" s="1463">
        <v>3122</v>
      </c>
      <c r="B167" s="1469">
        <v>6121</v>
      </c>
      <c r="C167" s="1472">
        <v>53100870</v>
      </c>
      <c r="D167" s="1405" t="s">
        <v>548</v>
      </c>
      <c r="E167" s="1414"/>
      <c r="F167" s="1414"/>
      <c r="G167" s="1414"/>
      <c r="H167" s="1390" t="e">
        <f t="shared" ref="H167:H175" si="10">G167/F167*100</f>
        <v>#DIV/0!</v>
      </c>
    </row>
    <row r="168" spans="1:9" ht="15" hidden="1" x14ac:dyDescent="0.2">
      <c r="A168" s="1463">
        <v>3122</v>
      </c>
      <c r="B168" s="1469">
        <v>6121</v>
      </c>
      <c r="C168" s="1472">
        <v>53100872</v>
      </c>
      <c r="D168" s="1405" t="s">
        <v>548</v>
      </c>
      <c r="E168" s="1414"/>
      <c r="F168" s="1414"/>
      <c r="G168" s="1414"/>
      <c r="H168" s="1390" t="e">
        <f t="shared" si="10"/>
        <v>#DIV/0!</v>
      </c>
    </row>
    <row r="169" spans="1:9" ht="15" hidden="1" x14ac:dyDescent="0.2">
      <c r="A169" s="1463">
        <v>3122</v>
      </c>
      <c r="B169" s="1469">
        <v>6121</v>
      </c>
      <c r="C169" s="1472">
        <v>5310874</v>
      </c>
      <c r="D169" s="1405" t="s">
        <v>548</v>
      </c>
      <c r="E169" s="1414"/>
      <c r="F169" s="1414"/>
      <c r="G169" s="1414"/>
      <c r="H169" s="1390" t="e">
        <f t="shared" si="10"/>
        <v>#DIV/0!</v>
      </c>
    </row>
    <row r="170" spans="1:9" ht="15" hidden="1" x14ac:dyDescent="0.2">
      <c r="A170" s="1463">
        <v>3122</v>
      </c>
      <c r="B170" s="1469">
        <v>6121</v>
      </c>
      <c r="C170" s="1472">
        <v>53500871</v>
      </c>
      <c r="D170" s="1405" t="s">
        <v>548</v>
      </c>
      <c r="E170" s="1414"/>
      <c r="F170" s="1414"/>
      <c r="G170" s="1414"/>
      <c r="H170" s="1390" t="e">
        <f t="shared" si="10"/>
        <v>#DIV/0!</v>
      </c>
    </row>
    <row r="171" spans="1:9" ht="15" hidden="1" x14ac:dyDescent="0.2">
      <c r="A171" s="1463">
        <v>3122</v>
      </c>
      <c r="B171" s="1469">
        <v>6121</v>
      </c>
      <c r="C171" s="1472">
        <v>54100870</v>
      </c>
      <c r="D171" s="1405" t="s">
        <v>548</v>
      </c>
      <c r="E171" s="1414"/>
      <c r="F171" s="1414"/>
      <c r="G171" s="1414"/>
      <c r="H171" s="1390" t="e">
        <f t="shared" si="10"/>
        <v>#DIV/0!</v>
      </c>
    </row>
    <row r="172" spans="1:9" ht="15" hidden="1" x14ac:dyDescent="0.2">
      <c r="A172" s="1463">
        <v>3122</v>
      </c>
      <c r="B172" s="1469">
        <v>6121</v>
      </c>
      <c r="C172" s="1472">
        <v>54100874</v>
      </c>
      <c r="D172" s="1405" t="s">
        <v>548</v>
      </c>
      <c r="E172" s="1414"/>
      <c r="F172" s="1414"/>
      <c r="G172" s="1414"/>
      <c r="H172" s="1390" t="e">
        <f t="shared" si="10"/>
        <v>#DIV/0!</v>
      </c>
    </row>
    <row r="173" spans="1:9" ht="15" hidden="1" x14ac:dyDescent="0.2">
      <c r="A173" s="1463">
        <v>3122</v>
      </c>
      <c r="B173" s="1469">
        <v>6121</v>
      </c>
      <c r="C173" s="1472">
        <v>54100880</v>
      </c>
      <c r="D173" s="1405" t="s">
        <v>548</v>
      </c>
      <c r="E173" s="1414"/>
      <c r="F173" s="1414"/>
      <c r="G173" s="1414"/>
      <c r="H173" s="1390" t="e">
        <f t="shared" si="10"/>
        <v>#DIV/0!</v>
      </c>
    </row>
    <row r="174" spans="1:9" ht="15" hidden="1" x14ac:dyDescent="0.2">
      <c r="A174" s="1463">
        <v>3122</v>
      </c>
      <c r="B174" s="1469">
        <v>6121</v>
      </c>
      <c r="C174" s="1472">
        <v>54100884</v>
      </c>
      <c r="D174" s="1405" t="s">
        <v>548</v>
      </c>
      <c r="E174" s="1414"/>
      <c r="F174" s="1414"/>
      <c r="G174" s="1414"/>
      <c r="H174" s="1390" t="e">
        <f t="shared" si="10"/>
        <v>#DIV/0!</v>
      </c>
    </row>
    <row r="175" spans="1:9" ht="15" hidden="1" x14ac:dyDescent="0.2">
      <c r="A175" s="1463">
        <v>3122</v>
      </c>
      <c r="B175" s="1469">
        <v>6121</v>
      </c>
      <c r="C175" s="1472">
        <v>54190877</v>
      </c>
      <c r="D175" s="1405" t="s">
        <v>548</v>
      </c>
      <c r="E175" s="1414"/>
      <c r="F175" s="1414"/>
      <c r="G175" s="1414"/>
      <c r="H175" s="1390" t="e">
        <f t="shared" si="10"/>
        <v>#DIV/0!</v>
      </c>
    </row>
    <row r="176" spans="1:9" ht="15.75" hidden="1" thickBot="1" x14ac:dyDescent="0.25">
      <c r="A176" s="1463">
        <v>3122</v>
      </c>
      <c r="B176" s="1469">
        <v>6121</v>
      </c>
      <c r="C176" s="1472">
        <v>54515835</v>
      </c>
      <c r="D176" s="1405" t="s">
        <v>548</v>
      </c>
      <c r="E176" s="1414"/>
      <c r="F176" s="1414"/>
      <c r="G176" s="1414"/>
      <c r="H176" s="1396">
        <v>0</v>
      </c>
    </row>
    <row r="177" spans="1:9" s="1397" customFormat="1" ht="16.5" hidden="1" thickTop="1" thickBot="1" x14ac:dyDescent="0.3">
      <c r="A177" s="3219" t="s">
        <v>690</v>
      </c>
      <c r="B177" s="3220"/>
      <c r="C177" s="3220"/>
      <c r="D177" s="3220"/>
      <c r="E177" s="1387">
        <f>SUM(E167:E176)</f>
        <v>0</v>
      </c>
      <c r="F177" s="1387">
        <f>SUM(F167:F176)</f>
        <v>0</v>
      </c>
      <c r="G177" s="1387">
        <f>SUM(G167:G176)</f>
        <v>0</v>
      </c>
      <c r="H177" s="1391" t="e">
        <f>G177/F177*100</f>
        <v>#DIV/0!</v>
      </c>
      <c r="I177" s="1476"/>
    </row>
    <row r="178" spans="1:9" s="1397" customFormat="1" ht="15" hidden="1" x14ac:dyDescent="0.25">
      <c r="A178" s="1392"/>
      <c r="B178" s="1392"/>
      <c r="C178" s="1392"/>
      <c r="D178" s="1392"/>
      <c r="E178" s="1393"/>
      <c r="F178" s="1393"/>
      <c r="G178" s="1393"/>
      <c r="H178" s="1418"/>
      <c r="I178" s="1476"/>
    </row>
    <row r="179" spans="1:9" ht="18" hidden="1" x14ac:dyDescent="0.25">
      <c r="A179" s="1377" t="s">
        <v>93</v>
      </c>
      <c r="B179" s="1400"/>
      <c r="C179" s="1400"/>
      <c r="D179" s="1400"/>
      <c r="E179" s="1400"/>
      <c r="F179" s="1400"/>
      <c r="G179" s="1400"/>
      <c r="H179" s="1445"/>
    </row>
    <row r="180" spans="1:9" ht="15.75" hidden="1" x14ac:dyDescent="0.25">
      <c r="A180" s="1376" t="s">
        <v>94</v>
      </c>
      <c r="H180" s="1394" t="s">
        <v>148</v>
      </c>
    </row>
    <row r="181" spans="1:9" s="1292" customFormat="1" ht="25.5" hidden="1" thickTop="1" thickBot="1" x14ac:dyDescent="0.25">
      <c r="A181" s="1378" t="s">
        <v>149</v>
      </c>
      <c r="B181" s="1379" t="s">
        <v>688</v>
      </c>
      <c r="C181" s="1379" t="s">
        <v>345</v>
      </c>
      <c r="D181" s="1380" t="s">
        <v>151</v>
      </c>
      <c r="E181" s="1402" t="s">
        <v>569</v>
      </c>
      <c r="F181" s="1402" t="s">
        <v>570</v>
      </c>
      <c r="G181" s="1403" t="s">
        <v>797</v>
      </c>
      <c r="H181" s="1404" t="s">
        <v>798</v>
      </c>
    </row>
    <row r="182" spans="1:9" s="1292" customFormat="1" ht="13.5" hidden="1" thickTop="1" thickBot="1" x14ac:dyDescent="0.25">
      <c r="A182" s="1297">
        <v>1</v>
      </c>
      <c r="B182" s="1296">
        <v>2</v>
      </c>
      <c r="C182" s="1296">
        <v>3</v>
      </c>
      <c r="D182" s="1296">
        <v>4</v>
      </c>
      <c r="E182" s="1295">
        <v>5</v>
      </c>
      <c r="F182" s="1295">
        <v>6</v>
      </c>
      <c r="G182" s="1446">
        <v>7</v>
      </c>
      <c r="H182" s="1468" t="s">
        <v>54</v>
      </c>
    </row>
    <row r="183" spans="1:9" ht="15" hidden="1" x14ac:dyDescent="0.2">
      <c r="A183" s="1463">
        <v>3122</v>
      </c>
      <c r="B183" s="1469">
        <v>6121</v>
      </c>
      <c r="C183" s="1472">
        <v>53100870</v>
      </c>
      <c r="D183" s="1405" t="s">
        <v>548</v>
      </c>
      <c r="E183" s="1414"/>
      <c r="F183" s="1414"/>
      <c r="G183" s="1414"/>
      <c r="H183" s="1390" t="e">
        <f t="shared" ref="H183:H190" si="11">G183/F183*100</f>
        <v>#DIV/0!</v>
      </c>
    </row>
    <row r="184" spans="1:9" ht="15" hidden="1" x14ac:dyDescent="0.2">
      <c r="A184" s="1463">
        <v>3122</v>
      </c>
      <c r="B184" s="1469">
        <v>6121</v>
      </c>
      <c r="C184" s="1472">
        <v>53100872</v>
      </c>
      <c r="D184" s="1405" t="s">
        <v>548</v>
      </c>
      <c r="E184" s="1414"/>
      <c r="F184" s="1414"/>
      <c r="G184" s="1414"/>
      <c r="H184" s="1390" t="e">
        <f t="shared" si="11"/>
        <v>#DIV/0!</v>
      </c>
    </row>
    <row r="185" spans="1:9" ht="15" hidden="1" x14ac:dyDescent="0.2">
      <c r="A185" s="1463">
        <v>3122</v>
      </c>
      <c r="B185" s="1469">
        <v>6121</v>
      </c>
      <c r="C185" s="1472">
        <v>53500871</v>
      </c>
      <c r="D185" s="1405" t="s">
        <v>548</v>
      </c>
      <c r="E185" s="1414"/>
      <c r="F185" s="1414"/>
      <c r="G185" s="1414"/>
      <c r="H185" s="1390" t="e">
        <f t="shared" si="11"/>
        <v>#DIV/0!</v>
      </c>
    </row>
    <row r="186" spans="1:9" ht="15" hidden="1" x14ac:dyDescent="0.2">
      <c r="A186" s="1463">
        <v>3122</v>
      </c>
      <c r="B186" s="1469">
        <v>6121</v>
      </c>
      <c r="C186" s="1472">
        <v>54100870</v>
      </c>
      <c r="D186" s="1405" t="s">
        <v>548</v>
      </c>
      <c r="E186" s="1414"/>
      <c r="F186" s="1414"/>
      <c r="G186" s="1414"/>
      <c r="H186" s="1390" t="e">
        <f t="shared" si="11"/>
        <v>#DIV/0!</v>
      </c>
    </row>
    <row r="187" spans="1:9" ht="15" hidden="1" x14ac:dyDescent="0.2">
      <c r="A187" s="1463">
        <v>3122</v>
      </c>
      <c r="B187" s="1469">
        <v>6121</v>
      </c>
      <c r="C187" s="1472">
        <v>54100874</v>
      </c>
      <c r="D187" s="1405" t="s">
        <v>548</v>
      </c>
      <c r="E187" s="1414"/>
      <c r="F187" s="1414"/>
      <c r="G187" s="1414"/>
      <c r="H187" s="1390" t="e">
        <f t="shared" si="11"/>
        <v>#DIV/0!</v>
      </c>
    </row>
    <row r="188" spans="1:9" ht="15" hidden="1" x14ac:dyDescent="0.2">
      <c r="A188" s="1463">
        <v>3122</v>
      </c>
      <c r="B188" s="1469">
        <v>6121</v>
      </c>
      <c r="C188" s="1472">
        <v>54100880</v>
      </c>
      <c r="D188" s="1405" t="s">
        <v>548</v>
      </c>
      <c r="E188" s="1414"/>
      <c r="F188" s="1414"/>
      <c r="G188" s="1414"/>
      <c r="H188" s="1390" t="e">
        <f t="shared" si="11"/>
        <v>#DIV/0!</v>
      </c>
    </row>
    <row r="189" spans="1:9" ht="15" hidden="1" x14ac:dyDescent="0.2">
      <c r="A189" s="1463">
        <v>3122</v>
      </c>
      <c r="B189" s="1469">
        <v>6121</v>
      </c>
      <c r="C189" s="1472">
        <v>54100884</v>
      </c>
      <c r="D189" s="1405" t="s">
        <v>548</v>
      </c>
      <c r="E189" s="1414"/>
      <c r="F189" s="1414"/>
      <c r="G189" s="1414"/>
      <c r="H189" s="1390" t="e">
        <f t="shared" si="11"/>
        <v>#DIV/0!</v>
      </c>
    </row>
    <row r="190" spans="1:9" ht="15" hidden="1" x14ac:dyDescent="0.2">
      <c r="A190" s="1463">
        <v>3122</v>
      </c>
      <c r="B190" s="1469">
        <v>6121</v>
      </c>
      <c r="C190" s="1472">
        <v>54190877</v>
      </c>
      <c r="D190" s="1405" t="s">
        <v>548</v>
      </c>
      <c r="E190" s="1414"/>
      <c r="F190" s="1414"/>
      <c r="G190" s="1414"/>
      <c r="H190" s="1390" t="e">
        <f t="shared" si="11"/>
        <v>#DIV/0!</v>
      </c>
    </row>
    <row r="191" spans="1:9" ht="15.75" hidden="1" thickBot="1" x14ac:dyDescent="0.25">
      <c r="A191" s="1463">
        <v>3122</v>
      </c>
      <c r="B191" s="1469">
        <v>6121</v>
      </c>
      <c r="C191" s="1472">
        <v>54515835</v>
      </c>
      <c r="D191" s="1405" t="s">
        <v>548</v>
      </c>
      <c r="E191" s="1414"/>
      <c r="F191" s="1414"/>
      <c r="G191" s="1414"/>
      <c r="H191" s="1396">
        <v>0</v>
      </c>
    </row>
    <row r="192" spans="1:9" s="1397" customFormat="1" ht="16.5" hidden="1" thickTop="1" thickBot="1" x14ac:dyDescent="0.3">
      <c r="A192" s="3219" t="s">
        <v>690</v>
      </c>
      <c r="B192" s="3220"/>
      <c r="C192" s="3220"/>
      <c r="D192" s="3220"/>
      <c r="E192" s="1387">
        <f>SUM(E183:E191)</f>
        <v>0</v>
      </c>
      <c r="F192" s="1387">
        <f>SUM(F183:F191)</f>
        <v>0</v>
      </c>
      <c r="G192" s="1387">
        <f>SUM(G183:G191)</f>
        <v>0</v>
      </c>
      <c r="H192" s="1391" t="e">
        <f>G192/F192*100</f>
        <v>#DIV/0!</v>
      </c>
      <c r="I192" s="1476"/>
    </row>
    <row r="193" spans="1:9" s="1397" customFormat="1" ht="15" hidden="1" x14ac:dyDescent="0.25">
      <c r="A193" s="1392"/>
      <c r="B193" s="1392"/>
      <c r="C193" s="1392"/>
      <c r="D193" s="1392"/>
      <c r="E193" s="1393"/>
      <c r="F193" s="1393"/>
      <c r="G193" s="1393"/>
      <c r="H193" s="1418"/>
      <c r="I193" s="1476"/>
    </row>
    <row r="194" spans="1:9" ht="18" hidden="1" x14ac:dyDescent="0.25">
      <c r="A194" s="1377" t="s">
        <v>95</v>
      </c>
      <c r="B194" s="1400"/>
      <c r="C194" s="1400"/>
      <c r="D194" s="1400"/>
      <c r="E194" s="1400"/>
      <c r="F194" s="1400"/>
      <c r="G194" s="1400"/>
      <c r="H194" s="1445"/>
    </row>
    <row r="195" spans="1:9" ht="15.75" hidden="1" x14ac:dyDescent="0.25">
      <c r="A195" s="1376" t="s">
        <v>96</v>
      </c>
      <c r="H195" s="1394" t="s">
        <v>148</v>
      </c>
    </row>
    <row r="196" spans="1:9" s="1292" customFormat="1" ht="25.5" hidden="1" thickTop="1" thickBot="1" x14ac:dyDescent="0.25">
      <c r="A196" s="1378" t="s">
        <v>149</v>
      </c>
      <c r="B196" s="1379" t="s">
        <v>688</v>
      </c>
      <c r="C196" s="1379" t="s">
        <v>345</v>
      </c>
      <c r="D196" s="1380" t="s">
        <v>151</v>
      </c>
      <c r="E196" s="1402" t="s">
        <v>569</v>
      </c>
      <c r="F196" s="1402" t="s">
        <v>570</v>
      </c>
      <c r="G196" s="1403" t="s">
        <v>797</v>
      </c>
      <c r="H196" s="1404" t="s">
        <v>798</v>
      </c>
    </row>
    <row r="197" spans="1:9" s="1292" customFormat="1" ht="13.5" hidden="1" thickTop="1" thickBot="1" x14ac:dyDescent="0.25">
      <c r="A197" s="1297">
        <v>1</v>
      </c>
      <c r="B197" s="1296">
        <v>2</v>
      </c>
      <c r="C197" s="1296">
        <v>3</v>
      </c>
      <c r="D197" s="1296">
        <v>4</v>
      </c>
      <c r="E197" s="1295">
        <v>5</v>
      </c>
      <c r="F197" s="1295">
        <v>6</v>
      </c>
      <c r="G197" s="1446">
        <v>7</v>
      </c>
      <c r="H197" s="1468" t="s">
        <v>54</v>
      </c>
    </row>
    <row r="198" spans="1:9" ht="15.75" hidden="1" thickTop="1" x14ac:dyDescent="0.2">
      <c r="A198" s="1463">
        <v>3122</v>
      </c>
      <c r="B198" s="1469">
        <v>6121</v>
      </c>
      <c r="C198" s="1472">
        <v>53100870</v>
      </c>
      <c r="D198" s="1405" t="s">
        <v>548</v>
      </c>
      <c r="E198" s="1401"/>
      <c r="F198" s="1401"/>
      <c r="G198" s="1401"/>
      <c r="H198" s="1390" t="e">
        <f t="shared" ref="H198:H203" si="12">G198/F198*100</f>
        <v>#DIV/0!</v>
      </c>
    </row>
    <row r="199" spans="1:9" ht="15" hidden="1" x14ac:dyDescent="0.2">
      <c r="A199" s="1463">
        <v>3122</v>
      </c>
      <c r="B199" s="1469">
        <v>6121</v>
      </c>
      <c r="C199" s="1472">
        <v>53100872</v>
      </c>
      <c r="D199" s="1405" t="s">
        <v>548</v>
      </c>
      <c r="E199" s="1414"/>
      <c r="F199" s="1414"/>
      <c r="G199" s="1414"/>
      <c r="H199" s="1390" t="e">
        <f t="shared" si="12"/>
        <v>#DIV/0!</v>
      </c>
    </row>
    <row r="200" spans="1:9" ht="15" hidden="1" x14ac:dyDescent="0.2">
      <c r="A200" s="1463">
        <v>3122</v>
      </c>
      <c r="B200" s="1469">
        <v>6121</v>
      </c>
      <c r="C200" s="1472">
        <v>53100874</v>
      </c>
      <c r="D200" s="1405" t="s">
        <v>548</v>
      </c>
      <c r="E200" s="1414"/>
      <c r="F200" s="1414"/>
      <c r="G200" s="1414"/>
      <c r="H200" s="1390" t="e">
        <f t="shared" si="12"/>
        <v>#DIV/0!</v>
      </c>
    </row>
    <row r="201" spans="1:9" ht="15" hidden="1" x14ac:dyDescent="0.2">
      <c r="A201" s="1463">
        <v>3122</v>
      </c>
      <c r="B201" s="1469">
        <v>6121</v>
      </c>
      <c r="C201" s="1472">
        <v>53500871</v>
      </c>
      <c r="D201" s="1405" t="s">
        <v>548</v>
      </c>
      <c r="E201" s="1414"/>
      <c r="F201" s="1414"/>
      <c r="G201" s="1414"/>
      <c r="H201" s="1390" t="e">
        <f t="shared" si="12"/>
        <v>#DIV/0!</v>
      </c>
    </row>
    <row r="202" spans="1:9" ht="15" hidden="1" x14ac:dyDescent="0.2">
      <c r="A202" s="1463">
        <v>3122</v>
      </c>
      <c r="B202" s="1469">
        <v>6121</v>
      </c>
      <c r="C202" s="1472">
        <v>54100870</v>
      </c>
      <c r="D202" s="1405" t="s">
        <v>548</v>
      </c>
      <c r="E202" s="1414"/>
      <c r="F202" s="1414"/>
      <c r="G202" s="1414"/>
      <c r="H202" s="1390" t="e">
        <f t="shared" si="12"/>
        <v>#DIV/0!</v>
      </c>
    </row>
    <row r="203" spans="1:9" ht="15" hidden="1" x14ac:dyDescent="0.2">
      <c r="A203" s="1463">
        <v>3122</v>
      </c>
      <c r="B203" s="1469">
        <v>6121</v>
      </c>
      <c r="C203" s="1472">
        <v>54190877</v>
      </c>
      <c r="D203" s="1405" t="s">
        <v>548</v>
      </c>
      <c r="E203" s="1414"/>
      <c r="F203" s="1414"/>
      <c r="G203" s="1414"/>
      <c r="H203" s="1390" t="e">
        <f t="shared" si="12"/>
        <v>#DIV/0!</v>
      </c>
    </row>
    <row r="204" spans="1:9" ht="15.75" hidden="1" thickBot="1" x14ac:dyDescent="0.25">
      <c r="A204" s="1463">
        <v>3122</v>
      </c>
      <c r="B204" s="1469">
        <v>6121</v>
      </c>
      <c r="C204" s="1472">
        <v>54515835</v>
      </c>
      <c r="D204" s="1405" t="s">
        <v>548</v>
      </c>
      <c r="E204" s="1414"/>
      <c r="F204" s="1414"/>
      <c r="G204" s="1414"/>
      <c r="H204" s="1396">
        <v>0</v>
      </c>
    </row>
    <row r="205" spans="1:9" s="1397" customFormat="1" ht="16.5" hidden="1" thickTop="1" thickBot="1" x14ac:dyDescent="0.3">
      <c r="A205" s="3219" t="s">
        <v>690</v>
      </c>
      <c r="B205" s="3220"/>
      <c r="C205" s="3220"/>
      <c r="D205" s="3220"/>
      <c r="E205" s="1387">
        <f>SUM(E198:E204)</f>
        <v>0</v>
      </c>
      <c r="F205" s="1387">
        <f>SUM(F198:F204)</f>
        <v>0</v>
      </c>
      <c r="G205" s="1387">
        <f>SUM(G198:G204)</f>
        <v>0</v>
      </c>
      <c r="H205" s="1391" t="e">
        <f>G205/F205*100</f>
        <v>#DIV/0!</v>
      </c>
      <c r="I205" s="1476"/>
    </row>
    <row r="206" spans="1:9" s="1397" customFormat="1" ht="15" hidden="1" x14ac:dyDescent="0.25">
      <c r="A206" s="1392"/>
      <c r="B206" s="1392"/>
      <c r="C206" s="1392"/>
      <c r="D206" s="1392"/>
      <c r="E206" s="1393"/>
      <c r="F206" s="1393"/>
      <c r="G206" s="1393"/>
      <c r="H206" s="1418"/>
      <c r="I206" s="1476"/>
    </row>
    <row r="207" spans="1:9" ht="18" hidden="1" x14ac:dyDescent="0.25">
      <c r="A207" s="1377" t="s">
        <v>97</v>
      </c>
      <c r="B207" s="1400"/>
      <c r="C207" s="1400"/>
      <c r="D207" s="1400"/>
      <c r="E207" s="1400"/>
      <c r="F207" s="1400"/>
      <c r="G207" s="1400"/>
      <c r="H207" s="1445"/>
    </row>
    <row r="208" spans="1:9" ht="15.75" hidden="1" x14ac:dyDescent="0.25">
      <c r="A208" s="1376" t="s">
        <v>98</v>
      </c>
      <c r="H208" s="1394" t="s">
        <v>148</v>
      </c>
    </row>
    <row r="209" spans="1:9" s="1292" customFormat="1" ht="25.5" hidden="1" thickTop="1" thickBot="1" x14ac:dyDescent="0.25">
      <c r="A209" s="1378" t="s">
        <v>149</v>
      </c>
      <c r="B209" s="1379" t="s">
        <v>688</v>
      </c>
      <c r="C209" s="1379" t="s">
        <v>345</v>
      </c>
      <c r="D209" s="1380" t="s">
        <v>151</v>
      </c>
      <c r="E209" s="1402" t="s">
        <v>569</v>
      </c>
      <c r="F209" s="1402" t="s">
        <v>570</v>
      </c>
      <c r="G209" s="1403" t="s">
        <v>797</v>
      </c>
      <c r="H209" s="1404" t="s">
        <v>798</v>
      </c>
    </row>
    <row r="210" spans="1:9" s="1292" customFormat="1" ht="13.5" hidden="1" thickTop="1" thickBot="1" x14ac:dyDescent="0.25">
      <c r="A210" s="1297">
        <v>1</v>
      </c>
      <c r="B210" s="1296">
        <v>2</v>
      </c>
      <c r="C210" s="1296">
        <v>3</v>
      </c>
      <c r="D210" s="1296">
        <v>4</v>
      </c>
      <c r="E210" s="1295">
        <v>5</v>
      </c>
      <c r="F210" s="1295">
        <v>6</v>
      </c>
      <c r="G210" s="1446">
        <v>7</v>
      </c>
      <c r="H210" s="1468" t="s">
        <v>54</v>
      </c>
    </row>
    <row r="211" spans="1:9" ht="15.75" hidden="1" thickTop="1" x14ac:dyDescent="0.2">
      <c r="A211" s="1463">
        <v>3113</v>
      </c>
      <c r="B211" s="1469">
        <v>6121</v>
      </c>
      <c r="C211" s="1472">
        <v>54100870</v>
      </c>
      <c r="D211" s="1405" t="s">
        <v>548</v>
      </c>
      <c r="E211" s="1401"/>
      <c r="F211" s="1401"/>
      <c r="G211" s="1401"/>
      <c r="H211" s="1390" t="e">
        <f>G211/F211*100</f>
        <v>#DIV/0!</v>
      </c>
    </row>
    <row r="212" spans="1:9" ht="15" hidden="1" x14ac:dyDescent="0.2">
      <c r="A212" s="1463">
        <v>3113</v>
      </c>
      <c r="B212" s="1469">
        <v>6121</v>
      </c>
      <c r="C212" s="1472">
        <v>54100874</v>
      </c>
      <c r="D212" s="1405" t="s">
        <v>548</v>
      </c>
      <c r="E212" s="1414"/>
      <c r="F212" s="1414"/>
      <c r="G212" s="1414"/>
      <c r="H212" s="1390" t="e">
        <f>G212/F212*100</f>
        <v>#DIV/0!</v>
      </c>
    </row>
    <row r="213" spans="1:9" ht="15" hidden="1" x14ac:dyDescent="0.2">
      <c r="A213" s="1463">
        <v>3113</v>
      </c>
      <c r="B213" s="1469">
        <v>6121</v>
      </c>
      <c r="C213" s="1472">
        <v>54100880</v>
      </c>
      <c r="D213" s="1405" t="s">
        <v>548</v>
      </c>
      <c r="E213" s="1414"/>
      <c r="F213" s="1414"/>
      <c r="G213" s="1414"/>
      <c r="H213" s="1390" t="e">
        <f>G213/F213*100</f>
        <v>#DIV/0!</v>
      </c>
    </row>
    <row r="214" spans="1:9" ht="15" hidden="1" x14ac:dyDescent="0.2">
      <c r="A214" s="1463">
        <v>3113</v>
      </c>
      <c r="B214" s="1469">
        <v>6121</v>
      </c>
      <c r="C214" s="1472">
        <v>54100884</v>
      </c>
      <c r="D214" s="1405" t="s">
        <v>548</v>
      </c>
      <c r="E214" s="1414"/>
      <c r="F214" s="1414"/>
      <c r="G214" s="1414"/>
      <c r="H214" s="1390" t="e">
        <f>G214/F214*100</f>
        <v>#DIV/0!</v>
      </c>
    </row>
    <row r="215" spans="1:9" ht="15" hidden="1" x14ac:dyDescent="0.2">
      <c r="A215" s="1463">
        <v>3113</v>
      </c>
      <c r="B215" s="1469">
        <v>6121</v>
      </c>
      <c r="C215" s="1472">
        <v>54190877</v>
      </c>
      <c r="D215" s="1405" t="s">
        <v>548</v>
      </c>
      <c r="E215" s="1414"/>
      <c r="F215" s="1414"/>
      <c r="G215" s="1414"/>
      <c r="H215" s="1390" t="e">
        <f>G215/F215*100</f>
        <v>#DIV/0!</v>
      </c>
    </row>
    <row r="216" spans="1:9" ht="15.75" hidden="1" thickBot="1" x14ac:dyDescent="0.25">
      <c r="A216" s="1463">
        <v>3113</v>
      </c>
      <c r="B216" s="1469">
        <v>6121</v>
      </c>
      <c r="C216" s="1472">
        <v>54515835</v>
      </c>
      <c r="D216" s="1405" t="s">
        <v>548</v>
      </c>
      <c r="E216" s="1414"/>
      <c r="F216" s="1414"/>
      <c r="G216" s="1414"/>
      <c r="H216" s="1396">
        <v>0</v>
      </c>
    </row>
    <row r="217" spans="1:9" s="1397" customFormat="1" ht="16.5" hidden="1" thickTop="1" thickBot="1" x14ac:dyDescent="0.3">
      <c r="A217" s="3219" t="s">
        <v>690</v>
      </c>
      <c r="B217" s="3220"/>
      <c r="C217" s="3220"/>
      <c r="D217" s="3220"/>
      <c r="E217" s="1387">
        <f>SUM(E211:E216)</f>
        <v>0</v>
      </c>
      <c r="F217" s="1387">
        <f>SUM(F211:F216)</f>
        <v>0</v>
      </c>
      <c r="G217" s="1387">
        <f>SUM(G211:G216)</f>
        <v>0</v>
      </c>
      <c r="H217" s="1391" t="e">
        <f>G217/F217*100</f>
        <v>#DIV/0!</v>
      </c>
      <c r="I217" s="1476"/>
    </row>
    <row r="218" spans="1:9" s="1397" customFormat="1" ht="15" hidden="1" x14ac:dyDescent="0.25">
      <c r="A218" s="1392"/>
      <c r="B218" s="1392"/>
      <c r="C218" s="1392"/>
      <c r="D218" s="1392"/>
      <c r="E218" s="1393"/>
      <c r="F218" s="1393"/>
      <c r="G218" s="1393"/>
      <c r="H218" s="1418"/>
      <c r="I218" s="1476"/>
    </row>
    <row r="219" spans="1:9" ht="18" hidden="1" x14ac:dyDescent="0.25">
      <c r="A219" s="1377" t="s">
        <v>1146</v>
      </c>
      <c r="B219" s="1400"/>
      <c r="C219" s="1400"/>
      <c r="D219" s="1400"/>
      <c r="E219" s="1400"/>
      <c r="F219" s="1400"/>
      <c r="G219" s="1400"/>
      <c r="H219" s="1445"/>
    </row>
    <row r="220" spans="1:9" ht="15.75" hidden="1" x14ac:dyDescent="0.25">
      <c r="A220" s="1376" t="s">
        <v>1147</v>
      </c>
      <c r="H220" s="1394" t="s">
        <v>148</v>
      </c>
    </row>
    <row r="221" spans="1:9" s="1292" customFormat="1" ht="25.5" hidden="1" thickTop="1" thickBot="1" x14ac:dyDescent="0.25">
      <c r="A221" s="1378" t="s">
        <v>149</v>
      </c>
      <c r="B221" s="1379" t="s">
        <v>688</v>
      </c>
      <c r="C221" s="1379" t="s">
        <v>345</v>
      </c>
      <c r="D221" s="1380" t="s">
        <v>151</v>
      </c>
      <c r="E221" s="1402" t="s">
        <v>569</v>
      </c>
      <c r="F221" s="1402" t="s">
        <v>570</v>
      </c>
      <c r="G221" s="1403" t="s">
        <v>797</v>
      </c>
      <c r="H221" s="1404" t="s">
        <v>798</v>
      </c>
    </row>
    <row r="222" spans="1:9" s="1292" customFormat="1" ht="13.5" hidden="1" thickTop="1" thickBot="1" x14ac:dyDescent="0.25">
      <c r="A222" s="1297">
        <v>1</v>
      </c>
      <c r="B222" s="1296">
        <v>2</v>
      </c>
      <c r="C222" s="1296">
        <v>3</v>
      </c>
      <c r="D222" s="1296">
        <v>4</v>
      </c>
      <c r="E222" s="1295">
        <v>5</v>
      </c>
      <c r="F222" s="1295">
        <v>6</v>
      </c>
      <c r="G222" s="1446">
        <v>7</v>
      </c>
      <c r="H222" s="1468" t="s">
        <v>54</v>
      </c>
    </row>
    <row r="223" spans="1:9" ht="15.75" hidden="1" thickTop="1" x14ac:dyDescent="0.2">
      <c r="A223" s="1463">
        <v>3122</v>
      </c>
      <c r="B223" s="1469">
        <v>6121</v>
      </c>
      <c r="C223" s="1472">
        <v>53100874</v>
      </c>
      <c r="D223" s="1405" t="s">
        <v>548</v>
      </c>
      <c r="E223" s="1401"/>
      <c r="F223" s="1401"/>
      <c r="G223" s="1401"/>
      <c r="H223" s="1390" t="e">
        <f t="shared" ref="H223:H228" si="13">G223/F223*100</f>
        <v>#DIV/0!</v>
      </c>
    </row>
    <row r="224" spans="1:9" ht="15" hidden="1" x14ac:dyDescent="0.2">
      <c r="A224" s="1463">
        <v>3122</v>
      </c>
      <c r="B224" s="1469">
        <v>6121</v>
      </c>
      <c r="C224" s="1472">
        <v>54100870</v>
      </c>
      <c r="D224" s="1405" t="s">
        <v>548</v>
      </c>
      <c r="E224" s="1414"/>
      <c r="F224" s="1414"/>
      <c r="G224" s="1414"/>
      <c r="H224" s="1390" t="e">
        <f t="shared" si="13"/>
        <v>#DIV/0!</v>
      </c>
    </row>
    <row r="225" spans="1:9" ht="15" hidden="1" x14ac:dyDescent="0.2">
      <c r="A225" s="1463">
        <v>3122</v>
      </c>
      <c r="B225" s="1469">
        <v>6121</v>
      </c>
      <c r="C225" s="1472">
        <v>54100874</v>
      </c>
      <c r="D225" s="1405" t="s">
        <v>548</v>
      </c>
      <c r="E225" s="1414"/>
      <c r="F225" s="1414"/>
      <c r="G225" s="1414"/>
      <c r="H225" s="1390" t="e">
        <f t="shared" si="13"/>
        <v>#DIV/0!</v>
      </c>
    </row>
    <row r="226" spans="1:9" ht="15" hidden="1" x14ac:dyDescent="0.2">
      <c r="A226" s="1463">
        <v>3122</v>
      </c>
      <c r="B226" s="1469">
        <v>6121</v>
      </c>
      <c r="C226" s="1472">
        <v>54100880</v>
      </c>
      <c r="D226" s="1405" t="s">
        <v>548</v>
      </c>
      <c r="E226" s="1414"/>
      <c r="F226" s="1414"/>
      <c r="G226" s="1414"/>
      <c r="H226" s="1390" t="e">
        <f t="shared" si="13"/>
        <v>#DIV/0!</v>
      </c>
    </row>
    <row r="227" spans="1:9" ht="15" hidden="1" x14ac:dyDescent="0.2">
      <c r="A227" s="1463">
        <v>3122</v>
      </c>
      <c r="B227" s="1469">
        <v>6121</v>
      </c>
      <c r="C227" s="1472">
        <v>54100884</v>
      </c>
      <c r="D227" s="1405" t="s">
        <v>548</v>
      </c>
      <c r="E227" s="1414"/>
      <c r="F227" s="1414"/>
      <c r="G227" s="1414"/>
      <c r="H227" s="1390" t="e">
        <f t="shared" si="13"/>
        <v>#DIV/0!</v>
      </c>
    </row>
    <row r="228" spans="1:9" ht="15" hidden="1" x14ac:dyDescent="0.2">
      <c r="A228" s="1463">
        <v>3122</v>
      </c>
      <c r="B228" s="1469">
        <v>6121</v>
      </c>
      <c r="C228" s="1472">
        <v>54190877</v>
      </c>
      <c r="D228" s="1405" t="s">
        <v>548</v>
      </c>
      <c r="E228" s="1414"/>
      <c r="F228" s="1414"/>
      <c r="G228" s="1414"/>
      <c r="H228" s="1390" t="e">
        <f t="shared" si="13"/>
        <v>#DIV/0!</v>
      </c>
    </row>
    <row r="229" spans="1:9" ht="15.75" hidden="1" thickBot="1" x14ac:dyDescent="0.25">
      <c r="A229" s="1463">
        <v>3122</v>
      </c>
      <c r="B229" s="1469">
        <v>6121</v>
      </c>
      <c r="C229" s="1472">
        <v>54515835</v>
      </c>
      <c r="D229" s="1405" t="s">
        <v>548</v>
      </c>
      <c r="E229" s="1414"/>
      <c r="F229" s="1414"/>
      <c r="G229" s="1414"/>
      <c r="H229" s="1396">
        <v>0</v>
      </c>
    </row>
    <row r="230" spans="1:9" s="1397" customFormat="1" ht="16.5" hidden="1" thickTop="1" thickBot="1" x14ac:dyDescent="0.3">
      <c r="A230" s="3219" t="s">
        <v>690</v>
      </c>
      <c r="B230" s="3220"/>
      <c r="C230" s="3220"/>
      <c r="D230" s="3220"/>
      <c r="E230" s="1387">
        <f>SUM(E223:E229)</f>
        <v>0</v>
      </c>
      <c r="F230" s="1387">
        <f>SUM(F223:F229)</f>
        <v>0</v>
      </c>
      <c r="G230" s="1387">
        <f>SUM(G223:G229)</f>
        <v>0</v>
      </c>
      <c r="H230" s="1391" t="e">
        <f>G230/F230*100</f>
        <v>#DIV/0!</v>
      </c>
      <c r="I230" s="1476"/>
    </row>
    <row r="231" spans="1:9" s="1397" customFormat="1" ht="15" hidden="1" x14ac:dyDescent="0.25">
      <c r="A231" s="1392"/>
      <c r="B231" s="1392"/>
      <c r="C231" s="1392"/>
      <c r="D231" s="1392"/>
      <c r="E231" s="1393"/>
      <c r="F231" s="1393"/>
      <c r="G231" s="1393"/>
      <c r="H231" s="1418"/>
      <c r="I231" s="1476"/>
    </row>
    <row r="232" spans="1:9" ht="18" hidden="1" x14ac:dyDescent="0.25">
      <c r="A232" s="1377" t="s">
        <v>1148</v>
      </c>
      <c r="B232" s="1400"/>
      <c r="C232" s="1400"/>
      <c r="D232" s="1400"/>
      <c r="E232" s="1400"/>
      <c r="F232" s="1400"/>
      <c r="G232" s="1400"/>
      <c r="H232" s="1445"/>
    </row>
    <row r="233" spans="1:9" ht="15.75" hidden="1" x14ac:dyDescent="0.25">
      <c r="A233" s="1376" t="s">
        <v>1149</v>
      </c>
      <c r="H233" s="1394" t="s">
        <v>148</v>
      </c>
    </row>
    <row r="234" spans="1:9" s="1292" customFormat="1" ht="25.5" hidden="1" thickTop="1" thickBot="1" x14ac:dyDescent="0.25">
      <c r="A234" s="1378" t="s">
        <v>149</v>
      </c>
      <c r="B234" s="1379" t="s">
        <v>688</v>
      </c>
      <c r="C234" s="1379" t="s">
        <v>345</v>
      </c>
      <c r="D234" s="1380" t="s">
        <v>151</v>
      </c>
      <c r="E234" s="1402" t="s">
        <v>569</v>
      </c>
      <c r="F234" s="1402" t="s">
        <v>570</v>
      </c>
      <c r="G234" s="1403" t="s">
        <v>797</v>
      </c>
      <c r="H234" s="1404" t="s">
        <v>798</v>
      </c>
    </row>
    <row r="235" spans="1:9" s="1292" customFormat="1" ht="13.5" hidden="1" thickTop="1" thickBot="1" x14ac:dyDescent="0.25">
      <c r="A235" s="1297">
        <v>1</v>
      </c>
      <c r="B235" s="1296">
        <v>2</v>
      </c>
      <c r="C235" s="1296">
        <v>3</v>
      </c>
      <c r="D235" s="1296">
        <v>4</v>
      </c>
      <c r="E235" s="1295">
        <v>5</v>
      </c>
      <c r="F235" s="1295">
        <v>6</v>
      </c>
      <c r="G235" s="1446">
        <v>7</v>
      </c>
      <c r="H235" s="1468" t="s">
        <v>54</v>
      </c>
    </row>
    <row r="236" spans="1:9" ht="15.75" hidden="1" thickTop="1" x14ac:dyDescent="0.2">
      <c r="A236" s="1463">
        <v>3122</v>
      </c>
      <c r="B236" s="1469">
        <v>6121</v>
      </c>
      <c r="C236" s="1472">
        <v>53100870</v>
      </c>
      <c r="D236" s="1405" t="s">
        <v>548</v>
      </c>
      <c r="E236" s="1401"/>
      <c r="F236" s="1401"/>
      <c r="G236" s="1401"/>
      <c r="H236" s="1390" t="e">
        <f>G236/F236*100</f>
        <v>#DIV/0!</v>
      </c>
    </row>
    <row r="237" spans="1:9" ht="15" hidden="1" x14ac:dyDescent="0.2">
      <c r="A237" s="1463">
        <v>3122</v>
      </c>
      <c r="B237" s="1469">
        <v>6121</v>
      </c>
      <c r="C237" s="1472">
        <v>53100872</v>
      </c>
      <c r="D237" s="1405" t="s">
        <v>548</v>
      </c>
      <c r="E237" s="1414"/>
      <c r="F237" s="1414"/>
      <c r="G237" s="1414"/>
      <c r="H237" s="1390">
        <v>0</v>
      </c>
    </row>
    <row r="238" spans="1:9" ht="15" hidden="1" x14ac:dyDescent="0.2">
      <c r="A238" s="1463">
        <v>3122</v>
      </c>
      <c r="B238" s="1469">
        <v>6121</v>
      </c>
      <c r="C238" s="1472">
        <v>53100874</v>
      </c>
      <c r="D238" s="1405" t="s">
        <v>548</v>
      </c>
      <c r="E238" s="1414"/>
      <c r="F238" s="1414"/>
      <c r="G238" s="1414"/>
      <c r="H238" s="1390" t="e">
        <f>G238/F238*100</f>
        <v>#DIV/0!</v>
      </c>
    </row>
    <row r="239" spans="1:9" ht="15" hidden="1" x14ac:dyDescent="0.2">
      <c r="A239" s="1463">
        <v>3122</v>
      </c>
      <c r="B239" s="1469">
        <v>6121</v>
      </c>
      <c r="C239" s="1472">
        <v>53500871</v>
      </c>
      <c r="D239" s="1405" t="s">
        <v>548</v>
      </c>
      <c r="E239" s="1414"/>
      <c r="F239" s="1414"/>
      <c r="G239" s="1414"/>
      <c r="H239" s="1390" t="e">
        <f>G239/F239*100</f>
        <v>#DIV/0!</v>
      </c>
    </row>
    <row r="240" spans="1:9" ht="15" hidden="1" x14ac:dyDescent="0.2">
      <c r="A240" s="1463">
        <v>3122</v>
      </c>
      <c r="B240" s="1469">
        <v>6121</v>
      </c>
      <c r="C240" s="1472">
        <v>54100870</v>
      </c>
      <c r="D240" s="1405" t="s">
        <v>548</v>
      </c>
      <c r="E240" s="1414"/>
      <c r="F240" s="1414"/>
      <c r="G240" s="1414"/>
      <c r="H240" s="1390" t="e">
        <f>G240/F240*100</f>
        <v>#DIV/0!</v>
      </c>
    </row>
    <row r="241" spans="1:9" ht="15" hidden="1" x14ac:dyDescent="0.2">
      <c r="A241" s="1463">
        <v>3122</v>
      </c>
      <c r="B241" s="1469">
        <v>6121</v>
      </c>
      <c r="C241" s="1472">
        <v>54100874</v>
      </c>
      <c r="D241" s="1405" t="s">
        <v>548</v>
      </c>
      <c r="E241" s="1414"/>
      <c r="F241" s="1414"/>
      <c r="G241" s="1414"/>
      <c r="H241" s="1390" t="e">
        <f>G241/F241*100</f>
        <v>#DIV/0!</v>
      </c>
    </row>
    <row r="242" spans="1:9" ht="15" hidden="1" x14ac:dyDescent="0.2">
      <c r="A242" s="1463">
        <v>3122</v>
      </c>
      <c r="B242" s="1469">
        <v>6121</v>
      </c>
      <c r="C242" s="1472">
        <v>54190877</v>
      </c>
      <c r="D242" s="1405" t="s">
        <v>548</v>
      </c>
      <c r="E242" s="1414"/>
      <c r="F242" s="1414"/>
      <c r="G242" s="1414"/>
      <c r="H242" s="1390" t="e">
        <f>G242/F242*100</f>
        <v>#DIV/0!</v>
      </c>
    </row>
    <row r="243" spans="1:9" ht="15.75" hidden="1" thickBot="1" x14ac:dyDescent="0.25">
      <c r="A243" s="1463">
        <v>3122</v>
      </c>
      <c r="B243" s="1469">
        <v>6121</v>
      </c>
      <c r="C243" s="1472">
        <v>54515835</v>
      </c>
      <c r="D243" s="1405" t="s">
        <v>548</v>
      </c>
      <c r="E243" s="1414"/>
      <c r="F243" s="1414"/>
      <c r="G243" s="1414"/>
      <c r="H243" s="1396">
        <v>0</v>
      </c>
    </row>
    <row r="244" spans="1:9" s="1397" customFormat="1" ht="16.5" hidden="1" thickTop="1" thickBot="1" x14ac:dyDescent="0.3">
      <c r="A244" s="3219" t="s">
        <v>690</v>
      </c>
      <c r="B244" s="3220"/>
      <c r="C244" s="3220"/>
      <c r="D244" s="3220"/>
      <c r="E244" s="1387">
        <f>SUM(E236:E243)</f>
        <v>0</v>
      </c>
      <c r="F244" s="1387">
        <f>SUM(F236:F243)</f>
        <v>0</v>
      </c>
      <c r="G244" s="1387">
        <f>SUM(G236:G243)</f>
        <v>0</v>
      </c>
      <c r="H244" s="1391" t="e">
        <f>G244/F244*100</f>
        <v>#DIV/0!</v>
      </c>
      <c r="I244" s="1476"/>
    </row>
    <row r="245" spans="1:9" s="1397" customFormat="1" ht="15" hidden="1" x14ac:dyDescent="0.25">
      <c r="A245" s="1392"/>
      <c r="B245" s="1392"/>
      <c r="C245" s="1392"/>
      <c r="D245" s="1392"/>
      <c r="E245" s="1393"/>
      <c r="F245" s="1393"/>
      <c r="G245" s="1393"/>
      <c r="H245" s="1418"/>
      <c r="I245" s="1476"/>
    </row>
    <row r="246" spans="1:9" ht="18" hidden="1" x14ac:dyDescent="0.25">
      <c r="A246" s="1377" t="s">
        <v>1150</v>
      </c>
      <c r="B246" s="1400"/>
      <c r="C246" s="1400"/>
      <c r="D246" s="1400"/>
      <c r="E246" s="1400"/>
      <c r="F246" s="1400"/>
      <c r="G246" s="1400"/>
      <c r="H246" s="1445"/>
    </row>
    <row r="247" spans="1:9" ht="15.75" hidden="1" x14ac:dyDescent="0.25">
      <c r="A247" s="1376" t="s">
        <v>1151</v>
      </c>
      <c r="H247" s="1394" t="s">
        <v>148</v>
      </c>
    </row>
    <row r="248" spans="1:9" s="1292" customFormat="1" ht="25.5" hidden="1" thickTop="1" thickBot="1" x14ac:dyDescent="0.25">
      <c r="A248" s="1378" t="s">
        <v>149</v>
      </c>
      <c r="B248" s="1379" t="s">
        <v>688</v>
      </c>
      <c r="C248" s="1379" t="s">
        <v>345</v>
      </c>
      <c r="D248" s="1380" t="s">
        <v>151</v>
      </c>
      <c r="E248" s="1402" t="s">
        <v>569</v>
      </c>
      <c r="F248" s="1402" t="s">
        <v>570</v>
      </c>
      <c r="G248" s="1403" t="s">
        <v>797</v>
      </c>
      <c r="H248" s="1404" t="s">
        <v>798</v>
      </c>
    </row>
    <row r="249" spans="1:9" s="1292" customFormat="1" ht="13.5" hidden="1" thickTop="1" thickBot="1" x14ac:dyDescent="0.25">
      <c r="A249" s="1297">
        <v>1</v>
      </c>
      <c r="B249" s="1296">
        <v>2</v>
      </c>
      <c r="C249" s="1296">
        <v>3</v>
      </c>
      <c r="D249" s="1296">
        <v>4</v>
      </c>
      <c r="E249" s="1295">
        <v>5</v>
      </c>
      <c r="F249" s="1295">
        <v>6</v>
      </c>
      <c r="G249" s="1446">
        <v>7</v>
      </c>
      <c r="H249" s="1468" t="s">
        <v>54</v>
      </c>
    </row>
    <row r="250" spans="1:9" ht="15" hidden="1" x14ac:dyDescent="0.2">
      <c r="A250" s="1463">
        <v>3121</v>
      </c>
      <c r="B250" s="1469">
        <v>6121</v>
      </c>
      <c r="C250" s="1472">
        <v>53100874</v>
      </c>
      <c r="D250" s="1405" t="s">
        <v>548</v>
      </c>
      <c r="E250" s="1414"/>
      <c r="F250" s="1414"/>
      <c r="G250" s="1414"/>
      <c r="H250" s="1390" t="e">
        <f t="shared" ref="H250:H257" si="14">G250/F250*100</f>
        <v>#DIV/0!</v>
      </c>
    </row>
    <row r="251" spans="1:9" ht="15" hidden="1" x14ac:dyDescent="0.2">
      <c r="A251" s="1463">
        <v>3121</v>
      </c>
      <c r="B251" s="1469">
        <v>6121</v>
      </c>
      <c r="C251" s="1472">
        <v>54100870</v>
      </c>
      <c r="D251" s="1405" t="s">
        <v>548</v>
      </c>
      <c r="E251" s="1414"/>
      <c r="F251" s="1414"/>
      <c r="G251" s="1414"/>
      <c r="H251" s="1390" t="e">
        <f t="shared" si="14"/>
        <v>#DIV/0!</v>
      </c>
    </row>
    <row r="252" spans="1:9" ht="15" hidden="1" x14ac:dyDescent="0.2">
      <c r="A252" s="1463">
        <v>3121</v>
      </c>
      <c r="B252" s="1469">
        <v>6121</v>
      </c>
      <c r="C252" s="1472">
        <v>54100874</v>
      </c>
      <c r="D252" s="1405" t="s">
        <v>548</v>
      </c>
      <c r="E252" s="1414"/>
      <c r="F252" s="1414"/>
      <c r="G252" s="1414"/>
      <c r="H252" s="1390" t="e">
        <f t="shared" si="14"/>
        <v>#DIV/0!</v>
      </c>
    </row>
    <row r="253" spans="1:9" ht="15" hidden="1" x14ac:dyDescent="0.2">
      <c r="A253" s="1463">
        <v>3121</v>
      </c>
      <c r="B253" s="1469">
        <v>6121</v>
      </c>
      <c r="C253" s="1472">
        <v>54100880</v>
      </c>
      <c r="D253" s="1405" t="s">
        <v>548</v>
      </c>
      <c r="E253" s="1414"/>
      <c r="F253" s="1414"/>
      <c r="G253" s="1414"/>
      <c r="H253" s="1390" t="e">
        <f t="shared" si="14"/>
        <v>#DIV/0!</v>
      </c>
    </row>
    <row r="254" spans="1:9" ht="15" hidden="1" x14ac:dyDescent="0.2">
      <c r="A254" s="1463">
        <v>3121</v>
      </c>
      <c r="B254" s="1469">
        <v>6121</v>
      </c>
      <c r="C254" s="1472">
        <v>54100884</v>
      </c>
      <c r="D254" s="1405" t="s">
        <v>548</v>
      </c>
      <c r="E254" s="1414"/>
      <c r="F254" s="1414"/>
      <c r="G254" s="1414"/>
      <c r="H254" s="1390" t="e">
        <f t="shared" si="14"/>
        <v>#DIV/0!</v>
      </c>
    </row>
    <row r="255" spans="1:9" ht="15" hidden="1" x14ac:dyDescent="0.2">
      <c r="A255" s="1463">
        <v>3121</v>
      </c>
      <c r="B255" s="1469">
        <v>6121</v>
      </c>
      <c r="C255" s="1472">
        <v>54190877</v>
      </c>
      <c r="D255" s="1405" t="s">
        <v>548</v>
      </c>
      <c r="E255" s="1414"/>
      <c r="F255" s="1414"/>
      <c r="G255" s="1414"/>
      <c r="H255" s="1390" t="e">
        <f t="shared" si="14"/>
        <v>#DIV/0!</v>
      </c>
    </row>
    <row r="256" spans="1:9" ht="15" hidden="1" x14ac:dyDescent="0.2">
      <c r="A256" s="1463">
        <v>3121</v>
      </c>
      <c r="B256" s="1469">
        <v>6121</v>
      </c>
      <c r="C256" s="1472">
        <v>54515835</v>
      </c>
      <c r="D256" s="1405" t="s">
        <v>548</v>
      </c>
      <c r="E256" s="1414"/>
      <c r="F256" s="1414"/>
      <c r="G256" s="1414"/>
      <c r="H256" s="1390" t="e">
        <f t="shared" si="14"/>
        <v>#DIV/0!</v>
      </c>
    </row>
    <row r="257" spans="1:9" s="1397" customFormat="1" ht="16.5" hidden="1" thickTop="1" thickBot="1" x14ac:dyDescent="0.3">
      <c r="A257" s="3219" t="s">
        <v>690</v>
      </c>
      <c r="B257" s="3220"/>
      <c r="C257" s="3220"/>
      <c r="D257" s="3220"/>
      <c r="E257" s="1387">
        <f>SUM(E250:E256)</f>
        <v>0</v>
      </c>
      <c r="F257" s="1387">
        <f>SUM(F250:F256)</f>
        <v>0</v>
      </c>
      <c r="G257" s="1387">
        <f>SUM(G250:G256)</f>
        <v>0</v>
      </c>
      <c r="H257" s="1391" t="e">
        <f t="shared" si="14"/>
        <v>#DIV/0!</v>
      </c>
      <c r="I257" s="1476"/>
    </row>
    <row r="258" spans="1:9" s="1397" customFormat="1" ht="15" hidden="1" x14ac:dyDescent="0.25">
      <c r="A258" s="1392"/>
      <c r="B258" s="1392"/>
      <c r="C258" s="1392"/>
      <c r="D258" s="1392"/>
      <c r="E258" s="1393"/>
      <c r="F258" s="1393"/>
      <c r="G258" s="1393"/>
      <c r="H258" s="1418"/>
      <c r="I258" s="1476"/>
    </row>
    <row r="259" spans="1:9" ht="18" hidden="1" x14ac:dyDescent="0.25">
      <c r="A259" s="1377" t="s">
        <v>1152</v>
      </c>
      <c r="B259" s="1400"/>
      <c r="C259" s="1400"/>
      <c r="D259" s="1400"/>
      <c r="E259" s="1400"/>
      <c r="F259" s="1400"/>
      <c r="G259" s="1400"/>
      <c r="H259" s="1445"/>
    </row>
    <row r="260" spans="1:9" ht="15.75" hidden="1" x14ac:dyDescent="0.25">
      <c r="A260" s="1376" t="s">
        <v>1153</v>
      </c>
      <c r="H260" s="1394" t="s">
        <v>148</v>
      </c>
    </row>
    <row r="261" spans="1:9" s="1292" customFormat="1" ht="25.5" hidden="1" thickTop="1" thickBot="1" x14ac:dyDescent="0.25">
      <c r="A261" s="1378" t="s">
        <v>149</v>
      </c>
      <c r="B261" s="1379" t="s">
        <v>688</v>
      </c>
      <c r="C261" s="1379" t="s">
        <v>345</v>
      </c>
      <c r="D261" s="1380" t="s">
        <v>151</v>
      </c>
      <c r="E261" s="1402" t="s">
        <v>569</v>
      </c>
      <c r="F261" s="1402" t="s">
        <v>570</v>
      </c>
      <c r="G261" s="1403" t="s">
        <v>797</v>
      </c>
      <c r="H261" s="1404" t="s">
        <v>798</v>
      </c>
    </row>
    <row r="262" spans="1:9" s="1292" customFormat="1" ht="13.5" hidden="1" thickTop="1" thickBot="1" x14ac:dyDescent="0.25">
      <c r="A262" s="1297">
        <v>1</v>
      </c>
      <c r="B262" s="1296">
        <v>2</v>
      </c>
      <c r="C262" s="1296">
        <v>3</v>
      </c>
      <c r="D262" s="1296">
        <v>4</v>
      </c>
      <c r="E262" s="1295">
        <v>5</v>
      </c>
      <c r="F262" s="1295">
        <v>6</v>
      </c>
      <c r="G262" s="1446">
        <v>7</v>
      </c>
      <c r="H262" s="1468" t="s">
        <v>54</v>
      </c>
    </row>
    <row r="263" spans="1:9" ht="15.75" hidden="1" thickTop="1" x14ac:dyDescent="0.2">
      <c r="A263" s="1463">
        <v>3122</v>
      </c>
      <c r="B263" s="1469">
        <v>6121</v>
      </c>
      <c r="C263" s="1472">
        <v>53100870</v>
      </c>
      <c r="D263" s="1405" t="s">
        <v>548</v>
      </c>
      <c r="E263" s="1401"/>
      <c r="F263" s="1401"/>
      <c r="G263" s="1401"/>
      <c r="H263" s="1390" t="e">
        <f t="shared" ref="H263:H272" si="15">G263/F263*100</f>
        <v>#DIV/0!</v>
      </c>
    </row>
    <row r="264" spans="1:9" ht="15" hidden="1" x14ac:dyDescent="0.2">
      <c r="A264" s="1463">
        <v>3122</v>
      </c>
      <c r="B264" s="1469">
        <v>6121</v>
      </c>
      <c r="C264" s="1472">
        <v>53100872</v>
      </c>
      <c r="D264" s="1405" t="s">
        <v>548</v>
      </c>
      <c r="E264" s="1414"/>
      <c r="F264" s="1414"/>
      <c r="G264" s="1414"/>
      <c r="H264" s="1390" t="e">
        <f t="shared" si="15"/>
        <v>#DIV/0!</v>
      </c>
    </row>
    <row r="265" spans="1:9" ht="15" hidden="1" x14ac:dyDescent="0.2">
      <c r="A265" s="1463">
        <v>3122</v>
      </c>
      <c r="B265" s="1469">
        <v>6121</v>
      </c>
      <c r="C265" s="1472">
        <v>53100874</v>
      </c>
      <c r="D265" s="1405" t="s">
        <v>548</v>
      </c>
      <c r="E265" s="1414"/>
      <c r="F265" s="1414"/>
      <c r="G265" s="1414"/>
      <c r="H265" s="1390" t="e">
        <f t="shared" si="15"/>
        <v>#DIV/0!</v>
      </c>
    </row>
    <row r="266" spans="1:9" ht="15" hidden="1" x14ac:dyDescent="0.2">
      <c r="A266" s="1463">
        <v>3122</v>
      </c>
      <c r="B266" s="1469">
        <v>6121</v>
      </c>
      <c r="C266" s="1472">
        <v>53500871</v>
      </c>
      <c r="D266" s="1405" t="s">
        <v>548</v>
      </c>
      <c r="E266" s="1414"/>
      <c r="F266" s="1414"/>
      <c r="G266" s="1414"/>
      <c r="H266" s="1390" t="e">
        <f t="shared" si="15"/>
        <v>#DIV/0!</v>
      </c>
    </row>
    <row r="267" spans="1:9" ht="15" hidden="1" x14ac:dyDescent="0.2">
      <c r="A267" s="1463">
        <v>3122</v>
      </c>
      <c r="B267" s="1469">
        <v>6121</v>
      </c>
      <c r="C267" s="1472">
        <v>54100870</v>
      </c>
      <c r="D267" s="1405" t="s">
        <v>548</v>
      </c>
      <c r="E267" s="1414"/>
      <c r="F267" s="1414"/>
      <c r="G267" s="1414"/>
      <c r="H267" s="1390" t="e">
        <f t="shared" si="15"/>
        <v>#DIV/0!</v>
      </c>
    </row>
    <row r="268" spans="1:9" ht="15" hidden="1" x14ac:dyDescent="0.2">
      <c r="A268" s="1463">
        <v>3122</v>
      </c>
      <c r="B268" s="1469">
        <v>6121</v>
      </c>
      <c r="C268" s="1472">
        <v>54100874</v>
      </c>
      <c r="D268" s="1405" t="s">
        <v>548</v>
      </c>
      <c r="E268" s="1414"/>
      <c r="F268" s="1414"/>
      <c r="G268" s="1414"/>
      <c r="H268" s="1390" t="e">
        <f t="shared" si="15"/>
        <v>#DIV/0!</v>
      </c>
    </row>
    <row r="269" spans="1:9" ht="15" hidden="1" x14ac:dyDescent="0.2">
      <c r="A269" s="1463">
        <v>3122</v>
      </c>
      <c r="B269" s="1469">
        <v>6121</v>
      </c>
      <c r="C269" s="1472">
        <v>54100880</v>
      </c>
      <c r="D269" s="1405" t="s">
        <v>548</v>
      </c>
      <c r="E269" s="1414"/>
      <c r="F269" s="1414"/>
      <c r="G269" s="1414"/>
      <c r="H269" s="1390" t="e">
        <f t="shared" si="15"/>
        <v>#DIV/0!</v>
      </c>
    </row>
    <row r="270" spans="1:9" ht="15" hidden="1" x14ac:dyDescent="0.2">
      <c r="A270" s="1463">
        <v>3122</v>
      </c>
      <c r="B270" s="1469">
        <v>6121</v>
      </c>
      <c r="C270" s="1472">
        <v>54100884</v>
      </c>
      <c r="D270" s="1405" t="s">
        <v>548</v>
      </c>
      <c r="E270" s="1414"/>
      <c r="F270" s="1414"/>
      <c r="G270" s="1414"/>
      <c r="H270" s="1390" t="e">
        <f t="shared" si="15"/>
        <v>#DIV/0!</v>
      </c>
    </row>
    <row r="271" spans="1:9" ht="15" hidden="1" x14ac:dyDescent="0.2">
      <c r="A271" s="1463">
        <v>3122</v>
      </c>
      <c r="B271" s="1469">
        <v>6121</v>
      </c>
      <c r="C271" s="1472">
        <v>54190877</v>
      </c>
      <c r="D271" s="1405" t="s">
        <v>548</v>
      </c>
      <c r="E271" s="1414"/>
      <c r="F271" s="1414"/>
      <c r="G271" s="1414"/>
      <c r="H271" s="1390" t="e">
        <f t="shared" si="15"/>
        <v>#DIV/0!</v>
      </c>
    </row>
    <row r="272" spans="1:9" ht="15" hidden="1" x14ac:dyDescent="0.2">
      <c r="A272" s="1463">
        <v>3122</v>
      </c>
      <c r="B272" s="1469">
        <v>6121</v>
      </c>
      <c r="C272" s="1472">
        <v>54515835</v>
      </c>
      <c r="D272" s="1405" t="s">
        <v>548</v>
      </c>
      <c r="E272" s="1414"/>
      <c r="F272" s="1414"/>
      <c r="G272" s="1414"/>
      <c r="H272" s="1390" t="e">
        <f t="shared" si="15"/>
        <v>#DIV/0!</v>
      </c>
    </row>
    <row r="273" spans="1:9" ht="15.75" hidden="1" thickBot="1" x14ac:dyDescent="0.25">
      <c r="A273" s="1463">
        <v>3122</v>
      </c>
      <c r="B273" s="1469">
        <v>6121</v>
      </c>
      <c r="C273" s="1472">
        <v>53500871</v>
      </c>
      <c r="D273" s="1405" t="s">
        <v>548</v>
      </c>
      <c r="E273" s="1414">
        <v>0</v>
      </c>
      <c r="F273" s="1414"/>
      <c r="G273" s="1414"/>
      <c r="H273" s="1396">
        <v>0</v>
      </c>
    </row>
    <row r="274" spans="1:9" s="1397" customFormat="1" ht="16.5" hidden="1" thickTop="1" thickBot="1" x14ac:dyDescent="0.3">
      <c r="A274" s="3219" t="s">
        <v>690</v>
      </c>
      <c r="B274" s="3220"/>
      <c r="C274" s="3220"/>
      <c r="D274" s="3220"/>
      <c r="E274" s="1387">
        <f>SUM(E263:E273)</f>
        <v>0</v>
      </c>
      <c r="F274" s="1387">
        <f>SUM(F263:F273)</f>
        <v>0</v>
      </c>
      <c r="G274" s="1387">
        <f>SUM(G263:G273)</f>
        <v>0</v>
      </c>
      <c r="H274" s="1391" t="e">
        <f>G274/F274*100</f>
        <v>#DIV/0!</v>
      </c>
      <c r="I274" s="1476"/>
    </row>
    <row r="275" spans="1:9" s="1397" customFormat="1" ht="15" hidden="1" x14ac:dyDescent="0.25">
      <c r="A275" s="1392"/>
      <c r="B275" s="1392"/>
      <c r="C275" s="1392"/>
      <c r="D275" s="1392"/>
      <c r="E275" s="1393"/>
      <c r="F275" s="1393"/>
      <c r="G275" s="1393"/>
      <c r="H275" s="1418"/>
      <c r="I275" s="1476"/>
    </row>
    <row r="276" spans="1:9" ht="18" hidden="1" x14ac:dyDescent="0.25">
      <c r="A276" s="1377" t="s">
        <v>1154</v>
      </c>
      <c r="B276" s="1400"/>
      <c r="C276" s="1400"/>
      <c r="D276" s="1400"/>
      <c r="E276" s="1400"/>
      <c r="F276" s="1400"/>
      <c r="G276" s="1400"/>
      <c r="H276" s="1445"/>
    </row>
    <row r="277" spans="1:9" ht="15.75" hidden="1" x14ac:dyDescent="0.25">
      <c r="A277" s="1376" t="s">
        <v>1155</v>
      </c>
      <c r="H277" s="1394" t="s">
        <v>148</v>
      </c>
    </row>
    <row r="278" spans="1:9" s="1292" customFormat="1" ht="25.5" hidden="1" thickTop="1" thickBot="1" x14ac:dyDescent="0.25">
      <c r="A278" s="1378" t="s">
        <v>149</v>
      </c>
      <c r="B278" s="1379" t="s">
        <v>688</v>
      </c>
      <c r="C278" s="1379" t="s">
        <v>345</v>
      </c>
      <c r="D278" s="1380" t="s">
        <v>151</v>
      </c>
      <c r="E278" s="1402" t="s">
        <v>569</v>
      </c>
      <c r="F278" s="1402" t="s">
        <v>570</v>
      </c>
      <c r="G278" s="1403" t="s">
        <v>797</v>
      </c>
      <c r="H278" s="1404" t="s">
        <v>798</v>
      </c>
    </row>
    <row r="279" spans="1:9" s="1292" customFormat="1" ht="13.5" hidden="1" thickTop="1" thickBot="1" x14ac:dyDescent="0.25">
      <c r="A279" s="1297">
        <v>1</v>
      </c>
      <c r="B279" s="1296">
        <v>2</v>
      </c>
      <c r="C279" s="1296">
        <v>3</v>
      </c>
      <c r="D279" s="1296">
        <v>4</v>
      </c>
      <c r="E279" s="1295">
        <v>5</v>
      </c>
      <c r="F279" s="1295">
        <v>6</v>
      </c>
      <c r="G279" s="1446">
        <v>7</v>
      </c>
      <c r="H279" s="1468" t="s">
        <v>54</v>
      </c>
    </row>
    <row r="280" spans="1:9" ht="15.75" hidden="1" thickTop="1" x14ac:dyDescent="0.2">
      <c r="A280" s="1463">
        <v>3122</v>
      </c>
      <c r="B280" s="1469">
        <v>6121</v>
      </c>
      <c r="C280" s="1472">
        <v>53100874</v>
      </c>
      <c r="D280" s="1405" t="s">
        <v>548</v>
      </c>
      <c r="E280" s="1401"/>
      <c r="F280" s="1401"/>
      <c r="G280" s="1401"/>
      <c r="H280" s="1390" t="e">
        <f t="shared" ref="H280:H286" si="16">G280/F280*100</f>
        <v>#DIV/0!</v>
      </c>
    </row>
    <row r="281" spans="1:9" ht="15" hidden="1" x14ac:dyDescent="0.2">
      <c r="A281" s="1463">
        <v>3122</v>
      </c>
      <c r="B281" s="1469">
        <v>6121</v>
      </c>
      <c r="C281" s="1472">
        <v>54100870</v>
      </c>
      <c r="D281" s="1405" t="s">
        <v>548</v>
      </c>
      <c r="E281" s="1414"/>
      <c r="F281" s="1414"/>
      <c r="G281" s="1414"/>
      <c r="H281" s="1390" t="e">
        <f t="shared" si="16"/>
        <v>#DIV/0!</v>
      </c>
    </row>
    <row r="282" spans="1:9" ht="15" hidden="1" x14ac:dyDescent="0.2">
      <c r="A282" s="1463">
        <v>3122</v>
      </c>
      <c r="B282" s="1469">
        <v>6121</v>
      </c>
      <c r="C282" s="1472">
        <v>54100874</v>
      </c>
      <c r="D282" s="1405" t="s">
        <v>548</v>
      </c>
      <c r="E282" s="1414"/>
      <c r="F282" s="1414"/>
      <c r="G282" s="1414"/>
      <c r="H282" s="1390" t="e">
        <f t="shared" si="16"/>
        <v>#DIV/0!</v>
      </c>
    </row>
    <row r="283" spans="1:9" ht="15" hidden="1" x14ac:dyDescent="0.2">
      <c r="A283" s="1463">
        <v>3122</v>
      </c>
      <c r="B283" s="1469">
        <v>6121</v>
      </c>
      <c r="C283" s="1472">
        <v>54100880</v>
      </c>
      <c r="D283" s="1405" t="s">
        <v>548</v>
      </c>
      <c r="E283" s="1414"/>
      <c r="F283" s="1414"/>
      <c r="G283" s="1414"/>
      <c r="H283" s="1390" t="e">
        <f t="shared" si="16"/>
        <v>#DIV/0!</v>
      </c>
    </row>
    <row r="284" spans="1:9" ht="15" hidden="1" x14ac:dyDescent="0.2">
      <c r="A284" s="1463">
        <v>3122</v>
      </c>
      <c r="B284" s="1469">
        <v>6121</v>
      </c>
      <c r="C284" s="1472">
        <v>54100884</v>
      </c>
      <c r="D284" s="1405" t="s">
        <v>548</v>
      </c>
      <c r="E284" s="1414"/>
      <c r="F284" s="1414"/>
      <c r="G284" s="1414"/>
      <c r="H284" s="1390" t="e">
        <f t="shared" si="16"/>
        <v>#DIV/0!</v>
      </c>
    </row>
    <row r="285" spans="1:9" ht="15" hidden="1" x14ac:dyDescent="0.2">
      <c r="A285" s="1463">
        <v>3122</v>
      </c>
      <c r="B285" s="1469">
        <v>6121</v>
      </c>
      <c r="C285" s="1472">
        <v>54190877</v>
      </c>
      <c r="D285" s="1405" t="s">
        <v>548</v>
      </c>
      <c r="E285" s="1414"/>
      <c r="F285" s="1414"/>
      <c r="G285" s="1414"/>
      <c r="H285" s="1390" t="e">
        <f t="shared" si="16"/>
        <v>#DIV/0!</v>
      </c>
    </row>
    <row r="286" spans="1:9" ht="15" hidden="1" x14ac:dyDescent="0.2">
      <c r="A286" s="1463">
        <v>3122</v>
      </c>
      <c r="B286" s="1469">
        <v>6121</v>
      </c>
      <c r="C286" s="1472">
        <v>54515835</v>
      </c>
      <c r="D286" s="1405" t="s">
        <v>548</v>
      </c>
      <c r="E286" s="1414"/>
      <c r="F286" s="1414"/>
      <c r="G286" s="1414"/>
      <c r="H286" s="1390" t="e">
        <f t="shared" si="16"/>
        <v>#DIV/0!</v>
      </c>
    </row>
    <row r="287" spans="1:9" ht="15.75" hidden="1" thickBot="1" x14ac:dyDescent="0.25">
      <c r="A287" s="1463">
        <v>3122</v>
      </c>
      <c r="B287" s="1469">
        <v>6121</v>
      </c>
      <c r="C287" s="1472">
        <v>53500871</v>
      </c>
      <c r="D287" s="1405" t="s">
        <v>548</v>
      </c>
      <c r="E287" s="1414">
        <v>0</v>
      </c>
      <c r="F287" s="1414"/>
      <c r="G287" s="1414"/>
      <c r="H287" s="1396">
        <v>0</v>
      </c>
    </row>
    <row r="288" spans="1:9" s="1397" customFormat="1" ht="16.5" hidden="1" thickTop="1" thickBot="1" x14ac:dyDescent="0.3">
      <c r="A288" s="3219" t="s">
        <v>690</v>
      </c>
      <c r="B288" s="3220"/>
      <c r="C288" s="3220"/>
      <c r="D288" s="3220"/>
      <c r="E288" s="1387">
        <f>SUM(E280:E287)</f>
        <v>0</v>
      </c>
      <c r="F288" s="1387">
        <f>SUM(F280:F287)</f>
        <v>0</v>
      </c>
      <c r="G288" s="1387">
        <f>SUM(G280:G287)</f>
        <v>0</v>
      </c>
      <c r="H288" s="1391" t="e">
        <f>G288/F288*100</f>
        <v>#DIV/0!</v>
      </c>
      <c r="I288" s="1476"/>
    </row>
    <row r="289" spans="1:9" s="1397" customFormat="1" ht="15" hidden="1" x14ac:dyDescent="0.25">
      <c r="A289" s="1392"/>
      <c r="B289" s="1392"/>
      <c r="C289" s="1392"/>
      <c r="D289" s="1392"/>
      <c r="E289" s="1393"/>
      <c r="F289" s="1393"/>
      <c r="G289" s="1393"/>
      <c r="H289" s="1418"/>
      <c r="I289" s="1476"/>
    </row>
    <row r="290" spans="1:9" s="1397" customFormat="1" ht="15" hidden="1" x14ac:dyDescent="0.25">
      <c r="A290" s="1392"/>
      <c r="B290" s="1392"/>
      <c r="C290" s="1392"/>
      <c r="D290" s="1392"/>
      <c r="E290" s="1393"/>
      <c r="F290" s="1393"/>
      <c r="G290" s="1393"/>
      <c r="H290" s="1418"/>
      <c r="I290" s="1476"/>
    </row>
    <row r="291" spans="1:9" ht="18" hidden="1" x14ac:dyDescent="0.25">
      <c r="A291" s="1377" t="s">
        <v>1156</v>
      </c>
      <c r="B291" s="1400"/>
      <c r="C291" s="1400"/>
      <c r="D291" s="1400"/>
      <c r="E291" s="1400"/>
      <c r="F291" s="1400"/>
      <c r="G291" s="1400"/>
      <c r="H291" s="1445"/>
    </row>
    <row r="292" spans="1:9" ht="15.75" hidden="1" x14ac:dyDescent="0.25">
      <c r="A292" s="1376" t="s">
        <v>1157</v>
      </c>
      <c r="H292" s="1394" t="s">
        <v>148</v>
      </c>
    </row>
    <row r="293" spans="1:9" s="1292" customFormat="1" ht="25.5" hidden="1" thickTop="1" thickBot="1" x14ac:dyDescent="0.25">
      <c r="A293" s="1378" t="s">
        <v>149</v>
      </c>
      <c r="B293" s="1379" t="s">
        <v>688</v>
      </c>
      <c r="C293" s="1379" t="s">
        <v>345</v>
      </c>
      <c r="D293" s="1380" t="s">
        <v>151</v>
      </c>
      <c r="E293" s="1402" t="s">
        <v>569</v>
      </c>
      <c r="F293" s="1402" t="s">
        <v>570</v>
      </c>
      <c r="G293" s="1403" t="s">
        <v>797</v>
      </c>
      <c r="H293" s="1404" t="s">
        <v>798</v>
      </c>
    </row>
    <row r="294" spans="1:9" s="1292" customFormat="1" ht="13.5" hidden="1" thickTop="1" thickBot="1" x14ac:dyDescent="0.25">
      <c r="A294" s="1297">
        <v>1</v>
      </c>
      <c r="B294" s="1296">
        <v>2</v>
      </c>
      <c r="C294" s="1296">
        <v>3</v>
      </c>
      <c r="D294" s="1296">
        <v>4</v>
      </c>
      <c r="E294" s="1295">
        <v>5</v>
      </c>
      <c r="F294" s="1295">
        <v>6</v>
      </c>
      <c r="G294" s="1446">
        <v>7</v>
      </c>
      <c r="H294" s="1468" t="s">
        <v>54</v>
      </c>
    </row>
    <row r="295" spans="1:9" ht="15" hidden="1" x14ac:dyDescent="0.2">
      <c r="A295" s="1463">
        <v>3122</v>
      </c>
      <c r="B295" s="1469">
        <v>6121</v>
      </c>
      <c r="C295" s="1472">
        <v>53100874</v>
      </c>
      <c r="D295" s="1405" t="s">
        <v>548</v>
      </c>
      <c r="E295" s="1414"/>
      <c r="F295" s="1414"/>
      <c r="G295" s="1414"/>
      <c r="H295" s="1390" t="e">
        <f>G295/F295*100</f>
        <v>#DIV/0!</v>
      </c>
    </row>
    <row r="296" spans="1:9" ht="15" hidden="1" x14ac:dyDescent="0.2">
      <c r="A296" s="1463">
        <v>3122</v>
      </c>
      <c r="B296" s="1469">
        <v>6121</v>
      </c>
      <c r="C296" s="1472">
        <v>54100870</v>
      </c>
      <c r="D296" s="1405" t="s">
        <v>548</v>
      </c>
      <c r="E296" s="1414"/>
      <c r="F296" s="1414"/>
      <c r="G296" s="1414"/>
      <c r="H296" s="1390" t="e">
        <f>G296/F296*100</f>
        <v>#DIV/0!</v>
      </c>
    </row>
    <row r="297" spans="1:9" ht="15" hidden="1" x14ac:dyDescent="0.2">
      <c r="A297" s="1463">
        <v>3122</v>
      </c>
      <c r="B297" s="1469">
        <v>6121</v>
      </c>
      <c r="C297" s="1472">
        <v>54100874</v>
      </c>
      <c r="D297" s="1405" t="s">
        <v>548</v>
      </c>
      <c r="E297" s="1414"/>
      <c r="F297" s="1414"/>
      <c r="G297" s="1414"/>
      <c r="H297" s="1390" t="e">
        <f>G297/F297*100</f>
        <v>#DIV/0!</v>
      </c>
    </row>
    <row r="298" spans="1:9" ht="15" hidden="1" x14ac:dyDescent="0.2">
      <c r="A298" s="1463">
        <v>3122</v>
      </c>
      <c r="B298" s="1469">
        <v>6121</v>
      </c>
      <c r="C298" s="1472">
        <v>54100880</v>
      </c>
      <c r="D298" s="1405" t="s">
        <v>548</v>
      </c>
      <c r="E298" s="1414"/>
      <c r="F298" s="1414"/>
      <c r="G298" s="1414"/>
      <c r="H298" s="1390" t="e">
        <f>G298/F298*100</f>
        <v>#DIV/0!</v>
      </c>
    </row>
    <row r="299" spans="1:9" ht="15" hidden="1" x14ac:dyDescent="0.2">
      <c r="A299" s="1463">
        <v>3122</v>
      </c>
      <c r="B299" s="1469">
        <v>6121</v>
      </c>
      <c r="C299" s="1472">
        <v>54190877</v>
      </c>
      <c r="D299" s="1405" t="s">
        <v>548</v>
      </c>
      <c r="E299" s="1414"/>
      <c r="F299" s="1414"/>
      <c r="G299" s="1414"/>
      <c r="H299" s="1390" t="e">
        <f>G299/F299*100</f>
        <v>#DIV/0!</v>
      </c>
    </row>
    <row r="300" spans="1:9" ht="15.75" hidden="1" thickBot="1" x14ac:dyDescent="0.25">
      <c r="A300" s="1463">
        <v>3122</v>
      </c>
      <c r="B300" s="1469">
        <v>6121</v>
      </c>
      <c r="C300" s="1472">
        <v>54515835</v>
      </c>
      <c r="D300" s="1405" t="s">
        <v>548</v>
      </c>
      <c r="E300" s="1414"/>
      <c r="F300" s="1414"/>
      <c r="G300" s="1414"/>
      <c r="H300" s="1396">
        <v>0</v>
      </c>
    </row>
    <row r="301" spans="1:9" s="1397" customFormat="1" ht="16.5" hidden="1" thickTop="1" thickBot="1" x14ac:dyDescent="0.3">
      <c r="A301" s="3219" t="s">
        <v>690</v>
      </c>
      <c r="B301" s="3220"/>
      <c r="C301" s="3220"/>
      <c r="D301" s="3220"/>
      <c r="E301" s="1387">
        <f>SUM(E295:E300)</f>
        <v>0</v>
      </c>
      <c r="F301" s="1387">
        <f>SUM(F295:F300)</f>
        <v>0</v>
      </c>
      <c r="G301" s="1387">
        <f>SUM(G295:G300)</f>
        <v>0</v>
      </c>
      <c r="H301" s="1391" t="e">
        <f>G301/F301*100</f>
        <v>#DIV/0!</v>
      </c>
      <c r="I301" s="1476"/>
    </row>
    <row r="302" spans="1:9" s="1397" customFormat="1" ht="15" hidden="1" x14ac:dyDescent="0.25">
      <c r="A302" s="1392"/>
      <c r="B302" s="1392"/>
      <c r="C302" s="1392"/>
      <c r="D302" s="1392"/>
      <c r="E302" s="1393"/>
      <c r="F302" s="1393"/>
      <c r="G302" s="1393"/>
      <c r="H302" s="1418"/>
      <c r="I302" s="1476"/>
    </row>
    <row r="303" spans="1:9" ht="18" hidden="1" x14ac:dyDescent="0.25">
      <c r="A303" s="1377" t="s">
        <v>1671</v>
      </c>
      <c r="B303" s="1400"/>
      <c r="C303" s="1400"/>
      <c r="D303" s="1400"/>
      <c r="E303" s="1400"/>
      <c r="F303" s="1400"/>
      <c r="G303" s="1400"/>
      <c r="H303" s="1445"/>
    </row>
    <row r="304" spans="1:9" ht="15.75" hidden="1" x14ac:dyDescent="0.25">
      <c r="A304" s="1376" t="s">
        <v>1672</v>
      </c>
      <c r="H304" s="1394" t="s">
        <v>148</v>
      </c>
    </row>
    <row r="305" spans="1:9" s="1292" customFormat="1" ht="25.5" hidden="1" thickTop="1" thickBot="1" x14ac:dyDescent="0.25">
      <c r="A305" s="1378" t="s">
        <v>149</v>
      </c>
      <c r="B305" s="1379" t="s">
        <v>688</v>
      </c>
      <c r="C305" s="1379" t="s">
        <v>345</v>
      </c>
      <c r="D305" s="1380" t="s">
        <v>151</v>
      </c>
      <c r="E305" s="1402" t="s">
        <v>569</v>
      </c>
      <c r="F305" s="1402" t="s">
        <v>570</v>
      </c>
      <c r="G305" s="1403" t="s">
        <v>797</v>
      </c>
      <c r="H305" s="1404" t="s">
        <v>798</v>
      </c>
    </row>
    <row r="306" spans="1:9" s="1292" customFormat="1" ht="13.5" hidden="1" thickTop="1" thickBot="1" x14ac:dyDescent="0.25">
      <c r="A306" s="1297">
        <v>1</v>
      </c>
      <c r="B306" s="1296">
        <v>2</v>
      </c>
      <c r="C306" s="1296">
        <v>3</v>
      </c>
      <c r="D306" s="1296">
        <v>4</v>
      </c>
      <c r="E306" s="1295">
        <v>5</v>
      </c>
      <c r="F306" s="1295">
        <v>6</v>
      </c>
      <c r="G306" s="1446">
        <v>7</v>
      </c>
      <c r="H306" s="1468" t="s">
        <v>54</v>
      </c>
    </row>
    <row r="307" spans="1:9" ht="15.75" hidden="1" thickTop="1" x14ac:dyDescent="0.2">
      <c r="A307" s="1463">
        <v>3122</v>
      </c>
      <c r="B307" s="1469">
        <v>6121</v>
      </c>
      <c r="C307" s="1472">
        <v>53100870</v>
      </c>
      <c r="D307" s="1405" t="s">
        <v>548</v>
      </c>
      <c r="E307" s="1401">
        <v>0</v>
      </c>
      <c r="F307" s="1401">
        <v>0</v>
      </c>
      <c r="G307" s="1401">
        <v>0</v>
      </c>
      <c r="H307" s="1388" t="e">
        <f>G307/F307*100</f>
        <v>#DIV/0!</v>
      </c>
    </row>
    <row r="308" spans="1:9" ht="15" hidden="1" x14ac:dyDescent="0.2">
      <c r="A308" s="1463">
        <v>3122</v>
      </c>
      <c r="B308" s="1469">
        <v>6121</v>
      </c>
      <c r="C308" s="1472">
        <v>53100872</v>
      </c>
      <c r="D308" s="1405" t="s">
        <v>548</v>
      </c>
      <c r="E308" s="1414">
        <v>0</v>
      </c>
      <c r="F308" s="1414"/>
      <c r="G308" s="1414"/>
      <c r="H308" s="1390" t="e">
        <f>G308/F308*100</f>
        <v>#DIV/0!</v>
      </c>
    </row>
    <row r="309" spans="1:9" ht="15" hidden="1" x14ac:dyDescent="0.2">
      <c r="A309" s="1463">
        <v>3122</v>
      </c>
      <c r="B309" s="1469">
        <v>6121</v>
      </c>
      <c r="C309" s="1472">
        <v>54100884</v>
      </c>
      <c r="D309" s="1405" t="s">
        <v>548</v>
      </c>
      <c r="E309" s="1414"/>
      <c r="F309" s="1414"/>
      <c r="G309" s="1414"/>
      <c r="H309" s="1390" t="e">
        <f>G309/F309*100</f>
        <v>#DIV/0!</v>
      </c>
    </row>
    <row r="310" spans="1:9" ht="15.75" hidden="1" thickBot="1" x14ac:dyDescent="0.25">
      <c r="A310" s="1463">
        <v>3122</v>
      </c>
      <c r="B310" s="1469">
        <v>6121</v>
      </c>
      <c r="C310" s="1472">
        <v>53500871</v>
      </c>
      <c r="D310" s="1405" t="s">
        <v>548</v>
      </c>
      <c r="E310" s="1414">
        <v>0</v>
      </c>
      <c r="F310" s="1414"/>
      <c r="G310" s="1414"/>
      <c r="H310" s="1396">
        <v>0</v>
      </c>
    </row>
    <row r="311" spans="1:9" s="1397" customFormat="1" ht="16.5" hidden="1" thickTop="1" thickBot="1" x14ac:dyDescent="0.3">
      <c r="A311" s="3219" t="s">
        <v>690</v>
      </c>
      <c r="B311" s="3220"/>
      <c r="C311" s="3220"/>
      <c r="D311" s="3220"/>
      <c r="E311" s="1387">
        <f>SUM(E307:E310)</f>
        <v>0</v>
      </c>
      <c r="F311" s="1387">
        <f>SUM(F307:F310)</f>
        <v>0</v>
      </c>
      <c r="G311" s="1387">
        <f>SUM(G307:G310)</f>
        <v>0</v>
      </c>
      <c r="H311" s="1391" t="e">
        <f>G311/F311*100</f>
        <v>#DIV/0!</v>
      </c>
      <c r="I311" s="1476"/>
    </row>
    <row r="312" spans="1:9" s="1397" customFormat="1" ht="15" hidden="1" x14ac:dyDescent="0.25">
      <c r="A312" s="1392"/>
      <c r="B312" s="1392"/>
      <c r="C312" s="1392"/>
      <c r="D312" s="1392"/>
      <c r="E312" s="1393"/>
      <c r="F312" s="1393"/>
      <c r="G312" s="1393"/>
      <c r="H312" s="1418"/>
      <c r="I312" s="1476"/>
    </row>
    <row r="313" spans="1:9" ht="18" hidden="1" x14ac:dyDescent="0.25">
      <c r="A313" s="1377" t="s">
        <v>1318</v>
      </c>
      <c r="B313" s="1400"/>
      <c r="C313" s="1400"/>
      <c r="D313" s="1400"/>
      <c r="E313" s="1400"/>
      <c r="F313" s="1400"/>
      <c r="G313" s="1400"/>
      <c r="H313" s="1445"/>
    </row>
    <row r="314" spans="1:9" ht="15.75" hidden="1" x14ac:dyDescent="0.25">
      <c r="A314" s="1376" t="s">
        <v>1319</v>
      </c>
      <c r="H314" s="1394" t="s">
        <v>148</v>
      </c>
    </row>
    <row r="315" spans="1:9" s="1292" customFormat="1" ht="25.5" hidden="1" thickTop="1" thickBot="1" x14ac:dyDescent="0.25">
      <c r="A315" s="1378" t="s">
        <v>149</v>
      </c>
      <c r="B315" s="1379" t="s">
        <v>688</v>
      </c>
      <c r="C315" s="1379" t="s">
        <v>345</v>
      </c>
      <c r="D315" s="1380" t="s">
        <v>151</v>
      </c>
      <c r="E315" s="1402" t="s">
        <v>569</v>
      </c>
      <c r="F315" s="1402" t="s">
        <v>570</v>
      </c>
      <c r="G315" s="1403" t="s">
        <v>797</v>
      </c>
      <c r="H315" s="1404" t="s">
        <v>798</v>
      </c>
    </row>
    <row r="316" spans="1:9" s="1292" customFormat="1" ht="13.5" hidden="1" thickTop="1" thickBot="1" x14ac:dyDescent="0.25">
      <c r="A316" s="1297">
        <v>1</v>
      </c>
      <c r="B316" s="1296">
        <v>2</v>
      </c>
      <c r="C316" s="1296">
        <v>3</v>
      </c>
      <c r="D316" s="1296">
        <v>4</v>
      </c>
      <c r="E316" s="1295">
        <v>5</v>
      </c>
      <c r="F316" s="1295">
        <v>6</v>
      </c>
      <c r="G316" s="1446">
        <v>7</v>
      </c>
      <c r="H316" s="1468" t="s">
        <v>54</v>
      </c>
    </row>
    <row r="317" spans="1:9" ht="15.75" hidden="1" thickTop="1" x14ac:dyDescent="0.2">
      <c r="A317" s="1463">
        <v>3122</v>
      </c>
      <c r="B317" s="1469">
        <v>6121</v>
      </c>
      <c r="C317" s="1472">
        <v>53100870</v>
      </c>
      <c r="D317" s="1405" t="s">
        <v>548</v>
      </c>
      <c r="E317" s="1401"/>
      <c r="F317" s="1401"/>
      <c r="G317" s="1401"/>
      <c r="H317" s="1388">
        <v>0</v>
      </c>
    </row>
    <row r="318" spans="1:9" ht="15" hidden="1" x14ac:dyDescent="0.2">
      <c r="A318" s="1463">
        <v>3122</v>
      </c>
      <c r="B318" s="1469">
        <v>6121</v>
      </c>
      <c r="C318" s="1472">
        <v>53100872</v>
      </c>
      <c r="D318" s="1405" t="s">
        <v>548</v>
      </c>
      <c r="E318" s="1414"/>
      <c r="F318" s="1414"/>
      <c r="G318" s="1414"/>
      <c r="H318" s="1390">
        <v>0</v>
      </c>
    </row>
    <row r="319" spans="1:9" ht="15" hidden="1" x14ac:dyDescent="0.2">
      <c r="A319" s="1463">
        <v>3122</v>
      </c>
      <c r="B319" s="1469">
        <v>6121</v>
      </c>
      <c r="C319" s="1472">
        <v>53100874</v>
      </c>
      <c r="D319" s="1405" t="s">
        <v>548</v>
      </c>
      <c r="E319" s="1414"/>
      <c r="F319" s="1414"/>
      <c r="G319" s="1414"/>
      <c r="H319" s="1390">
        <v>0</v>
      </c>
    </row>
    <row r="320" spans="1:9" ht="15" hidden="1" x14ac:dyDescent="0.2">
      <c r="A320" s="1463">
        <v>3122</v>
      </c>
      <c r="B320" s="1469">
        <v>6121</v>
      </c>
      <c r="C320" s="1472">
        <v>53500871</v>
      </c>
      <c r="D320" s="1405" t="s">
        <v>548</v>
      </c>
      <c r="E320" s="1414"/>
      <c r="F320" s="1414"/>
      <c r="G320" s="1414"/>
      <c r="H320" s="1390">
        <v>0</v>
      </c>
    </row>
    <row r="321" spans="1:9" ht="15" hidden="1" x14ac:dyDescent="0.2">
      <c r="A321" s="1463">
        <v>3122</v>
      </c>
      <c r="B321" s="1469">
        <v>6121</v>
      </c>
      <c r="C321" s="1472">
        <v>54100870</v>
      </c>
      <c r="D321" s="1405" t="s">
        <v>548</v>
      </c>
      <c r="E321" s="1414"/>
      <c r="F321" s="1414"/>
      <c r="G321" s="1414"/>
      <c r="H321" s="1390">
        <v>0</v>
      </c>
    </row>
    <row r="322" spans="1:9" ht="15" hidden="1" x14ac:dyDescent="0.2">
      <c r="A322" s="1463">
        <v>3122</v>
      </c>
      <c r="B322" s="1469">
        <v>6121</v>
      </c>
      <c r="C322" s="1472">
        <v>54100872</v>
      </c>
      <c r="D322" s="1405" t="s">
        <v>548</v>
      </c>
      <c r="E322" s="1414"/>
      <c r="F322" s="1414"/>
      <c r="G322" s="1414"/>
      <c r="H322" s="1390">
        <v>0</v>
      </c>
    </row>
    <row r="323" spans="1:9" ht="15" hidden="1" x14ac:dyDescent="0.2">
      <c r="A323" s="1463">
        <v>3122</v>
      </c>
      <c r="B323" s="1469">
        <v>6121</v>
      </c>
      <c r="C323" s="1472">
        <v>54100874</v>
      </c>
      <c r="D323" s="1405" t="s">
        <v>548</v>
      </c>
      <c r="E323" s="1414"/>
      <c r="F323" s="1414"/>
      <c r="G323" s="1414"/>
      <c r="H323" s="1390">
        <v>0</v>
      </c>
    </row>
    <row r="324" spans="1:9" ht="15" hidden="1" x14ac:dyDescent="0.2">
      <c r="A324" s="1463">
        <v>3122</v>
      </c>
      <c r="B324" s="1469">
        <v>6121</v>
      </c>
      <c r="C324" s="1472">
        <v>54100880</v>
      </c>
      <c r="D324" s="1405" t="s">
        <v>548</v>
      </c>
      <c r="E324" s="1414"/>
      <c r="F324" s="1414"/>
      <c r="G324" s="1414"/>
      <c r="H324" s="1390">
        <v>0</v>
      </c>
    </row>
    <row r="325" spans="1:9" ht="15" hidden="1" x14ac:dyDescent="0.2">
      <c r="A325" s="1463">
        <v>3122</v>
      </c>
      <c r="B325" s="1469">
        <v>6121</v>
      </c>
      <c r="C325" s="1472">
        <v>54100884</v>
      </c>
      <c r="D325" s="1405" t="s">
        <v>548</v>
      </c>
      <c r="E325" s="1414"/>
      <c r="F325" s="1414"/>
      <c r="G325" s="1414"/>
      <c r="H325" s="1390">
        <v>0</v>
      </c>
    </row>
    <row r="326" spans="1:9" ht="15" hidden="1" x14ac:dyDescent="0.2">
      <c r="A326" s="1463">
        <v>3122</v>
      </c>
      <c r="B326" s="1469">
        <v>6121</v>
      </c>
      <c r="C326" s="1472">
        <v>54190877</v>
      </c>
      <c r="D326" s="1405" t="s">
        <v>548</v>
      </c>
      <c r="E326" s="1414"/>
      <c r="F326" s="1414"/>
      <c r="G326" s="1414"/>
      <c r="H326" s="1390">
        <v>0</v>
      </c>
    </row>
    <row r="327" spans="1:9" ht="15" hidden="1" x14ac:dyDescent="0.2">
      <c r="A327" s="1463">
        <v>3122</v>
      </c>
      <c r="B327" s="1469">
        <v>6121</v>
      </c>
      <c r="C327" s="1472">
        <v>54500870</v>
      </c>
      <c r="D327" s="1405" t="s">
        <v>548</v>
      </c>
      <c r="E327" s="1414"/>
      <c r="F327" s="1414"/>
      <c r="G327" s="1414"/>
      <c r="H327" s="1390">
        <v>0</v>
      </c>
    </row>
    <row r="328" spans="1:9" ht="15" hidden="1" x14ac:dyDescent="0.2">
      <c r="A328" s="1463">
        <v>3122</v>
      </c>
      <c r="B328" s="1469">
        <v>6121</v>
      </c>
      <c r="C328" s="1472">
        <v>54500871</v>
      </c>
      <c r="D328" s="1405" t="s">
        <v>548</v>
      </c>
      <c r="E328" s="1414"/>
      <c r="F328" s="1414"/>
      <c r="G328" s="1414"/>
      <c r="H328" s="1390">
        <v>0</v>
      </c>
    </row>
    <row r="329" spans="1:9" ht="15" hidden="1" x14ac:dyDescent="0.2">
      <c r="A329" s="1463">
        <v>3122</v>
      </c>
      <c r="B329" s="1469">
        <v>6121</v>
      </c>
      <c r="C329" s="1472">
        <v>54500872</v>
      </c>
      <c r="D329" s="1405" t="s">
        <v>548</v>
      </c>
      <c r="E329" s="1414"/>
      <c r="F329" s="1414"/>
      <c r="G329" s="1414"/>
      <c r="H329" s="1390" t="e">
        <f>G329/F329*100</f>
        <v>#DIV/0!</v>
      </c>
    </row>
    <row r="330" spans="1:9" ht="15" hidden="1" x14ac:dyDescent="0.2">
      <c r="A330" s="1463">
        <v>3122</v>
      </c>
      <c r="B330" s="1469">
        <v>6121</v>
      </c>
      <c r="C330" s="1472">
        <v>54515835</v>
      </c>
      <c r="D330" s="1405" t="s">
        <v>548</v>
      </c>
      <c r="E330" s="1414"/>
      <c r="F330" s="1414"/>
      <c r="G330" s="1414"/>
      <c r="H330" s="1390" t="e">
        <f>G330/F330*100</f>
        <v>#DIV/0!</v>
      </c>
    </row>
    <row r="331" spans="1:9" s="1397" customFormat="1" ht="16.5" hidden="1" thickTop="1" thickBot="1" x14ac:dyDescent="0.3">
      <c r="A331" s="3219" t="s">
        <v>690</v>
      </c>
      <c r="B331" s="3220"/>
      <c r="C331" s="3220"/>
      <c r="D331" s="3220"/>
      <c r="E331" s="1387">
        <f>SUM(E317:E330)</f>
        <v>0</v>
      </c>
      <c r="F331" s="1387">
        <f>SUM(F317:F330)</f>
        <v>0</v>
      </c>
      <c r="G331" s="1387">
        <f>SUM(G317:G330)</f>
        <v>0</v>
      </c>
      <c r="H331" s="1391" t="e">
        <f>G331/F331*100</f>
        <v>#DIV/0!</v>
      </c>
      <c r="I331" s="1476"/>
    </row>
    <row r="332" spans="1:9" s="1397" customFormat="1" ht="15" hidden="1" x14ac:dyDescent="0.25">
      <c r="A332" s="1392"/>
      <c r="B332" s="1392"/>
      <c r="C332" s="1392"/>
      <c r="D332" s="1392"/>
      <c r="E332" s="1393"/>
      <c r="F332" s="1393"/>
      <c r="G332" s="1393"/>
      <c r="H332" s="1418"/>
      <c r="I332" s="1476"/>
    </row>
    <row r="333" spans="1:9" ht="18" hidden="1" x14ac:dyDescent="0.25">
      <c r="A333" s="1377" t="s">
        <v>1462</v>
      </c>
      <c r="B333" s="1400"/>
      <c r="C333" s="1400"/>
      <c r="D333" s="1400"/>
      <c r="E333" s="1400"/>
      <c r="F333" s="1400"/>
      <c r="G333" s="1400"/>
      <c r="H333" s="1445"/>
    </row>
    <row r="334" spans="1:9" ht="15.75" hidden="1" x14ac:dyDescent="0.25">
      <c r="A334" s="1376" t="s">
        <v>1463</v>
      </c>
      <c r="H334" s="1394" t="s">
        <v>148</v>
      </c>
    </row>
    <row r="335" spans="1:9" s="1292" customFormat="1" ht="25.5" hidden="1" thickTop="1" thickBot="1" x14ac:dyDescent="0.25">
      <c r="A335" s="1378" t="s">
        <v>149</v>
      </c>
      <c r="B335" s="1379" t="s">
        <v>688</v>
      </c>
      <c r="C335" s="1379" t="s">
        <v>345</v>
      </c>
      <c r="D335" s="1380" t="s">
        <v>151</v>
      </c>
      <c r="E335" s="1402" t="s">
        <v>569</v>
      </c>
      <c r="F335" s="1402" t="s">
        <v>570</v>
      </c>
      <c r="G335" s="1403" t="s">
        <v>797</v>
      </c>
      <c r="H335" s="1404" t="s">
        <v>798</v>
      </c>
    </row>
    <row r="336" spans="1:9" s="1292" customFormat="1" ht="13.5" hidden="1" thickTop="1" thickBot="1" x14ac:dyDescent="0.25">
      <c r="A336" s="1297">
        <v>1</v>
      </c>
      <c r="B336" s="1296">
        <v>2</v>
      </c>
      <c r="C336" s="1296">
        <v>3</v>
      </c>
      <c r="D336" s="1296">
        <v>4</v>
      </c>
      <c r="E336" s="1295">
        <v>5</v>
      </c>
      <c r="F336" s="1295">
        <v>6</v>
      </c>
      <c r="G336" s="1446">
        <v>7</v>
      </c>
      <c r="H336" s="1468" t="s">
        <v>54</v>
      </c>
    </row>
    <row r="337" spans="1:9" ht="15.75" hidden="1" thickTop="1" x14ac:dyDescent="0.2">
      <c r="A337" s="1463">
        <v>3122</v>
      </c>
      <c r="B337" s="1469">
        <v>6121</v>
      </c>
      <c r="C337" s="1472">
        <v>53100870</v>
      </c>
      <c r="D337" s="1405" t="s">
        <v>548</v>
      </c>
      <c r="E337" s="1401"/>
      <c r="F337" s="1401"/>
      <c r="G337" s="1401"/>
      <c r="H337" s="1388" t="e">
        <f t="shared" ref="H337:H346" si="17">G337/F337*100</f>
        <v>#DIV/0!</v>
      </c>
    </row>
    <row r="338" spans="1:9" ht="15" hidden="1" x14ac:dyDescent="0.2">
      <c r="A338" s="1463">
        <v>3122</v>
      </c>
      <c r="B338" s="1469">
        <v>6121</v>
      </c>
      <c r="C338" s="1472">
        <v>53100872</v>
      </c>
      <c r="D338" s="1405" t="s">
        <v>548</v>
      </c>
      <c r="E338" s="1414"/>
      <c r="F338" s="1414"/>
      <c r="G338" s="1414"/>
      <c r="H338" s="1390" t="e">
        <f t="shared" si="17"/>
        <v>#DIV/0!</v>
      </c>
    </row>
    <row r="339" spans="1:9" ht="15" hidden="1" x14ac:dyDescent="0.2">
      <c r="A339" s="1463">
        <v>3122</v>
      </c>
      <c r="B339" s="1469">
        <v>6121</v>
      </c>
      <c r="C339" s="1472">
        <v>53100874</v>
      </c>
      <c r="D339" s="1405" t="s">
        <v>548</v>
      </c>
      <c r="E339" s="1414"/>
      <c r="F339" s="1414"/>
      <c r="G339" s="1414"/>
      <c r="H339" s="1390" t="e">
        <f t="shared" si="17"/>
        <v>#DIV/0!</v>
      </c>
    </row>
    <row r="340" spans="1:9" ht="15" hidden="1" x14ac:dyDescent="0.2">
      <c r="A340" s="1463">
        <v>3122</v>
      </c>
      <c r="B340" s="1469">
        <v>6121</v>
      </c>
      <c r="C340" s="1472">
        <v>53500871</v>
      </c>
      <c r="D340" s="1405" t="s">
        <v>548</v>
      </c>
      <c r="E340" s="1414"/>
      <c r="F340" s="1414"/>
      <c r="G340" s="1414"/>
      <c r="H340" s="1390" t="e">
        <f t="shared" si="17"/>
        <v>#DIV/0!</v>
      </c>
    </row>
    <row r="341" spans="1:9" ht="15" hidden="1" x14ac:dyDescent="0.2">
      <c r="A341" s="1463">
        <v>3122</v>
      </c>
      <c r="B341" s="1469">
        <v>6121</v>
      </c>
      <c r="C341" s="1472">
        <v>54100870</v>
      </c>
      <c r="D341" s="1405" t="s">
        <v>548</v>
      </c>
      <c r="E341" s="1414"/>
      <c r="F341" s="1414"/>
      <c r="G341" s="1414"/>
      <c r="H341" s="1390" t="e">
        <f t="shared" si="17"/>
        <v>#DIV/0!</v>
      </c>
    </row>
    <row r="342" spans="1:9" ht="15" hidden="1" x14ac:dyDescent="0.2">
      <c r="A342" s="1463">
        <v>3122</v>
      </c>
      <c r="B342" s="1469">
        <v>6121</v>
      </c>
      <c r="C342" s="1472">
        <v>54100874</v>
      </c>
      <c r="D342" s="1405" t="s">
        <v>548</v>
      </c>
      <c r="E342" s="1414"/>
      <c r="F342" s="1414"/>
      <c r="G342" s="1414"/>
      <c r="H342" s="1390" t="e">
        <f t="shared" si="17"/>
        <v>#DIV/0!</v>
      </c>
    </row>
    <row r="343" spans="1:9" ht="15" hidden="1" x14ac:dyDescent="0.2">
      <c r="A343" s="1463">
        <v>3122</v>
      </c>
      <c r="B343" s="1469">
        <v>6121</v>
      </c>
      <c r="C343" s="1472">
        <v>54100884</v>
      </c>
      <c r="D343" s="1405" t="s">
        <v>548</v>
      </c>
      <c r="E343" s="1414"/>
      <c r="F343" s="1414"/>
      <c r="G343" s="1414"/>
      <c r="H343" s="1390" t="e">
        <f t="shared" si="17"/>
        <v>#DIV/0!</v>
      </c>
    </row>
    <row r="344" spans="1:9" ht="15" hidden="1" x14ac:dyDescent="0.2">
      <c r="A344" s="1463">
        <v>3122</v>
      </c>
      <c r="B344" s="1469">
        <v>6121</v>
      </c>
      <c r="C344" s="1472">
        <v>54190877</v>
      </c>
      <c r="D344" s="1405" t="s">
        <v>548</v>
      </c>
      <c r="E344" s="1414"/>
      <c r="F344" s="1414"/>
      <c r="G344" s="1414"/>
      <c r="H344" s="1390" t="e">
        <f t="shared" si="17"/>
        <v>#DIV/0!</v>
      </c>
    </row>
    <row r="345" spans="1:9" ht="15" hidden="1" x14ac:dyDescent="0.2">
      <c r="A345" s="1463">
        <v>3122</v>
      </c>
      <c r="B345" s="1469">
        <v>6121</v>
      </c>
      <c r="C345" s="1472">
        <v>54515835</v>
      </c>
      <c r="D345" s="1405" t="s">
        <v>548</v>
      </c>
      <c r="E345" s="1414"/>
      <c r="F345" s="1414"/>
      <c r="G345" s="1414"/>
      <c r="H345" s="1390" t="e">
        <f t="shared" si="17"/>
        <v>#DIV/0!</v>
      </c>
    </row>
    <row r="346" spans="1:9" s="1397" customFormat="1" ht="16.5" hidden="1" thickTop="1" thickBot="1" x14ac:dyDescent="0.3">
      <c r="A346" s="3219" t="s">
        <v>690</v>
      </c>
      <c r="B346" s="3220"/>
      <c r="C346" s="3220"/>
      <c r="D346" s="3220"/>
      <c r="E346" s="1387">
        <f>SUM(E337:E345)</f>
        <v>0</v>
      </c>
      <c r="F346" s="1387">
        <f>SUM(F337:F345)</f>
        <v>0</v>
      </c>
      <c r="G346" s="1387">
        <f>SUM(G337:G345)</f>
        <v>0</v>
      </c>
      <c r="H346" s="1391" t="e">
        <f t="shared" si="17"/>
        <v>#DIV/0!</v>
      </c>
      <c r="I346" s="1476"/>
    </row>
    <row r="347" spans="1:9" s="1397" customFormat="1" ht="15" hidden="1" x14ac:dyDescent="0.25">
      <c r="A347" s="1392"/>
      <c r="B347" s="1392"/>
      <c r="C347" s="1392"/>
      <c r="D347" s="1392"/>
      <c r="E347" s="1393"/>
      <c r="F347" s="1393"/>
      <c r="G347" s="1393"/>
      <c r="H347" s="1418"/>
      <c r="I347" s="1476"/>
    </row>
    <row r="348" spans="1:9" ht="18" hidden="1" x14ac:dyDescent="0.25">
      <c r="A348" s="1377" t="s">
        <v>1464</v>
      </c>
      <c r="B348" s="1400"/>
      <c r="C348" s="1400"/>
      <c r="D348" s="1400"/>
      <c r="E348" s="1400"/>
      <c r="F348" s="1400"/>
      <c r="G348" s="1400"/>
      <c r="H348" s="1445"/>
    </row>
    <row r="349" spans="1:9" ht="15.75" hidden="1" x14ac:dyDescent="0.25">
      <c r="A349" s="1376" t="s">
        <v>1465</v>
      </c>
      <c r="H349" s="1394" t="s">
        <v>148</v>
      </c>
    </row>
    <row r="350" spans="1:9" s="1292" customFormat="1" ht="25.5" hidden="1" thickTop="1" thickBot="1" x14ac:dyDescent="0.25">
      <c r="A350" s="1378" t="s">
        <v>149</v>
      </c>
      <c r="B350" s="1379" t="s">
        <v>688</v>
      </c>
      <c r="C350" s="1379" t="s">
        <v>345</v>
      </c>
      <c r="D350" s="1380" t="s">
        <v>151</v>
      </c>
      <c r="E350" s="1402" t="s">
        <v>569</v>
      </c>
      <c r="F350" s="1402" t="s">
        <v>570</v>
      </c>
      <c r="G350" s="1403" t="s">
        <v>797</v>
      </c>
      <c r="H350" s="1404" t="s">
        <v>798</v>
      </c>
    </row>
    <row r="351" spans="1:9" s="1292" customFormat="1" ht="13.5" hidden="1" thickTop="1" thickBot="1" x14ac:dyDescent="0.25">
      <c r="A351" s="1297">
        <v>1</v>
      </c>
      <c r="B351" s="1296">
        <v>2</v>
      </c>
      <c r="C351" s="1296">
        <v>3</v>
      </c>
      <c r="D351" s="1296">
        <v>4</v>
      </c>
      <c r="E351" s="1295">
        <v>5</v>
      </c>
      <c r="F351" s="1295">
        <v>6</v>
      </c>
      <c r="G351" s="1446">
        <v>7</v>
      </c>
      <c r="H351" s="1468" t="s">
        <v>54</v>
      </c>
    </row>
    <row r="352" spans="1:9" ht="15.75" hidden="1" thickTop="1" x14ac:dyDescent="0.2">
      <c r="A352" s="1463">
        <v>3122</v>
      </c>
      <c r="B352" s="1469">
        <v>6121</v>
      </c>
      <c r="C352" s="1472">
        <v>53100870</v>
      </c>
      <c r="D352" s="1405" t="s">
        <v>548</v>
      </c>
      <c r="E352" s="1401">
        <v>0</v>
      </c>
      <c r="F352" s="1401">
        <v>0</v>
      </c>
      <c r="G352" s="1401">
        <v>0</v>
      </c>
      <c r="H352" s="1388" t="e">
        <f>G352/F352*100</f>
        <v>#DIV/0!</v>
      </c>
    </row>
    <row r="353" spans="1:9" ht="15" hidden="1" x14ac:dyDescent="0.2">
      <c r="A353" s="1463">
        <v>3122</v>
      </c>
      <c r="B353" s="1469">
        <v>6121</v>
      </c>
      <c r="C353" s="1472">
        <v>53100872</v>
      </c>
      <c r="D353" s="1405" t="s">
        <v>548</v>
      </c>
      <c r="E353" s="1414">
        <v>0</v>
      </c>
      <c r="F353" s="1414"/>
      <c r="G353" s="1414"/>
      <c r="H353" s="1390" t="e">
        <f>G353/F353*100</f>
        <v>#DIV/0!</v>
      </c>
    </row>
    <row r="354" spans="1:9" ht="15" hidden="1" x14ac:dyDescent="0.2">
      <c r="A354" s="1463">
        <v>3121</v>
      </c>
      <c r="B354" s="1469">
        <v>6121</v>
      </c>
      <c r="C354" s="1472">
        <v>53100874</v>
      </c>
      <c r="D354" s="1405" t="s">
        <v>548</v>
      </c>
      <c r="E354" s="1414"/>
      <c r="F354" s="1414"/>
      <c r="G354" s="1580"/>
      <c r="H354" s="1390" t="e">
        <f>G354/F354*100</f>
        <v>#DIV/0!</v>
      </c>
    </row>
    <row r="355" spans="1:9" ht="15.75" hidden="1" thickBot="1" x14ac:dyDescent="0.25">
      <c r="A355" s="1463">
        <v>3122</v>
      </c>
      <c r="B355" s="1469">
        <v>6121</v>
      </c>
      <c r="C355" s="1472">
        <v>53500871</v>
      </c>
      <c r="D355" s="1405" t="s">
        <v>548</v>
      </c>
      <c r="E355" s="1414">
        <v>0</v>
      </c>
      <c r="F355" s="1414"/>
      <c r="G355" s="1414"/>
      <c r="H355" s="1396">
        <v>0</v>
      </c>
    </row>
    <row r="356" spans="1:9" s="1397" customFormat="1" ht="16.5" hidden="1" thickTop="1" thickBot="1" x14ac:dyDescent="0.3">
      <c r="A356" s="3219" t="s">
        <v>690</v>
      </c>
      <c r="B356" s="3220"/>
      <c r="C356" s="3220"/>
      <c r="D356" s="3220"/>
      <c r="E356" s="1387">
        <f>SUM(E352:E355)</f>
        <v>0</v>
      </c>
      <c r="F356" s="1387">
        <f>SUM(F352:F355)</f>
        <v>0</v>
      </c>
      <c r="G356" s="1387">
        <f>SUM(G352:G355)</f>
        <v>0</v>
      </c>
      <c r="H356" s="1391" t="e">
        <f>G356/F356*100</f>
        <v>#DIV/0!</v>
      </c>
      <c r="I356" s="1476"/>
    </row>
    <row r="357" spans="1:9" s="1397" customFormat="1" ht="15" hidden="1" x14ac:dyDescent="0.25">
      <c r="A357" s="1392"/>
      <c r="B357" s="1392"/>
      <c r="C357" s="1392"/>
      <c r="D357" s="1392"/>
      <c r="E357" s="1393"/>
      <c r="F357" s="1393"/>
      <c r="G357" s="1393"/>
      <c r="H357" s="1418"/>
      <c r="I357" s="1476"/>
    </row>
    <row r="358" spans="1:9" ht="18" x14ac:dyDescent="0.25">
      <c r="A358" s="1377" t="s">
        <v>1673</v>
      </c>
      <c r="B358" s="1400"/>
      <c r="C358" s="1400"/>
      <c r="D358" s="1400"/>
      <c r="E358" s="1400"/>
      <c r="F358" s="1400"/>
      <c r="G358" s="1400"/>
      <c r="H358" s="1445"/>
    </row>
    <row r="359" spans="1:9" ht="16.5" thickBot="1" x14ac:dyDescent="0.3">
      <c r="A359" s="1376" t="s">
        <v>1674</v>
      </c>
      <c r="H359" s="1394" t="s">
        <v>148</v>
      </c>
    </row>
    <row r="360" spans="1:9" s="1292" customFormat="1" ht="25.5" thickTop="1" thickBot="1" x14ac:dyDescent="0.25">
      <c r="A360" s="1378" t="s">
        <v>149</v>
      </c>
      <c r="B360" s="1379" t="s">
        <v>688</v>
      </c>
      <c r="C360" s="1379" t="s">
        <v>345</v>
      </c>
      <c r="D360" s="1380" t="s">
        <v>151</v>
      </c>
      <c r="E360" s="1402" t="s">
        <v>569</v>
      </c>
      <c r="F360" s="1402" t="s">
        <v>570</v>
      </c>
      <c r="G360" s="1403" t="s">
        <v>797</v>
      </c>
      <c r="H360" s="1404" t="s">
        <v>798</v>
      </c>
    </row>
    <row r="361" spans="1:9" s="1292" customFormat="1" ht="13.5" thickTop="1" thickBot="1" x14ac:dyDescent="0.25">
      <c r="A361" s="1297">
        <v>1</v>
      </c>
      <c r="B361" s="1296">
        <v>2</v>
      </c>
      <c r="C361" s="1296">
        <v>3</v>
      </c>
      <c r="D361" s="1296">
        <v>4</v>
      </c>
      <c r="E361" s="1295">
        <v>5</v>
      </c>
      <c r="F361" s="1295">
        <v>6</v>
      </c>
      <c r="G361" s="1446">
        <v>7</v>
      </c>
      <c r="H361" s="1468" t="s">
        <v>54</v>
      </c>
    </row>
    <row r="362" spans="1:9" ht="15.75" thickTop="1" x14ac:dyDescent="0.2">
      <c r="A362" s="1463">
        <v>3122</v>
      </c>
      <c r="B362" s="1469">
        <v>6121</v>
      </c>
      <c r="C362" s="2832" t="s">
        <v>2010</v>
      </c>
      <c r="D362" s="1405" t="s">
        <v>548</v>
      </c>
      <c r="E362" s="1401">
        <v>3748</v>
      </c>
      <c r="F362" s="1401">
        <v>1391</v>
      </c>
      <c r="G362" s="1401">
        <v>1388</v>
      </c>
      <c r="H362" s="1388">
        <f t="shared" ref="H362:H367" si="18">G362/F362*100</f>
        <v>99.784327821710988</v>
      </c>
    </row>
    <row r="363" spans="1:9" ht="15" x14ac:dyDescent="0.2">
      <c r="A363" s="1463">
        <v>3122</v>
      </c>
      <c r="B363" s="1469">
        <v>6121</v>
      </c>
      <c r="C363" s="2832" t="s">
        <v>2014</v>
      </c>
      <c r="D363" s="1405" t="s">
        <v>548</v>
      </c>
      <c r="E363" s="1414">
        <v>0</v>
      </c>
      <c r="F363" s="1414">
        <v>10804</v>
      </c>
      <c r="G363" s="1414">
        <v>10612</v>
      </c>
      <c r="H363" s="1390">
        <f t="shared" si="18"/>
        <v>98.222880414661233</v>
      </c>
    </row>
    <row r="364" spans="1:9" ht="15" x14ac:dyDescent="0.2">
      <c r="A364" s="1463">
        <v>3122</v>
      </c>
      <c r="B364" s="1469">
        <v>6121</v>
      </c>
      <c r="C364" s="2832" t="s">
        <v>2040</v>
      </c>
      <c r="D364" s="1405" t="s">
        <v>548</v>
      </c>
      <c r="E364" s="1414">
        <v>0</v>
      </c>
      <c r="F364" s="1414">
        <v>73</v>
      </c>
      <c r="G364" s="1414">
        <v>73</v>
      </c>
      <c r="H364" s="1390">
        <f t="shared" si="18"/>
        <v>100</v>
      </c>
    </row>
    <row r="365" spans="1:9" ht="15" x14ac:dyDescent="0.2">
      <c r="A365" s="1463">
        <v>3122</v>
      </c>
      <c r="B365" s="1469">
        <v>6121</v>
      </c>
      <c r="C365" s="2832" t="s">
        <v>2036</v>
      </c>
      <c r="D365" s="1405" t="s">
        <v>548</v>
      </c>
      <c r="E365" s="1414">
        <v>0</v>
      </c>
      <c r="F365" s="1414">
        <v>1685</v>
      </c>
      <c r="G365" s="1414">
        <v>619</v>
      </c>
      <c r="H365" s="1390">
        <f t="shared" si="18"/>
        <v>36.735905044510389</v>
      </c>
    </row>
    <row r="366" spans="1:9" ht="15.75" thickBot="1" x14ac:dyDescent="0.25">
      <c r="A366" s="1463">
        <v>3122</v>
      </c>
      <c r="B366" s="1469">
        <v>6121</v>
      </c>
      <c r="C366" s="2832" t="s">
        <v>2035</v>
      </c>
      <c r="D366" s="1405" t="s">
        <v>548</v>
      </c>
      <c r="E366" s="1414">
        <v>0</v>
      </c>
      <c r="F366" s="1414">
        <v>17238</v>
      </c>
      <c r="G366" s="1414">
        <v>10522</v>
      </c>
      <c r="H366" s="1390">
        <f t="shared" si="18"/>
        <v>61.039563754495887</v>
      </c>
    </row>
    <row r="367" spans="1:9" s="1397" customFormat="1" ht="16.5" thickTop="1" thickBot="1" x14ac:dyDescent="0.3">
      <c r="A367" s="3219" t="s">
        <v>690</v>
      </c>
      <c r="B367" s="3220"/>
      <c r="C367" s="3220"/>
      <c r="D367" s="3220"/>
      <c r="E367" s="1387">
        <f>SUM(E362:E366)</f>
        <v>3748</v>
      </c>
      <c r="F367" s="1387">
        <f>SUM(F362:F366)</f>
        <v>31191</v>
      </c>
      <c r="G367" s="1387">
        <f>SUM(G362:G366)</f>
        <v>23214</v>
      </c>
      <c r="H367" s="1391">
        <f t="shared" si="18"/>
        <v>74.425314994710007</v>
      </c>
      <c r="I367" s="1476"/>
    </row>
    <row r="368" spans="1:9" s="1397" customFormat="1" ht="15.75" thickTop="1" x14ac:dyDescent="0.25">
      <c r="A368" s="1392"/>
      <c r="B368" s="1392"/>
      <c r="C368" s="1392"/>
      <c r="D368" s="1392"/>
      <c r="E368" s="1393"/>
      <c r="F368" s="1393"/>
      <c r="G368" s="1393"/>
      <c r="H368" s="1418"/>
      <c r="I368" s="1476"/>
    </row>
    <row r="369" spans="1:9" ht="18" x14ac:dyDescent="0.25">
      <c r="A369" s="1377" t="s">
        <v>1675</v>
      </c>
      <c r="B369" s="1400"/>
      <c r="C369" s="1400"/>
      <c r="D369" s="1400"/>
      <c r="E369" s="1400"/>
      <c r="F369" s="1400"/>
      <c r="G369" s="1400"/>
      <c r="H369" s="1445"/>
    </row>
    <row r="370" spans="1:9" ht="16.5" thickBot="1" x14ac:dyDescent="0.3">
      <c r="A370" s="1376" t="s">
        <v>1676</v>
      </c>
      <c r="H370" s="1394" t="s">
        <v>148</v>
      </c>
    </row>
    <row r="371" spans="1:9" s="1292" customFormat="1" ht="25.5" thickTop="1" thickBot="1" x14ac:dyDescent="0.25">
      <c r="A371" s="1378" t="s">
        <v>149</v>
      </c>
      <c r="B371" s="1379" t="s">
        <v>688</v>
      </c>
      <c r="C371" s="1379" t="s">
        <v>345</v>
      </c>
      <c r="D371" s="1380" t="s">
        <v>151</v>
      </c>
      <c r="E371" s="1402" t="s">
        <v>569</v>
      </c>
      <c r="F371" s="1402" t="s">
        <v>570</v>
      </c>
      <c r="G371" s="1403" t="s">
        <v>797</v>
      </c>
      <c r="H371" s="1404" t="s">
        <v>798</v>
      </c>
    </row>
    <row r="372" spans="1:9" s="1292" customFormat="1" ht="13.5" thickTop="1" thickBot="1" x14ac:dyDescent="0.25">
      <c r="A372" s="1297">
        <v>1</v>
      </c>
      <c r="B372" s="1296">
        <v>2</v>
      </c>
      <c r="C372" s="1296">
        <v>3</v>
      </c>
      <c r="D372" s="1296">
        <v>4</v>
      </c>
      <c r="E372" s="1295">
        <v>5</v>
      </c>
      <c r="F372" s="1295">
        <v>6</v>
      </c>
      <c r="G372" s="1446">
        <v>7</v>
      </c>
      <c r="H372" s="1468" t="s">
        <v>54</v>
      </c>
    </row>
    <row r="373" spans="1:9" ht="15.75" thickTop="1" x14ac:dyDescent="0.2">
      <c r="A373" s="1463">
        <v>3113</v>
      </c>
      <c r="B373" s="1469">
        <v>6121</v>
      </c>
      <c r="C373" s="2832" t="s">
        <v>2010</v>
      </c>
      <c r="D373" s="1405" t="s">
        <v>548</v>
      </c>
      <c r="E373" s="1401">
        <v>10845</v>
      </c>
      <c r="F373" s="1401">
        <v>2292</v>
      </c>
      <c r="G373" s="1401">
        <v>2292</v>
      </c>
      <c r="H373" s="1388">
        <f>G373/F373*100</f>
        <v>100</v>
      </c>
    </row>
    <row r="374" spans="1:9" ht="15" x14ac:dyDescent="0.2">
      <c r="A374" s="1463">
        <v>3113</v>
      </c>
      <c r="B374" s="1469">
        <v>6121</v>
      </c>
      <c r="C374" s="2832" t="s">
        <v>2014</v>
      </c>
      <c r="D374" s="1405" t="s">
        <v>548</v>
      </c>
      <c r="E374" s="1414">
        <v>0</v>
      </c>
      <c r="F374" s="1414">
        <v>12689</v>
      </c>
      <c r="G374" s="1414">
        <v>12689</v>
      </c>
      <c r="H374" s="1390">
        <f>G374/F374*100</f>
        <v>100</v>
      </c>
    </row>
    <row r="375" spans="1:9" ht="15" x14ac:dyDescent="0.2">
      <c r="A375" s="1463">
        <v>3113</v>
      </c>
      <c r="B375" s="1469">
        <v>6121</v>
      </c>
      <c r="C375" s="2832" t="s">
        <v>2036</v>
      </c>
      <c r="D375" s="1405" t="s">
        <v>548</v>
      </c>
      <c r="E375" s="1414">
        <v>0</v>
      </c>
      <c r="F375" s="1414">
        <v>1413</v>
      </c>
      <c r="G375" s="1414">
        <v>1032</v>
      </c>
      <c r="H375" s="1390">
        <f>G375/F375*100</f>
        <v>73.036093418259014</v>
      </c>
    </row>
    <row r="376" spans="1:9" ht="15.75" thickBot="1" x14ac:dyDescent="0.25">
      <c r="A376" s="1463">
        <v>3113</v>
      </c>
      <c r="B376" s="1469">
        <v>6121</v>
      </c>
      <c r="C376" s="2832" t="s">
        <v>2035</v>
      </c>
      <c r="D376" s="1405" t="s">
        <v>548</v>
      </c>
      <c r="E376" s="1414">
        <v>0</v>
      </c>
      <c r="F376" s="1414">
        <v>17537</v>
      </c>
      <c r="G376" s="1414">
        <v>17537</v>
      </c>
      <c r="H376" s="1390">
        <f>G376/F376*100</f>
        <v>100</v>
      </c>
    </row>
    <row r="377" spans="1:9" ht="15.75" hidden="1" thickBot="1" x14ac:dyDescent="0.25">
      <c r="A377" s="1463">
        <v>3122</v>
      </c>
      <c r="B377" s="1469">
        <v>6121</v>
      </c>
      <c r="C377" s="1472">
        <v>53500871</v>
      </c>
      <c r="D377" s="1405" t="s">
        <v>548</v>
      </c>
      <c r="E377" s="1414">
        <v>0</v>
      </c>
      <c r="F377" s="1414"/>
      <c r="G377" s="1414"/>
      <c r="H377" s="1396">
        <v>0</v>
      </c>
    </row>
    <row r="378" spans="1:9" s="1397" customFormat="1" ht="16.5" thickTop="1" thickBot="1" x14ac:dyDescent="0.3">
      <c r="A378" s="3219" t="s">
        <v>690</v>
      </c>
      <c r="B378" s="3220"/>
      <c r="C378" s="3220"/>
      <c r="D378" s="3220"/>
      <c r="E378" s="1387">
        <f>SUM(E373:E377)</f>
        <v>10845</v>
      </c>
      <c r="F378" s="1387">
        <f>SUM(F373:F377)</f>
        <v>33931</v>
      </c>
      <c r="G378" s="1387">
        <f>SUM(G373:G377)</f>
        <v>33550</v>
      </c>
      <c r="H378" s="1391">
        <f>G378/F378*100</f>
        <v>98.877133005216464</v>
      </c>
      <c r="I378" s="1476"/>
    </row>
    <row r="379" spans="1:9" s="1397" customFormat="1" ht="15.75" thickTop="1" x14ac:dyDescent="0.25">
      <c r="A379" s="1392"/>
      <c r="B379" s="1392"/>
      <c r="C379" s="1392"/>
      <c r="D379" s="1392"/>
      <c r="E379" s="1393"/>
      <c r="F379" s="1393"/>
      <c r="G379" s="1393"/>
      <c r="H379" s="1418"/>
      <c r="I379" s="1476"/>
    </row>
    <row r="380" spans="1:9" ht="18" hidden="1" x14ac:dyDescent="0.25">
      <c r="A380" s="1377" t="s">
        <v>1677</v>
      </c>
      <c r="B380" s="1400"/>
      <c r="C380" s="1400"/>
      <c r="D380" s="1400"/>
      <c r="E380" s="1400"/>
      <c r="F380" s="1400"/>
      <c r="G380" s="1400"/>
      <c r="H380" s="1445"/>
    </row>
    <row r="381" spans="1:9" ht="15.75" hidden="1" x14ac:dyDescent="0.25">
      <c r="A381" s="1376" t="s">
        <v>1678</v>
      </c>
      <c r="H381" s="1394" t="s">
        <v>148</v>
      </c>
    </row>
    <row r="382" spans="1:9" s="1292" customFormat="1" ht="25.5" hidden="1" thickTop="1" thickBot="1" x14ac:dyDescent="0.25">
      <c r="A382" s="1378" t="s">
        <v>149</v>
      </c>
      <c r="B382" s="1379" t="s">
        <v>688</v>
      </c>
      <c r="C382" s="1379" t="s">
        <v>345</v>
      </c>
      <c r="D382" s="1380" t="s">
        <v>151</v>
      </c>
      <c r="E382" s="1402" t="s">
        <v>569</v>
      </c>
      <c r="F382" s="1402" t="s">
        <v>570</v>
      </c>
      <c r="G382" s="1403" t="s">
        <v>797</v>
      </c>
      <c r="H382" s="1404" t="s">
        <v>798</v>
      </c>
    </row>
    <row r="383" spans="1:9" s="1292" customFormat="1" ht="13.5" hidden="1" thickTop="1" thickBot="1" x14ac:dyDescent="0.25">
      <c r="A383" s="1297">
        <v>1</v>
      </c>
      <c r="B383" s="1296">
        <v>2</v>
      </c>
      <c r="C383" s="1296">
        <v>3</v>
      </c>
      <c r="D383" s="1296">
        <v>4</v>
      </c>
      <c r="E383" s="1295">
        <v>5</v>
      </c>
      <c r="F383" s="1295">
        <v>6</v>
      </c>
      <c r="G383" s="1446">
        <v>7</v>
      </c>
      <c r="H383" s="1468" t="s">
        <v>54</v>
      </c>
    </row>
    <row r="384" spans="1:9" ht="15.75" hidden="1" thickTop="1" x14ac:dyDescent="0.2">
      <c r="A384" s="1463">
        <v>3122</v>
      </c>
      <c r="B384" s="1469">
        <v>6121</v>
      </c>
      <c r="C384" s="1472">
        <v>53100870</v>
      </c>
      <c r="D384" s="1405" t="s">
        <v>548</v>
      </c>
      <c r="E384" s="1401">
        <v>0</v>
      </c>
      <c r="F384" s="1401">
        <v>0</v>
      </c>
      <c r="G384" s="1401">
        <v>0</v>
      </c>
      <c r="H384" s="1388" t="e">
        <f>G384/F384*100</f>
        <v>#DIV/0!</v>
      </c>
    </row>
    <row r="385" spans="1:9" ht="15" hidden="1" x14ac:dyDescent="0.2">
      <c r="A385" s="1463">
        <v>3123</v>
      </c>
      <c r="B385" s="1469">
        <v>6121</v>
      </c>
      <c r="C385" s="1472">
        <v>54100880</v>
      </c>
      <c r="D385" s="1405" t="s">
        <v>548</v>
      </c>
      <c r="E385" s="1414">
        <v>0</v>
      </c>
      <c r="F385" s="1414">
        <v>0</v>
      </c>
      <c r="G385" s="1414">
        <v>0</v>
      </c>
      <c r="H385" s="1390" t="e">
        <f>G385/F385*100</f>
        <v>#DIV/0!</v>
      </c>
    </row>
    <row r="386" spans="1:9" ht="15" hidden="1" x14ac:dyDescent="0.2">
      <c r="A386" s="1463">
        <v>3123</v>
      </c>
      <c r="B386" s="1469">
        <v>6121</v>
      </c>
      <c r="C386" s="1472">
        <v>54100884</v>
      </c>
      <c r="D386" s="1405" t="s">
        <v>548</v>
      </c>
      <c r="E386" s="1414"/>
      <c r="F386" s="1414"/>
      <c r="G386" s="1414"/>
      <c r="H386" s="1390" t="e">
        <f>G386/F386*100</f>
        <v>#DIV/0!</v>
      </c>
    </row>
    <row r="387" spans="1:9" ht="15.75" hidden="1" thickBot="1" x14ac:dyDescent="0.25">
      <c r="A387" s="1463">
        <v>3122</v>
      </c>
      <c r="B387" s="1469">
        <v>6121</v>
      </c>
      <c r="C387" s="1472">
        <v>53500871</v>
      </c>
      <c r="D387" s="1405" t="s">
        <v>548</v>
      </c>
      <c r="E387" s="1414">
        <v>0</v>
      </c>
      <c r="F387" s="1414"/>
      <c r="G387" s="1414"/>
      <c r="H387" s="1396">
        <v>0</v>
      </c>
    </row>
    <row r="388" spans="1:9" s="1397" customFormat="1" ht="16.5" hidden="1" thickTop="1" thickBot="1" x14ac:dyDescent="0.3">
      <c r="A388" s="3219" t="s">
        <v>690</v>
      </c>
      <c r="B388" s="3220"/>
      <c r="C388" s="3220"/>
      <c r="D388" s="3220"/>
      <c r="E388" s="1387">
        <f>SUM(E384:E387)</f>
        <v>0</v>
      </c>
      <c r="F388" s="1387">
        <f>SUM(F384:F387)</f>
        <v>0</v>
      </c>
      <c r="G388" s="1387">
        <f>SUM(G384:G387)</f>
        <v>0</v>
      </c>
      <c r="H388" s="1391" t="e">
        <f>G388/F388*100</f>
        <v>#DIV/0!</v>
      </c>
      <c r="I388" s="1476"/>
    </row>
    <row r="389" spans="1:9" s="1397" customFormat="1" ht="15" hidden="1" x14ac:dyDescent="0.25">
      <c r="A389" s="1392"/>
      <c r="B389" s="1392"/>
      <c r="C389" s="1392"/>
      <c r="D389" s="1392"/>
      <c r="E389" s="1393"/>
      <c r="F389" s="1393"/>
      <c r="G389" s="1393"/>
      <c r="H389" s="1418"/>
      <c r="I389" s="1476"/>
    </row>
    <row r="390" spans="1:9" ht="18" x14ac:dyDescent="0.25">
      <c r="A390" s="1377" t="s">
        <v>1679</v>
      </c>
      <c r="B390" s="1400"/>
      <c r="C390" s="1400"/>
      <c r="D390" s="1400"/>
      <c r="E390" s="1400"/>
      <c r="F390" s="1400"/>
      <c r="G390" s="1400"/>
      <c r="H390" s="1445"/>
    </row>
    <row r="391" spans="1:9" ht="16.5" thickBot="1" x14ac:dyDescent="0.3">
      <c r="A391" s="1376" t="s">
        <v>1680</v>
      </c>
      <c r="H391" s="1394" t="s">
        <v>148</v>
      </c>
    </row>
    <row r="392" spans="1:9" s="1292" customFormat="1" ht="25.5" thickTop="1" thickBot="1" x14ac:dyDescent="0.25">
      <c r="A392" s="1378" t="s">
        <v>149</v>
      </c>
      <c r="B392" s="1379" t="s">
        <v>688</v>
      </c>
      <c r="C392" s="1379" t="s">
        <v>345</v>
      </c>
      <c r="D392" s="1380" t="s">
        <v>151</v>
      </c>
      <c r="E392" s="1402" t="s">
        <v>569</v>
      </c>
      <c r="F392" s="1402" t="s">
        <v>570</v>
      </c>
      <c r="G392" s="1403" t="s">
        <v>797</v>
      </c>
      <c r="H392" s="1404" t="s">
        <v>798</v>
      </c>
    </row>
    <row r="393" spans="1:9" s="1292" customFormat="1" ht="13.5" thickTop="1" thickBot="1" x14ac:dyDescent="0.25">
      <c r="A393" s="1297">
        <v>1</v>
      </c>
      <c r="B393" s="1296">
        <v>2</v>
      </c>
      <c r="C393" s="1296">
        <v>3</v>
      </c>
      <c r="D393" s="1296">
        <v>4</v>
      </c>
      <c r="E393" s="1295">
        <v>5</v>
      </c>
      <c r="F393" s="1295">
        <v>6</v>
      </c>
      <c r="G393" s="1446">
        <v>7</v>
      </c>
      <c r="H393" s="1468" t="s">
        <v>54</v>
      </c>
    </row>
    <row r="394" spans="1:9" ht="15.75" thickTop="1" x14ac:dyDescent="0.2">
      <c r="A394" s="1463">
        <v>3122</v>
      </c>
      <c r="B394" s="1469">
        <v>6121</v>
      </c>
      <c r="C394" s="2832" t="s">
        <v>2010</v>
      </c>
      <c r="D394" s="1405" t="s">
        <v>548</v>
      </c>
      <c r="E394" s="1401">
        <v>10640</v>
      </c>
      <c r="F394" s="1401">
        <v>2362</v>
      </c>
      <c r="G394" s="1401">
        <v>2170</v>
      </c>
      <c r="H394" s="1388">
        <f t="shared" ref="H394:H400" si="19">G394/F394*100</f>
        <v>91.871295512277726</v>
      </c>
    </row>
    <row r="395" spans="1:9" ht="15" x14ac:dyDescent="0.2">
      <c r="A395" s="1463">
        <v>3122</v>
      </c>
      <c r="B395" s="1469">
        <v>6121</v>
      </c>
      <c r="C395" s="2832" t="s">
        <v>2014</v>
      </c>
      <c r="D395" s="1405" t="s">
        <v>548</v>
      </c>
      <c r="E395" s="1414">
        <v>0</v>
      </c>
      <c r="F395" s="1414">
        <v>7753</v>
      </c>
      <c r="G395" s="1414">
        <v>7745</v>
      </c>
      <c r="H395" s="1390">
        <f t="shared" si="19"/>
        <v>99.896814136463306</v>
      </c>
    </row>
    <row r="396" spans="1:9" ht="15" x14ac:dyDescent="0.2">
      <c r="A396" s="1463">
        <v>3122</v>
      </c>
      <c r="B396" s="1469">
        <v>6121</v>
      </c>
      <c r="C396" s="2832" t="s">
        <v>2040</v>
      </c>
      <c r="D396" s="1405" t="s">
        <v>548</v>
      </c>
      <c r="E396" s="1414">
        <v>0</v>
      </c>
      <c r="F396" s="1414">
        <v>28</v>
      </c>
      <c r="G396" s="1414">
        <v>28</v>
      </c>
      <c r="H396" s="1390">
        <f t="shared" si="19"/>
        <v>100</v>
      </c>
    </row>
    <row r="397" spans="1:9" ht="15" x14ac:dyDescent="0.2">
      <c r="A397" s="1463">
        <v>3122</v>
      </c>
      <c r="B397" s="1469">
        <v>6121</v>
      </c>
      <c r="C397" s="2832" t="s">
        <v>2036</v>
      </c>
      <c r="D397" s="1405" t="s">
        <v>548</v>
      </c>
      <c r="E397" s="1414">
        <v>0</v>
      </c>
      <c r="F397" s="1414">
        <v>1093</v>
      </c>
      <c r="G397" s="1414">
        <v>1020</v>
      </c>
      <c r="H397" s="1390">
        <f t="shared" si="19"/>
        <v>93.321134492223237</v>
      </c>
    </row>
    <row r="398" spans="1:9" ht="15" x14ac:dyDescent="0.2">
      <c r="A398" s="1463">
        <v>3122</v>
      </c>
      <c r="B398" s="1469">
        <v>6121</v>
      </c>
      <c r="C398" s="2832" t="s">
        <v>2035</v>
      </c>
      <c r="D398" s="1405" t="s">
        <v>548</v>
      </c>
      <c r="E398" s="1414">
        <v>0</v>
      </c>
      <c r="F398" s="1414">
        <v>18576</v>
      </c>
      <c r="G398" s="1414">
        <v>17334</v>
      </c>
      <c r="H398" s="1390">
        <f t="shared" si="19"/>
        <v>93.313953488372093</v>
      </c>
    </row>
    <row r="399" spans="1:9" ht="15.75" thickBot="1" x14ac:dyDescent="0.25">
      <c r="A399" s="1463">
        <v>3122</v>
      </c>
      <c r="B399" s="1469">
        <v>6127</v>
      </c>
      <c r="C399" s="2832" t="s">
        <v>2014</v>
      </c>
      <c r="D399" s="1405" t="s">
        <v>1778</v>
      </c>
      <c r="E399" s="1414">
        <v>0</v>
      </c>
      <c r="F399" s="1414">
        <v>497</v>
      </c>
      <c r="G399" s="1414">
        <v>497</v>
      </c>
      <c r="H399" s="1390">
        <f t="shared" si="19"/>
        <v>100</v>
      </c>
    </row>
    <row r="400" spans="1:9" s="1397" customFormat="1" ht="16.5" thickTop="1" thickBot="1" x14ac:dyDescent="0.3">
      <c r="A400" s="3219" t="s">
        <v>690</v>
      </c>
      <c r="B400" s="3220"/>
      <c r="C400" s="3220"/>
      <c r="D400" s="3220"/>
      <c r="E400" s="1387">
        <f>SUM(E394:E399)</f>
        <v>10640</v>
      </c>
      <c r="F400" s="1387">
        <f>SUM(F394:F399)</f>
        <v>30309</v>
      </c>
      <c r="G400" s="1387">
        <f>SUM(G394:G399)</f>
        <v>28794</v>
      </c>
      <c r="H400" s="1391">
        <f t="shared" si="19"/>
        <v>95.001484707512617</v>
      </c>
      <c r="I400" s="1476"/>
    </row>
    <row r="401" spans="1:9" s="1397" customFormat="1" ht="15.75" thickTop="1" x14ac:dyDescent="0.25">
      <c r="A401" s="1392"/>
      <c r="B401" s="1392"/>
      <c r="C401" s="1392"/>
      <c r="D401" s="1392"/>
      <c r="E401" s="1393"/>
      <c r="F401" s="1393"/>
      <c r="G401" s="1393"/>
      <c r="H401" s="1418"/>
      <c r="I401" s="1476"/>
    </row>
    <row r="402" spans="1:9" ht="18" x14ac:dyDescent="0.25">
      <c r="A402" s="1377" t="s">
        <v>1681</v>
      </c>
      <c r="B402" s="1400"/>
      <c r="C402" s="1400"/>
      <c r="D402" s="1400"/>
      <c r="E402" s="1400"/>
      <c r="F402" s="1400"/>
      <c r="G402" s="1400"/>
      <c r="H402" s="1445"/>
    </row>
    <row r="403" spans="1:9" ht="16.5" thickBot="1" x14ac:dyDescent="0.3">
      <c r="A403" s="1376" t="s">
        <v>1682</v>
      </c>
      <c r="H403" s="1394" t="s">
        <v>148</v>
      </c>
    </row>
    <row r="404" spans="1:9" s="1292" customFormat="1" ht="25.5" thickTop="1" thickBot="1" x14ac:dyDescent="0.25">
      <c r="A404" s="1378" t="s">
        <v>149</v>
      </c>
      <c r="B404" s="1379" t="s">
        <v>688</v>
      </c>
      <c r="C404" s="1379" t="s">
        <v>345</v>
      </c>
      <c r="D404" s="1380" t="s">
        <v>151</v>
      </c>
      <c r="E404" s="1402" t="s">
        <v>569</v>
      </c>
      <c r="F404" s="1402" t="s">
        <v>570</v>
      </c>
      <c r="G404" s="1403" t="s">
        <v>797</v>
      </c>
      <c r="H404" s="1404" t="s">
        <v>798</v>
      </c>
    </row>
    <row r="405" spans="1:9" s="1292" customFormat="1" ht="13.5" thickTop="1" thickBot="1" x14ac:dyDescent="0.25">
      <c r="A405" s="1297">
        <v>1</v>
      </c>
      <c r="B405" s="1296">
        <v>2</v>
      </c>
      <c r="C405" s="1296">
        <v>3</v>
      </c>
      <c r="D405" s="1296">
        <v>4</v>
      </c>
      <c r="E405" s="1295">
        <v>5</v>
      </c>
      <c r="F405" s="1295">
        <v>6</v>
      </c>
      <c r="G405" s="1446">
        <v>7</v>
      </c>
      <c r="H405" s="1468" t="s">
        <v>54</v>
      </c>
    </row>
    <row r="406" spans="1:9" ht="15.75" thickTop="1" x14ac:dyDescent="0.2">
      <c r="A406" s="1463">
        <v>3122</v>
      </c>
      <c r="B406" s="1469">
        <v>6121</v>
      </c>
      <c r="C406" s="2832" t="s">
        <v>2010</v>
      </c>
      <c r="D406" s="1405" t="s">
        <v>548</v>
      </c>
      <c r="E406" s="1401">
        <v>7634</v>
      </c>
      <c r="F406" s="1401">
        <v>524</v>
      </c>
      <c r="G406" s="1401">
        <v>524</v>
      </c>
      <c r="H406" s="1388">
        <f>G406/F406*100</f>
        <v>100</v>
      </c>
    </row>
    <row r="407" spans="1:9" ht="15" x14ac:dyDescent="0.2">
      <c r="A407" s="1463">
        <v>3122</v>
      </c>
      <c r="B407" s="1469">
        <v>6121</v>
      </c>
      <c r="C407" s="2832" t="s">
        <v>2014</v>
      </c>
      <c r="D407" s="1405" t="s">
        <v>548</v>
      </c>
      <c r="E407" s="1414">
        <v>0</v>
      </c>
      <c r="F407" s="1414">
        <v>6450</v>
      </c>
      <c r="G407" s="1414">
        <v>6439</v>
      </c>
      <c r="H407" s="1390">
        <f>G407/F407*100</f>
        <v>99.829457364341096</v>
      </c>
    </row>
    <row r="408" spans="1:9" ht="15" x14ac:dyDescent="0.2">
      <c r="A408" s="1463">
        <v>3122</v>
      </c>
      <c r="B408" s="1469">
        <v>6121</v>
      </c>
      <c r="C408" s="2832" t="s">
        <v>2036</v>
      </c>
      <c r="D408" s="1405" t="s">
        <v>548</v>
      </c>
      <c r="E408" s="1414">
        <v>0</v>
      </c>
      <c r="F408" s="1414">
        <v>238</v>
      </c>
      <c r="G408" s="1414">
        <v>213</v>
      </c>
      <c r="H408" s="1390">
        <f>G408/F408*100</f>
        <v>89.495798319327733</v>
      </c>
    </row>
    <row r="409" spans="1:9" ht="15.75" thickBot="1" x14ac:dyDescent="0.25">
      <c r="A409" s="1463">
        <v>3122</v>
      </c>
      <c r="B409" s="1469">
        <v>6121</v>
      </c>
      <c r="C409" s="2832" t="s">
        <v>2035</v>
      </c>
      <c r="D409" s="1405" t="s">
        <v>548</v>
      </c>
      <c r="E409" s="1414">
        <v>0</v>
      </c>
      <c r="F409" s="1414">
        <v>4050</v>
      </c>
      <c r="G409" s="1414">
        <v>3628</v>
      </c>
      <c r="H409" s="1390">
        <f>G409/F409*100</f>
        <v>89.58024691358024</v>
      </c>
    </row>
    <row r="410" spans="1:9" s="1397" customFormat="1" ht="16.5" thickTop="1" thickBot="1" x14ac:dyDescent="0.3">
      <c r="A410" s="3219" t="s">
        <v>690</v>
      </c>
      <c r="B410" s="3220"/>
      <c r="C410" s="3220"/>
      <c r="D410" s="3220"/>
      <c r="E410" s="1387">
        <f>SUM(E406:E409)</f>
        <v>7634</v>
      </c>
      <c r="F410" s="1387">
        <f>SUM(F406:F409)</f>
        <v>11262</v>
      </c>
      <c r="G410" s="1387">
        <f>SUM(G406:G409)</f>
        <v>10804</v>
      </c>
      <c r="H410" s="1391">
        <f>G410/F410*100</f>
        <v>95.93322678032321</v>
      </c>
      <c r="I410" s="1476"/>
    </row>
    <row r="411" spans="1:9" s="1397" customFormat="1" ht="15.75" thickTop="1" x14ac:dyDescent="0.25">
      <c r="A411" s="1392"/>
      <c r="B411" s="1392"/>
      <c r="C411" s="1392"/>
      <c r="D411" s="1392"/>
      <c r="E411" s="1393"/>
      <c r="F411" s="1393"/>
      <c r="G411" s="1393"/>
      <c r="H411" s="1418"/>
      <c r="I411" s="1476"/>
    </row>
    <row r="412" spans="1:9" ht="18" x14ac:dyDescent="0.25">
      <c r="A412" s="1377" t="s">
        <v>1683</v>
      </c>
      <c r="B412" s="1400"/>
      <c r="C412" s="1400"/>
      <c r="D412" s="1400"/>
      <c r="E412" s="1400"/>
      <c r="F412" s="1400"/>
      <c r="G412" s="1400"/>
      <c r="H412" s="1445"/>
    </row>
    <row r="413" spans="1:9" ht="16.5" thickBot="1" x14ac:dyDescent="0.3">
      <c r="A413" s="1376" t="s">
        <v>1684</v>
      </c>
      <c r="H413" s="1394" t="s">
        <v>148</v>
      </c>
    </row>
    <row r="414" spans="1:9" s="1292" customFormat="1" ht="25.5" thickTop="1" thickBot="1" x14ac:dyDescent="0.25">
      <c r="A414" s="1378" t="s">
        <v>149</v>
      </c>
      <c r="B414" s="1379" t="s">
        <v>688</v>
      </c>
      <c r="C414" s="1379" t="s">
        <v>345</v>
      </c>
      <c r="D414" s="1380" t="s">
        <v>151</v>
      </c>
      <c r="E414" s="1402" t="s">
        <v>569</v>
      </c>
      <c r="F414" s="1402" t="s">
        <v>570</v>
      </c>
      <c r="G414" s="1403" t="s">
        <v>797</v>
      </c>
      <c r="H414" s="1404" t="s">
        <v>798</v>
      </c>
    </row>
    <row r="415" spans="1:9" s="1292" customFormat="1" ht="13.5" thickTop="1" thickBot="1" x14ac:dyDescent="0.25">
      <c r="A415" s="1297">
        <v>1</v>
      </c>
      <c r="B415" s="1296">
        <v>2</v>
      </c>
      <c r="C415" s="1296">
        <v>3</v>
      </c>
      <c r="D415" s="1296">
        <v>4</v>
      </c>
      <c r="E415" s="1295">
        <v>5</v>
      </c>
      <c r="F415" s="1295">
        <v>6</v>
      </c>
      <c r="G415" s="1446">
        <v>7</v>
      </c>
      <c r="H415" s="1468" t="s">
        <v>54</v>
      </c>
    </row>
    <row r="416" spans="1:9" ht="15.75" thickTop="1" x14ac:dyDescent="0.2">
      <c r="A416" s="1463">
        <v>3122</v>
      </c>
      <c r="B416" s="1469">
        <v>6121</v>
      </c>
      <c r="C416" s="2832" t="s">
        <v>2010</v>
      </c>
      <c r="D416" s="1405" t="s">
        <v>548</v>
      </c>
      <c r="E416" s="1401">
        <v>12743</v>
      </c>
      <c r="F416" s="1401">
        <v>2553</v>
      </c>
      <c r="G416" s="1401">
        <v>2505</v>
      </c>
      <c r="H416" s="1388">
        <f>G416/F416*100</f>
        <v>98.119858989424202</v>
      </c>
    </row>
    <row r="417" spans="1:9" ht="15" x14ac:dyDescent="0.2">
      <c r="A417" s="1463">
        <v>3122</v>
      </c>
      <c r="B417" s="1469">
        <v>6121</v>
      </c>
      <c r="C417" s="2832" t="s">
        <v>2014</v>
      </c>
      <c r="D417" s="1405" t="s">
        <v>548</v>
      </c>
      <c r="E417" s="1414">
        <v>0</v>
      </c>
      <c r="F417" s="1414">
        <v>5340</v>
      </c>
      <c r="G417" s="1414">
        <v>5036</v>
      </c>
      <c r="H417" s="1390">
        <f>G417/F417*100</f>
        <v>94.307116104868911</v>
      </c>
    </row>
    <row r="418" spans="1:9" ht="15" x14ac:dyDescent="0.2">
      <c r="A418" s="1463">
        <v>3122</v>
      </c>
      <c r="B418" s="1469">
        <v>6121</v>
      </c>
      <c r="C418" s="2832" t="s">
        <v>2036</v>
      </c>
      <c r="D418" s="1405" t="s">
        <v>548</v>
      </c>
      <c r="E418" s="1414">
        <v>0</v>
      </c>
      <c r="F418" s="1414">
        <v>1200</v>
      </c>
      <c r="G418" s="1414">
        <v>1181</v>
      </c>
      <c r="H418" s="1390">
        <f>G418/F418*100</f>
        <v>98.416666666666657</v>
      </c>
    </row>
    <row r="419" spans="1:9" ht="15.75" thickBot="1" x14ac:dyDescent="0.25">
      <c r="A419" s="1463">
        <v>3122</v>
      </c>
      <c r="B419" s="1469">
        <v>6121</v>
      </c>
      <c r="C419" s="2832" t="s">
        <v>2035</v>
      </c>
      <c r="D419" s="1405" t="s">
        <v>548</v>
      </c>
      <c r="E419" s="1414">
        <v>0</v>
      </c>
      <c r="F419" s="1414">
        <v>20391</v>
      </c>
      <c r="G419" s="1414">
        <v>20082</v>
      </c>
      <c r="H419" s="1390">
        <f>G419/F419*100</f>
        <v>98.484625570104456</v>
      </c>
    </row>
    <row r="420" spans="1:9" s="1397" customFormat="1" ht="16.5" thickTop="1" thickBot="1" x14ac:dyDescent="0.3">
      <c r="A420" s="3219" t="s">
        <v>690</v>
      </c>
      <c r="B420" s="3220"/>
      <c r="C420" s="3220"/>
      <c r="D420" s="3220"/>
      <c r="E420" s="1387">
        <f>SUM(E416:E419)</f>
        <v>12743</v>
      </c>
      <c r="F420" s="1387">
        <f>SUM(F416:F419)</f>
        <v>29484</v>
      </c>
      <c r="G420" s="1387">
        <f>SUM(G416:G419)</f>
        <v>28804</v>
      </c>
      <c r="H420" s="1391">
        <f>G420/F420*100</f>
        <v>97.693664360331027</v>
      </c>
      <c r="I420" s="1476"/>
    </row>
    <row r="421" spans="1:9" s="1397" customFormat="1" ht="15.75" thickTop="1" x14ac:dyDescent="0.25">
      <c r="A421" s="1392"/>
      <c r="B421" s="1392"/>
      <c r="C421" s="1392"/>
      <c r="D421" s="1392"/>
      <c r="E421" s="1393"/>
      <c r="F421" s="1393"/>
      <c r="G421" s="1393"/>
      <c r="H421" s="1418"/>
      <c r="I421" s="1476"/>
    </row>
    <row r="422" spans="1:9" ht="18" x14ac:dyDescent="0.25">
      <c r="A422" s="1377" t="s">
        <v>1685</v>
      </c>
      <c r="B422" s="1400"/>
      <c r="C422" s="1400"/>
      <c r="D422" s="1400"/>
      <c r="E422" s="1400"/>
      <c r="F422" s="1400"/>
      <c r="G422" s="1400"/>
      <c r="H422" s="1445"/>
    </row>
    <row r="423" spans="1:9" ht="16.5" thickBot="1" x14ac:dyDescent="0.3">
      <c r="A423" s="1376" t="s">
        <v>1686</v>
      </c>
      <c r="H423" s="1394" t="s">
        <v>148</v>
      </c>
    </row>
    <row r="424" spans="1:9" s="1292" customFormat="1" ht="25.5" thickTop="1" thickBot="1" x14ac:dyDescent="0.25">
      <c r="A424" s="1378" t="s">
        <v>149</v>
      </c>
      <c r="B424" s="1379" t="s">
        <v>688</v>
      </c>
      <c r="C424" s="1379" t="s">
        <v>345</v>
      </c>
      <c r="D424" s="1380" t="s">
        <v>151</v>
      </c>
      <c r="E424" s="1402" t="s">
        <v>569</v>
      </c>
      <c r="F424" s="1402" t="s">
        <v>570</v>
      </c>
      <c r="G424" s="1403" t="s">
        <v>797</v>
      </c>
      <c r="H424" s="1404" t="s">
        <v>798</v>
      </c>
    </row>
    <row r="425" spans="1:9" s="1292" customFormat="1" ht="13.5" thickTop="1" thickBot="1" x14ac:dyDescent="0.25">
      <c r="A425" s="1297">
        <v>1</v>
      </c>
      <c r="B425" s="1296">
        <v>2</v>
      </c>
      <c r="C425" s="1296">
        <v>3</v>
      </c>
      <c r="D425" s="1296">
        <v>4</v>
      </c>
      <c r="E425" s="1295">
        <v>5</v>
      </c>
      <c r="F425" s="1295">
        <v>6</v>
      </c>
      <c r="G425" s="1446">
        <v>7</v>
      </c>
      <c r="H425" s="1468" t="s">
        <v>54</v>
      </c>
    </row>
    <row r="426" spans="1:9" ht="15.75" thickTop="1" x14ac:dyDescent="0.2">
      <c r="A426" s="1463">
        <v>3121</v>
      </c>
      <c r="B426" s="1469">
        <v>6121</v>
      </c>
      <c r="C426" s="2832" t="s">
        <v>2010</v>
      </c>
      <c r="D426" s="1405" t="s">
        <v>548</v>
      </c>
      <c r="E426" s="1401">
        <v>4880</v>
      </c>
      <c r="F426" s="1401">
        <v>1463</v>
      </c>
      <c r="G426" s="1401">
        <v>1430</v>
      </c>
      <c r="H426" s="1388">
        <f>G426/F426*100</f>
        <v>97.744360902255636</v>
      </c>
    </row>
    <row r="427" spans="1:9" ht="15" x14ac:dyDescent="0.2">
      <c r="A427" s="1463">
        <v>3121</v>
      </c>
      <c r="B427" s="1469">
        <v>6121</v>
      </c>
      <c r="C427" s="2832" t="s">
        <v>2014</v>
      </c>
      <c r="D427" s="1405" t="s">
        <v>548</v>
      </c>
      <c r="E427" s="1414">
        <v>0</v>
      </c>
      <c r="F427" s="1414">
        <v>4764</v>
      </c>
      <c r="G427" s="1414">
        <v>4542</v>
      </c>
      <c r="H427" s="1390">
        <f>G427/F427*100</f>
        <v>95.340050377833748</v>
      </c>
    </row>
    <row r="428" spans="1:9" ht="15" x14ac:dyDescent="0.2">
      <c r="A428" s="1463">
        <v>3121</v>
      </c>
      <c r="B428" s="1469">
        <v>6121</v>
      </c>
      <c r="C428" s="2832" t="s">
        <v>2036</v>
      </c>
      <c r="D428" s="1405" t="s">
        <v>548</v>
      </c>
      <c r="E428" s="1414">
        <v>0</v>
      </c>
      <c r="F428" s="1414">
        <v>1970</v>
      </c>
      <c r="G428" s="1414">
        <v>615</v>
      </c>
      <c r="H428" s="1390">
        <f>G428/F428*100</f>
        <v>31.218274111675125</v>
      </c>
    </row>
    <row r="429" spans="1:9" ht="15.75" thickBot="1" x14ac:dyDescent="0.25">
      <c r="A429" s="1463">
        <v>3121</v>
      </c>
      <c r="B429" s="1469">
        <v>6121</v>
      </c>
      <c r="C429" s="2832" t="s">
        <v>2035</v>
      </c>
      <c r="D429" s="1405" t="s">
        <v>548</v>
      </c>
      <c r="E429" s="1414">
        <v>0</v>
      </c>
      <c r="F429" s="1414">
        <v>10876</v>
      </c>
      <c r="G429" s="1414">
        <v>10453</v>
      </c>
      <c r="H429" s="1390">
        <f>G429/F429*100</f>
        <v>96.110702464141227</v>
      </c>
    </row>
    <row r="430" spans="1:9" s="1397" customFormat="1" ht="16.5" thickTop="1" thickBot="1" x14ac:dyDescent="0.3">
      <c r="A430" s="3219" t="s">
        <v>690</v>
      </c>
      <c r="B430" s="3220"/>
      <c r="C430" s="3220"/>
      <c r="D430" s="3220"/>
      <c r="E430" s="1387">
        <f>SUM(E426:E429)</f>
        <v>4880</v>
      </c>
      <c r="F430" s="1387">
        <f>SUM(F426:F429)</f>
        <v>19073</v>
      </c>
      <c r="G430" s="1387">
        <f>SUM(G426:G429)</f>
        <v>17040</v>
      </c>
      <c r="H430" s="1391">
        <f>G430/F430*100</f>
        <v>89.340953179887791</v>
      </c>
      <c r="I430" s="1476"/>
    </row>
    <row r="431" spans="1:9" s="1397" customFormat="1" ht="15.75" thickTop="1" x14ac:dyDescent="0.25">
      <c r="A431" s="1392"/>
      <c r="B431" s="1392"/>
      <c r="C431" s="1392"/>
      <c r="D431" s="1392"/>
      <c r="E431" s="1393"/>
      <c r="F431" s="1393"/>
      <c r="G431" s="1393"/>
      <c r="H431" s="1418"/>
      <c r="I431" s="1476"/>
    </row>
    <row r="432" spans="1:9" ht="18" x14ac:dyDescent="0.25">
      <c r="A432" s="1377" t="s">
        <v>1687</v>
      </c>
      <c r="B432" s="1400"/>
      <c r="C432" s="1400"/>
      <c r="D432" s="1400"/>
      <c r="E432" s="1400"/>
      <c r="F432" s="1400"/>
      <c r="G432" s="1400"/>
      <c r="H432" s="1445"/>
    </row>
    <row r="433" spans="1:9" ht="16.5" thickBot="1" x14ac:dyDescent="0.3">
      <c r="A433" s="1376" t="s">
        <v>1688</v>
      </c>
      <c r="H433" s="1394" t="s">
        <v>148</v>
      </c>
    </row>
    <row r="434" spans="1:9" s="1292" customFormat="1" ht="25.5" thickTop="1" thickBot="1" x14ac:dyDescent="0.25">
      <c r="A434" s="1378" t="s">
        <v>149</v>
      </c>
      <c r="B434" s="1379" t="s">
        <v>688</v>
      </c>
      <c r="C434" s="1379" t="s">
        <v>345</v>
      </c>
      <c r="D434" s="1380" t="s">
        <v>151</v>
      </c>
      <c r="E434" s="1402" t="s">
        <v>569</v>
      </c>
      <c r="F434" s="1402" t="s">
        <v>570</v>
      </c>
      <c r="G434" s="1403" t="s">
        <v>797</v>
      </c>
      <c r="H434" s="1404" t="s">
        <v>798</v>
      </c>
    </row>
    <row r="435" spans="1:9" s="1292" customFormat="1" ht="13.5" thickTop="1" thickBot="1" x14ac:dyDescent="0.25">
      <c r="A435" s="1297">
        <v>1</v>
      </c>
      <c r="B435" s="1296">
        <v>2</v>
      </c>
      <c r="C435" s="1296">
        <v>3</v>
      </c>
      <c r="D435" s="1296">
        <v>4</v>
      </c>
      <c r="E435" s="1295">
        <v>5</v>
      </c>
      <c r="F435" s="1295">
        <v>6</v>
      </c>
      <c r="G435" s="1446">
        <v>7</v>
      </c>
      <c r="H435" s="1468" t="s">
        <v>54</v>
      </c>
    </row>
    <row r="436" spans="1:9" ht="15.75" thickTop="1" x14ac:dyDescent="0.2">
      <c r="A436" s="1463">
        <v>3122</v>
      </c>
      <c r="B436" s="1469">
        <v>6121</v>
      </c>
      <c r="C436" s="2832" t="s">
        <v>2010</v>
      </c>
      <c r="D436" s="1405" t="s">
        <v>548</v>
      </c>
      <c r="E436" s="1401">
        <v>1860</v>
      </c>
      <c r="F436" s="1401">
        <v>760</v>
      </c>
      <c r="G436" s="1401">
        <v>755</v>
      </c>
      <c r="H436" s="1388">
        <f>G436/F436*100</f>
        <v>99.342105263157904</v>
      </c>
    </row>
    <row r="437" spans="1:9" ht="15" x14ac:dyDescent="0.2">
      <c r="A437" s="1463">
        <v>3122</v>
      </c>
      <c r="B437" s="1469">
        <v>6121</v>
      </c>
      <c r="C437" s="2832" t="s">
        <v>2014</v>
      </c>
      <c r="D437" s="1405" t="s">
        <v>548</v>
      </c>
      <c r="E437" s="1414">
        <v>0</v>
      </c>
      <c r="F437" s="1414">
        <v>3400</v>
      </c>
      <c r="G437" s="1414">
        <v>3354</v>
      </c>
      <c r="H437" s="1390">
        <f>G437/F437*100</f>
        <v>98.647058823529406</v>
      </c>
    </row>
    <row r="438" spans="1:9" ht="15" x14ac:dyDescent="0.2">
      <c r="A438" s="1463">
        <v>3122</v>
      </c>
      <c r="B438" s="1469">
        <v>6121</v>
      </c>
      <c r="C438" s="2832" t="s">
        <v>2036</v>
      </c>
      <c r="D438" s="1405" t="s">
        <v>548</v>
      </c>
      <c r="E438" s="1414">
        <v>0</v>
      </c>
      <c r="F438" s="1414">
        <v>304</v>
      </c>
      <c r="G438" s="1414">
        <v>276</v>
      </c>
      <c r="H438" s="1390">
        <f>G438/F438*100</f>
        <v>90.789473684210535</v>
      </c>
    </row>
    <row r="439" spans="1:9" ht="15.75" thickBot="1" x14ac:dyDescent="0.25">
      <c r="A439" s="1463">
        <v>3122</v>
      </c>
      <c r="B439" s="1469">
        <v>6121</v>
      </c>
      <c r="C439" s="2832" t="s">
        <v>2035</v>
      </c>
      <c r="D439" s="1405" t="s">
        <v>548</v>
      </c>
      <c r="E439" s="1414">
        <v>0</v>
      </c>
      <c r="F439" s="1414">
        <v>5160</v>
      </c>
      <c r="G439" s="1414">
        <v>4686</v>
      </c>
      <c r="H439" s="1390">
        <f>G439/F439*100</f>
        <v>90.813953488372093</v>
      </c>
    </row>
    <row r="440" spans="1:9" s="1397" customFormat="1" ht="16.5" thickTop="1" thickBot="1" x14ac:dyDescent="0.3">
      <c r="A440" s="3219" t="s">
        <v>2039</v>
      </c>
      <c r="B440" s="3220"/>
      <c r="C440" s="3220"/>
      <c r="D440" s="3220"/>
      <c r="E440" s="1387">
        <f>SUM(E436:E439)</f>
        <v>1860</v>
      </c>
      <c r="F440" s="1387">
        <f>SUM(F436:F439)</f>
        <v>9624</v>
      </c>
      <c r="G440" s="1387">
        <f>SUM(G436:G439)</f>
        <v>9071</v>
      </c>
      <c r="H440" s="1391">
        <f>G440/F440*100</f>
        <v>94.253948462177888</v>
      </c>
      <c r="I440" s="1476"/>
    </row>
    <row r="441" spans="1:9" s="1397" customFormat="1" ht="15.75" thickTop="1" x14ac:dyDescent="0.25">
      <c r="A441" s="1392"/>
      <c r="B441" s="1392"/>
      <c r="C441" s="1392"/>
      <c r="D441" s="1392"/>
      <c r="E441" s="1393"/>
      <c r="F441" s="1393"/>
      <c r="G441" s="1393"/>
      <c r="H441" s="1418"/>
      <c r="I441" s="1476"/>
    </row>
    <row r="442" spans="1:9" ht="18" x14ac:dyDescent="0.25">
      <c r="A442" s="1377" t="s">
        <v>1689</v>
      </c>
      <c r="B442" s="1400"/>
      <c r="C442" s="1400"/>
      <c r="D442" s="1400"/>
      <c r="E442" s="1400"/>
      <c r="F442" s="1400"/>
      <c r="G442" s="1400"/>
      <c r="H442" s="1445"/>
    </row>
    <row r="443" spans="1:9" ht="16.5" thickBot="1" x14ac:dyDescent="0.3">
      <c r="A443" s="1376" t="s">
        <v>1690</v>
      </c>
      <c r="H443" s="1394" t="s">
        <v>148</v>
      </c>
    </row>
    <row r="444" spans="1:9" s="1292" customFormat="1" ht="25.5" thickTop="1" thickBot="1" x14ac:dyDescent="0.25">
      <c r="A444" s="1378" t="s">
        <v>149</v>
      </c>
      <c r="B444" s="1379" t="s">
        <v>688</v>
      </c>
      <c r="C444" s="1379" t="s">
        <v>345</v>
      </c>
      <c r="D444" s="1380" t="s">
        <v>151</v>
      </c>
      <c r="E444" s="1402" t="s">
        <v>569</v>
      </c>
      <c r="F444" s="1402" t="s">
        <v>570</v>
      </c>
      <c r="G444" s="1403" t="s">
        <v>797</v>
      </c>
      <c r="H444" s="1404" t="s">
        <v>798</v>
      </c>
    </row>
    <row r="445" spans="1:9" s="1292" customFormat="1" ht="13.5" thickTop="1" thickBot="1" x14ac:dyDescent="0.25">
      <c r="A445" s="1297">
        <v>1</v>
      </c>
      <c r="B445" s="1296">
        <v>2</v>
      </c>
      <c r="C445" s="1296">
        <v>3</v>
      </c>
      <c r="D445" s="1296">
        <v>4</v>
      </c>
      <c r="E445" s="1295">
        <v>5</v>
      </c>
      <c r="F445" s="1295">
        <v>6</v>
      </c>
      <c r="G445" s="1446">
        <v>7</v>
      </c>
      <c r="H445" s="1468" t="s">
        <v>54</v>
      </c>
    </row>
    <row r="446" spans="1:9" ht="15.75" thickTop="1" x14ac:dyDescent="0.2">
      <c r="A446" s="1463">
        <v>3122</v>
      </c>
      <c r="B446" s="1469">
        <v>6121</v>
      </c>
      <c r="C446" s="2832" t="s">
        <v>2010</v>
      </c>
      <c r="D446" s="1405" t="s">
        <v>548</v>
      </c>
      <c r="E446" s="1401">
        <v>8726</v>
      </c>
      <c r="F446" s="1401">
        <v>2276</v>
      </c>
      <c r="G446" s="1401">
        <v>2139</v>
      </c>
      <c r="H446" s="1388">
        <f>G446/F446*100</f>
        <v>93.980667838312826</v>
      </c>
    </row>
    <row r="447" spans="1:9" ht="15" x14ac:dyDescent="0.2">
      <c r="A447" s="1463">
        <v>3122</v>
      </c>
      <c r="B447" s="1469">
        <v>6121</v>
      </c>
      <c r="C447" s="2832" t="s">
        <v>2014</v>
      </c>
      <c r="D447" s="1405" t="s">
        <v>548</v>
      </c>
      <c r="E447" s="1414">
        <v>0</v>
      </c>
      <c r="F447" s="1414">
        <v>6450</v>
      </c>
      <c r="G447" s="1414">
        <v>6350</v>
      </c>
      <c r="H447" s="1390">
        <f>G447/F447*100</f>
        <v>98.449612403100772</v>
      </c>
    </row>
    <row r="448" spans="1:9" ht="15" x14ac:dyDescent="0.2">
      <c r="A448" s="1463">
        <v>3122</v>
      </c>
      <c r="B448" s="1469">
        <v>6121</v>
      </c>
      <c r="C448" s="2832" t="s">
        <v>2036</v>
      </c>
      <c r="D448" s="1405" t="s">
        <v>548</v>
      </c>
      <c r="E448" s="1414">
        <v>0</v>
      </c>
      <c r="F448" s="1414">
        <v>1647</v>
      </c>
      <c r="G448" s="1414">
        <v>973</v>
      </c>
      <c r="H448" s="1390">
        <f>G448/F448*100</f>
        <v>59.077109896782034</v>
      </c>
    </row>
    <row r="449" spans="1:9" ht="15.75" thickBot="1" x14ac:dyDescent="0.25">
      <c r="A449" s="1463">
        <v>3122</v>
      </c>
      <c r="B449" s="1469">
        <v>6121</v>
      </c>
      <c r="C449" s="2832" t="s">
        <v>2035</v>
      </c>
      <c r="D449" s="1405" t="s">
        <v>548</v>
      </c>
      <c r="E449" s="1414">
        <v>0</v>
      </c>
      <c r="F449" s="1414">
        <v>19491</v>
      </c>
      <c r="G449" s="1414">
        <v>16533</v>
      </c>
      <c r="H449" s="1396">
        <v>0</v>
      </c>
    </row>
    <row r="450" spans="1:9" s="1397" customFormat="1" ht="16.5" thickTop="1" thickBot="1" x14ac:dyDescent="0.3">
      <c r="A450" s="3219" t="s">
        <v>690</v>
      </c>
      <c r="B450" s="3220"/>
      <c r="C450" s="3220"/>
      <c r="D450" s="3220"/>
      <c r="E450" s="1387">
        <f>SUM(E446:E449)</f>
        <v>8726</v>
      </c>
      <c r="F450" s="1387">
        <f>SUM(F446:F449)</f>
        <v>29864</v>
      </c>
      <c r="G450" s="1387">
        <f>SUM(G446:G449)</f>
        <v>25995</v>
      </c>
      <c r="H450" s="1391">
        <f>G450/F450*100</f>
        <v>87.044602196624695</v>
      </c>
      <c r="I450" s="1476"/>
    </row>
    <row r="451" spans="1:9" s="1397" customFormat="1" ht="15.75" thickTop="1" x14ac:dyDescent="0.25">
      <c r="A451" s="1392"/>
      <c r="B451" s="1392"/>
      <c r="C451" s="1392"/>
      <c r="D451" s="1392"/>
      <c r="E451" s="1393"/>
      <c r="F451" s="1393"/>
      <c r="G451" s="1393"/>
      <c r="H451" s="1418"/>
      <c r="I451" s="1476"/>
    </row>
    <row r="452" spans="1:9" ht="18" hidden="1" x14ac:dyDescent="0.25">
      <c r="A452" s="1377" t="s">
        <v>456</v>
      </c>
      <c r="B452" s="1400"/>
      <c r="C452" s="1400"/>
      <c r="D452" s="1400"/>
      <c r="E452" s="1400"/>
      <c r="F452" s="1400"/>
      <c r="G452" s="1400"/>
      <c r="H452" s="1445"/>
    </row>
    <row r="453" spans="1:9" ht="15.75" hidden="1" x14ac:dyDescent="0.25">
      <c r="A453" s="1376" t="s">
        <v>457</v>
      </c>
      <c r="H453" s="1394" t="s">
        <v>148</v>
      </c>
    </row>
    <row r="454" spans="1:9" s="1292" customFormat="1" ht="25.5" hidden="1" thickTop="1" thickBot="1" x14ac:dyDescent="0.25">
      <c r="A454" s="1378" t="s">
        <v>149</v>
      </c>
      <c r="B454" s="1379" t="s">
        <v>688</v>
      </c>
      <c r="C454" s="1379" t="s">
        <v>345</v>
      </c>
      <c r="D454" s="1380" t="s">
        <v>151</v>
      </c>
      <c r="E454" s="1402" t="s">
        <v>569</v>
      </c>
      <c r="F454" s="1402" t="s">
        <v>570</v>
      </c>
      <c r="G454" s="1403" t="s">
        <v>797</v>
      </c>
      <c r="H454" s="1404" t="s">
        <v>798</v>
      </c>
    </row>
    <row r="455" spans="1:9" s="1292" customFormat="1" ht="13.5" hidden="1" thickTop="1" thickBot="1" x14ac:dyDescent="0.25">
      <c r="A455" s="1297">
        <v>1</v>
      </c>
      <c r="B455" s="1296">
        <v>2</v>
      </c>
      <c r="C455" s="1296">
        <v>3</v>
      </c>
      <c r="D455" s="1296">
        <v>4</v>
      </c>
      <c r="E455" s="1295">
        <v>5</v>
      </c>
      <c r="F455" s="1295">
        <v>6</v>
      </c>
      <c r="G455" s="1446">
        <v>7</v>
      </c>
      <c r="H455" s="1468" t="s">
        <v>54</v>
      </c>
    </row>
    <row r="456" spans="1:9" ht="15.75" hidden="1" thickTop="1" x14ac:dyDescent="0.2">
      <c r="A456" s="1463">
        <v>4357</v>
      </c>
      <c r="B456" s="1469">
        <v>6121</v>
      </c>
      <c r="C456" s="1472">
        <v>53100874</v>
      </c>
      <c r="D456" s="1405" t="s">
        <v>548</v>
      </c>
      <c r="E456" s="1401"/>
      <c r="F456" s="1401"/>
      <c r="G456" s="1401"/>
      <c r="H456" s="1390" t="e">
        <f t="shared" ref="H456:H462" si="20">G456/F456*100</f>
        <v>#DIV/0!</v>
      </c>
    </row>
    <row r="457" spans="1:9" ht="15" hidden="1" x14ac:dyDescent="0.2">
      <c r="A457" s="1463">
        <v>4357</v>
      </c>
      <c r="B457" s="1469">
        <v>6121</v>
      </c>
      <c r="C457" s="1472">
        <v>54100870</v>
      </c>
      <c r="D457" s="1405" t="s">
        <v>548</v>
      </c>
      <c r="E457" s="1414"/>
      <c r="F457" s="1414"/>
      <c r="G457" s="1414"/>
      <c r="H457" s="1390" t="e">
        <f t="shared" si="20"/>
        <v>#DIV/0!</v>
      </c>
    </row>
    <row r="458" spans="1:9" ht="15" hidden="1" x14ac:dyDescent="0.2">
      <c r="A458" s="1463">
        <v>4357</v>
      </c>
      <c r="B458" s="1469">
        <v>6121</v>
      </c>
      <c r="C458" s="1472">
        <v>54100872</v>
      </c>
      <c r="D458" s="1405" t="s">
        <v>548</v>
      </c>
      <c r="E458" s="1414"/>
      <c r="F458" s="1414"/>
      <c r="G458" s="1414"/>
      <c r="H458" s="1390" t="e">
        <f t="shared" si="20"/>
        <v>#DIV/0!</v>
      </c>
    </row>
    <row r="459" spans="1:9" ht="15" hidden="1" x14ac:dyDescent="0.2">
      <c r="A459" s="1463">
        <v>4357</v>
      </c>
      <c r="B459" s="1469">
        <v>6121</v>
      </c>
      <c r="C459" s="1472">
        <v>54100874</v>
      </c>
      <c r="D459" s="1405" t="s">
        <v>548</v>
      </c>
      <c r="E459" s="1414"/>
      <c r="F459" s="1414"/>
      <c r="G459" s="1414"/>
      <c r="H459" s="1390" t="e">
        <f t="shared" si="20"/>
        <v>#DIV/0!</v>
      </c>
    </row>
    <row r="460" spans="1:9" ht="15" hidden="1" x14ac:dyDescent="0.2">
      <c r="A460" s="1463">
        <v>4357</v>
      </c>
      <c r="B460" s="1469">
        <v>6121</v>
      </c>
      <c r="C460" s="1472">
        <v>54100884</v>
      </c>
      <c r="D460" s="1405" t="s">
        <v>548</v>
      </c>
      <c r="E460" s="1414"/>
      <c r="F460" s="1414"/>
      <c r="G460" s="1414"/>
      <c r="H460" s="1390" t="e">
        <f t="shared" si="20"/>
        <v>#DIV/0!</v>
      </c>
    </row>
    <row r="461" spans="1:9" ht="15" hidden="1" x14ac:dyDescent="0.2">
      <c r="A461" s="1463">
        <v>4357</v>
      </c>
      <c r="B461" s="1469">
        <v>6121</v>
      </c>
      <c r="C461" s="1472">
        <v>54190877</v>
      </c>
      <c r="D461" s="1405" t="s">
        <v>548</v>
      </c>
      <c r="E461" s="1414"/>
      <c r="F461" s="1414"/>
      <c r="G461" s="1414"/>
      <c r="H461" s="1390" t="e">
        <f t="shared" si="20"/>
        <v>#DIV/0!</v>
      </c>
    </row>
    <row r="462" spans="1:9" ht="15" hidden="1" x14ac:dyDescent="0.2">
      <c r="A462" s="1463">
        <v>4357</v>
      </c>
      <c r="B462" s="1469">
        <v>6121</v>
      </c>
      <c r="C462" s="1472">
        <v>54500871</v>
      </c>
      <c r="D462" s="1405" t="s">
        <v>548</v>
      </c>
      <c r="E462" s="1414"/>
      <c r="F462" s="1414"/>
      <c r="G462" s="1414"/>
      <c r="H462" s="1390" t="e">
        <f t="shared" si="20"/>
        <v>#DIV/0!</v>
      </c>
    </row>
    <row r="463" spans="1:9" ht="15.75" hidden="1" thickBot="1" x14ac:dyDescent="0.25">
      <c r="A463" s="1463">
        <v>4357</v>
      </c>
      <c r="B463" s="1469">
        <v>6121</v>
      </c>
      <c r="C463" s="1472">
        <v>54515835</v>
      </c>
      <c r="D463" s="1405" t="s">
        <v>548</v>
      </c>
      <c r="E463" s="1414"/>
      <c r="F463" s="1414"/>
      <c r="G463" s="1414"/>
      <c r="H463" s="1396">
        <v>0</v>
      </c>
    </row>
    <row r="464" spans="1:9" s="1397" customFormat="1" ht="16.5" hidden="1" thickTop="1" thickBot="1" x14ac:dyDescent="0.3">
      <c r="A464" s="3219" t="s">
        <v>690</v>
      </c>
      <c r="B464" s="3220"/>
      <c r="C464" s="3220"/>
      <c r="D464" s="3220"/>
      <c r="E464" s="1387">
        <f>SUM(E456:E463)</f>
        <v>0</v>
      </c>
      <c r="F464" s="1387">
        <f>SUM(F456:F463)</f>
        <v>0</v>
      </c>
      <c r="G464" s="1387">
        <f>SUM(G456:G463)</f>
        <v>0</v>
      </c>
      <c r="H464" s="1391" t="e">
        <f>G464/F464*100</f>
        <v>#DIV/0!</v>
      </c>
      <c r="I464" s="1476"/>
    </row>
    <row r="465" spans="1:10" s="1397" customFormat="1" ht="15" hidden="1" x14ac:dyDescent="0.25">
      <c r="A465" s="1392"/>
      <c r="B465" s="1392"/>
      <c r="C465" s="1392"/>
      <c r="D465" s="1392"/>
      <c r="E465" s="1393"/>
      <c r="F465" s="1393"/>
      <c r="G465" s="1393"/>
      <c r="H465" s="1418"/>
      <c r="I465" s="1476"/>
    </row>
    <row r="466" spans="1:10" ht="18" x14ac:dyDescent="0.25">
      <c r="A466" s="1377" t="s">
        <v>458</v>
      </c>
      <c r="B466" s="1400"/>
      <c r="C466" s="1400"/>
      <c r="D466" s="1400"/>
      <c r="E466" s="1400"/>
      <c r="F466" s="1400"/>
      <c r="G466" s="1400"/>
      <c r="H466" s="1445"/>
    </row>
    <row r="467" spans="1:10" ht="16.5" thickBot="1" x14ac:dyDescent="0.3">
      <c r="A467" s="1376" t="s">
        <v>459</v>
      </c>
      <c r="H467" s="1394" t="s">
        <v>148</v>
      </c>
    </row>
    <row r="468" spans="1:10" s="1292" customFormat="1" ht="25.5" thickTop="1" thickBot="1" x14ac:dyDescent="0.25">
      <c r="A468" s="1378" t="s">
        <v>149</v>
      </c>
      <c r="B468" s="1379" t="s">
        <v>688</v>
      </c>
      <c r="C468" s="1379" t="s">
        <v>345</v>
      </c>
      <c r="D468" s="1380" t="s">
        <v>151</v>
      </c>
      <c r="E468" s="1402" t="s">
        <v>569</v>
      </c>
      <c r="F468" s="1402" t="s">
        <v>570</v>
      </c>
      <c r="G468" s="1403" t="s">
        <v>797</v>
      </c>
      <c r="H468" s="1404" t="s">
        <v>798</v>
      </c>
    </row>
    <row r="469" spans="1:10" s="1292" customFormat="1" ht="13.5" thickTop="1" thickBot="1" x14ac:dyDescent="0.25">
      <c r="A469" s="1297">
        <v>1</v>
      </c>
      <c r="B469" s="1296">
        <v>2</v>
      </c>
      <c r="C469" s="1296">
        <v>3</v>
      </c>
      <c r="D469" s="1296">
        <v>4</v>
      </c>
      <c r="E469" s="1295">
        <v>5</v>
      </c>
      <c r="F469" s="1295">
        <v>6</v>
      </c>
      <c r="G469" s="1446">
        <v>7</v>
      </c>
      <c r="H469" s="1468" t="s">
        <v>54</v>
      </c>
    </row>
    <row r="470" spans="1:10" ht="15.75" hidden="1" thickTop="1" x14ac:dyDescent="0.2">
      <c r="A470" s="1463">
        <v>4357</v>
      </c>
      <c r="B470" s="1469">
        <v>6121</v>
      </c>
      <c r="C470" s="1472">
        <v>53100870</v>
      </c>
      <c r="D470" s="1405" t="s">
        <v>548</v>
      </c>
      <c r="E470" s="1401"/>
      <c r="F470" s="1401"/>
      <c r="G470" s="1401"/>
      <c r="H470" s="1388" t="e">
        <f>G470/F470*100</f>
        <v>#DIV/0!</v>
      </c>
    </row>
    <row r="471" spans="1:10" ht="15.75" hidden="1" thickTop="1" x14ac:dyDescent="0.2">
      <c r="A471" s="1463">
        <v>4357</v>
      </c>
      <c r="B471" s="1469">
        <v>6121</v>
      </c>
      <c r="C471" s="1472">
        <v>53100872</v>
      </c>
      <c r="D471" s="1405" t="s">
        <v>548</v>
      </c>
      <c r="E471" s="1414"/>
      <c r="F471" s="1414"/>
      <c r="G471" s="1414"/>
      <c r="H471" s="1390" t="e">
        <f>G471/F471*100</f>
        <v>#DIV/0!</v>
      </c>
      <c r="J471" s="1419"/>
    </row>
    <row r="472" spans="1:10" ht="15.75" hidden="1" thickTop="1" x14ac:dyDescent="0.2">
      <c r="A472" s="1463">
        <v>4357</v>
      </c>
      <c r="B472" s="1469">
        <v>6121</v>
      </c>
      <c r="C472" s="1472">
        <v>53100874</v>
      </c>
      <c r="D472" s="1405" t="s">
        <v>548</v>
      </c>
      <c r="E472" s="1414"/>
      <c r="F472" s="1414"/>
      <c r="G472" s="1414"/>
      <c r="H472" s="1390" t="e">
        <f>G472/F472*100</f>
        <v>#DIV/0!</v>
      </c>
    </row>
    <row r="473" spans="1:10" ht="15.75" hidden="1" thickTop="1" x14ac:dyDescent="0.2">
      <c r="A473" s="1463">
        <v>4357</v>
      </c>
      <c r="B473" s="1469">
        <v>6121</v>
      </c>
      <c r="C473" s="1472">
        <v>53500871</v>
      </c>
      <c r="D473" s="1405" t="s">
        <v>548</v>
      </c>
      <c r="E473" s="1414"/>
      <c r="F473" s="1414"/>
      <c r="G473" s="1414"/>
      <c r="H473" s="1390" t="e">
        <f>G473/F473*100</f>
        <v>#DIV/0!</v>
      </c>
    </row>
    <row r="474" spans="1:10" ht="15.75" thickTop="1" x14ac:dyDescent="0.2">
      <c r="A474" s="1463">
        <v>4357</v>
      </c>
      <c r="B474" s="1469">
        <v>6121</v>
      </c>
      <c r="C474" s="2832" t="s">
        <v>2038</v>
      </c>
      <c r="D474" s="1405" t="s">
        <v>548</v>
      </c>
      <c r="E474" s="1414">
        <v>1400</v>
      </c>
      <c r="F474" s="1414">
        <v>0</v>
      </c>
      <c r="G474" s="1414">
        <v>0</v>
      </c>
      <c r="H474" s="1390">
        <v>0</v>
      </c>
    </row>
    <row r="475" spans="1:10" ht="15.75" thickBot="1" x14ac:dyDescent="0.25">
      <c r="A475" s="1463">
        <v>4357</v>
      </c>
      <c r="B475" s="1469">
        <v>6121</v>
      </c>
      <c r="C475" s="2832" t="s">
        <v>2037</v>
      </c>
      <c r="D475" s="1405" t="s">
        <v>548</v>
      </c>
      <c r="E475" s="1414">
        <v>0</v>
      </c>
      <c r="F475" s="1414">
        <v>3766</v>
      </c>
      <c r="G475" s="1414">
        <v>3669</v>
      </c>
      <c r="H475" s="1390">
        <f t="shared" ref="H475:H480" si="21">G475/F475*100</f>
        <v>97.424322889006902</v>
      </c>
    </row>
    <row r="476" spans="1:10" ht="15.75" hidden="1" thickBot="1" x14ac:dyDescent="0.25">
      <c r="A476" s="1463">
        <v>4357</v>
      </c>
      <c r="B476" s="1469">
        <v>6121</v>
      </c>
      <c r="C476" s="1472">
        <v>54100880</v>
      </c>
      <c r="D476" s="1405" t="s">
        <v>548</v>
      </c>
      <c r="E476" s="1414"/>
      <c r="F476" s="1414"/>
      <c r="G476" s="1414"/>
      <c r="H476" s="1390" t="e">
        <f t="shared" si="21"/>
        <v>#DIV/0!</v>
      </c>
    </row>
    <row r="477" spans="1:10" ht="15.75" hidden="1" thickBot="1" x14ac:dyDescent="0.25">
      <c r="A477" s="1463">
        <v>4357</v>
      </c>
      <c r="B477" s="1469">
        <v>6121</v>
      </c>
      <c r="C477" s="1472">
        <v>54100884</v>
      </c>
      <c r="D477" s="1405" t="s">
        <v>548</v>
      </c>
      <c r="E477" s="1414"/>
      <c r="F477" s="1414"/>
      <c r="G477" s="1414"/>
      <c r="H477" s="1390" t="e">
        <f t="shared" si="21"/>
        <v>#DIV/0!</v>
      </c>
    </row>
    <row r="478" spans="1:10" ht="15.75" hidden="1" thickBot="1" x14ac:dyDescent="0.25">
      <c r="A478" s="1463">
        <v>4357</v>
      </c>
      <c r="B478" s="1469">
        <v>6121</v>
      </c>
      <c r="C478" s="1472">
        <v>54190877</v>
      </c>
      <c r="D478" s="1405" t="s">
        <v>548</v>
      </c>
      <c r="E478" s="1414"/>
      <c r="F478" s="1414"/>
      <c r="G478" s="1414"/>
      <c r="H478" s="1390" t="e">
        <f t="shared" si="21"/>
        <v>#DIV/0!</v>
      </c>
    </row>
    <row r="479" spans="1:10" ht="15.75" hidden="1" thickBot="1" x14ac:dyDescent="0.25">
      <c r="A479" s="1463">
        <v>4357</v>
      </c>
      <c r="B479" s="1469">
        <v>6121</v>
      </c>
      <c r="C479" s="1472">
        <v>54515835</v>
      </c>
      <c r="D479" s="1405" t="s">
        <v>548</v>
      </c>
      <c r="E479" s="1414"/>
      <c r="F479" s="1414"/>
      <c r="G479" s="1414"/>
      <c r="H479" s="1396" t="e">
        <f t="shared" si="21"/>
        <v>#DIV/0!</v>
      </c>
    </row>
    <row r="480" spans="1:10" s="1397" customFormat="1" ht="16.5" thickTop="1" thickBot="1" x14ac:dyDescent="0.3">
      <c r="A480" s="3219" t="s">
        <v>690</v>
      </c>
      <c r="B480" s="3220"/>
      <c r="C480" s="3220"/>
      <c r="D480" s="3220"/>
      <c r="E480" s="1387">
        <f>SUM(E470:E479)</f>
        <v>1400</v>
      </c>
      <c r="F480" s="1387">
        <f>SUM(F470:F479)</f>
        <v>3766</v>
      </c>
      <c r="G480" s="1387">
        <f>SUM(G470:G479)</f>
        <v>3669</v>
      </c>
      <c r="H480" s="1391">
        <f t="shared" si="21"/>
        <v>97.424322889006902</v>
      </c>
      <c r="I480" s="1476"/>
    </row>
    <row r="481" spans="1:9" s="1397" customFormat="1" ht="15.75" thickTop="1" x14ac:dyDescent="0.25">
      <c r="A481" s="1392"/>
      <c r="B481" s="1392"/>
      <c r="C481" s="1392"/>
      <c r="D481" s="1392"/>
      <c r="E481" s="1393"/>
      <c r="F481" s="1393"/>
      <c r="G481" s="1393"/>
      <c r="H481" s="1418"/>
      <c r="I481" s="1476"/>
    </row>
    <row r="482" spans="1:9" ht="18" hidden="1" x14ac:dyDescent="0.25">
      <c r="A482" s="1377" t="s">
        <v>460</v>
      </c>
      <c r="B482" s="1400"/>
      <c r="C482" s="1400"/>
      <c r="D482" s="1400"/>
      <c r="E482" s="1400"/>
      <c r="F482" s="1400"/>
      <c r="G482" s="1400"/>
      <c r="H482" s="1445"/>
    </row>
    <row r="483" spans="1:9" ht="15.75" hidden="1" x14ac:dyDescent="0.25">
      <c r="A483" s="1376" t="s">
        <v>461</v>
      </c>
      <c r="H483" s="1394" t="s">
        <v>148</v>
      </c>
    </row>
    <row r="484" spans="1:9" s="1292" customFormat="1" ht="25.5" hidden="1" thickTop="1" thickBot="1" x14ac:dyDescent="0.25">
      <c r="A484" s="1378" t="s">
        <v>149</v>
      </c>
      <c r="B484" s="1379" t="s">
        <v>688</v>
      </c>
      <c r="C484" s="1379" t="s">
        <v>345</v>
      </c>
      <c r="D484" s="1380" t="s">
        <v>151</v>
      </c>
      <c r="E484" s="1402" t="s">
        <v>569</v>
      </c>
      <c r="F484" s="1402" t="s">
        <v>570</v>
      </c>
      <c r="G484" s="1403" t="s">
        <v>797</v>
      </c>
      <c r="H484" s="1404" t="s">
        <v>798</v>
      </c>
    </row>
    <row r="485" spans="1:9" s="1292" customFormat="1" ht="13.5" hidden="1" thickTop="1" thickBot="1" x14ac:dyDescent="0.25">
      <c r="A485" s="1297">
        <v>1</v>
      </c>
      <c r="B485" s="1296">
        <v>2</v>
      </c>
      <c r="C485" s="1296">
        <v>3</v>
      </c>
      <c r="D485" s="1296">
        <v>4</v>
      </c>
      <c r="E485" s="1295">
        <v>5</v>
      </c>
      <c r="F485" s="1295">
        <v>6</v>
      </c>
      <c r="G485" s="1446">
        <v>7</v>
      </c>
      <c r="H485" s="1468" t="s">
        <v>54</v>
      </c>
    </row>
    <row r="486" spans="1:9" ht="15.75" hidden="1" thickTop="1" x14ac:dyDescent="0.2">
      <c r="A486" s="1463">
        <v>4357</v>
      </c>
      <c r="B486" s="1469">
        <v>6121</v>
      </c>
      <c r="C486" s="1472">
        <v>53100870</v>
      </c>
      <c r="D486" s="1405" t="s">
        <v>548</v>
      </c>
      <c r="E486" s="1401">
        <v>0</v>
      </c>
      <c r="F486" s="1401">
        <v>0</v>
      </c>
      <c r="G486" s="1401">
        <v>0</v>
      </c>
      <c r="H486" s="1388" t="e">
        <f t="shared" ref="H486:H492" si="22">G486/F486*100</f>
        <v>#DIV/0!</v>
      </c>
    </row>
    <row r="487" spans="1:9" ht="15" hidden="1" x14ac:dyDescent="0.2">
      <c r="A487" s="1463">
        <v>4357</v>
      </c>
      <c r="B487" s="1469">
        <v>6121</v>
      </c>
      <c r="C487" s="1472">
        <v>53100872</v>
      </c>
      <c r="D487" s="1405" t="s">
        <v>548</v>
      </c>
      <c r="E487" s="1414">
        <v>0</v>
      </c>
      <c r="F487" s="1414">
        <v>0</v>
      </c>
      <c r="G487" s="1414">
        <v>0</v>
      </c>
      <c r="H487" s="1390" t="e">
        <f t="shared" si="22"/>
        <v>#DIV/0!</v>
      </c>
    </row>
    <row r="488" spans="1:9" ht="15" hidden="1" x14ac:dyDescent="0.2">
      <c r="A488" s="1463">
        <v>4357</v>
      </c>
      <c r="B488" s="1469">
        <v>6121</v>
      </c>
      <c r="C488" s="1472">
        <v>53100874</v>
      </c>
      <c r="D488" s="1405" t="s">
        <v>548</v>
      </c>
      <c r="E488" s="1414">
        <v>0</v>
      </c>
      <c r="F488" s="1414">
        <v>0</v>
      </c>
      <c r="G488" s="1414">
        <v>0</v>
      </c>
      <c r="H488" s="1390" t="e">
        <f t="shared" si="22"/>
        <v>#DIV/0!</v>
      </c>
    </row>
    <row r="489" spans="1:9" ht="15" hidden="1" x14ac:dyDescent="0.2">
      <c r="A489" s="1463">
        <v>4357</v>
      </c>
      <c r="B489" s="1469">
        <v>6121</v>
      </c>
      <c r="C489" s="1472">
        <v>53190877</v>
      </c>
      <c r="D489" s="1405" t="s">
        <v>548</v>
      </c>
      <c r="E489" s="1414">
        <v>0</v>
      </c>
      <c r="F489" s="1414">
        <v>0</v>
      </c>
      <c r="G489" s="1414">
        <v>0</v>
      </c>
      <c r="H489" s="1390" t="e">
        <f t="shared" si="22"/>
        <v>#DIV/0!</v>
      </c>
    </row>
    <row r="490" spans="1:9" ht="15" hidden="1" x14ac:dyDescent="0.2">
      <c r="A490" s="1463">
        <v>4357</v>
      </c>
      <c r="B490" s="1469">
        <v>6121</v>
      </c>
      <c r="C490" s="1472">
        <v>53500871</v>
      </c>
      <c r="D490" s="1405" t="s">
        <v>548</v>
      </c>
      <c r="E490" s="1414">
        <v>0</v>
      </c>
      <c r="F490" s="1414">
        <v>0</v>
      </c>
      <c r="G490" s="1414">
        <v>0</v>
      </c>
      <c r="H490" s="1390" t="e">
        <f t="shared" si="22"/>
        <v>#DIV/0!</v>
      </c>
    </row>
    <row r="491" spans="1:9" ht="15" hidden="1" x14ac:dyDescent="0.2">
      <c r="A491" s="1463">
        <v>4357</v>
      </c>
      <c r="B491" s="1469">
        <v>6121</v>
      </c>
      <c r="C491" s="1472">
        <v>53515835</v>
      </c>
      <c r="D491" s="1405" t="s">
        <v>548</v>
      </c>
      <c r="E491" s="1414">
        <v>0</v>
      </c>
      <c r="F491" s="1414">
        <v>0</v>
      </c>
      <c r="G491" s="1414">
        <v>0</v>
      </c>
      <c r="H491" s="1390" t="e">
        <f t="shared" si="22"/>
        <v>#DIV/0!</v>
      </c>
    </row>
    <row r="492" spans="1:9" s="1397" customFormat="1" ht="16.5" hidden="1" thickTop="1" thickBot="1" x14ac:dyDescent="0.3">
      <c r="A492" s="3219" t="s">
        <v>690</v>
      </c>
      <c r="B492" s="3220"/>
      <c r="C492" s="3220"/>
      <c r="D492" s="3220"/>
      <c r="E492" s="1387">
        <f>SUM(E486:E490)</f>
        <v>0</v>
      </c>
      <c r="F492" s="1387">
        <f>SUM(F486:F491)</f>
        <v>0</v>
      </c>
      <c r="G492" s="1387">
        <f>SUM(G486:G491)</f>
        <v>0</v>
      </c>
      <c r="H492" s="1391" t="e">
        <f t="shared" si="22"/>
        <v>#DIV/0!</v>
      </c>
      <c r="I492" s="1476"/>
    </row>
    <row r="493" spans="1:9" s="1397" customFormat="1" ht="15" hidden="1" x14ac:dyDescent="0.25">
      <c r="A493" s="1392"/>
      <c r="B493" s="1392"/>
      <c r="C493" s="1392"/>
      <c r="D493" s="1392"/>
      <c r="E493" s="1393"/>
      <c r="F493" s="1393"/>
      <c r="G493" s="1393"/>
      <c r="H493" s="1418"/>
      <c r="I493" s="1476"/>
    </row>
    <row r="494" spans="1:9" ht="18" hidden="1" x14ac:dyDescent="0.25">
      <c r="A494" s="1377" t="s">
        <v>462</v>
      </c>
      <c r="B494" s="1400"/>
      <c r="C494" s="1400"/>
      <c r="D494" s="1400"/>
      <c r="E494" s="1400"/>
      <c r="F494" s="1400"/>
      <c r="G494" s="1400"/>
      <c r="H494" s="1445"/>
    </row>
    <row r="495" spans="1:9" ht="15.75" hidden="1" x14ac:dyDescent="0.25">
      <c r="A495" s="1376" t="s">
        <v>463</v>
      </c>
      <c r="H495" s="1394" t="s">
        <v>148</v>
      </c>
    </row>
    <row r="496" spans="1:9" s="1292" customFormat="1" ht="25.5" hidden="1" thickTop="1" thickBot="1" x14ac:dyDescent="0.25">
      <c r="A496" s="1378" t="s">
        <v>149</v>
      </c>
      <c r="B496" s="1379" t="s">
        <v>688</v>
      </c>
      <c r="C496" s="1379" t="s">
        <v>345</v>
      </c>
      <c r="D496" s="1380" t="s">
        <v>151</v>
      </c>
      <c r="E496" s="1402" t="s">
        <v>569</v>
      </c>
      <c r="F496" s="1402" t="s">
        <v>570</v>
      </c>
      <c r="G496" s="1403" t="s">
        <v>797</v>
      </c>
      <c r="H496" s="1404" t="s">
        <v>798</v>
      </c>
    </row>
    <row r="497" spans="1:9" s="1292" customFormat="1" ht="13.5" hidden="1" thickTop="1" thickBot="1" x14ac:dyDescent="0.25">
      <c r="A497" s="1297">
        <v>1</v>
      </c>
      <c r="B497" s="1296">
        <v>2</v>
      </c>
      <c r="C497" s="1296">
        <v>3</v>
      </c>
      <c r="D497" s="1296">
        <v>4</v>
      </c>
      <c r="E497" s="1295">
        <v>5</v>
      </c>
      <c r="F497" s="1295">
        <v>6</v>
      </c>
      <c r="G497" s="1446">
        <v>7</v>
      </c>
      <c r="H497" s="1468" t="s">
        <v>54</v>
      </c>
    </row>
    <row r="498" spans="1:9" ht="15.75" hidden="1" thickTop="1" x14ac:dyDescent="0.2">
      <c r="A498" s="1463">
        <v>4357</v>
      </c>
      <c r="B498" s="1469">
        <v>6121</v>
      </c>
      <c r="C498" s="1472">
        <v>53100874</v>
      </c>
      <c r="D498" s="1405" t="s">
        <v>548</v>
      </c>
      <c r="E498" s="1401"/>
      <c r="F498" s="1401"/>
      <c r="G498" s="1401"/>
      <c r="H498" s="1388" t="e">
        <f>G498/F498*100</f>
        <v>#DIV/0!</v>
      </c>
    </row>
    <row r="499" spans="1:9" ht="15" hidden="1" x14ac:dyDescent="0.2">
      <c r="A499" s="1463">
        <v>4357</v>
      </c>
      <c r="B499" s="1469">
        <v>6121</v>
      </c>
      <c r="C499" s="1472">
        <v>54100870</v>
      </c>
      <c r="D499" s="1405" t="s">
        <v>548</v>
      </c>
      <c r="E499" s="1414"/>
      <c r="F499" s="1414"/>
      <c r="G499" s="1414"/>
      <c r="H499" s="1390" t="e">
        <f>G499/F499*100</f>
        <v>#DIV/0!</v>
      </c>
    </row>
    <row r="500" spans="1:9" ht="15" hidden="1" x14ac:dyDescent="0.2">
      <c r="A500" s="1463">
        <v>4357</v>
      </c>
      <c r="B500" s="1469">
        <v>6121</v>
      </c>
      <c r="C500" s="1472">
        <v>54100872</v>
      </c>
      <c r="D500" s="1405" t="s">
        <v>548</v>
      </c>
      <c r="E500" s="1414"/>
      <c r="F500" s="1414"/>
      <c r="G500" s="1414"/>
      <c r="H500" s="1390">
        <v>0</v>
      </c>
    </row>
    <row r="501" spans="1:9" ht="15" hidden="1" x14ac:dyDescent="0.2">
      <c r="A501" s="1463">
        <v>4357</v>
      </c>
      <c r="B501" s="1469">
        <v>6121</v>
      </c>
      <c r="C501" s="1472">
        <v>54100874</v>
      </c>
      <c r="D501" s="1405" t="s">
        <v>548</v>
      </c>
      <c r="E501" s="1414"/>
      <c r="F501" s="1414"/>
      <c r="G501" s="1414"/>
      <c r="H501" s="1390" t="e">
        <f t="shared" ref="H501:H507" si="23">G501/F501*100</f>
        <v>#DIV/0!</v>
      </c>
    </row>
    <row r="502" spans="1:9" ht="15" hidden="1" x14ac:dyDescent="0.2">
      <c r="A502" s="1463">
        <v>4357</v>
      </c>
      <c r="B502" s="1469">
        <v>6121</v>
      </c>
      <c r="C502" s="1472">
        <v>54100880</v>
      </c>
      <c r="D502" s="1405" t="s">
        <v>548</v>
      </c>
      <c r="E502" s="1414"/>
      <c r="F502" s="1414"/>
      <c r="G502" s="1414"/>
      <c r="H502" s="1390" t="e">
        <f t="shared" si="23"/>
        <v>#DIV/0!</v>
      </c>
    </row>
    <row r="503" spans="1:9" ht="15" hidden="1" x14ac:dyDescent="0.2">
      <c r="A503" s="1463">
        <v>4357</v>
      </c>
      <c r="B503" s="1469">
        <v>6121</v>
      </c>
      <c r="C503" s="1472">
        <v>54100884</v>
      </c>
      <c r="D503" s="1405" t="s">
        <v>548</v>
      </c>
      <c r="E503" s="1414"/>
      <c r="F503" s="1414"/>
      <c r="G503" s="1414"/>
      <c r="H503" s="1390" t="e">
        <f t="shared" si="23"/>
        <v>#DIV/0!</v>
      </c>
    </row>
    <row r="504" spans="1:9" ht="15" hidden="1" x14ac:dyDescent="0.2">
      <c r="A504" s="1463">
        <v>4357</v>
      </c>
      <c r="B504" s="1469">
        <v>6121</v>
      </c>
      <c r="C504" s="1472">
        <v>54190877</v>
      </c>
      <c r="D504" s="1405" t="s">
        <v>548</v>
      </c>
      <c r="E504" s="1414"/>
      <c r="F504" s="1414"/>
      <c r="G504" s="1414"/>
      <c r="H504" s="1390" t="e">
        <f t="shared" si="23"/>
        <v>#DIV/0!</v>
      </c>
    </row>
    <row r="505" spans="1:9" ht="15" hidden="1" x14ac:dyDescent="0.2">
      <c r="A505" s="1463">
        <v>4357</v>
      </c>
      <c r="B505" s="1469">
        <v>6121</v>
      </c>
      <c r="C505" s="1472">
        <v>54500871</v>
      </c>
      <c r="D505" s="1405" t="s">
        <v>548</v>
      </c>
      <c r="E505" s="1414"/>
      <c r="F505" s="1414"/>
      <c r="G505" s="1414"/>
      <c r="H505" s="1390" t="e">
        <f t="shared" si="23"/>
        <v>#DIV/0!</v>
      </c>
    </row>
    <row r="506" spans="1:9" ht="15" hidden="1" x14ac:dyDescent="0.2">
      <c r="A506" s="1463">
        <v>4357</v>
      </c>
      <c r="B506" s="1469">
        <v>6121</v>
      </c>
      <c r="C506" s="1472">
        <v>54515835</v>
      </c>
      <c r="D506" s="1405" t="s">
        <v>548</v>
      </c>
      <c r="E506" s="1414"/>
      <c r="F506" s="1414"/>
      <c r="G506" s="1414"/>
      <c r="H506" s="1390" t="e">
        <f t="shared" si="23"/>
        <v>#DIV/0!</v>
      </c>
    </row>
    <row r="507" spans="1:9" s="1397" customFormat="1" ht="16.5" hidden="1" thickTop="1" thickBot="1" x14ac:dyDescent="0.3">
      <c r="A507" s="3219" t="s">
        <v>690</v>
      </c>
      <c r="B507" s="3220"/>
      <c r="C507" s="3220"/>
      <c r="D507" s="3220"/>
      <c r="E507" s="1387">
        <f>SUM(E498:E506)</f>
        <v>0</v>
      </c>
      <c r="F507" s="1387">
        <f>SUM(F498:F506)</f>
        <v>0</v>
      </c>
      <c r="G507" s="1387">
        <f>SUM(G498:G506)</f>
        <v>0</v>
      </c>
      <c r="H507" s="1391" t="e">
        <f t="shared" si="23"/>
        <v>#DIV/0!</v>
      </c>
      <c r="I507" s="1476"/>
    </row>
    <row r="508" spans="1:9" s="1397" customFormat="1" ht="15" hidden="1" x14ac:dyDescent="0.25">
      <c r="A508" s="1392"/>
      <c r="B508" s="1392"/>
      <c r="C508" s="1392"/>
      <c r="D508" s="1392"/>
      <c r="E508" s="1393"/>
      <c r="F508" s="1393"/>
      <c r="G508" s="1393"/>
      <c r="H508" s="1418"/>
      <c r="I508" s="1476"/>
    </row>
    <row r="509" spans="1:9" ht="18" hidden="1" x14ac:dyDescent="0.25">
      <c r="A509" s="1377" t="s">
        <v>1336</v>
      </c>
      <c r="B509" s="1400"/>
      <c r="C509" s="1400"/>
      <c r="D509" s="1400"/>
      <c r="E509" s="1400"/>
      <c r="F509" s="1400"/>
      <c r="G509" s="1400"/>
      <c r="H509" s="1445"/>
    </row>
    <row r="510" spans="1:9" ht="15.75" hidden="1" x14ac:dyDescent="0.25">
      <c r="A510" s="1376" t="s">
        <v>1337</v>
      </c>
      <c r="H510" s="1394" t="s">
        <v>148</v>
      </c>
    </row>
    <row r="511" spans="1:9" s="1292" customFormat="1" ht="25.5" hidden="1" thickTop="1" thickBot="1" x14ac:dyDescent="0.25">
      <c r="A511" s="1378" t="s">
        <v>149</v>
      </c>
      <c r="B511" s="1379" t="s">
        <v>688</v>
      </c>
      <c r="C511" s="1379" t="s">
        <v>345</v>
      </c>
      <c r="D511" s="1380" t="s">
        <v>151</v>
      </c>
      <c r="E511" s="1402" t="s">
        <v>569</v>
      </c>
      <c r="F511" s="1402" t="s">
        <v>570</v>
      </c>
      <c r="G511" s="1403" t="s">
        <v>797</v>
      </c>
      <c r="H511" s="1404" t="s">
        <v>798</v>
      </c>
    </row>
    <row r="512" spans="1:9" s="1292" customFormat="1" ht="13.5" hidden="1" thickTop="1" thickBot="1" x14ac:dyDescent="0.25">
      <c r="A512" s="1297">
        <v>1</v>
      </c>
      <c r="B512" s="1296">
        <v>2</v>
      </c>
      <c r="C512" s="1296">
        <v>3</v>
      </c>
      <c r="D512" s="1296">
        <v>4</v>
      </c>
      <c r="E512" s="1295">
        <v>5</v>
      </c>
      <c r="F512" s="1295">
        <v>6</v>
      </c>
      <c r="G512" s="1446">
        <v>7</v>
      </c>
      <c r="H512" s="1468" t="s">
        <v>54</v>
      </c>
    </row>
    <row r="513" spans="1:10" ht="15.75" hidden="1" thickTop="1" x14ac:dyDescent="0.2">
      <c r="A513" s="1463">
        <v>3122</v>
      </c>
      <c r="B513" s="1469">
        <v>6121</v>
      </c>
      <c r="C513" s="1472">
        <v>54190877</v>
      </c>
      <c r="D513" s="1405" t="s">
        <v>548</v>
      </c>
      <c r="E513" s="1401"/>
      <c r="F513" s="1401"/>
      <c r="G513" s="1401"/>
      <c r="H513" s="1390" t="e">
        <f>G513/F513*100</f>
        <v>#DIV/0!</v>
      </c>
    </row>
    <row r="514" spans="1:10" ht="15" hidden="1" x14ac:dyDescent="0.2">
      <c r="A514" s="1463">
        <v>3122</v>
      </c>
      <c r="B514" s="1469">
        <v>6121</v>
      </c>
      <c r="C514" s="1472">
        <v>54515835</v>
      </c>
      <c r="D514" s="1405" t="s">
        <v>548</v>
      </c>
      <c r="E514" s="1414"/>
      <c r="F514" s="1414"/>
      <c r="G514" s="1414"/>
      <c r="H514" s="1390" t="e">
        <f>G514/F514*100</f>
        <v>#DIV/0!</v>
      </c>
    </row>
    <row r="515" spans="1:10" ht="15" hidden="1" x14ac:dyDescent="0.2">
      <c r="A515" s="1463">
        <v>4357</v>
      </c>
      <c r="B515" s="1469">
        <v>6121</v>
      </c>
      <c r="C515" s="1472">
        <v>53100870</v>
      </c>
      <c r="D515" s="1405" t="s">
        <v>548</v>
      </c>
      <c r="E515" s="1414"/>
      <c r="F515" s="1414"/>
      <c r="G515" s="1414"/>
      <c r="H515" s="1390">
        <v>0</v>
      </c>
    </row>
    <row r="516" spans="1:10" ht="15" hidden="1" x14ac:dyDescent="0.2">
      <c r="A516" s="1463">
        <v>4357</v>
      </c>
      <c r="B516" s="1469">
        <v>6121</v>
      </c>
      <c r="C516" s="1472">
        <v>53100872</v>
      </c>
      <c r="D516" s="1405" t="s">
        <v>548</v>
      </c>
      <c r="E516" s="1414"/>
      <c r="F516" s="1414"/>
      <c r="G516" s="1414"/>
      <c r="H516" s="1390">
        <v>0</v>
      </c>
      <c r="J516" s="1419"/>
    </row>
    <row r="517" spans="1:10" ht="15" hidden="1" x14ac:dyDescent="0.2">
      <c r="A517" s="1463">
        <v>4357</v>
      </c>
      <c r="B517" s="1469">
        <v>6121</v>
      </c>
      <c r="C517" s="1472">
        <v>54100870</v>
      </c>
      <c r="D517" s="1405" t="s">
        <v>548</v>
      </c>
      <c r="E517" s="1414"/>
      <c r="F517" s="1414"/>
      <c r="G517" s="1414"/>
      <c r="H517" s="1390" t="e">
        <f>G517/F517*100</f>
        <v>#DIV/0!</v>
      </c>
    </row>
    <row r="518" spans="1:10" ht="15" hidden="1" x14ac:dyDescent="0.2">
      <c r="A518" s="1463">
        <v>4357</v>
      </c>
      <c r="B518" s="1469">
        <v>6121</v>
      </c>
      <c r="C518" s="1472">
        <v>54100874</v>
      </c>
      <c r="D518" s="1405" t="s">
        <v>548</v>
      </c>
      <c r="E518" s="1414"/>
      <c r="F518" s="1414"/>
      <c r="G518" s="1414"/>
      <c r="H518" s="1390" t="e">
        <f>G518/F518*100</f>
        <v>#DIV/0!</v>
      </c>
    </row>
    <row r="519" spans="1:10" ht="15" hidden="1" x14ac:dyDescent="0.2">
      <c r="A519" s="1463">
        <v>4357</v>
      </c>
      <c r="B519" s="1469">
        <v>6121</v>
      </c>
      <c r="C519" s="1472">
        <v>54100880</v>
      </c>
      <c r="D519" s="1405" t="s">
        <v>548</v>
      </c>
      <c r="E519" s="1414"/>
      <c r="F519" s="1414"/>
      <c r="G519" s="1414"/>
      <c r="H519" s="1390" t="e">
        <f>G519/F519*100</f>
        <v>#DIV/0!</v>
      </c>
    </row>
    <row r="520" spans="1:10" ht="15" hidden="1" x14ac:dyDescent="0.2">
      <c r="A520" s="1463">
        <v>4357</v>
      </c>
      <c r="B520" s="1469">
        <v>6121</v>
      </c>
      <c r="C520" s="1472">
        <v>54100884</v>
      </c>
      <c r="D520" s="1405" t="s">
        <v>548</v>
      </c>
      <c r="E520" s="1414"/>
      <c r="F520" s="1414"/>
      <c r="G520" s="1414"/>
      <c r="H520" s="1390" t="e">
        <f>G520/F520*100</f>
        <v>#DIV/0!</v>
      </c>
    </row>
    <row r="521" spans="1:10" ht="15" hidden="1" x14ac:dyDescent="0.2">
      <c r="A521" s="1463">
        <v>4357</v>
      </c>
      <c r="B521" s="1469">
        <v>6121</v>
      </c>
      <c r="C521" s="1472">
        <v>54190877</v>
      </c>
      <c r="D521" s="1405" t="s">
        <v>548</v>
      </c>
      <c r="E521" s="1414"/>
      <c r="F521" s="1414"/>
      <c r="G521" s="1414"/>
      <c r="H521" s="1390" t="e">
        <f>G521/F521*100</f>
        <v>#DIV/0!</v>
      </c>
    </row>
    <row r="522" spans="1:10" ht="15.75" hidden="1" thickBot="1" x14ac:dyDescent="0.25">
      <c r="A522" s="1463">
        <v>4357</v>
      </c>
      <c r="B522" s="1469">
        <v>6121</v>
      </c>
      <c r="C522" s="1472">
        <v>54515835</v>
      </c>
      <c r="D522" s="1405" t="s">
        <v>548</v>
      </c>
      <c r="E522" s="1414"/>
      <c r="F522" s="1414"/>
      <c r="G522" s="1414"/>
      <c r="H522" s="1396">
        <v>0</v>
      </c>
    </row>
    <row r="523" spans="1:10" s="1397" customFormat="1" ht="16.5" hidden="1" thickTop="1" thickBot="1" x14ac:dyDescent="0.3">
      <c r="A523" s="3219" t="s">
        <v>690</v>
      </c>
      <c r="B523" s="3220"/>
      <c r="C523" s="3220"/>
      <c r="D523" s="3220"/>
      <c r="E523" s="1387">
        <f>SUM(E513:E522)</f>
        <v>0</v>
      </c>
      <c r="F523" s="1387">
        <f>SUM(F513:F522)</f>
        <v>0</v>
      </c>
      <c r="G523" s="1387">
        <f>SUM(G513:G522)</f>
        <v>0</v>
      </c>
      <c r="H523" s="1391" t="e">
        <f>G523/F523*100</f>
        <v>#DIV/0!</v>
      </c>
      <c r="I523" s="1476"/>
    </row>
    <row r="524" spans="1:10" s="1397" customFormat="1" ht="15" hidden="1" x14ac:dyDescent="0.25">
      <c r="A524" s="1392"/>
      <c r="B524" s="1392"/>
      <c r="C524" s="1392"/>
      <c r="D524" s="1392"/>
      <c r="E524" s="1393"/>
      <c r="F524" s="1393"/>
      <c r="G524" s="1393"/>
      <c r="H524" s="1418"/>
      <c r="I524" s="1476"/>
    </row>
    <row r="525" spans="1:10" ht="18" x14ac:dyDescent="0.25">
      <c r="A525" s="1377" t="s">
        <v>1691</v>
      </c>
      <c r="B525" s="1400"/>
      <c r="C525" s="1400"/>
      <c r="D525" s="1400"/>
      <c r="E525" s="1400"/>
      <c r="F525" s="1400"/>
      <c r="G525" s="1400"/>
      <c r="H525" s="1445"/>
    </row>
    <row r="526" spans="1:10" ht="16.5" thickBot="1" x14ac:dyDescent="0.3">
      <c r="A526" s="1376" t="s">
        <v>1692</v>
      </c>
      <c r="H526" s="1394" t="s">
        <v>148</v>
      </c>
    </row>
    <row r="527" spans="1:10" s="1292" customFormat="1" ht="25.5" thickTop="1" thickBot="1" x14ac:dyDescent="0.25">
      <c r="A527" s="1378" t="s">
        <v>149</v>
      </c>
      <c r="B527" s="1379" t="s">
        <v>688</v>
      </c>
      <c r="C527" s="1379" t="s">
        <v>345</v>
      </c>
      <c r="D527" s="1380" t="s">
        <v>151</v>
      </c>
      <c r="E527" s="1402" t="s">
        <v>569</v>
      </c>
      <c r="F527" s="1402" t="s">
        <v>570</v>
      </c>
      <c r="G527" s="1403" t="s">
        <v>797</v>
      </c>
      <c r="H527" s="1404" t="s">
        <v>798</v>
      </c>
    </row>
    <row r="528" spans="1:10" s="1292" customFormat="1" ht="13.5" thickTop="1" thickBot="1" x14ac:dyDescent="0.25">
      <c r="A528" s="1297">
        <v>1</v>
      </c>
      <c r="B528" s="1296">
        <v>2</v>
      </c>
      <c r="C528" s="1296">
        <v>3</v>
      </c>
      <c r="D528" s="1296">
        <v>4</v>
      </c>
      <c r="E528" s="1295">
        <v>5</v>
      </c>
      <c r="F528" s="1295">
        <v>6</v>
      </c>
      <c r="G528" s="1446">
        <v>7</v>
      </c>
      <c r="H528" s="1468" t="s">
        <v>54</v>
      </c>
    </row>
    <row r="529" spans="1:9" ht="15.75" thickTop="1" x14ac:dyDescent="0.2">
      <c r="A529" s="1463">
        <v>4357</v>
      </c>
      <c r="B529" s="1469">
        <v>6121</v>
      </c>
      <c r="C529" s="2832" t="s">
        <v>2010</v>
      </c>
      <c r="D529" s="1405" t="s">
        <v>548</v>
      </c>
      <c r="E529" s="1401">
        <v>0</v>
      </c>
      <c r="F529" s="1401">
        <v>2265</v>
      </c>
      <c r="G529" s="1401">
        <v>1756</v>
      </c>
      <c r="H529" s="1390">
        <f>G529/F529*100</f>
        <v>77.527593818984556</v>
      </c>
    </row>
    <row r="530" spans="1:9" ht="15" x14ac:dyDescent="0.2">
      <c r="A530" s="1463">
        <v>4357</v>
      </c>
      <c r="B530" s="1469">
        <v>6121</v>
      </c>
      <c r="C530" s="2832" t="s">
        <v>2014</v>
      </c>
      <c r="D530" s="1405" t="s">
        <v>548</v>
      </c>
      <c r="E530" s="1414">
        <v>0</v>
      </c>
      <c r="F530" s="1414">
        <v>13132</v>
      </c>
      <c r="G530" s="1414">
        <v>13130</v>
      </c>
      <c r="H530" s="1390">
        <f>G530/F530*100</f>
        <v>99.984770027413944</v>
      </c>
    </row>
    <row r="531" spans="1:9" ht="15" x14ac:dyDescent="0.2">
      <c r="A531" s="1463">
        <v>4357</v>
      </c>
      <c r="B531" s="1469">
        <v>6121</v>
      </c>
      <c r="C531" s="2832" t="s">
        <v>2036</v>
      </c>
      <c r="D531" s="1405" t="s">
        <v>548</v>
      </c>
      <c r="E531" s="1414">
        <v>0</v>
      </c>
      <c r="F531" s="1414">
        <v>2075</v>
      </c>
      <c r="G531" s="1414">
        <v>813</v>
      </c>
      <c r="H531" s="1390">
        <f>G531/F531*100</f>
        <v>39.180722891566269</v>
      </c>
    </row>
    <row r="532" spans="1:9" ht="15.75" thickBot="1" x14ac:dyDescent="0.25">
      <c r="A532" s="1463">
        <v>4357</v>
      </c>
      <c r="B532" s="1469">
        <v>6121</v>
      </c>
      <c r="C532" s="2832" t="s">
        <v>2035</v>
      </c>
      <c r="D532" s="1405" t="s">
        <v>548</v>
      </c>
      <c r="E532" s="1414">
        <v>0</v>
      </c>
      <c r="F532" s="1414">
        <v>19372</v>
      </c>
      <c r="G532" s="1414">
        <v>13828</v>
      </c>
      <c r="H532" s="1396">
        <v>0</v>
      </c>
    </row>
    <row r="533" spans="1:9" s="1397" customFormat="1" ht="16.5" thickTop="1" thickBot="1" x14ac:dyDescent="0.3">
      <c r="A533" s="3219" t="s">
        <v>690</v>
      </c>
      <c r="B533" s="3220"/>
      <c r="C533" s="3220"/>
      <c r="D533" s="3220"/>
      <c r="E533" s="1387">
        <f>SUM(E529:E532)</f>
        <v>0</v>
      </c>
      <c r="F533" s="1387">
        <f>SUM(F529:F532)</f>
        <v>36844</v>
      </c>
      <c r="G533" s="1387">
        <f>SUM(G529:G532)</f>
        <v>29527</v>
      </c>
      <c r="H533" s="1391">
        <f>G533/F533*100</f>
        <v>80.140592769514711</v>
      </c>
      <c r="I533" s="1476"/>
    </row>
    <row r="534" spans="1:9" s="1397" customFormat="1" ht="15.75" thickTop="1" x14ac:dyDescent="0.25">
      <c r="A534" s="1392"/>
      <c r="B534" s="1392"/>
      <c r="C534" s="1392"/>
      <c r="D534" s="1392"/>
      <c r="E534" s="1393"/>
      <c r="F534" s="1393"/>
      <c r="G534" s="1393"/>
      <c r="H534" s="1418"/>
      <c r="I534" s="1476"/>
    </row>
    <row r="535" spans="1:9" ht="18" x14ac:dyDescent="0.25">
      <c r="A535" s="1377" t="s">
        <v>1693</v>
      </c>
      <c r="B535" s="1400"/>
      <c r="C535" s="1400"/>
      <c r="D535" s="1400"/>
      <c r="E535" s="1400"/>
      <c r="F535" s="1400"/>
      <c r="G535" s="1400"/>
      <c r="H535" s="1445"/>
    </row>
    <row r="536" spans="1:9" ht="16.5" thickBot="1" x14ac:dyDescent="0.3">
      <c r="A536" s="1376" t="s">
        <v>1694</v>
      </c>
      <c r="H536" s="1394" t="s">
        <v>148</v>
      </c>
    </row>
    <row r="537" spans="1:9" s="1292" customFormat="1" ht="25.5" thickTop="1" thickBot="1" x14ac:dyDescent="0.25">
      <c r="A537" s="1378" t="s">
        <v>149</v>
      </c>
      <c r="B537" s="1379" t="s">
        <v>688</v>
      </c>
      <c r="C537" s="1379" t="s">
        <v>345</v>
      </c>
      <c r="D537" s="1380" t="s">
        <v>151</v>
      </c>
      <c r="E537" s="1402" t="s">
        <v>569</v>
      </c>
      <c r="F537" s="1402" t="s">
        <v>570</v>
      </c>
      <c r="G537" s="1403" t="s">
        <v>797</v>
      </c>
      <c r="H537" s="1404" t="s">
        <v>798</v>
      </c>
    </row>
    <row r="538" spans="1:9" s="1292" customFormat="1" ht="13.5" thickTop="1" thickBot="1" x14ac:dyDescent="0.25">
      <c r="A538" s="1297">
        <v>1</v>
      </c>
      <c r="B538" s="1296">
        <v>2</v>
      </c>
      <c r="C538" s="1296">
        <v>3</v>
      </c>
      <c r="D538" s="1296">
        <v>4</v>
      </c>
      <c r="E538" s="1295">
        <v>5</v>
      </c>
      <c r="F538" s="1295">
        <v>6</v>
      </c>
      <c r="G538" s="1446">
        <v>7</v>
      </c>
      <c r="H538" s="1468" t="s">
        <v>54</v>
      </c>
    </row>
    <row r="539" spans="1:9" ht="15.75" thickTop="1" x14ac:dyDescent="0.2">
      <c r="A539" s="1463">
        <v>4354</v>
      </c>
      <c r="B539" s="1469">
        <v>6121</v>
      </c>
      <c r="C539" s="2832" t="s">
        <v>2010</v>
      </c>
      <c r="D539" s="1405" t="s">
        <v>548</v>
      </c>
      <c r="E539" s="1401">
        <v>3621</v>
      </c>
      <c r="F539" s="1401">
        <v>1121</v>
      </c>
      <c r="G539" s="1401">
        <v>985</v>
      </c>
      <c r="H539" s="1390">
        <f t="shared" ref="H539:H544" si="24">G539/F539*100</f>
        <v>87.867975022301508</v>
      </c>
    </row>
    <row r="540" spans="1:9" ht="15" x14ac:dyDescent="0.2">
      <c r="A540" s="1463">
        <v>4354</v>
      </c>
      <c r="B540" s="1469">
        <v>6121</v>
      </c>
      <c r="C540" s="2832" t="s">
        <v>2014</v>
      </c>
      <c r="D540" s="1405" t="s">
        <v>548</v>
      </c>
      <c r="E540" s="1414">
        <v>0</v>
      </c>
      <c r="F540" s="1414">
        <v>1766</v>
      </c>
      <c r="G540" s="1414">
        <v>1636</v>
      </c>
      <c r="H540" s="1390">
        <f t="shared" si="24"/>
        <v>92.63873159682899</v>
      </c>
    </row>
    <row r="541" spans="1:9" ht="15" x14ac:dyDescent="0.2">
      <c r="A541" s="1463">
        <v>4354</v>
      </c>
      <c r="B541" s="1469">
        <v>6121</v>
      </c>
      <c r="C541" s="2832" t="s">
        <v>2013</v>
      </c>
      <c r="D541" s="1405" t="s">
        <v>548</v>
      </c>
      <c r="E541" s="1414">
        <v>0</v>
      </c>
      <c r="F541" s="1414">
        <v>1530</v>
      </c>
      <c r="G541" s="1414">
        <v>1530</v>
      </c>
      <c r="H541" s="1390">
        <f t="shared" si="24"/>
        <v>100</v>
      </c>
    </row>
    <row r="542" spans="1:9" ht="15" x14ac:dyDescent="0.2">
      <c r="A542" s="1463">
        <v>4354</v>
      </c>
      <c r="B542" s="1469">
        <v>6121</v>
      </c>
      <c r="C542" s="2832" t="s">
        <v>2036</v>
      </c>
      <c r="D542" s="1405" t="s">
        <v>548</v>
      </c>
      <c r="E542" s="1414">
        <v>0</v>
      </c>
      <c r="F542" s="1414">
        <v>393</v>
      </c>
      <c r="G542" s="1414">
        <v>353</v>
      </c>
      <c r="H542" s="1390">
        <f t="shared" si="24"/>
        <v>89.821882951653947</v>
      </c>
    </row>
    <row r="543" spans="1:9" ht="15.75" thickBot="1" x14ac:dyDescent="0.25">
      <c r="A543" s="1463">
        <v>4354</v>
      </c>
      <c r="B543" s="1469">
        <v>6121</v>
      </c>
      <c r="C543" s="2832" t="s">
        <v>2035</v>
      </c>
      <c r="D543" s="1405" t="s">
        <v>548</v>
      </c>
      <c r="E543" s="1414">
        <v>0</v>
      </c>
      <c r="F543" s="1414">
        <v>6677</v>
      </c>
      <c r="G543" s="1414">
        <v>6003</v>
      </c>
      <c r="H543" s="1390">
        <f t="shared" si="24"/>
        <v>89.905646248315108</v>
      </c>
    </row>
    <row r="544" spans="1:9" s="1397" customFormat="1" ht="16.5" thickTop="1" thickBot="1" x14ac:dyDescent="0.3">
      <c r="A544" s="3219" t="s">
        <v>690</v>
      </c>
      <c r="B544" s="3220"/>
      <c r="C544" s="3220"/>
      <c r="D544" s="3220"/>
      <c r="E544" s="1387">
        <f>SUM(E539:E543)</f>
        <v>3621</v>
      </c>
      <c r="F544" s="1387">
        <f>SUM(F539:F543)</f>
        <v>11487</v>
      </c>
      <c r="G544" s="1387">
        <f>SUM(G539:G543)</f>
        <v>10507</v>
      </c>
      <c r="H544" s="1391">
        <f t="shared" si="24"/>
        <v>91.4686166971359</v>
      </c>
      <c r="I544" s="1476"/>
    </row>
    <row r="545" spans="1:9" s="1397" customFormat="1" ht="15.75" thickTop="1" x14ac:dyDescent="0.25">
      <c r="A545" s="1392"/>
      <c r="B545" s="1392"/>
      <c r="C545" s="1392"/>
      <c r="D545" s="1392"/>
      <c r="E545" s="1393"/>
      <c r="F545" s="1393"/>
      <c r="G545" s="1393"/>
      <c r="H545" s="1418"/>
      <c r="I545" s="1476"/>
    </row>
    <row r="546" spans="1:9" ht="18" x14ac:dyDescent="0.25">
      <c r="A546" s="1377" t="s">
        <v>1695</v>
      </c>
      <c r="B546" s="1400"/>
      <c r="C546" s="1400"/>
      <c r="D546" s="1400"/>
      <c r="E546" s="1400"/>
      <c r="F546" s="1400"/>
      <c r="G546" s="1400"/>
      <c r="H546" s="1445"/>
    </row>
    <row r="547" spans="1:9" ht="16.5" thickBot="1" x14ac:dyDescent="0.3">
      <c r="A547" s="1376" t="s">
        <v>1696</v>
      </c>
      <c r="H547" s="1394" t="s">
        <v>148</v>
      </c>
    </row>
    <row r="548" spans="1:9" s="1292" customFormat="1" ht="25.5" thickTop="1" thickBot="1" x14ac:dyDescent="0.25">
      <c r="A548" s="1378" t="s">
        <v>149</v>
      </c>
      <c r="B548" s="1379" t="s">
        <v>688</v>
      </c>
      <c r="C548" s="1379" t="s">
        <v>345</v>
      </c>
      <c r="D548" s="1380" t="s">
        <v>151</v>
      </c>
      <c r="E548" s="1402" t="s">
        <v>569</v>
      </c>
      <c r="F548" s="1402" t="s">
        <v>570</v>
      </c>
      <c r="G548" s="1403" t="s">
        <v>797</v>
      </c>
      <c r="H548" s="1404" t="s">
        <v>798</v>
      </c>
    </row>
    <row r="549" spans="1:9" s="1292" customFormat="1" ht="13.5" thickTop="1" thickBot="1" x14ac:dyDescent="0.25">
      <c r="A549" s="1297">
        <v>1</v>
      </c>
      <c r="B549" s="1296">
        <v>2</v>
      </c>
      <c r="C549" s="1296">
        <v>3</v>
      </c>
      <c r="D549" s="1296">
        <v>4</v>
      </c>
      <c r="E549" s="1295">
        <v>5</v>
      </c>
      <c r="F549" s="1295">
        <v>6</v>
      </c>
      <c r="G549" s="1446">
        <v>7</v>
      </c>
      <c r="H549" s="1468" t="s">
        <v>54</v>
      </c>
    </row>
    <row r="550" spans="1:9" ht="15.75" thickTop="1" x14ac:dyDescent="0.2">
      <c r="A550" s="1463">
        <v>3522</v>
      </c>
      <c r="B550" s="1469">
        <v>6121</v>
      </c>
      <c r="C550" s="2832" t="s">
        <v>2010</v>
      </c>
      <c r="D550" s="1405" t="s">
        <v>548</v>
      </c>
      <c r="E550" s="1401">
        <v>4014</v>
      </c>
      <c r="F550" s="1401">
        <v>801</v>
      </c>
      <c r="G550" s="1401">
        <v>776</v>
      </c>
      <c r="H550" s="1390">
        <f>G550/F550*100</f>
        <v>96.878901373283398</v>
      </c>
    </row>
    <row r="551" spans="1:9" ht="15" x14ac:dyDescent="0.2">
      <c r="A551" s="1463">
        <v>3522</v>
      </c>
      <c r="B551" s="1469">
        <v>6121</v>
      </c>
      <c r="C551" s="2832" t="s">
        <v>2014</v>
      </c>
      <c r="D551" s="1405" t="s">
        <v>548</v>
      </c>
      <c r="E551" s="1414">
        <v>0</v>
      </c>
      <c r="F551" s="1414">
        <v>2472</v>
      </c>
      <c r="G551" s="1414">
        <v>2471</v>
      </c>
      <c r="H551" s="1390">
        <f>G551/F551*100</f>
        <v>99.959546925566343</v>
      </c>
    </row>
    <row r="552" spans="1:9" ht="15" x14ac:dyDescent="0.2">
      <c r="A552" s="1463">
        <v>3522</v>
      </c>
      <c r="B552" s="1469">
        <v>6121</v>
      </c>
      <c r="C552" s="2832" t="s">
        <v>2036</v>
      </c>
      <c r="D552" s="1405" t="s">
        <v>548</v>
      </c>
      <c r="E552" s="1414">
        <v>0</v>
      </c>
      <c r="F552" s="1414">
        <v>245</v>
      </c>
      <c r="G552" s="1414">
        <v>0</v>
      </c>
      <c r="H552" s="1390">
        <f>G552/F552*100</f>
        <v>0</v>
      </c>
    </row>
    <row r="553" spans="1:9" ht="15.75" thickBot="1" x14ac:dyDescent="0.25">
      <c r="A553" s="1463">
        <v>3522</v>
      </c>
      <c r="B553" s="1469">
        <v>6121</v>
      </c>
      <c r="C553" s="2832" t="s">
        <v>2035</v>
      </c>
      <c r="D553" s="1405" t="s">
        <v>548</v>
      </c>
      <c r="E553" s="1414">
        <v>0</v>
      </c>
      <c r="F553" s="1414">
        <v>4186</v>
      </c>
      <c r="G553" s="1414">
        <v>3595</v>
      </c>
      <c r="H553" s="1396">
        <v>0</v>
      </c>
    </row>
    <row r="554" spans="1:9" s="1397" customFormat="1" ht="16.5" thickTop="1" thickBot="1" x14ac:dyDescent="0.3">
      <c r="A554" s="3219" t="s">
        <v>690</v>
      </c>
      <c r="B554" s="3220"/>
      <c r="C554" s="3220"/>
      <c r="D554" s="3220"/>
      <c r="E554" s="1387">
        <f>SUM(E550:E553)</f>
        <v>4014</v>
      </c>
      <c r="F554" s="1387">
        <f>SUM(F550:F553)</f>
        <v>7704</v>
      </c>
      <c r="G554" s="1387">
        <f>SUM(G550:G553)</f>
        <v>6842</v>
      </c>
      <c r="H554" s="1391">
        <f>G554/F554*100</f>
        <v>88.811007268951187</v>
      </c>
      <c r="I554" s="1476"/>
    </row>
    <row r="555" spans="1:9" ht="13.5" thickTop="1" x14ac:dyDescent="0.2">
      <c r="I555" s="1398"/>
    </row>
    <row r="556" spans="1:9" ht="18" hidden="1" x14ac:dyDescent="0.25">
      <c r="A556" s="1377" t="s">
        <v>1697</v>
      </c>
      <c r="B556" s="1400"/>
      <c r="C556" s="1400"/>
      <c r="D556" s="1400"/>
      <c r="E556" s="1400"/>
      <c r="F556" s="1400"/>
      <c r="G556" s="1400"/>
      <c r="H556" s="1445"/>
    </row>
    <row r="557" spans="1:9" ht="15.75" hidden="1" x14ac:dyDescent="0.25">
      <c r="A557" s="1376" t="s">
        <v>1698</v>
      </c>
      <c r="H557" s="1394" t="s">
        <v>148</v>
      </c>
    </row>
    <row r="558" spans="1:9" s="1292" customFormat="1" ht="25.5" hidden="1" thickTop="1" thickBot="1" x14ac:dyDescent="0.25">
      <c r="A558" s="1378" t="s">
        <v>149</v>
      </c>
      <c r="B558" s="1379" t="s">
        <v>688</v>
      </c>
      <c r="C558" s="1379" t="s">
        <v>345</v>
      </c>
      <c r="D558" s="1380" t="s">
        <v>151</v>
      </c>
      <c r="E558" s="1402" t="s">
        <v>569</v>
      </c>
      <c r="F558" s="1402" t="s">
        <v>570</v>
      </c>
      <c r="G558" s="1403" t="s">
        <v>797</v>
      </c>
      <c r="H558" s="1404" t="s">
        <v>798</v>
      </c>
    </row>
    <row r="559" spans="1:9" s="1292" customFormat="1" ht="13.5" hidden="1" thickTop="1" thickBot="1" x14ac:dyDescent="0.25">
      <c r="A559" s="1297">
        <v>1</v>
      </c>
      <c r="B559" s="1296">
        <v>2</v>
      </c>
      <c r="C559" s="1296">
        <v>3</v>
      </c>
      <c r="D559" s="1296">
        <v>4</v>
      </c>
      <c r="E559" s="1295">
        <v>5</v>
      </c>
      <c r="F559" s="1295">
        <v>6</v>
      </c>
      <c r="G559" s="1446">
        <v>7</v>
      </c>
      <c r="H559" s="1468" t="s">
        <v>54</v>
      </c>
    </row>
    <row r="560" spans="1:9" ht="15.75" hidden="1" thickTop="1" x14ac:dyDescent="0.2">
      <c r="A560" s="1463">
        <v>3522</v>
      </c>
      <c r="B560" s="1469">
        <v>6121</v>
      </c>
      <c r="C560" s="1472">
        <v>54100880</v>
      </c>
      <c r="D560" s="1405" t="s">
        <v>548</v>
      </c>
      <c r="E560" s="1401">
        <v>0</v>
      </c>
      <c r="F560" s="1401">
        <v>0</v>
      </c>
      <c r="G560" s="1401">
        <v>0</v>
      </c>
      <c r="H560" s="1390" t="e">
        <f>G560/F560*100</f>
        <v>#DIV/0!</v>
      </c>
    </row>
    <row r="561" spans="1:9" ht="15" hidden="1" x14ac:dyDescent="0.2">
      <c r="A561" s="1463">
        <v>3122</v>
      </c>
      <c r="B561" s="1469">
        <v>6121</v>
      </c>
      <c r="C561" s="1472">
        <v>53100872</v>
      </c>
      <c r="D561" s="1405" t="s">
        <v>548</v>
      </c>
      <c r="E561" s="1414">
        <v>0</v>
      </c>
      <c r="F561" s="1414"/>
      <c r="G561" s="1414"/>
      <c r="H561" s="1390" t="e">
        <f>G561/F561*100</f>
        <v>#DIV/0!</v>
      </c>
    </row>
    <row r="562" spans="1:9" ht="15" hidden="1" x14ac:dyDescent="0.2">
      <c r="A562" s="1463">
        <v>3522</v>
      </c>
      <c r="B562" s="1469">
        <v>6121</v>
      </c>
      <c r="C562" s="1472">
        <v>54100884</v>
      </c>
      <c r="D562" s="1405" t="s">
        <v>548</v>
      </c>
      <c r="E562" s="1414"/>
      <c r="F562" s="1414"/>
      <c r="G562" s="1414"/>
      <c r="H562" s="1390" t="e">
        <f>G562/F562*100</f>
        <v>#DIV/0!</v>
      </c>
    </row>
    <row r="563" spans="1:9" ht="15.75" hidden="1" thickBot="1" x14ac:dyDescent="0.25">
      <c r="A563" s="1463">
        <v>3122</v>
      </c>
      <c r="B563" s="1469">
        <v>6121</v>
      </c>
      <c r="C563" s="1472">
        <v>53500871</v>
      </c>
      <c r="D563" s="1405" t="s">
        <v>548</v>
      </c>
      <c r="E563" s="1414">
        <v>0</v>
      </c>
      <c r="F563" s="1414"/>
      <c r="G563" s="1414"/>
      <c r="H563" s="1396">
        <v>0</v>
      </c>
    </row>
    <row r="564" spans="1:9" s="1397" customFormat="1" ht="16.5" hidden="1" thickTop="1" thickBot="1" x14ac:dyDescent="0.3">
      <c r="A564" s="3219" t="s">
        <v>690</v>
      </c>
      <c r="B564" s="3220"/>
      <c r="C564" s="3220"/>
      <c r="D564" s="3220"/>
      <c r="E564" s="1387">
        <f>SUM(E560:E563)</f>
        <v>0</v>
      </c>
      <c r="F564" s="1387">
        <f>SUM(F560:F563)</f>
        <v>0</v>
      </c>
      <c r="G564" s="1387">
        <f>SUM(G560:G563)</f>
        <v>0</v>
      </c>
      <c r="H564" s="1391" t="e">
        <f>G564/F564*100</f>
        <v>#DIV/0!</v>
      </c>
      <c r="I564" s="1476"/>
    </row>
    <row r="565" spans="1:9" hidden="1" x14ac:dyDescent="0.2">
      <c r="I565" s="1398"/>
    </row>
    <row r="566" spans="1:9" ht="18" x14ac:dyDescent="0.25">
      <c r="A566" s="1377" t="s">
        <v>1699</v>
      </c>
      <c r="B566" s="1400"/>
      <c r="C566" s="1400"/>
      <c r="D566" s="1400"/>
      <c r="E566" s="1400"/>
      <c r="F566" s="1400"/>
      <c r="G566" s="1400"/>
      <c r="H566" s="1445"/>
    </row>
    <row r="567" spans="1:9" ht="16.5" thickBot="1" x14ac:dyDescent="0.3">
      <c r="A567" s="1376" t="s">
        <v>1700</v>
      </c>
      <c r="H567" s="1394" t="s">
        <v>148</v>
      </c>
    </row>
    <row r="568" spans="1:9" s="1292" customFormat="1" ht="25.5" thickTop="1" thickBot="1" x14ac:dyDescent="0.25">
      <c r="A568" s="1378" t="s">
        <v>149</v>
      </c>
      <c r="B568" s="1379" t="s">
        <v>688</v>
      </c>
      <c r="C568" s="1379" t="s">
        <v>345</v>
      </c>
      <c r="D568" s="1380" t="s">
        <v>151</v>
      </c>
      <c r="E568" s="1402" t="s">
        <v>569</v>
      </c>
      <c r="F568" s="1402" t="s">
        <v>570</v>
      </c>
      <c r="G568" s="1403" t="s">
        <v>797</v>
      </c>
      <c r="H568" s="1404" t="s">
        <v>798</v>
      </c>
    </row>
    <row r="569" spans="1:9" s="1292" customFormat="1" ht="13.5" thickTop="1" thickBot="1" x14ac:dyDescent="0.25">
      <c r="A569" s="1297">
        <v>1</v>
      </c>
      <c r="B569" s="1296">
        <v>2</v>
      </c>
      <c r="C569" s="1296">
        <v>3</v>
      </c>
      <c r="D569" s="1296">
        <v>4</v>
      </c>
      <c r="E569" s="1295">
        <v>5</v>
      </c>
      <c r="F569" s="1295">
        <v>6</v>
      </c>
      <c r="G569" s="1446">
        <v>7</v>
      </c>
      <c r="H569" s="1468" t="s">
        <v>54</v>
      </c>
    </row>
    <row r="570" spans="1:9" ht="15.75" thickTop="1" x14ac:dyDescent="0.2">
      <c r="A570" s="1463">
        <v>3742</v>
      </c>
      <c r="B570" s="1469">
        <v>5137</v>
      </c>
      <c r="C570" s="2832" t="s">
        <v>2033</v>
      </c>
      <c r="D570" s="1405" t="s">
        <v>142</v>
      </c>
      <c r="E570" s="1414">
        <v>0</v>
      </c>
      <c r="F570" s="1414">
        <v>24</v>
      </c>
      <c r="G570" s="1414">
        <v>24</v>
      </c>
      <c r="H570" s="1390">
        <f t="shared" ref="H570:H578" si="25">G570/F570*100</f>
        <v>100</v>
      </c>
    </row>
    <row r="571" spans="1:9" ht="15" x14ac:dyDescent="0.2">
      <c r="A571" s="1463">
        <v>3742</v>
      </c>
      <c r="B571" s="1469">
        <v>5137</v>
      </c>
      <c r="C571" s="2832" t="s">
        <v>2031</v>
      </c>
      <c r="D571" s="1405" t="s">
        <v>142</v>
      </c>
      <c r="E571" s="1414">
        <v>0</v>
      </c>
      <c r="F571" s="1414">
        <v>458</v>
      </c>
      <c r="G571" s="1414">
        <v>458</v>
      </c>
      <c r="H571" s="1390">
        <f t="shared" si="25"/>
        <v>100</v>
      </c>
    </row>
    <row r="572" spans="1:9" ht="15" x14ac:dyDescent="0.2">
      <c r="A572" s="1463">
        <v>3742</v>
      </c>
      <c r="B572" s="1469">
        <v>5139</v>
      </c>
      <c r="C572" s="2832" t="s">
        <v>2033</v>
      </c>
      <c r="D572" s="1405" t="s">
        <v>566</v>
      </c>
      <c r="E572" s="1414">
        <v>0</v>
      </c>
      <c r="F572" s="1414">
        <v>1</v>
      </c>
      <c r="G572" s="1414">
        <v>1</v>
      </c>
      <c r="H572" s="1390">
        <f t="shared" si="25"/>
        <v>100</v>
      </c>
    </row>
    <row r="573" spans="1:9" ht="15" x14ac:dyDescent="0.2">
      <c r="A573" s="1463">
        <v>3742</v>
      </c>
      <c r="B573" s="1469">
        <v>5139</v>
      </c>
      <c r="C573" s="2832" t="s">
        <v>2031</v>
      </c>
      <c r="D573" s="1405" t="s">
        <v>566</v>
      </c>
      <c r="E573" s="1414">
        <v>0</v>
      </c>
      <c r="F573" s="1414">
        <v>27</v>
      </c>
      <c r="G573" s="1414">
        <v>27</v>
      </c>
      <c r="H573" s="1390">
        <f t="shared" si="25"/>
        <v>100</v>
      </c>
    </row>
    <row r="574" spans="1:9" ht="15" x14ac:dyDescent="0.2">
      <c r="A574" s="1463">
        <v>3742</v>
      </c>
      <c r="B574" s="1469">
        <v>5169</v>
      </c>
      <c r="C574" s="2832" t="s">
        <v>2034</v>
      </c>
      <c r="D574" s="1405" t="s">
        <v>769</v>
      </c>
      <c r="E574" s="1414">
        <v>0</v>
      </c>
      <c r="F574" s="1414">
        <v>40</v>
      </c>
      <c r="G574" s="1414">
        <v>40</v>
      </c>
      <c r="H574" s="1390">
        <f t="shared" si="25"/>
        <v>100</v>
      </c>
    </row>
    <row r="575" spans="1:9" ht="15" x14ac:dyDescent="0.2">
      <c r="A575" s="1463">
        <v>3742</v>
      </c>
      <c r="B575" s="1469">
        <v>5169</v>
      </c>
      <c r="C575" s="2832" t="s">
        <v>2033</v>
      </c>
      <c r="D575" s="1405" t="s">
        <v>769</v>
      </c>
      <c r="E575" s="1414">
        <v>0</v>
      </c>
      <c r="F575" s="1414">
        <v>49</v>
      </c>
      <c r="G575" s="1414">
        <v>42</v>
      </c>
      <c r="H575" s="1390">
        <f t="shared" si="25"/>
        <v>85.714285714285708</v>
      </c>
    </row>
    <row r="576" spans="1:9" ht="15" x14ac:dyDescent="0.2">
      <c r="A576" s="1463">
        <v>3742</v>
      </c>
      <c r="B576" s="1469">
        <v>5169</v>
      </c>
      <c r="C576" s="2832" t="s">
        <v>2032</v>
      </c>
      <c r="D576" s="1405" t="s">
        <v>769</v>
      </c>
      <c r="E576" s="1414">
        <v>0</v>
      </c>
      <c r="F576" s="1414">
        <v>752</v>
      </c>
      <c r="G576" s="1414">
        <v>752</v>
      </c>
      <c r="H576" s="1390">
        <f t="shared" si="25"/>
        <v>100</v>
      </c>
    </row>
    <row r="577" spans="1:9" ht="15.75" thickBot="1" x14ac:dyDescent="0.25">
      <c r="A577" s="1463">
        <v>3742</v>
      </c>
      <c r="B577" s="1469">
        <v>5169</v>
      </c>
      <c r="C577" s="2832" t="s">
        <v>2031</v>
      </c>
      <c r="D577" s="1405" t="s">
        <v>769</v>
      </c>
      <c r="E577" s="1414">
        <v>0</v>
      </c>
      <c r="F577" s="1414">
        <v>929</v>
      </c>
      <c r="G577" s="1414">
        <v>929</v>
      </c>
      <c r="H577" s="1390">
        <f t="shared" si="25"/>
        <v>100</v>
      </c>
    </row>
    <row r="578" spans="1:9" s="1397" customFormat="1" ht="16.5" thickTop="1" thickBot="1" x14ac:dyDescent="0.3">
      <c r="A578" s="3219" t="s">
        <v>690</v>
      </c>
      <c r="B578" s="3220"/>
      <c r="C578" s="3220"/>
      <c r="D578" s="3220"/>
      <c r="E578" s="1387">
        <f>SUM(E570:E577)</f>
        <v>0</v>
      </c>
      <c r="F578" s="1387">
        <f>SUM(F570:F577)</f>
        <v>2280</v>
      </c>
      <c r="G578" s="1387">
        <f>SUM(G570:G577)</f>
        <v>2273</v>
      </c>
      <c r="H578" s="1391">
        <f t="shared" si="25"/>
        <v>99.692982456140356</v>
      </c>
      <c r="I578" s="1476"/>
    </row>
    <row r="579" spans="1:9" ht="13.5" thickTop="1" x14ac:dyDescent="0.2">
      <c r="I579" s="1398"/>
    </row>
    <row r="580" spans="1:9" x14ac:dyDescent="0.2">
      <c r="I580" s="1398"/>
    </row>
    <row r="581" spans="1:9" hidden="1" x14ac:dyDescent="0.2">
      <c r="I581" s="1398"/>
    </row>
    <row r="582" spans="1:9" hidden="1" x14ac:dyDescent="0.2">
      <c r="I582" s="1398"/>
    </row>
    <row r="583" spans="1:9" hidden="1" x14ac:dyDescent="0.2">
      <c r="I583" s="1398"/>
    </row>
    <row r="584" spans="1:9" hidden="1" x14ac:dyDescent="0.2">
      <c r="I584" s="1398"/>
    </row>
    <row r="585" spans="1:9" hidden="1" x14ac:dyDescent="0.2">
      <c r="I585" s="1398"/>
    </row>
    <row r="586" spans="1:9" x14ac:dyDescent="0.2">
      <c r="I586" s="1398"/>
    </row>
    <row r="587" spans="1:9" ht="15.75" thickBot="1" x14ac:dyDescent="0.3">
      <c r="A587" s="1377" t="s">
        <v>229</v>
      </c>
      <c r="D587" s="1371"/>
      <c r="E587" s="1372"/>
      <c r="H587" s="1459" t="s">
        <v>148</v>
      </c>
      <c r="I587" s="1458"/>
    </row>
    <row r="588" spans="1:9" ht="25.5" thickTop="1" thickBot="1" x14ac:dyDescent="0.25">
      <c r="A588" s="1378" t="s">
        <v>149</v>
      </c>
      <c r="B588" s="1379" t="s">
        <v>688</v>
      </c>
      <c r="C588" s="1379" t="s">
        <v>345</v>
      </c>
      <c r="D588" s="1380" t="s">
        <v>151</v>
      </c>
      <c r="E588" s="1402" t="s">
        <v>569</v>
      </c>
      <c r="F588" s="1402" t="s">
        <v>570</v>
      </c>
      <c r="G588" s="1403" t="s">
        <v>797</v>
      </c>
      <c r="H588" s="1404" t="s">
        <v>798</v>
      </c>
    </row>
    <row r="589" spans="1:9" ht="14.25" thickTop="1" thickBot="1" x14ac:dyDescent="0.25">
      <c r="A589" s="1297">
        <v>1</v>
      </c>
      <c r="B589" s="1296">
        <v>2</v>
      </c>
      <c r="C589" s="1296">
        <v>3</v>
      </c>
      <c r="D589" s="1296">
        <v>5</v>
      </c>
      <c r="E589" s="1295">
        <v>6</v>
      </c>
      <c r="F589" s="1295">
        <v>7</v>
      </c>
      <c r="G589" s="1446">
        <v>8</v>
      </c>
      <c r="H589" s="1383" t="s">
        <v>689</v>
      </c>
    </row>
    <row r="590" spans="1:9" s="1400" customFormat="1" ht="16.5" thickTop="1" thickBot="1" x14ac:dyDescent="0.3">
      <c r="A590" s="1457">
        <v>6330</v>
      </c>
      <c r="B590" s="1385">
        <v>5345</v>
      </c>
      <c r="C590" s="2830" t="s">
        <v>1760</v>
      </c>
      <c r="D590" s="1454" t="s">
        <v>693</v>
      </c>
      <c r="E590" s="1401">
        <v>0</v>
      </c>
      <c r="F590" s="1401">
        <v>0</v>
      </c>
      <c r="G590" s="1456">
        <v>164991</v>
      </c>
      <c r="H590" s="1388">
        <v>0</v>
      </c>
    </row>
    <row r="591" spans="1:9" s="1400" customFormat="1" ht="15.75" hidden="1" thickBot="1" x14ac:dyDescent="0.3">
      <c r="A591" s="1384">
        <v>6409</v>
      </c>
      <c r="B591" s="1385">
        <v>5909</v>
      </c>
      <c r="C591" s="1455"/>
      <c r="D591" s="1454" t="s">
        <v>705</v>
      </c>
      <c r="E591" s="1414">
        <v>0</v>
      </c>
      <c r="F591" s="1414">
        <v>0</v>
      </c>
      <c r="G591" s="1453">
        <v>0</v>
      </c>
      <c r="H591" s="1390">
        <v>0</v>
      </c>
    </row>
    <row r="592" spans="1:9" ht="16.5" thickTop="1" thickBot="1" x14ac:dyDescent="0.3">
      <c r="A592" s="1406" t="s">
        <v>690</v>
      </c>
      <c r="B592" s="1407"/>
      <c r="C592" s="1407"/>
      <c r="D592" s="1408"/>
      <c r="E592" s="1387">
        <f>SUM(E590:E591)</f>
        <v>0</v>
      </c>
      <c r="F592" s="1387">
        <f>SUM(F590:F591)</f>
        <v>0</v>
      </c>
      <c r="G592" s="1387">
        <f>SUM(G590:G591)</f>
        <v>164991</v>
      </c>
      <c r="H592" s="1391">
        <v>0</v>
      </c>
    </row>
    <row r="593" spans="1:12" ht="87" customHeight="1" thickTop="1" x14ac:dyDescent="0.2"/>
    <row r="594" spans="1:12" hidden="1" x14ac:dyDescent="0.2"/>
    <row r="595" spans="1:12" hidden="1" x14ac:dyDescent="0.2"/>
    <row r="596" spans="1:12" ht="16.5" x14ac:dyDescent="0.25">
      <c r="A596" s="1429" t="s">
        <v>423</v>
      </c>
      <c r="B596" s="1430"/>
      <c r="C596" s="1431"/>
      <c r="D596" s="1432"/>
      <c r="E596" s="1433">
        <f>SUM(E597:E599)</f>
        <v>76510</v>
      </c>
      <c r="F596" s="1433">
        <f>F597+F598+F599+F600</f>
        <v>266383</v>
      </c>
      <c r="G596" s="1433">
        <f>G597+G598+G599+G600</f>
        <v>403350</v>
      </c>
      <c r="H596" s="1452">
        <f>G596/F596*100</f>
        <v>151.41732017433546</v>
      </c>
      <c r="J596" s="1435">
        <f>J597+J598+J599</f>
        <v>76510000</v>
      </c>
      <c r="K596" s="1435">
        <f>K597+K598+K599</f>
        <v>266382620.94999999</v>
      </c>
      <c r="L596" s="1435">
        <f>L597+L598+L599</f>
        <v>403349986.88999999</v>
      </c>
    </row>
    <row r="597" spans="1:12" ht="15" x14ac:dyDescent="0.2">
      <c r="A597" s="1263" t="s">
        <v>242</v>
      </c>
      <c r="B597" s="1265"/>
      <c r="C597" s="1261"/>
      <c r="D597" s="1436"/>
      <c r="E597" s="1264">
        <f>E13+E570+E571+E572+E573+E574+E575+E576+E577</f>
        <v>0</v>
      </c>
      <c r="F597" s="1264">
        <f>F13+F570+F571+F572+F573+F574+F575+F576+F577</f>
        <v>2696</v>
      </c>
      <c r="G597" s="1264">
        <f>G13+G570+G571+G572+G573+G574+G575+G576+G577</f>
        <v>2402</v>
      </c>
      <c r="H597" s="1451">
        <v>0</v>
      </c>
      <c r="J597" s="1437">
        <v>0</v>
      </c>
      <c r="K597" s="1437">
        <v>2695412.72</v>
      </c>
      <c r="L597" s="1437">
        <v>2401677.7200000002</v>
      </c>
    </row>
    <row r="598" spans="1:12" ht="15" x14ac:dyDescent="0.2">
      <c r="A598" s="1263" t="s">
        <v>243</v>
      </c>
      <c r="B598" s="1262"/>
      <c r="C598" s="1261"/>
      <c r="D598" s="1438"/>
      <c r="E598" s="1264">
        <f>E62+E63+E64+E65+E72+E362+E363+E364+E365+E366+E373+E374+E375+E376+E394+E395+E396+E397+E398+E399+E406+E407+E408+E409+E416+E417+E418+E419+E426+E427+E428+E429+E436+E437+E438+E439+E446+E447+E448+E449+E474+E475+E529+E530+E531+E532+E539+E540+E541+E542+E543+E550+E551+E552+E553</f>
        <v>76510</v>
      </c>
      <c r="F598" s="1264">
        <f>F62+F63+F64+F65+F72+F362+F363+F364+F365+F366+F373+F374+F375+F376+F394+F395+F396+F397+F398+F399+F406+F407+F408+F409+F416+F417+F418+F419+F426+F427+F428+F429+F436+F437+F438+F439+F446+F447+F448+F449+F474+F475+F529+F530+F531+F532+F539+F540+F541+F542+F543+F550+F551+F552+F553</f>
        <v>263687</v>
      </c>
      <c r="G598" s="1264">
        <f>G62+G63+G64+G65+G72+G362+G363+G364+G365+G366+G373+G374+G375+G376+G394+G395+G396+G397+G398+G399+G406+G407+G408+G409+G416+G417+G418+G419+G426+G427+G428+G429+G436+G437+G438+G439+G446+G447+G448+G449+G474+G475+G529+G530+G531+G532+G539+G540+G541+G542+G543+G550+G551+G552+G553</f>
        <v>235957</v>
      </c>
      <c r="H598" s="1451">
        <f>G598/F598*100</f>
        <v>89.483743984345082</v>
      </c>
      <c r="J598" s="1437">
        <v>76510000</v>
      </c>
      <c r="K598" s="1437">
        <v>263687208.22999999</v>
      </c>
      <c r="L598" s="1437">
        <v>235957648.06999999</v>
      </c>
    </row>
    <row r="599" spans="1:12" ht="15" x14ac:dyDescent="0.2">
      <c r="A599" s="1263" t="s">
        <v>424</v>
      </c>
      <c r="B599" s="1262"/>
      <c r="C599" s="1261"/>
      <c r="D599" s="1438"/>
      <c r="E599" s="1264">
        <f>E590</f>
        <v>0</v>
      </c>
      <c r="F599" s="1264">
        <f>F590</f>
        <v>0</v>
      </c>
      <c r="G599" s="1264">
        <f>G590</f>
        <v>164991</v>
      </c>
      <c r="H599" s="1451">
        <v>0</v>
      </c>
      <c r="J599" s="1437">
        <v>0</v>
      </c>
      <c r="K599" s="1437">
        <v>0</v>
      </c>
      <c r="L599" s="1437">
        <v>164990661.09999999</v>
      </c>
    </row>
    <row r="600" spans="1:12" ht="9.75" customHeight="1" x14ac:dyDescent="0.2">
      <c r="A600" s="1263"/>
      <c r="B600" s="1262"/>
      <c r="C600" s="1261"/>
      <c r="D600" s="1438"/>
      <c r="E600" s="1264"/>
      <c r="F600" s="1264"/>
      <c r="G600" s="1264"/>
      <c r="H600" s="1260"/>
    </row>
    <row r="601" spans="1:12" ht="48.75" customHeight="1" thickBot="1" x14ac:dyDescent="0.4">
      <c r="A601" s="3148" t="s">
        <v>834</v>
      </c>
      <c r="B601" s="3207"/>
      <c r="C601" s="3207"/>
      <c r="D601" s="3207"/>
      <c r="E601" s="1258">
        <f>SUM(E596)</f>
        <v>76510</v>
      </c>
      <c r="F601" s="1258">
        <f>SUM(F596)</f>
        <v>266383</v>
      </c>
      <c r="G601" s="1258">
        <f>SUM(G596)</f>
        <v>403350</v>
      </c>
      <c r="H601" s="1257">
        <f>(G601/F601)*100</f>
        <v>151.41732017433546</v>
      </c>
    </row>
    <row r="602" spans="1:12" ht="13.5" thickTop="1" x14ac:dyDescent="0.2"/>
    <row r="723" spans="1:5" ht="13.5" thickBot="1" x14ac:dyDescent="0.25">
      <c r="A723" s="1409"/>
      <c r="B723" s="1409"/>
      <c r="C723" s="1409"/>
      <c r="D723" s="1477"/>
      <c r="E723" s="1478"/>
    </row>
    <row r="724" spans="1:5" ht="13.5" thickTop="1" x14ac:dyDescent="0.2">
      <c r="A724" s="1427"/>
      <c r="B724" s="1427"/>
      <c r="C724" s="1427"/>
      <c r="D724" s="1419"/>
      <c r="E724" s="1479"/>
    </row>
    <row r="725" spans="1:5" x14ac:dyDescent="0.2">
      <c r="D725" s="1372" t="e">
        <f>#REF!+#REF!</f>
        <v>#REF!</v>
      </c>
    </row>
  </sheetData>
  <mergeCells count="46">
    <mergeCell ref="A17:D17"/>
    <mergeCell ref="A29:D29"/>
    <mergeCell ref="A44:D44"/>
    <mergeCell ref="A56:D56"/>
    <mergeCell ref="A66:D66"/>
    <mergeCell ref="A77:D77"/>
    <mergeCell ref="A89:D89"/>
    <mergeCell ref="A109:D109"/>
    <mergeCell ref="A121:D121"/>
    <mergeCell ref="A133:D133"/>
    <mergeCell ref="A149:D149"/>
    <mergeCell ref="A161:D161"/>
    <mergeCell ref="A378:D378"/>
    <mergeCell ref="A388:D388"/>
    <mergeCell ref="A464:D464"/>
    <mergeCell ref="A440:D440"/>
    <mergeCell ref="A450:D450"/>
    <mergeCell ref="A177:D177"/>
    <mergeCell ref="A192:D192"/>
    <mergeCell ref="A205:D205"/>
    <mergeCell ref="A217:D217"/>
    <mergeCell ref="A230:D230"/>
    <mergeCell ref="A480:D480"/>
    <mergeCell ref="A492:D492"/>
    <mergeCell ref="A244:D244"/>
    <mergeCell ref="A400:D400"/>
    <mergeCell ref="A257:D257"/>
    <mergeCell ref="A274:D274"/>
    <mergeCell ref="A288:D288"/>
    <mergeCell ref="A301:D301"/>
    <mergeCell ref="A311:D311"/>
    <mergeCell ref="A331:D331"/>
    <mergeCell ref="A346:D346"/>
    <mergeCell ref="A356:D356"/>
    <mergeCell ref="A367:D367"/>
    <mergeCell ref="A410:D410"/>
    <mergeCell ref="A420:D420"/>
    <mergeCell ref="A430:D430"/>
    <mergeCell ref="A507:D507"/>
    <mergeCell ref="A523:D523"/>
    <mergeCell ref="A533:D533"/>
    <mergeCell ref="A578:D578"/>
    <mergeCell ref="A601:D601"/>
    <mergeCell ref="A554:D554"/>
    <mergeCell ref="A564:D564"/>
    <mergeCell ref="A544:D544"/>
  </mergeCells>
  <pageMargins left="0.78740157480314965" right="0.98425196850393704" top="0.98425196850393704" bottom="0.98425196850393704" header="0.51181102362204722" footer="0.51181102362204722"/>
  <pageSetup paperSize="9" scale="65" firstPageNumber="136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rowBreaks count="3" manualBreakCount="3">
    <brk id="400" max="7" man="1"/>
    <brk id="524" max="7" man="1"/>
    <brk id="602" max="7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537"/>
  <sheetViews>
    <sheetView showGridLines="0"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5.28515625" style="1371" customWidth="1"/>
    <col min="2" max="2" width="6.7109375" style="1371" customWidth="1"/>
    <col min="3" max="3" width="10.140625" style="1371" customWidth="1"/>
    <col min="4" max="4" width="47.85546875" style="1372" customWidth="1"/>
    <col min="5" max="5" width="15.42578125" style="1398" customWidth="1"/>
    <col min="6" max="6" width="15.5703125" style="1398" customWidth="1"/>
    <col min="7" max="7" width="15.85546875" style="1398" customWidth="1"/>
    <col min="8" max="8" width="9.7109375" style="1372" customWidth="1"/>
    <col min="9" max="9" width="14.28515625" style="1372" bestFit="1" customWidth="1"/>
    <col min="10" max="10" width="11.42578125" style="1372" bestFit="1" customWidth="1"/>
    <col min="11" max="11" width="17.28515625" style="1372" bestFit="1" customWidth="1"/>
    <col min="12" max="12" width="16" style="1372" bestFit="1" customWidth="1"/>
    <col min="13" max="256" width="9.140625" style="1372"/>
    <col min="257" max="257" width="4.7109375" style="1372" customWidth="1"/>
    <col min="258" max="258" width="6.7109375" style="1372" customWidth="1"/>
    <col min="259" max="259" width="8.85546875" style="1372" customWidth="1"/>
    <col min="260" max="260" width="47.85546875" style="1372" customWidth="1"/>
    <col min="261" max="261" width="12.85546875" style="1372" customWidth="1"/>
    <col min="262" max="262" width="15.5703125" style="1372" customWidth="1"/>
    <col min="263" max="263" width="15.85546875" style="1372" customWidth="1"/>
    <col min="264" max="264" width="6.42578125" style="1372" customWidth="1"/>
    <col min="265" max="265" width="14.28515625" style="1372" bestFit="1" customWidth="1"/>
    <col min="266" max="266" width="11.42578125" style="1372" bestFit="1" customWidth="1"/>
    <col min="267" max="267" width="17.28515625" style="1372" bestFit="1" customWidth="1"/>
    <col min="268" max="268" width="16" style="1372" bestFit="1" customWidth="1"/>
    <col min="269" max="512" width="9.140625" style="1372"/>
    <col min="513" max="513" width="4.7109375" style="1372" customWidth="1"/>
    <col min="514" max="514" width="6.7109375" style="1372" customWidth="1"/>
    <col min="515" max="515" width="8.85546875" style="1372" customWidth="1"/>
    <col min="516" max="516" width="47.85546875" style="1372" customWidth="1"/>
    <col min="517" max="517" width="12.85546875" style="1372" customWidth="1"/>
    <col min="518" max="518" width="15.5703125" style="1372" customWidth="1"/>
    <col min="519" max="519" width="15.85546875" style="1372" customWidth="1"/>
    <col min="520" max="520" width="6.42578125" style="1372" customWidth="1"/>
    <col min="521" max="521" width="14.28515625" style="1372" bestFit="1" customWidth="1"/>
    <col min="522" max="522" width="11.42578125" style="1372" bestFit="1" customWidth="1"/>
    <col min="523" max="523" width="17.28515625" style="1372" bestFit="1" customWidth="1"/>
    <col min="524" max="524" width="16" style="1372" bestFit="1" customWidth="1"/>
    <col min="525" max="768" width="9.140625" style="1372"/>
    <col min="769" max="769" width="4.7109375" style="1372" customWidth="1"/>
    <col min="770" max="770" width="6.7109375" style="1372" customWidth="1"/>
    <col min="771" max="771" width="8.85546875" style="1372" customWidth="1"/>
    <col min="772" max="772" width="47.85546875" style="1372" customWidth="1"/>
    <col min="773" max="773" width="12.85546875" style="1372" customWidth="1"/>
    <col min="774" max="774" width="15.5703125" style="1372" customWidth="1"/>
    <col min="775" max="775" width="15.85546875" style="1372" customWidth="1"/>
    <col min="776" max="776" width="6.42578125" style="1372" customWidth="1"/>
    <col min="777" max="777" width="14.28515625" style="1372" bestFit="1" customWidth="1"/>
    <col min="778" max="778" width="11.42578125" style="1372" bestFit="1" customWidth="1"/>
    <col min="779" max="779" width="17.28515625" style="1372" bestFit="1" customWidth="1"/>
    <col min="780" max="780" width="16" style="1372" bestFit="1" customWidth="1"/>
    <col min="781" max="1024" width="9.140625" style="1372"/>
    <col min="1025" max="1025" width="4.7109375" style="1372" customWidth="1"/>
    <col min="1026" max="1026" width="6.7109375" style="1372" customWidth="1"/>
    <col min="1027" max="1027" width="8.85546875" style="1372" customWidth="1"/>
    <col min="1028" max="1028" width="47.85546875" style="1372" customWidth="1"/>
    <col min="1029" max="1029" width="12.85546875" style="1372" customWidth="1"/>
    <col min="1030" max="1030" width="15.5703125" style="1372" customWidth="1"/>
    <col min="1031" max="1031" width="15.85546875" style="1372" customWidth="1"/>
    <col min="1032" max="1032" width="6.42578125" style="1372" customWidth="1"/>
    <col min="1033" max="1033" width="14.28515625" style="1372" bestFit="1" customWidth="1"/>
    <col min="1034" max="1034" width="11.42578125" style="1372" bestFit="1" customWidth="1"/>
    <col min="1035" max="1035" width="17.28515625" style="1372" bestFit="1" customWidth="1"/>
    <col min="1036" max="1036" width="16" style="1372" bestFit="1" customWidth="1"/>
    <col min="1037" max="1280" width="9.140625" style="1372"/>
    <col min="1281" max="1281" width="4.7109375" style="1372" customWidth="1"/>
    <col min="1282" max="1282" width="6.7109375" style="1372" customWidth="1"/>
    <col min="1283" max="1283" width="8.85546875" style="1372" customWidth="1"/>
    <col min="1284" max="1284" width="47.85546875" style="1372" customWidth="1"/>
    <col min="1285" max="1285" width="12.85546875" style="1372" customWidth="1"/>
    <col min="1286" max="1286" width="15.5703125" style="1372" customWidth="1"/>
    <col min="1287" max="1287" width="15.85546875" style="1372" customWidth="1"/>
    <col min="1288" max="1288" width="6.42578125" style="1372" customWidth="1"/>
    <col min="1289" max="1289" width="14.28515625" style="1372" bestFit="1" customWidth="1"/>
    <col min="1290" max="1290" width="11.42578125" style="1372" bestFit="1" customWidth="1"/>
    <col min="1291" max="1291" width="17.28515625" style="1372" bestFit="1" customWidth="1"/>
    <col min="1292" max="1292" width="16" style="1372" bestFit="1" customWidth="1"/>
    <col min="1293" max="1536" width="9.140625" style="1372"/>
    <col min="1537" max="1537" width="4.7109375" style="1372" customWidth="1"/>
    <col min="1538" max="1538" width="6.7109375" style="1372" customWidth="1"/>
    <col min="1539" max="1539" width="8.85546875" style="1372" customWidth="1"/>
    <col min="1540" max="1540" width="47.85546875" style="1372" customWidth="1"/>
    <col min="1541" max="1541" width="12.85546875" style="1372" customWidth="1"/>
    <col min="1542" max="1542" width="15.5703125" style="1372" customWidth="1"/>
    <col min="1543" max="1543" width="15.85546875" style="1372" customWidth="1"/>
    <col min="1544" max="1544" width="6.42578125" style="1372" customWidth="1"/>
    <col min="1545" max="1545" width="14.28515625" style="1372" bestFit="1" customWidth="1"/>
    <col min="1546" max="1546" width="11.42578125" style="1372" bestFit="1" customWidth="1"/>
    <col min="1547" max="1547" width="17.28515625" style="1372" bestFit="1" customWidth="1"/>
    <col min="1548" max="1548" width="16" style="1372" bestFit="1" customWidth="1"/>
    <col min="1549" max="1792" width="9.140625" style="1372"/>
    <col min="1793" max="1793" width="4.7109375" style="1372" customWidth="1"/>
    <col min="1794" max="1794" width="6.7109375" style="1372" customWidth="1"/>
    <col min="1795" max="1795" width="8.85546875" style="1372" customWidth="1"/>
    <col min="1796" max="1796" width="47.85546875" style="1372" customWidth="1"/>
    <col min="1797" max="1797" width="12.85546875" style="1372" customWidth="1"/>
    <col min="1798" max="1798" width="15.5703125" style="1372" customWidth="1"/>
    <col min="1799" max="1799" width="15.85546875" style="1372" customWidth="1"/>
    <col min="1800" max="1800" width="6.42578125" style="1372" customWidth="1"/>
    <col min="1801" max="1801" width="14.28515625" style="1372" bestFit="1" customWidth="1"/>
    <col min="1802" max="1802" width="11.42578125" style="1372" bestFit="1" customWidth="1"/>
    <col min="1803" max="1803" width="17.28515625" style="1372" bestFit="1" customWidth="1"/>
    <col min="1804" max="1804" width="16" style="1372" bestFit="1" customWidth="1"/>
    <col min="1805" max="2048" width="9.140625" style="1372"/>
    <col min="2049" max="2049" width="4.7109375" style="1372" customWidth="1"/>
    <col min="2050" max="2050" width="6.7109375" style="1372" customWidth="1"/>
    <col min="2051" max="2051" width="8.85546875" style="1372" customWidth="1"/>
    <col min="2052" max="2052" width="47.85546875" style="1372" customWidth="1"/>
    <col min="2053" max="2053" width="12.85546875" style="1372" customWidth="1"/>
    <col min="2054" max="2054" width="15.5703125" style="1372" customWidth="1"/>
    <col min="2055" max="2055" width="15.85546875" style="1372" customWidth="1"/>
    <col min="2056" max="2056" width="6.42578125" style="1372" customWidth="1"/>
    <col min="2057" max="2057" width="14.28515625" style="1372" bestFit="1" customWidth="1"/>
    <col min="2058" max="2058" width="11.42578125" style="1372" bestFit="1" customWidth="1"/>
    <col min="2059" max="2059" width="17.28515625" style="1372" bestFit="1" customWidth="1"/>
    <col min="2060" max="2060" width="16" style="1372" bestFit="1" customWidth="1"/>
    <col min="2061" max="2304" width="9.140625" style="1372"/>
    <col min="2305" max="2305" width="4.7109375" style="1372" customWidth="1"/>
    <col min="2306" max="2306" width="6.7109375" style="1372" customWidth="1"/>
    <col min="2307" max="2307" width="8.85546875" style="1372" customWidth="1"/>
    <col min="2308" max="2308" width="47.85546875" style="1372" customWidth="1"/>
    <col min="2309" max="2309" width="12.85546875" style="1372" customWidth="1"/>
    <col min="2310" max="2310" width="15.5703125" style="1372" customWidth="1"/>
    <col min="2311" max="2311" width="15.85546875" style="1372" customWidth="1"/>
    <col min="2312" max="2312" width="6.42578125" style="1372" customWidth="1"/>
    <col min="2313" max="2313" width="14.28515625" style="1372" bestFit="1" customWidth="1"/>
    <col min="2314" max="2314" width="11.42578125" style="1372" bestFit="1" customWidth="1"/>
    <col min="2315" max="2315" width="17.28515625" style="1372" bestFit="1" customWidth="1"/>
    <col min="2316" max="2316" width="16" style="1372" bestFit="1" customWidth="1"/>
    <col min="2317" max="2560" width="9.140625" style="1372"/>
    <col min="2561" max="2561" width="4.7109375" style="1372" customWidth="1"/>
    <col min="2562" max="2562" width="6.7109375" style="1372" customWidth="1"/>
    <col min="2563" max="2563" width="8.85546875" style="1372" customWidth="1"/>
    <col min="2564" max="2564" width="47.85546875" style="1372" customWidth="1"/>
    <col min="2565" max="2565" width="12.85546875" style="1372" customWidth="1"/>
    <col min="2566" max="2566" width="15.5703125" style="1372" customWidth="1"/>
    <col min="2567" max="2567" width="15.85546875" style="1372" customWidth="1"/>
    <col min="2568" max="2568" width="6.42578125" style="1372" customWidth="1"/>
    <col min="2569" max="2569" width="14.28515625" style="1372" bestFit="1" customWidth="1"/>
    <col min="2570" max="2570" width="11.42578125" style="1372" bestFit="1" customWidth="1"/>
    <col min="2571" max="2571" width="17.28515625" style="1372" bestFit="1" customWidth="1"/>
    <col min="2572" max="2572" width="16" style="1372" bestFit="1" customWidth="1"/>
    <col min="2573" max="2816" width="9.140625" style="1372"/>
    <col min="2817" max="2817" width="4.7109375" style="1372" customWidth="1"/>
    <col min="2818" max="2818" width="6.7109375" style="1372" customWidth="1"/>
    <col min="2819" max="2819" width="8.85546875" style="1372" customWidth="1"/>
    <col min="2820" max="2820" width="47.85546875" style="1372" customWidth="1"/>
    <col min="2821" max="2821" width="12.85546875" style="1372" customWidth="1"/>
    <col min="2822" max="2822" width="15.5703125" style="1372" customWidth="1"/>
    <col min="2823" max="2823" width="15.85546875" style="1372" customWidth="1"/>
    <col min="2824" max="2824" width="6.42578125" style="1372" customWidth="1"/>
    <col min="2825" max="2825" width="14.28515625" style="1372" bestFit="1" customWidth="1"/>
    <col min="2826" max="2826" width="11.42578125" style="1372" bestFit="1" customWidth="1"/>
    <col min="2827" max="2827" width="17.28515625" style="1372" bestFit="1" customWidth="1"/>
    <col min="2828" max="2828" width="16" style="1372" bestFit="1" customWidth="1"/>
    <col min="2829" max="3072" width="9.140625" style="1372"/>
    <col min="3073" max="3073" width="4.7109375" style="1372" customWidth="1"/>
    <col min="3074" max="3074" width="6.7109375" style="1372" customWidth="1"/>
    <col min="3075" max="3075" width="8.85546875" style="1372" customWidth="1"/>
    <col min="3076" max="3076" width="47.85546875" style="1372" customWidth="1"/>
    <col min="3077" max="3077" width="12.85546875" style="1372" customWidth="1"/>
    <col min="3078" max="3078" width="15.5703125" style="1372" customWidth="1"/>
    <col min="3079" max="3079" width="15.85546875" style="1372" customWidth="1"/>
    <col min="3080" max="3080" width="6.42578125" style="1372" customWidth="1"/>
    <col min="3081" max="3081" width="14.28515625" style="1372" bestFit="1" customWidth="1"/>
    <col min="3082" max="3082" width="11.42578125" style="1372" bestFit="1" customWidth="1"/>
    <col min="3083" max="3083" width="17.28515625" style="1372" bestFit="1" customWidth="1"/>
    <col min="3084" max="3084" width="16" style="1372" bestFit="1" customWidth="1"/>
    <col min="3085" max="3328" width="9.140625" style="1372"/>
    <col min="3329" max="3329" width="4.7109375" style="1372" customWidth="1"/>
    <col min="3330" max="3330" width="6.7109375" style="1372" customWidth="1"/>
    <col min="3331" max="3331" width="8.85546875" style="1372" customWidth="1"/>
    <col min="3332" max="3332" width="47.85546875" style="1372" customWidth="1"/>
    <col min="3333" max="3333" width="12.85546875" style="1372" customWidth="1"/>
    <col min="3334" max="3334" width="15.5703125" style="1372" customWidth="1"/>
    <col min="3335" max="3335" width="15.85546875" style="1372" customWidth="1"/>
    <col min="3336" max="3336" width="6.42578125" style="1372" customWidth="1"/>
    <col min="3337" max="3337" width="14.28515625" style="1372" bestFit="1" customWidth="1"/>
    <col min="3338" max="3338" width="11.42578125" style="1372" bestFit="1" customWidth="1"/>
    <col min="3339" max="3339" width="17.28515625" style="1372" bestFit="1" customWidth="1"/>
    <col min="3340" max="3340" width="16" style="1372" bestFit="1" customWidth="1"/>
    <col min="3341" max="3584" width="9.140625" style="1372"/>
    <col min="3585" max="3585" width="4.7109375" style="1372" customWidth="1"/>
    <col min="3586" max="3586" width="6.7109375" style="1372" customWidth="1"/>
    <col min="3587" max="3587" width="8.85546875" style="1372" customWidth="1"/>
    <col min="3588" max="3588" width="47.85546875" style="1372" customWidth="1"/>
    <col min="3589" max="3589" width="12.85546875" style="1372" customWidth="1"/>
    <col min="3590" max="3590" width="15.5703125" style="1372" customWidth="1"/>
    <col min="3591" max="3591" width="15.85546875" style="1372" customWidth="1"/>
    <col min="3592" max="3592" width="6.42578125" style="1372" customWidth="1"/>
    <col min="3593" max="3593" width="14.28515625" style="1372" bestFit="1" customWidth="1"/>
    <col min="3594" max="3594" width="11.42578125" style="1372" bestFit="1" customWidth="1"/>
    <col min="3595" max="3595" width="17.28515625" style="1372" bestFit="1" customWidth="1"/>
    <col min="3596" max="3596" width="16" style="1372" bestFit="1" customWidth="1"/>
    <col min="3597" max="3840" width="9.140625" style="1372"/>
    <col min="3841" max="3841" width="4.7109375" style="1372" customWidth="1"/>
    <col min="3842" max="3842" width="6.7109375" style="1372" customWidth="1"/>
    <col min="3843" max="3843" width="8.85546875" style="1372" customWidth="1"/>
    <col min="3844" max="3844" width="47.85546875" style="1372" customWidth="1"/>
    <col min="3845" max="3845" width="12.85546875" style="1372" customWidth="1"/>
    <col min="3846" max="3846" width="15.5703125" style="1372" customWidth="1"/>
    <col min="3847" max="3847" width="15.85546875" style="1372" customWidth="1"/>
    <col min="3848" max="3848" width="6.42578125" style="1372" customWidth="1"/>
    <col min="3849" max="3849" width="14.28515625" style="1372" bestFit="1" customWidth="1"/>
    <col min="3850" max="3850" width="11.42578125" style="1372" bestFit="1" customWidth="1"/>
    <col min="3851" max="3851" width="17.28515625" style="1372" bestFit="1" customWidth="1"/>
    <col min="3852" max="3852" width="16" style="1372" bestFit="1" customWidth="1"/>
    <col min="3853" max="4096" width="9.140625" style="1372"/>
    <col min="4097" max="4097" width="4.7109375" style="1372" customWidth="1"/>
    <col min="4098" max="4098" width="6.7109375" style="1372" customWidth="1"/>
    <col min="4099" max="4099" width="8.85546875" style="1372" customWidth="1"/>
    <col min="4100" max="4100" width="47.85546875" style="1372" customWidth="1"/>
    <col min="4101" max="4101" width="12.85546875" style="1372" customWidth="1"/>
    <col min="4102" max="4102" width="15.5703125" style="1372" customWidth="1"/>
    <col min="4103" max="4103" width="15.85546875" style="1372" customWidth="1"/>
    <col min="4104" max="4104" width="6.42578125" style="1372" customWidth="1"/>
    <col min="4105" max="4105" width="14.28515625" style="1372" bestFit="1" customWidth="1"/>
    <col min="4106" max="4106" width="11.42578125" style="1372" bestFit="1" customWidth="1"/>
    <col min="4107" max="4107" width="17.28515625" style="1372" bestFit="1" customWidth="1"/>
    <col min="4108" max="4108" width="16" style="1372" bestFit="1" customWidth="1"/>
    <col min="4109" max="4352" width="9.140625" style="1372"/>
    <col min="4353" max="4353" width="4.7109375" style="1372" customWidth="1"/>
    <col min="4354" max="4354" width="6.7109375" style="1372" customWidth="1"/>
    <col min="4355" max="4355" width="8.85546875" style="1372" customWidth="1"/>
    <col min="4356" max="4356" width="47.85546875" style="1372" customWidth="1"/>
    <col min="4357" max="4357" width="12.85546875" style="1372" customWidth="1"/>
    <col min="4358" max="4358" width="15.5703125" style="1372" customWidth="1"/>
    <col min="4359" max="4359" width="15.85546875" style="1372" customWidth="1"/>
    <col min="4360" max="4360" width="6.42578125" style="1372" customWidth="1"/>
    <col min="4361" max="4361" width="14.28515625" style="1372" bestFit="1" customWidth="1"/>
    <col min="4362" max="4362" width="11.42578125" style="1372" bestFit="1" customWidth="1"/>
    <col min="4363" max="4363" width="17.28515625" style="1372" bestFit="1" customWidth="1"/>
    <col min="4364" max="4364" width="16" style="1372" bestFit="1" customWidth="1"/>
    <col min="4365" max="4608" width="9.140625" style="1372"/>
    <col min="4609" max="4609" width="4.7109375" style="1372" customWidth="1"/>
    <col min="4610" max="4610" width="6.7109375" style="1372" customWidth="1"/>
    <col min="4611" max="4611" width="8.85546875" style="1372" customWidth="1"/>
    <col min="4612" max="4612" width="47.85546875" style="1372" customWidth="1"/>
    <col min="4613" max="4613" width="12.85546875" style="1372" customWidth="1"/>
    <col min="4614" max="4614" width="15.5703125" style="1372" customWidth="1"/>
    <col min="4615" max="4615" width="15.85546875" style="1372" customWidth="1"/>
    <col min="4616" max="4616" width="6.42578125" style="1372" customWidth="1"/>
    <col min="4617" max="4617" width="14.28515625" style="1372" bestFit="1" customWidth="1"/>
    <col min="4618" max="4618" width="11.42578125" style="1372" bestFit="1" customWidth="1"/>
    <col min="4619" max="4619" width="17.28515625" style="1372" bestFit="1" customWidth="1"/>
    <col min="4620" max="4620" width="16" style="1372" bestFit="1" customWidth="1"/>
    <col min="4621" max="4864" width="9.140625" style="1372"/>
    <col min="4865" max="4865" width="4.7109375" style="1372" customWidth="1"/>
    <col min="4866" max="4866" width="6.7109375" style="1372" customWidth="1"/>
    <col min="4867" max="4867" width="8.85546875" style="1372" customWidth="1"/>
    <col min="4868" max="4868" width="47.85546875" style="1372" customWidth="1"/>
    <col min="4869" max="4869" width="12.85546875" style="1372" customWidth="1"/>
    <col min="4870" max="4870" width="15.5703125" style="1372" customWidth="1"/>
    <col min="4871" max="4871" width="15.85546875" style="1372" customWidth="1"/>
    <col min="4872" max="4872" width="6.42578125" style="1372" customWidth="1"/>
    <col min="4873" max="4873" width="14.28515625" style="1372" bestFit="1" customWidth="1"/>
    <col min="4874" max="4874" width="11.42578125" style="1372" bestFit="1" customWidth="1"/>
    <col min="4875" max="4875" width="17.28515625" style="1372" bestFit="1" customWidth="1"/>
    <col min="4876" max="4876" width="16" style="1372" bestFit="1" customWidth="1"/>
    <col min="4877" max="5120" width="9.140625" style="1372"/>
    <col min="5121" max="5121" width="4.7109375" style="1372" customWidth="1"/>
    <col min="5122" max="5122" width="6.7109375" style="1372" customWidth="1"/>
    <col min="5123" max="5123" width="8.85546875" style="1372" customWidth="1"/>
    <col min="5124" max="5124" width="47.85546875" style="1372" customWidth="1"/>
    <col min="5125" max="5125" width="12.85546875" style="1372" customWidth="1"/>
    <col min="5126" max="5126" width="15.5703125" style="1372" customWidth="1"/>
    <col min="5127" max="5127" width="15.85546875" style="1372" customWidth="1"/>
    <col min="5128" max="5128" width="6.42578125" style="1372" customWidth="1"/>
    <col min="5129" max="5129" width="14.28515625" style="1372" bestFit="1" customWidth="1"/>
    <col min="5130" max="5130" width="11.42578125" style="1372" bestFit="1" customWidth="1"/>
    <col min="5131" max="5131" width="17.28515625" style="1372" bestFit="1" customWidth="1"/>
    <col min="5132" max="5132" width="16" style="1372" bestFit="1" customWidth="1"/>
    <col min="5133" max="5376" width="9.140625" style="1372"/>
    <col min="5377" max="5377" width="4.7109375" style="1372" customWidth="1"/>
    <col min="5378" max="5378" width="6.7109375" style="1372" customWidth="1"/>
    <col min="5379" max="5379" width="8.85546875" style="1372" customWidth="1"/>
    <col min="5380" max="5380" width="47.85546875" style="1372" customWidth="1"/>
    <col min="5381" max="5381" width="12.85546875" style="1372" customWidth="1"/>
    <col min="5382" max="5382" width="15.5703125" style="1372" customWidth="1"/>
    <col min="5383" max="5383" width="15.85546875" style="1372" customWidth="1"/>
    <col min="5384" max="5384" width="6.42578125" style="1372" customWidth="1"/>
    <col min="5385" max="5385" width="14.28515625" style="1372" bestFit="1" customWidth="1"/>
    <col min="5386" max="5386" width="11.42578125" style="1372" bestFit="1" customWidth="1"/>
    <col min="5387" max="5387" width="17.28515625" style="1372" bestFit="1" customWidth="1"/>
    <col min="5388" max="5388" width="16" style="1372" bestFit="1" customWidth="1"/>
    <col min="5389" max="5632" width="9.140625" style="1372"/>
    <col min="5633" max="5633" width="4.7109375" style="1372" customWidth="1"/>
    <col min="5634" max="5634" width="6.7109375" style="1372" customWidth="1"/>
    <col min="5635" max="5635" width="8.85546875" style="1372" customWidth="1"/>
    <col min="5636" max="5636" width="47.85546875" style="1372" customWidth="1"/>
    <col min="5637" max="5637" width="12.85546875" style="1372" customWidth="1"/>
    <col min="5638" max="5638" width="15.5703125" style="1372" customWidth="1"/>
    <col min="5639" max="5639" width="15.85546875" style="1372" customWidth="1"/>
    <col min="5640" max="5640" width="6.42578125" style="1372" customWidth="1"/>
    <col min="5641" max="5641" width="14.28515625" style="1372" bestFit="1" customWidth="1"/>
    <col min="5642" max="5642" width="11.42578125" style="1372" bestFit="1" customWidth="1"/>
    <col min="5643" max="5643" width="17.28515625" style="1372" bestFit="1" customWidth="1"/>
    <col min="5644" max="5644" width="16" style="1372" bestFit="1" customWidth="1"/>
    <col min="5645" max="5888" width="9.140625" style="1372"/>
    <col min="5889" max="5889" width="4.7109375" style="1372" customWidth="1"/>
    <col min="5890" max="5890" width="6.7109375" style="1372" customWidth="1"/>
    <col min="5891" max="5891" width="8.85546875" style="1372" customWidth="1"/>
    <col min="5892" max="5892" width="47.85546875" style="1372" customWidth="1"/>
    <col min="5893" max="5893" width="12.85546875" style="1372" customWidth="1"/>
    <col min="5894" max="5894" width="15.5703125" style="1372" customWidth="1"/>
    <col min="5895" max="5895" width="15.85546875" style="1372" customWidth="1"/>
    <col min="5896" max="5896" width="6.42578125" style="1372" customWidth="1"/>
    <col min="5897" max="5897" width="14.28515625" style="1372" bestFit="1" customWidth="1"/>
    <col min="5898" max="5898" width="11.42578125" style="1372" bestFit="1" customWidth="1"/>
    <col min="5899" max="5899" width="17.28515625" style="1372" bestFit="1" customWidth="1"/>
    <col min="5900" max="5900" width="16" style="1372" bestFit="1" customWidth="1"/>
    <col min="5901" max="6144" width="9.140625" style="1372"/>
    <col min="6145" max="6145" width="4.7109375" style="1372" customWidth="1"/>
    <col min="6146" max="6146" width="6.7109375" style="1372" customWidth="1"/>
    <col min="6147" max="6147" width="8.85546875" style="1372" customWidth="1"/>
    <col min="6148" max="6148" width="47.85546875" style="1372" customWidth="1"/>
    <col min="6149" max="6149" width="12.85546875" style="1372" customWidth="1"/>
    <col min="6150" max="6150" width="15.5703125" style="1372" customWidth="1"/>
    <col min="6151" max="6151" width="15.85546875" style="1372" customWidth="1"/>
    <col min="6152" max="6152" width="6.42578125" style="1372" customWidth="1"/>
    <col min="6153" max="6153" width="14.28515625" style="1372" bestFit="1" customWidth="1"/>
    <col min="6154" max="6154" width="11.42578125" style="1372" bestFit="1" customWidth="1"/>
    <col min="6155" max="6155" width="17.28515625" style="1372" bestFit="1" customWidth="1"/>
    <col min="6156" max="6156" width="16" style="1372" bestFit="1" customWidth="1"/>
    <col min="6157" max="6400" width="9.140625" style="1372"/>
    <col min="6401" max="6401" width="4.7109375" style="1372" customWidth="1"/>
    <col min="6402" max="6402" width="6.7109375" style="1372" customWidth="1"/>
    <col min="6403" max="6403" width="8.85546875" style="1372" customWidth="1"/>
    <col min="6404" max="6404" width="47.85546875" style="1372" customWidth="1"/>
    <col min="6405" max="6405" width="12.85546875" style="1372" customWidth="1"/>
    <col min="6406" max="6406" width="15.5703125" style="1372" customWidth="1"/>
    <col min="6407" max="6407" width="15.85546875" style="1372" customWidth="1"/>
    <col min="6408" max="6408" width="6.42578125" style="1372" customWidth="1"/>
    <col min="6409" max="6409" width="14.28515625" style="1372" bestFit="1" customWidth="1"/>
    <col min="6410" max="6410" width="11.42578125" style="1372" bestFit="1" customWidth="1"/>
    <col min="6411" max="6411" width="17.28515625" style="1372" bestFit="1" customWidth="1"/>
    <col min="6412" max="6412" width="16" style="1372" bestFit="1" customWidth="1"/>
    <col min="6413" max="6656" width="9.140625" style="1372"/>
    <col min="6657" max="6657" width="4.7109375" style="1372" customWidth="1"/>
    <col min="6658" max="6658" width="6.7109375" style="1372" customWidth="1"/>
    <col min="6659" max="6659" width="8.85546875" style="1372" customWidth="1"/>
    <col min="6660" max="6660" width="47.85546875" style="1372" customWidth="1"/>
    <col min="6661" max="6661" width="12.85546875" style="1372" customWidth="1"/>
    <col min="6662" max="6662" width="15.5703125" style="1372" customWidth="1"/>
    <col min="6663" max="6663" width="15.85546875" style="1372" customWidth="1"/>
    <col min="6664" max="6664" width="6.42578125" style="1372" customWidth="1"/>
    <col min="6665" max="6665" width="14.28515625" style="1372" bestFit="1" customWidth="1"/>
    <col min="6666" max="6666" width="11.42578125" style="1372" bestFit="1" customWidth="1"/>
    <col min="6667" max="6667" width="17.28515625" style="1372" bestFit="1" customWidth="1"/>
    <col min="6668" max="6668" width="16" style="1372" bestFit="1" customWidth="1"/>
    <col min="6669" max="6912" width="9.140625" style="1372"/>
    <col min="6913" max="6913" width="4.7109375" style="1372" customWidth="1"/>
    <col min="6914" max="6914" width="6.7109375" style="1372" customWidth="1"/>
    <col min="6915" max="6915" width="8.85546875" style="1372" customWidth="1"/>
    <col min="6916" max="6916" width="47.85546875" style="1372" customWidth="1"/>
    <col min="6917" max="6917" width="12.85546875" style="1372" customWidth="1"/>
    <col min="6918" max="6918" width="15.5703125" style="1372" customWidth="1"/>
    <col min="6919" max="6919" width="15.85546875" style="1372" customWidth="1"/>
    <col min="6920" max="6920" width="6.42578125" style="1372" customWidth="1"/>
    <col min="6921" max="6921" width="14.28515625" style="1372" bestFit="1" customWidth="1"/>
    <col min="6922" max="6922" width="11.42578125" style="1372" bestFit="1" customWidth="1"/>
    <col min="6923" max="6923" width="17.28515625" style="1372" bestFit="1" customWidth="1"/>
    <col min="6924" max="6924" width="16" style="1372" bestFit="1" customWidth="1"/>
    <col min="6925" max="7168" width="9.140625" style="1372"/>
    <col min="7169" max="7169" width="4.7109375" style="1372" customWidth="1"/>
    <col min="7170" max="7170" width="6.7109375" style="1372" customWidth="1"/>
    <col min="7171" max="7171" width="8.85546875" style="1372" customWidth="1"/>
    <col min="7172" max="7172" width="47.85546875" style="1372" customWidth="1"/>
    <col min="7173" max="7173" width="12.85546875" style="1372" customWidth="1"/>
    <col min="7174" max="7174" width="15.5703125" style="1372" customWidth="1"/>
    <col min="7175" max="7175" width="15.85546875" style="1372" customWidth="1"/>
    <col min="7176" max="7176" width="6.42578125" style="1372" customWidth="1"/>
    <col min="7177" max="7177" width="14.28515625" style="1372" bestFit="1" customWidth="1"/>
    <col min="7178" max="7178" width="11.42578125" style="1372" bestFit="1" customWidth="1"/>
    <col min="7179" max="7179" width="17.28515625" style="1372" bestFit="1" customWidth="1"/>
    <col min="7180" max="7180" width="16" style="1372" bestFit="1" customWidth="1"/>
    <col min="7181" max="7424" width="9.140625" style="1372"/>
    <col min="7425" max="7425" width="4.7109375" style="1372" customWidth="1"/>
    <col min="7426" max="7426" width="6.7109375" style="1372" customWidth="1"/>
    <col min="7427" max="7427" width="8.85546875" style="1372" customWidth="1"/>
    <col min="7428" max="7428" width="47.85546875" style="1372" customWidth="1"/>
    <col min="7429" max="7429" width="12.85546875" style="1372" customWidth="1"/>
    <col min="7430" max="7430" width="15.5703125" style="1372" customWidth="1"/>
    <col min="7431" max="7431" width="15.85546875" style="1372" customWidth="1"/>
    <col min="7432" max="7432" width="6.42578125" style="1372" customWidth="1"/>
    <col min="7433" max="7433" width="14.28515625" style="1372" bestFit="1" customWidth="1"/>
    <col min="7434" max="7434" width="11.42578125" style="1372" bestFit="1" customWidth="1"/>
    <col min="7435" max="7435" width="17.28515625" style="1372" bestFit="1" customWidth="1"/>
    <col min="7436" max="7436" width="16" style="1372" bestFit="1" customWidth="1"/>
    <col min="7437" max="7680" width="9.140625" style="1372"/>
    <col min="7681" max="7681" width="4.7109375" style="1372" customWidth="1"/>
    <col min="7682" max="7682" width="6.7109375" style="1372" customWidth="1"/>
    <col min="7683" max="7683" width="8.85546875" style="1372" customWidth="1"/>
    <col min="7684" max="7684" width="47.85546875" style="1372" customWidth="1"/>
    <col min="7685" max="7685" width="12.85546875" style="1372" customWidth="1"/>
    <col min="7686" max="7686" width="15.5703125" style="1372" customWidth="1"/>
    <col min="7687" max="7687" width="15.85546875" style="1372" customWidth="1"/>
    <col min="7688" max="7688" width="6.42578125" style="1372" customWidth="1"/>
    <col min="7689" max="7689" width="14.28515625" style="1372" bestFit="1" customWidth="1"/>
    <col min="7690" max="7690" width="11.42578125" style="1372" bestFit="1" customWidth="1"/>
    <col min="7691" max="7691" width="17.28515625" style="1372" bestFit="1" customWidth="1"/>
    <col min="7692" max="7692" width="16" style="1372" bestFit="1" customWidth="1"/>
    <col min="7693" max="7936" width="9.140625" style="1372"/>
    <col min="7937" max="7937" width="4.7109375" style="1372" customWidth="1"/>
    <col min="7938" max="7938" width="6.7109375" style="1372" customWidth="1"/>
    <col min="7939" max="7939" width="8.85546875" style="1372" customWidth="1"/>
    <col min="7940" max="7940" width="47.85546875" style="1372" customWidth="1"/>
    <col min="7941" max="7941" width="12.85546875" style="1372" customWidth="1"/>
    <col min="7942" max="7942" width="15.5703125" style="1372" customWidth="1"/>
    <col min="7943" max="7943" width="15.85546875" style="1372" customWidth="1"/>
    <col min="7944" max="7944" width="6.42578125" style="1372" customWidth="1"/>
    <col min="7945" max="7945" width="14.28515625" style="1372" bestFit="1" customWidth="1"/>
    <col min="7946" max="7946" width="11.42578125" style="1372" bestFit="1" customWidth="1"/>
    <col min="7947" max="7947" width="17.28515625" style="1372" bestFit="1" customWidth="1"/>
    <col min="7948" max="7948" width="16" style="1372" bestFit="1" customWidth="1"/>
    <col min="7949" max="8192" width="9.140625" style="1372"/>
    <col min="8193" max="8193" width="4.7109375" style="1372" customWidth="1"/>
    <col min="8194" max="8194" width="6.7109375" style="1372" customWidth="1"/>
    <col min="8195" max="8195" width="8.85546875" style="1372" customWidth="1"/>
    <col min="8196" max="8196" width="47.85546875" style="1372" customWidth="1"/>
    <col min="8197" max="8197" width="12.85546875" style="1372" customWidth="1"/>
    <col min="8198" max="8198" width="15.5703125" style="1372" customWidth="1"/>
    <col min="8199" max="8199" width="15.85546875" style="1372" customWidth="1"/>
    <col min="8200" max="8200" width="6.42578125" style="1372" customWidth="1"/>
    <col min="8201" max="8201" width="14.28515625" style="1372" bestFit="1" customWidth="1"/>
    <col min="8202" max="8202" width="11.42578125" style="1372" bestFit="1" customWidth="1"/>
    <col min="8203" max="8203" width="17.28515625" style="1372" bestFit="1" customWidth="1"/>
    <col min="8204" max="8204" width="16" style="1372" bestFit="1" customWidth="1"/>
    <col min="8205" max="8448" width="9.140625" style="1372"/>
    <col min="8449" max="8449" width="4.7109375" style="1372" customWidth="1"/>
    <col min="8450" max="8450" width="6.7109375" style="1372" customWidth="1"/>
    <col min="8451" max="8451" width="8.85546875" style="1372" customWidth="1"/>
    <col min="8452" max="8452" width="47.85546875" style="1372" customWidth="1"/>
    <col min="8453" max="8453" width="12.85546875" style="1372" customWidth="1"/>
    <col min="8454" max="8454" width="15.5703125" style="1372" customWidth="1"/>
    <col min="8455" max="8455" width="15.85546875" style="1372" customWidth="1"/>
    <col min="8456" max="8456" width="6.42578125" style="1372" customWidth="1"/>
    <col min="8457" max="8457" width="14.28515625" style="1372" bestFit="1" customWidth="1"/>
    <col min="8458" max="8458" width="11.42578125" style="1372" bestFit="1" customWidth="1"/>
    <col min="8459" max="8459" width="17.28515625" style="1372" bestFit="1" customWidth="1"/>
    <col min="8460" max="8460" width="16" style="1372" bestFit="1" customWidth="1"/>
    <col min="8461" max="8704" width="9.140625" style="1372"/>
    <col min="8705" max="8705" width="4.7109375" style="1372" customWidth="1"/>
    <col min="8706" max="8706" width="6.7109375" style="1372" customWidth="1"/>
    <col min="8707" max="8707" width="8.85546875" style="1372" customWidth="1"/>
    <col min="8708" max="8708" width="47.85546875" style="1372" customWidth="1"/>
    <col min="8709" max="8709" width="12.85546875" style="1372" customWidth="1"/>
    <col min="8710" max="8710" width="15.5703125" style="1372" customWidth="1"/>
    <col min="8711" max="8711" width="15.85546875" style="1372" customWidth="1"/>
    <col min="8712" max="8712" width="6.42578125" style="1372" customWidth="1"/>
    <col min="8713" max="8713" width="14.28515625" style="1372" bestFit="1" customWidth="1"/>
    <col min="8714" max="8714" width="11.42578125" style="1372" bestFit="1" customWidth="1"/>
    <col min="8715" max="8715" width="17.28515625" style="1372" bestFit="1" customWidth="1"/>
    <col min="8716" max="8716" width="16" style="1372" bestFit="1" customWidth="1"/>
    <col min="8717" max="8960" width="9.140625" style="1372"/>
    <col min="8961" max="8961" width="4.7109375" style="1372" customWidth="1"/>
    <col min="8962" max="8962" width="6.7109375" style="1372" customWidth="1"/>
    <col min="8963" max="8963" width="8.85546875" style="1372" customWidth="1"/>
    <col min="8964" max="8964" width="47.85546875" style="1372" customWidth="1"/>
    <col min="8965" max="8965" width="12.85546875" style="1372" customWidth="1"/>
    <col min="8966" max="8966" width="15.5703125" style="1372" customWidth="1"/>
    <col min="8967" max="8967" width="15.85546875" style="1372" customWidth="1"/>
    <col min="8968" max="8968" width="6.42578125" style="1372" customWidth="1"/>
    <col min="8969" max="8969" width="14.28515625" style="1372" bestFit="1" customWidth="1"/>
    <col min="8970" max="8970" width="11.42578125" style="1372" bestFit="1" customWidth="1"/>
    <col min="8971" max="8971" width="17.28515625" style="1372" bestFit="1" customWidth="1"/>
    <col min="8972" max="8972" width="16" style="1372" bestFit="1" customWidth="1"/>
    <col min="8973" max="9216" width="9.140625" style="1372"/>
    <col min="9217" max="9217" width="4.7109375" style="1372" customWidth="1"/>
    <col min="9218" max="9218" width="6.7109375" style="1372" customWidth="1"/>
    <col min="9219" max="9219" width="8.85546875" style="1372" customWidth="1"/>
    <col min="9220" max="9220" width="47.85546875" style="1372" customWidth="1"/>
    <col min="9221" max="9221" width="12.85546875" style="1372" customWidth="1"/>
    <col min="9222" max="9222" width="15.5703125" style="1372" customWidth="1"/>
    <col min="9223" max="9223" width="15.85546875" style="1372" customWidth="1"/>
    <col min="9224" max="9224" width="6.42578125" style="1372" customWidth="1"/>
    <col min="9225" max="9225" width="14.28515625" style="1372" bestFit="1" customWidth="1"/>
    <col min="9226" max="9226" width="11.42578125" style="1372" bestFit="1" customWidth="1"/>
    <col min="9227" max="9227" width="17.28515625" style="1372" bestFit="1" customWidth="1"/>
    <col min="9228" max="9228" width="16" style="1372" bestFit="1" customWidth="1"/>
    <col min="9229" max="9472" width="9.140625" style="1372"/>
    <col min="9473" max="9473" width="4.7109375" style="1372" customWidth="1"/>
    <col min="9474" max="9474" width="6.7109375" style="1372" customWidth="1"/>
    <col min="9475" max="9475" width="8.85546875" style="1372" customWidth="1"/>
    <col min="9476" max="9476" width="47.85546875" style="1372" customWidth="1"/>
    <col min="9477" max="9477" width="12.85546875" style="1372" customWidth="1"/>
    <col min="9478" max="9478" width="15.5703125" style="1372" customWidth="1"/>
    <col min="9479" max="9479" width="15.85546875" style="1372" customWidth="1"/>
    <col min="9480" max="9480" width="6.42578125" style="1372" customWidth="1"/>
    <col min="9481" max="9481" width="14.28515625" style="1372" bestFit="1" customWidth="1"/>
    <col min="9482" max="9482" width="11.42578125" style="1372" bestFit="1" customWidth="1"/>
    <col min="9483" max="9483" width="17.28515625" style="1372" bestFit="1" customWidth="1"/>
    <col min="9484" max="9484" width="16" style="1372" bestFit="1" customWidth="1"/>
    <col min="9485" max="9728" width="9.140625" style="1372"/>
    <col min="9729" max="9729" width="4.7109375" style="1372" customWidth="1"/>
    <col min="9730" max="9730" width="6.7109375" style="1372" customWidth="1"/>
    <col min="9731" max="9731" width="8.85546875" style="1372" customWidth="1"/>
    <col min="9732" max="9732" width="47.85546875" style="1372" customWidth="1"/>
    <col min="9733" max="9733" width="12.85546875" style="1372" customWidth="1"/>
    <col min="9734" max="9734" width="15.5703125" style="1372" customWidth="1"/>
    <col min="9735" max="9735" width="15.85546875" style="1372" customWidth="1"/>
    <col min="9736" max="9736" width="6.42578125" style="1372" customWidth="1"/>
    <col min="9737" max="9737" width="14.28515625" style="1372" bestFit="1" customWidth="1"/>
    <col min="9738" max="9738" width="11.42578125" style="1372" bestFit="1" customWidth="1"/>
    <col min="9739" max="9739" width="17.28515625" style="1372" bestFit="1" customWidth="1"/>
    <col min="9740" max="9740" width="16" style="1372" bestFit="1" customWidth="1"/>
    <col min="9741" max="9984" width="9.140625" style="1372"/>
    <col min="9985" max="9985" width="4.7109375" style="1372" customWidth="1"/>
    <col min="9986" max="9986" width="6.7109375" style="1372" customWidth="1"/>
    <col min="9987" max="9987" width="8.85546875" style="1372" customWidth="1"/>
    <col min="9988" max="9988" width="47.85546875" style="1372" customWidth="1"/>
    <col min="9989" max="9989" width="12.85546875" style="1372" customWidth="1"/>
    <col min="9990" max="9990" width="15.5703125" style="1372" customWidth="1"/>
    <col min="9991" max="9991" width="15.85546875" style="1372" customWidth="1"/>
    <col min="9992" max="9992" width="6.42578125" style="1372" customWidth="1"/>
    <col min="9993" max="9993" width="14.28515625" style="1372" bestFit="1" customWidth="1"/>
    <col min="9994" max="9994" width="11.42578125" style="1372" bestFit="1" customWidth="1"/>
    <col min="9995" max="9995" width="17.28515625" style="1372" bestFit="1" customWidth="1"/>
    <col min="9996" max="9996" width="16" style="1372" bestFit="1" customWidth="1"/>
    <col min="9997" max="10240" width="9.140625" style="1372"/>
    <col min="10241" max="10241" width="4.7109375" style="1372" customWidth="1"/>
    <col min="10242" max="10242" width="6.7109375" style="1372" customWidth="1"/>
    <col min="10243" max="10243" width="8.85546875" style="1372" customWidth="1"/>
    <col min="10244" max="10244" width="47.85546875" style="1372" customWidth="1"/>
    <col min="10245" max="10245" width="12.85546875" style="1372" customWidth="1"/>
    <col min="10246" max="10246" width="15.5703125" style="1372" customWidth="1"/>
    <col min="10247" max="10247" width="15.85546875" style="1372" customWidth="1"/>
    <col min="10248" max="10248" width="6.42578125" style="1372" customWidth="1"/>
    <col min="10249" max="10249" width="14.28515625" style="1372" bestFit="1" customWidth="1"/>
    <col min="10250" max="10250" width="11.42578125" style="1372" bestFit="1" customWidth="1"/>
    <col min="10251" max="10251" width="17.28515625" style="1372" bestFit="1" customWidth="1"/>
    <col min="10252" max="10252" width="16" style="1372" bestFit="1" customWidth="1"/>
    <col min="10253" max="10496" width="9.140625" style="1372"/>
    <col min="10497" max="10497" width="4.7109375" style="1372" customWidth="1"/>
    <col min="10498" max="10498" width="6.7109375" style="1372" customWidth="1"/>
    <col min="10499" max="10499" width="8.85546875" style="1372" customWidth="1"/>
    <col min="10500" max="10500" width="47.85546875" style="1372" customWidth="1"/>
    <col min="10501" max="10501" width="12.85546875" style="1372" customWidth="1"/>
    <col min="10502" max="10502" width="15.5703125" style="1372" customWidth="1"/>
    <col min="10503" max="10503" width="15.85546875" style="1372" customWidth="1"/>
    <col min="10504" max="10504" width="6.42578125" style="1372" customWidth="1"/>
    <col min="10505" max="10505" width="14.28515625" style="1372" bestFit="1" customWidth="1"/>
    <col min="10506" max="10506" width="11.42578125" style="1372" bestFit="1" customWidth="1"/>
    <col min="10507" max="10507" width="17.28515625" style="1372" bestFit="1" customWidth="1"/>
    <col min="10508" max="10508" width="16" style="1372" bestFit="1" customWidth="1"/>
    <col min="10509" max="10752" width="9.140625" style="1372"/>
    <col min="10753" max="10753" width="4.7109375" style="1372" customWidth="1"/>
    <col min="10754" max="10754" width="6.7109375" style="1372" customWidth="1"/>
    <col min="10755" max="10755" width="8.85546875" style="1372" customWidth="1"/>
    <col min="10756" max="10756" width="47.85546875" style="1372" customWidth="1"/>
    <col min="10757" max="10757" width="12.85546875" style="1372" customWidth="1"/>
    <col min="10758" max="10758" width="15.5703125" style="1372" customWidth="1"/>
    <col min="10759" max="10759" width="15.85546875" style="1372" customWidth="1"/>
    <col min="10760" max="10760" width="6.42578125" style="1372" customWidth="1"/>
    <col min="10761" max="10761" width="14.28515625" style="1372" bestFit="1" customWidth="1"/>
    <col min="10762" max="10762" width="11.42578125" style="1372" bestFit="1" customWidth="1"/>
    <col min="10763" max="10763" width="17.28515625" style="1372" bestFit="1" customWidth="1"/>
    <col min="10764" max="10764" width="16" style="1372" bestFit="1" customWidth="1"/>
    <col min="10765" max="11008" width="9.140625" style="1372"/>
    <col min="11009" max="11009" width="4.7109375" style="1372" customWidth="1"/>
    <col min="11010" max="11010" width="6.7109375" style="1372" customWidth="1"/>
    <col min="11011" max="11011" width="8.85546875" style="1372" customWidth="1"/>
    <col min="11012" max="11012" width="47.85546875" style="1372" customWidth="1"/>
    <col min="11013" max="11013" width="12.85546875" style="1372" customWidth="1"/>
    <col min="11014" max="11014" width="15.5703125" style="1372" customWidth="1"/>
    <col min="11015" max="11015" width="15.85546875" style="1372" customWidth="1"/>
    <col min="11016" max="11016" width="6.42578125" style="1372" customWidth="1"/>
    <col min="11017" max="11017" width="14.28515625" style="1372" bestFit="1" customWidth="1"/>
    <col min="11018" max="11018" width="11.42578125" style="1372" bestFit="1" customWidth="1"/>
    <col min="11019" max="11019" width="17.28515625" style="1372" bestFit="1" customWidth="1"/>
    <col min="11020" max="11020" width="16" style="1372" bestFit="1" customWidth="1"/>
    <col min="11021" max="11264" width="9.140625" style="1372"/>
    <col min="11265" max="11265" width="4.7109375" style="1372" customWidth="1"/>
    <col min="11266" max="11266" width="6.7109375" style="1372" customWidth="1"/>
    <col min="11267" max="11267" width="8.85546875" style="1372" customWidth="1"/>
    <col min="11268" max="11268" width="47.85546875" style="1372" customWidth="1"/>
    <col min="11269" max="11269" width="12.85546875" style="1372" customWidth="1"/>
    <col min="11270" max="11270" width="15.5703125" style="1372" customWidth="1"/>
    <col min="11271" max="11271" width="15.85546875" style="1372" customWidth="1"/>
    <col min="11272" max="11272" width="6.42578125" style="1372" customWidth="1"/>
    <col min="11273" max="11273" width="14.28515625" style="1372" bestFit="1" customWidth="1"/>
    <col min="11274" max="11274" width="11.42578125" style="1372" bestFit="1" customWidth="1"/>
    <col min="11275" max="11275" width="17.28515625" style="1372" bestFit="1" customWidth="1"/>
    <col min="11276" max="11276" width="16" style="1372" bestFit="1" customWidth="1"/>
    <col min="11277" max="11520" width="9.140625" style="1372"/>
    <col min="11521" max="11521" width="4.7109375" style="1372" customWidth="1"/>
    <col min="11522" max="11522" width="6.7109375" style="1372" customWidth="1"/>
    <col min="11523" max="11523" width="8.85546875" style="1372" customWidth="1"/>
    <col min="11524" max="11524" width="47.85546875" style="1372" customWidth="1"/>
    <col min="11525" max="11525" width="12.85546875" style="1372" customWidth="1"/>
    <col min="11526" max="11526" width="15.5703125" style="1372" customWidth="1"/>
    <col min="11527" max="11527" width="15.85546875" style="1372" customWidth="1"/>
    <col min="11528" max="11528" width="6.42578125" style="1372" customWidth="1"/>
    <col min="11529" max="11529" width="14.28515625" style="1372" bestFit="1" customWidth="1"/>
    <col min="11530" max="11530" width="11.42578125" style="1372" bestFit="1" customWidth="1"/>
    <col min="11531" max="11531" width="17.28515625" style="1372" bestFit="1" customWidth="1"/>
    <col min="11532" max="11532" width="16" style="1372" bestFit="1" customWidth="1"/>
    <col min="11533" max="11776" width="9.140625" style="1372"/>
    <col min="11777" max="11777" width="4.7109375" style="1372" customWidth="1"/>
    <col min="11778" max="11778" width="6.7109375" style="1372" customWidth="1"/>
    <col min="11779" max="11779" width="8.85546875" style="1372" customWidth="1"/>
    <col min="11780" max="11780" width="47.85546875" style="1372" customWidth="1"/>
    <col min="11781" max="11781" width="12.85546875" style="1372" customWidth="1"/>
    <col min="11782" max="11782" width="15.5703125" style="1372" customWidth="1"/>
    <col min="11783" max="11783" width="15.85546875" style="1372" customWidth="1"/>
    <col min="11784" max="11784" width="6.42578125" style="1372" customWidth="1"/>
    <col min="11785" max="11785" width="14.28515625" style="1372" bestFit="1" customWidth="1"/>
    <col min="11786" max="11786" width="11.42578125" style="1372" bestFit="1" customWidth="1"/>
    <col min="11787" max="11787" width="17.28515625" style="1372" bestFit="1" customWidth="1"/>
    <col min="11788" max="11788" width="16" style="1372" bestFit="1" customWidth="1"/>
    <col min="11789" max="12032" width="9.140625" style="1372"/>
    <col min="12033" max="12033" width="4.7109375" style="1372" customWidth="1"/>
    <col min="12034" max="12034" width="6.7109375" style="1372" customWidth="1"/>
    <col min="12035" max="12035" width="8.85546875" style="1372" customWidth="1"/>
    <col min="12036" max="12036" width="47.85546875" style="1372" customWidth="1"/>
    <col min="12037" max="12037" width="12.85546875" style="1372" customWidth="1"/>
    <col min="12038" max="12038" width="15.5703125" style="1372" customWidth="1"/>
    <col min="12039" max="12039" width="15.85546875" style="1372" customWidth="1"/>
    <col min="12040" max="12040" width="6.42578125" style="1372" customWidth="1"/>
    <col min="12041" max="12041" width="14.28515625" style="1372" bestFit="1" customWidth="1"/>
    <col min="12042" max="12042" width="11.42578125" style="1372" bestFit="1" customWidth="1"/>
    <col min="12043" max="12043" width="17.28515625" style="1372" bestFit="1" customWidth="1"/>
    <col min="12044" max="12044" width="16" style="1372" bestFit="1" customWidth="1"/>
    <col min="12045" max="12288" width="9.140625" style="1372"/>
    <col min="12289" max="12289" width="4.7109375" style="1372" customWidth="1"/>
    <col min="12290" max="12290" width="6.7109375" style="1372" customWidth="1"/>
    <col min="12291" max="12291" width="8.85546875" style="1372" customWidth="1"/>
    <col min="12292" max="12292" width="47.85546875" style="1372" customWidth="1"/>
    <col min="12293" max="12293" width="12.85546875" style="1372" customWidth="1"/>
    <col min="12294" max="12294" width="15.5703125" style="1372" customWidth="1"/>
    <col min="12295" max="12295" width="15.85546875" style="1372" customWidth="1"/>
    <col min="12296" max="12296" width="6.42578125" style="1372" customWidth="1"/>
    <col min="12297" max="12297" width="14.28515625" style="1372" bestFit="1" customWidth="1"/>
    <col min="12298" max="12298" width="11.42578125" style="1372" bestFit="1" customWidth="1"/>
    <col min="12299" max="12299" width="17.28515625" style="1372" bestFit="1" customWidth="1"/>
    <col min="12300" max="12300" width="16" style="1372" bestFit="1" customWidth="1"/>
    <col min="12301" max="12544" width="9.140625" style="1372"/>
    <col min="12545" max="12545" width="4.7109375" style="1372" customWidth="1"/>
    <col min="12546" max="12546" width="6.7109375" style="1372" customWidth="1"/>
    <col min="12547" max="12547" width="8.85546875" style="1372" customWidth="1"/>
    <col min="12548" max="12548" width="47.85546875" style="1372" customWidth="1"/>
    <col min="12549" max="12549" width="12.85546875" style="1372" customWidth="1"/>
    <col min="12550" max="12550" width="15.5703125" style="1372" customWidth="1"/>
    <col min="12551" max="12551" width="15.85546875" style="1372" customWidth="1"/>
    <col min="12552" max="12552" width="6.42578125" style="1372" customWidth="1"/>
    <col min="12553" max="12553" width="14.28515625" style="1372" bestFit="1" customWidth="1"/>
    <col min="12554" max="12554" width="11.42578125" style="1372" bestFit="1" customWidth="1"/>
    <col min="12555" max="12555" width="17.28515625" style="1372" bestFit="1" customWidth="1"/>
    <col min="12556" max="12556" width="16" style="1372" bestFit="1" customWidth="1"/>
    <col min="12557" max="12800" width="9.140625" style="1372"/>
    <col min="12801" max="12801" width="4.7109375" style="1372" customWidth="1"/>
    <col min="12802" max="12802" width="6.7109375" style="1372" customWidth="1"/>
    <col min="12803" max="12803" width="8.85546875" style="1372" customWidth="1"/>
    <col min="12804" max="12804" width="47.85546875" style="1372" customWidth="1"/>
    <col min="12805" max="12805" width="12.85546875" style="1372" customWidth="1"/>
    <col min="12806" max="12806" width="15.5703125" style="1372" customWidth="1"/>
    <col min="12807" max="12807" width="15.85546875" style="1372" customWidth="1"/>
    <col min="12808" max="12808" width="6.42578125" style="1372" customWidth="1"/>
    <col min="12809" max="12809" width="14.28515625" style="1372" bestFit="1" customWidth="1"/>
    <col min="12810" max="12810" width="11.42578125" style="1372" bestFit="1" customWidth="1"/>
    <col min="12811" max="12811" width="17.28515625" style="1372" bestFit="1" customWidth="1"/>
    <col min="12812" max="12812" width="16" style="1372" bestFit="1" customWidth="1"/>
    <col min="12813" max="13056" width="9.140625" style="1372"/>
    <col min="13057" max="13057" width="4.7109375" style="1372" customWidth="1"/>
    <col min="13058" max="13058" width="6.7109375" style="1372" customWidth="1"/>
    <col min="13059" max="13059" width="8.85546875" style="1372" customWidth="1"/>
    <col min="13060" max="13060" width="47.85546875" style="1372" customWidth="1"/>
    <col min="13061" max="13061" width="12.85546875" style="1372" customWidth="1"/>
    <col min="13062" max="13062" width="15.5703125" style="1372" customWidth="1"/>
    <col min="13063" max="13063" width="15.85546875" style="1372" customWidth="1"/>
    <col min="13064" max="13064" width="6.42578125" style="1372" customWidth="1"/>
    <col min="13065" max="13065" width="14.28515625" style="1372" bestFit="1" customWidth="1"/>
    <col min="13066" max="13066" width="11.42578125" style="1372" bestFit="1" customWidth="1"/>
    <col min="13067" max="13067" width="17.28515625" style="1372" bestFit="1" customWidth="1"/>
    <col min="13068" max="13068" width="16" style="1372" bestFit="1" customWidth="1"/>
    <col min="13069" max="13312" width="9.140625" style="1372"/>
    <col min="13313" max="13313" width="4.7109375" style="1372" customWidth="1"/>
    <col min="13314" max="13314" width="6.7109375" style="1372" customWidth="1"/>
    <col min="13315" max="13315" width="8.85546875" style="1372" customWidth="1"/>
    <col min="13316" max="13316" width="47.85546875" style="1372" customWidth="1"/>
    <col min="13317" max="13317" width="12.85546875" style="1372" customWidth="1"/>
    <col min="13318" max="13318" width="15.5703125" style="1372" customWidth="1"/>
    <col min="13319" max="13319" width="15.85546875" style="1372" customWidth="1"/>
    <col min="13320" max="13320" width="6.42578125" style="1372" customWidth="1"/>
    <col min="13321" max="13321" width="14.28515625" style="1372" bestFit="1" customWidth="1"/>
    <col min="13322" max="13322" width="11.42578125" style="1372" bestFit="1" customWidth="1"/>
    <col min="13323" max="13323" width="17.28515625" style="1372" bestFit="1" customWidth="1"/>
    <col min="13324" max="13324" width="16" style="1372" bestFit="1" customWidth="1"/>
    <col min="13325" max="13568" width="9.140625" style="1372"/>
    <col min="13569" max="13569" width="4.7109375" style="1372" customWidth="1"/>
    <col min="13570" max="13570" width="6.7109375" style="1372" customWidth="1"/>
    <col min="13571" max="13571" width="8.85546875" style="1372" customWidth="1"/>
    <col min="13572" max="13572" width="47.85546875" style="1372" customWidth="1"/>
    <col min="13573" max="13573" width="12.85546875" style="1372" customWidth="1"/>
    <col min="13574" max="13574" width="15.5703125" style="1372" customWidth="1"/>
    <col min="13575" max="13575" width="15.85546875" style="1372" customWidth="1"/>
    <col min="13576" max="13576" width="6.42578125" style="1372" customWidth="1"/>
    <col min="13577" max="13577" width="14.28515625" style="1372" bestFit="1" customWidth="1"/>
    <col min="13578" max="13578" width="11.42578125" style="1372" bestFit="1" customWidth="1"/>
    <col min="13579" max="13579" width="17.28515625" style="1372" bestFit="1" customWidth="1"/>
    <col min="13580" max="13580" width="16" style="1372" bestFit="1" customWidth="1"/>
    <col min="13581" max="13824" width="9.140625" style="1372"/>
    <col min="13825" max="13825" width="4.7109375" style="1372" customWidth="1"/>
    <col min="13826" max="13826" width="6.7109375" style="1372" customWidth="1"/>
    <col min="13827" max="13827" width="8.85546875" style="1372" customWidth="1"/>
    <col min="13828" max="13828" width="47.85546875" style="1372" customWidth="1"/>
    <col min="13829" max="13829" width="12.85546875" style="1372" customWidth="1"/>
    <col min="13830" max="13830" width="15.5703125" style="1372" customWidth="1"/>
    <col min="13831" max="13831" width="15.85546875" style="1372" customWidth="1"/>
    <col min="13832" max="13832" width="6.42578125" style="1372" customWidth="1"/>
    <col min="13833" max="13833" width="14.28515625" style="1372" bestFit="1" customWidth="1"/>
    <col min="13834" max="13834" width="11.42578125" style="1372" bestFit="1" customWidth="1"/>
    <col min="13835" max="13835" width="17.28515625" style="1372" bestFit="1" customWidth="1"/>
    <col min="13836" max="13836" width="16" style="1372" bestFit="1" customWidth="1"/>
    <col min="13837" max="14080" width="9.140625" style="1372"/>
    <col min="14081" max="14081" width="4.7109375" style="1372" customWidth="1"/>
    <col min="14082" max="14082" width="6.7109375" style="1372" customWidth="1"/>
    <col min="14083" max="14083" width="8.85546875" style="1372" customWidth="1"/>
    <col min="14084" max="14084" width="47.85546875" style="1372" customWidth="1"/>
    <col min="14085" max="14085" width="12.85546875" style="1372" customWidth="1"/>
    <col min="14086" max="14086" width="15.5703125" style="1372" customWidth="1"/>
    <col min="14087" max="14087" width="15.85546875" style="1372" customWidth="1"/>
    <col min="14088" max="14088" width="6.42578125" style="1372" customWidth="1"/>
    <col min="14089" max="14089" width="14.28515625" style="1372" bestFit="1" customWidth="1"/>
    <col min="14090" max="14090" width="11.42578125" style="1372" bestFit="1" customWidth="1"/>
    <col min="14091" max="14091" width="17.28515625" style="1372" bestFit="1" customWidth="1"/>
    <col min="14092" max="14092" width="16" style="1372" bestFit="1" customWidth="1"/>
    <col min="14093" max="14336" width="9.140625" style="1372"/>
    <col min="14337" max="14337" width="4.7109375" style="1372" customWidth="1"/>
    <col min="14338" max="14338" width="6.7109375" style="1372" customWidth="1"/>
    <col min="14339" max="14339" width="8.85546875" style="1372" customWidth="1"/>
    <col min="14340" max="14340" width="47.85546875" style="1372" customWidth="1"/>
    <col min="14341" max="14341" width="12.85546875" style="1372" customWidth="1"/>
    <col min="14342" max="14342" width="15.5703125" style="1372" customWidth="1"/>
    <col min="14343" max="14343" width="15.85546875" style="1372" customWidth="1"/>
    <col min="14344" max="14344" width="6.42578125" style="1372" customWidth="1"/>
    <col min="14345" max="14345" width="14.28515625" style="1372" bestFit="1" customWidth="1"/>
    <col min="14346" max="14346" width="11.42578125" style="1372" bestFit="1" customWidth="1"/>
    <col min="14347" max="14347" width="17.28515625" style="1372" bestFit="1" customWidth="1"/>
    <col min="14348" max="14348" width="16" style="1372" bestFit="1" customWidth="1"/>
    <col min="14349" max="14592" width="9.140625" style="1372"/>
    <col min="14593" max="14593" width="4.7109375" style="1372" customWidth="1"/>
    <col min="14594" max="14594" width="6.7109375" style="1372" customWidth="1"/>
    <col min="14595" max="14595" width="8.85546875" style="1372" customWidth="1"/>
    <col min="14596" max="14596" width="47.85546875" style="1372" customWidth="1"/>
    <col min="14597" max="14597" width="12.85546875" style="1372" customWidth="1"/>
    <col min="14598" max="14598" width="15.5703125" style="1372" customWidth="1"/>
    <col min="14599" max="14599" width="15.85546875" style="1372" customWidth="1"/>
    <col min="14600" max="14600" width="6.42578125" style="1372" customWidth="1"/>
    <col min="14601" max="14601" width="14.28515625" style="1372" bestFit="1" customWidth="1"/>
    <col min="14602" max="14602" width="11.42578125" style="1372" bestFit="1" customWidth="1"/>
    <col min="14603" max="14603" width="17.28515625" style="1372" bestFit="1" customWidth="1"/>
    <col min="14604" max="14604" width="16" style="1372" bestFit="1" customWidth="1"/>
    <col min="14605" max="14848" width="9.140625" style="1372"/>
    <col min="14849" max="14849" width="4.7109375" style="1372" customWidth="1"/>
    <col min="14850" max="14850" width="6.7109375" style="1372" customWidth="1"/>
    <col min="14851" max="14851" width="8.85546875" style="1372" customWidth="1"/>
    <col min="14852" max="14852" width="47.85546875" style="1372" customWidth="1"/>
    <col min="14853" max="14853" width="12.85546875" style="1372" customWidth="1"/>
    <col min="14854" max="14854" width="15.5703125" style="1372" customWidth="1"/>
    <col min="14855" max="14855" width="15.85546875" style="1372" customWidth="1"/>
    <col min="14856" max="14856" width="6.42578125" style="1372" customWidth="1"/>
    <col min="14857" max="14857" width="14.28515625" style="1372" bestFit="1" customWidth="1"/>
    <col min="14858" max="14858" width="11.42578125" style="1372" bestFit="1" customWidth="1"/>
    <col min="14859" max="14859" width="17.28515625" style="1372" bestFit="1" customWidth="1"/>
    <col min="14860" max="14860" width="16" style="1372" bestFit="1" customWidth="1"/>
    <col min="14861" max="15104" width="9.140625" style="1372"/>
    <col min="15105" max="15105" width="4.7109375" style="1372" customWidth="1"/>
    <col min="15106" max="15106" width="6.7109375" style="1372" customWidth="1"/>
    <col min="15107" max="15107" width="8.85546875" style="1372" customWidth="1"/>
    <col min="15108" max="15108" width="47.85546875" style="1372" customWidth="1"/>
    <col min="15109" max="15109" width="12.85546875" style="1372" customWidth="1"/>
    <col min="15110" max="15110" width="15.5703125" style="1372" customWidth="1"/>
    <col min="15111" max="15111" width="15.85546875" style="1372" customWidth="1"/>
    <col min="15112" max="15112" width="6.42578125" style="1372" customWidth="1"/>
    <col min="15113" max="15113" width="14.28515625" style="1372" bestFit="1" customWidth="1"/>
    <col min="15114" max="15114" width="11.42578125" style="1372" bestFit="1" customWidth="1"/>
    <col min="15115" max="15115" width="17.28515625" style="1372" bestFit="1" customWidth="1"/>
    <col min="15116" max="15116" width="16" style="1372" bestFit="1" customWidth="1"/>
    <col min="15117" max="15360" width="9.140625" style="1372"/>
    <col min="15361" max="15361" width="4.7109375" style="1372" customWidth="1"/>
    <col min="15362" max="15362" width="6.7109375" style="1372" customWidth="1"/>
    <col min="15363" max="15363" width="8.85546875" style="1372" customWidth="1"/>
    <col min="15364" max="15364" width="47.85546875" style="1372" customWidth="1"/>
    <col min="15365" max="15365" width="12.85546875" style="1372" customWidth="1"/>
    <col min="15366" max="15366" width="15.5703125" style="1372" customWidth="1"/>
    <col min="15367" max="15367" width="15.85546875" style="1372" customWidth="1"/>
    <col min="15368" max="15368" width="6.42578125" style="1372" customWidth="1"/>
    <col min="15369" max="15369" width="14.28515625" style="1372" bestFit="1" customWidth="1"/>
    <col min="15370" max="15370" width="11.42578125" style="1372" bestFit="1" customWidth="1"/>
    <col min="15371" max="15371" width="17.28515625" style="1372" bestFit="1" customWidth="1"/>
    <col min="15372" max="15372" width="16" style="1372" bestFit="1" customWidth="1"/>
    <col min="15373" max="15616" width="9.140625" style="1372"/>
    <col min="15617" max="15617" width="4.7109375" style="1372" customWidth="1"/>
    <col min="15618" max="15618" width="6.7109375" style="1372" customWidth="1"/>
    <col min="15619" max="15619" width="8.85546875" style="1372" customWidth="1"/>
    <col min="15620" max="15620" width="47.85546875" style="1372" customWidth="1"/>
    <col min="15621" max="15621" width="12.85546875" style="1372" customWidth="1"/>
    <col min="15622" max="15622" width="15.5703125" style="1372" customWidth="1"/>
    <col min="15623" max="15623" width="15.85546875" style="1372" customWidth="1"/>
    <col min="15624" max="15624" width="6.42578125" style="1372" customWidth="1"/>
    <col min="15625" max="15625" width="14.28515625" style="1372" bestFit="1" customWidth="1"/>
    <col min="15626" max="15626" width="11.42578125" style="1372" bestFit="1" customWidth="1"/>
    <col min="15627" max="15627" width="17.28515625" style="1372" bestFit="1" customWidth="1"/>
    <col min="15628" max="15628" width="16" style="1372" bestFit="1" customWidth="1"/>
    <col min="15629" max="15872" width="9.140625" style="1372"/>
    <col min="15873" max="15873" width="4.7109375" style="1372" customWidth="1"/>
    <col min="15874" max="15874" width="6.7109375" style="1372" customWidth="1"/>
    <col min="15875" max="15875" width="8.85546875" style="1372" customWidth="1"/>
    <col min="15876" max="15876" width="47.85546875" style="1372" customWidth="1"/>
    <col min="15877" max="15877" width="12.85546875" style="1372" customWidth="1"/>
    <col min="15878" max="15878" width="15.5703125" style="1372" customWidth="1"/>
    <col min="15879" max="15879" width="15.85546875" style="1372" customWidth="1"/>
    <col min="15880" max="15880" width="6.42578125" style="1372" customWidth="1"/>
    <col min="15881" max="15881" width="14.28515625" style="1372" bestFit="1" customWidth="1"/>
    <col min="15882" max="15882" width="11.42578125" style="1372" bestFit="1" customWidth="1"/>
    <col min="15883" max="15883" width="17.28515625" style="1372" bestFit="1" customWidth="1"/>
    <col min="15884" max="15884" width="16" style="1372" bestFit="1" customWidth="1"/>
    <col min="15885" max="16128" width="9.140625" style="1372"/>
    <col min="16129" max="16129" width="4.7109375" style="1372" customWidth="1"/>
    <col min="16130" max="16130" width="6.7109375" style="1372" customWidth="1"/>
    <col min="16131" max="16131" width="8.85546875" style="1372" customWidth="1"/>
    <col min="16132" max="16132" width="47.85546875" style="1372" customWidth="1"/>
    <col min="16133" max="16133" width="12.85546875" style="1372" customWidth="1"/>
    <col min="16134" max="16134" width="15.5703125" style="1372" customWidth="1"/>
    <col min="16135" max="16135" width="15.85546875" style="1372" customWidth="1"/>
    <col min="16136" max="16136" width="6.42578125" style="1372" customWidth="1"/>
    <col min="16137" max="16137" width="14.28515625" style="1372" bestFit="1" customWidth="1"/>
    <col min="16138" max="16138" width="11.42578125" style="1372" bestFit="1" customWidth="1"/>
    <col min="16139" max="16139" width="17.28515625" style="1372" bestFit="1" customWidth="1"/>
    <col min="16140" max="16140" width="16" style="1372" bestFit="1" customWidth="1"/>
    <col min="16141" max="16384" width="9.140625" style="1372"/>
  </cols>
  <sheetData>
    <row r="1" spans="1:8" ht="19.5" customHeight="1" thickBot="1" x14ac:dyDescent="0.3">
      <c r="A1" s="1342" t="s">
        <v>388</v>
      </c>
      <c r="B1" s="1341"/>
      <c r="C1" s="1367"/>
      <c r="D1" s="1339"/>
      <c r="E1" s="1338"/>
      <c r="F1" s="1339"/>
      <c r="G1" s="1467"/>
      <c r="H1" s="1342"/>
    </row>
    <row r="2" spans="1:8" ht="18" x14ac:dyDescent="0.25">
      <c r="A2" s="1376"/>
      <c r="B2" s="1400"/>
      <c r="C2" s="1400"/>
      <c r="D2" s="1400"/>
      <c r="E2" s="1400"/>
      <c r="F2" s="1400"/>
      <c r="G2" s="1400"/>
      <c r="H2" s="1445" t="s">
        <v>389</v>
      </c>
    </row>
    <row r="3" spans="1:8" ht="18" x14ac:dyDescent="0.25">
      <c r="A3" s="1337" t="s">
        <v>336</v>
      </c>
      <c r="B3" s="1400"/>
      <c r="C3" s="1370" t="s">
        <v>2009</v>
      </c>
      <c r="D3" s="1336"/>
      <c r="E3" s="1400"/>
      <c r="F3" s="1400"/>
      <c r="G3" s="1400"/>
      <c r="H3" s="1445"/>
    </row>
    <row r="4" spans="1:8" ht="18" x14ac:dyDescent="0.25">
      <c r="A4" s="1376"/>
      <c r="B4" s="1400"/>
      <c r="C4" s="1370" t="s">
        <v>1450</v>
      </c>
      <c r="D4" s="1254"/>
      <c r="E4" s="1400"/>
      <c r="F4" s="1400"/>
      <c r="G4" s="1400"/>
      <c r="H4" s="1445"/>
    </row>
    <row r="5" spans="1:8" ht="18" x14ac:dyDescent="0.25">
      <c r="A5" s="1375" t="s">
        <v>390</v>
      </c>
      <c r="B5" s="1400"/>
      <c r="C5" s="1400"/>
      <c r="D5" s="1400"/>
      <c r="E5" s="1400"/>
      <c r="F5" s="1400"/>
      <c r="G5" s="1400"/>
      <c r="H5" s="1445"/>
    </row>
    <row r="7" spans="1:8" ht="15.75" thickBot="1" x14ac:dyDescent="0.3">
      <c r="A7" s="1377" t="s">
        <v>229</v>
      </c>
      <c r="H7" s="1459" t="s">
        <v>148</v>
      </c>
    </row>
    <row r="8" spans="1:8" s="1292" customFormat="1" ht="25.5" thickTop="1" thickBot="1" x14ac:dyDescent="0.25">
      <c r="A8" s="1378" t="s">
        <v>149</v>
      </c>
      <c r="B8" s="1379" t="s">
        <v>688</v>
      </c>
      <c r="C8" s="1379" t="s">
        <v>345</v>
      </c>
      <c r="D8" s="1380" t="s">
        <v>151</v>
      </c>
      <c r="E8" s="1402" t="s">
        <v>569</v>
      </c>
      <c r="F8" s="1402" t="s">
        <v>570</v>
      </c>
      <c r="G8" s="1403" t="s">
        <v>797</v>
      </c>
      <c r="H8" s="1404" t="s">
        <v>798</v>
      </c>
    </row>
    <row r="9" spans="1:8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5">
        <v>5</v>
      </c>
      <c r="F9" s="1295">
        <v>6</v>
      </c>
      <c r="G9" s="1446">
        <v>7</v>
      </c>
      <c r="H9" s="1468" t="s">
        <v>54</v>
      </c>
    </row>
    <row r="10" spans="1:8" s="1415" customFormat="1" ht="45.75" hidden="1" customHeight="1" thickTop="1" x14ac:dyDescent="0.2">
      <c r="A10" s="1412">
        <v>3299</v>
      </c>
      <c r="B10" s="1413">
        <v>5213</v>
      </c>
      <c r="C10" s="1413">
        <v>32133006</v>
      </c>
      <c r="D10" s="1424" t="s">
        <v>1129</v>
      </c>
      <c r="E10" s="1401">
        <v>0</v>
      </c>
      <c r="F10" s="1401"/>
      <c r="G10" s="1401"/>
      <c r="H10" s="1388" t="e">
        <f t="shared" ref="H10:H27" si="0">G10/F10*100</f>
        <v>#DIV/0!</v>
      </c>
    </row>
    <row r="11" spans="1:8" s="1415" customFormat="1" ht="45.75" hidden="1" thickTop="1" x14ac:dyDescent="0.2">
      <c r="A11" s="1463">
        <v>3299</v>
      </c>
      <c r="B11" s="1469">
        <v>5213</v>
      </c>
      <c r="C11" s="1469">
        <v>32533006</v>
      </c>
      <c r="D11" s="1405" t="s">
        <v>1129</v>
      </c>
      <c r="E11" s="1414">
        <v>0</v>
      </c>
      <c r="F11" s="1414"/>
      <c r="G11" s="1414"/>
      <c r="H11" s="1390" t="e">
        <f t="shared" si="0"/>
        <v>#DIV/0!</v>
      </c>
    </row>
    <row r="12" spans="1:8" s="1415" customFormat="1" ht="30" hidden="1" customHeight="1" x14ac:dyDescent="0.2">
      <c r="A12" s="1463">
        <v>3299</v>
      </c>
      <c r="B12" s="1469">
        <v>5221</v>
      </c>
      <c r="C12" s="1469">
        <v>32133006</v>
      </c>
      <c r="D12" s="1405" t="s">
        <v>1183</v>
      </c>
      <c r="E12" s="1414">
        <v>0</v>
      </c>
      <c r="F12" s="1414"/>
      <c r="G12" s="1414"/>
      <c r="H12" s="1390" t="e">
        <f t="shared" si="0"/>
        <v>#DIV/0!</v>
      </c>
    </row>
    <row r="13" spans="1:8" s="1415" customFormat="1" ht="30.75" hidden="1" thickTop="1" x14ac:dyDescent="0.2">
      <c r="A13" s="1463">
        <v>3299</v>
      </c>
      <c r="B13" s="1469">
        <v>5221</v>
      </c>
      <c r="C13" s="1469">
        <v>32533006</v>
      </c>
      <c r="D13" s="1405" t="s">
        <v>1183</v>
      </c>
      <c r="E13" s="1414">
        <v>0</v>
      </c>
      <c r="F13" s="1414"/>
      <c r="G13" s="1414"/>
      <c r="H13" s="1390" t="e">
        <f t="shared" si="0"/>
        <v>#DIV/0!</v>
      </c>
    </row>
    <row r="14" spans="1:8" s="1415" customFormat="1" ht="30.75" hidden="1" thickTop="1" x14ac:dyDescent="0.2">
      <c r="A14" s="1463">
        <v>3299</v>
      </c>
      <c r="B14" s="1469">
        <v>5223</v>
      </c>
      <c r="C14" s="1469">
        <v>32133006</v>
      </c>
      <c r="D14" s="1405" t="s">
        <v>749</v>
      </c>
      <c r="E14" s="1414">
        <v>0</v>
      </c>
      <c r="F14" s="1414"/>
      <c r="G14" s="1414"/>
      <c r="H14" s="1390" t="e">
        <f t="shared" si="0"/>
        <v>#DIV/0!</v>
      </c>
    </row>
    <row r="15" spans="1:8" s="1415" customFormat="1" ht="30.75" hidden="1" thickTop="1" x14ac:dyDescent="0.2">
      <c r="A15" s="1463">
        <v>3299</v>
      </c>
      <c r="B15" s="1469">
        <v>5223</v>
      </c>
      <c r="C15" s="1469">
        <v>32533006</v>
      </c>
      <c r="D15" s="1405" t="s">
        <v>749</v>
      </c>
      <c r="E15" s="1414">
        <v>0</v>
      </c>
      <c r="F15" s="1414"/>
      <c r="G15" s="1414"/>
      <c r="H15" s="1390" t="e">
        <f t="shared" si="0"/>
        <v>#DIV/0!</v>
      </c>
    </row>
    <row r="16" spans="1:8" ht="15" hidden="1" customHeight="1" x14ac:dyDescent="0.2">
      <c r="A16" s="1463">
        <v>3299</v>
      </c>
      <c r="B16" s="1469">
        <v>5332</v>
      </c>
      <c r="C16" s="1472">
        <v>32133006</v>
      </c>
      <c r="D16" s="1405" t="s">
        <v>560</v>
      </c>
      <c r="E16" s="1414">
        <v>0</v>
      </c>
      <c r="F16" s="1414"/>
      <c r="G16" s="1414"/>
      <c r="H16" s="1390" t="e">
        <f t="shared" si="0"/>
        <v>#DIV/0!</v>
      </c>
    </row>
    <row r="17" spans="1:10" ht="15.75" hidden="1" thickTop="1" x14ac:dyDescent="0.2">
      <c r="A17" s="1463">
        <v>3299</v>
      </c>
      <c r="B17" s="1469">
        <v>5332</v>
      </c>
      <c r="C17" s="1472">
        <v>32533006</v>
      </c>
      <c r="D17" s="1405" t="s">
        <v>560</v>
      </c>
      <c r="E17" s="1414">
        <v>0</v>
      </c>
      <c r="F17" s="1414"/>
      <c r="G17" s="1414"/>
      <c r="H17" s="1390" t="e">
        <f t="shared" si="0"/>
        <v>#DIV/0!</v>
      </c>
    </row>
    <row r="18" spans="1:10" ht="15.75" hidden="1" thickTop="1" x14ac:dyDescent="0.2">
      <c r="A18" s="1463">
        <v>3299</v>
      </c>
      <c r="B18" s="1469">
        <v>5901</v>
      </c>
      <c r="C18" s="1472">
        <v>32133006</v>
      </c>
      <c r="D18" s="1405" t="s">
        <v>547</v>
      </c>
      <c r="E18" s="1414"/>
      <c r="F18" s="1414"/>
      <c r="G18" s="1414"/>
      <c r="H18" s="1390" t="e">
        <f t="shared" si="0"/>
        <v>#DIV/0!</v>
      </c>
    </row>
    <row r="19" spans="1:10" ht="15.75" hidden="1" thickTop="1" x14ac:dyDescent="0.2">
      <c r="A19" s="1463">
        <v>3299</v>
      </c>
      <c r="B19" s="1469">
        <v>5901</v>
      </c>
      <c r="C19" s="1472">
        <v>32533006</v>
      </c>
      <c r="D19" s="1405" t="s">
        <v>547</v>
      </c>
      <c r="E19" s="1414"/>
      <c r="F19" s="1414"/>
      <c r="G19" s="1414"/>
      <c r="H19" s="1390" t="e">
        <f t="shared" si="0"/>
        <v>#DIV/0!</v>
      </c>
    </row>
    <row r="20" spans="1:10" ht="15.75" hidden="1" thickTop="1" x14ac:dyDescent="0.2">
      <c r="A20" s="1463">
        <v>3299</v>
      </c>
      <c r="B20" s="1469">
        <v>5909</v>
      </c>
      <c r="C20" s="1472">
        <v>0</v>
      </c>
      <c r="D20" s="1405" t="s">
        <v>588</v>
      </c>
      <c r="E20" s="1414"/>
      <c r="F20" s="1414"/>
      <c r="G20" s="1414"/>
      <c r="H20" s="1390" t="e">
        <f t="shared" si="0"/>
        <v>#DIV/0!</v>
      </c>
    </row>
    <row r="21" spans="1:10" ht="45.75" hidden="1" thickTop="1" x14ac:dyDescent="0.2">
      <c r="A21" s="1463">
        <v>3299</v>
      </c>
      <c r="B21" s="1469">
        <v>6313</v>
      </c>
      <c r="C21" s="1472">
        <v>32533006</v>
      </c>
      <c r="D21" s="1405" t="s">
        <v>496</v>
      </c>
      <c r="E21" s="1414"/>
      <c r="F21" s="1414"/>
      <c r="G21" s="1414"/>
      <c r="H21" s="1390" t="e">
        <f t="shared" si="0"/>
        <v>#DIV/0!</v>
      </c>
    </row>
    <row r="22" spans="1:10" ht="30.75" hidden="1" thickTop="1" x14ac:dyDescent="0.2">
      <c r="A22" s="1463">
        <v>3299</v>
      </c>
      <c r="B22" s="1469">
        <v>6323</v>
      </c>
      <c r="C22" s="1472">
        <v>32133006</v>
      </c>
      <c r="D22" s="1405" t="s">
        <v>497</v>
      </c>
      <c r="E22" s="1414"/>
      <c r="F22" s="1414"/>
      <c r="G22" s="1414"/>
      <c r="H22" s="1390" t="e">
        <f t="shared" si="0"/>
        <v>#DIV/0!</v>
      </c>
    </row>
    <row r="23" spans="1:10" ht="30.75" hidden="1" thickTop="1" x14ac:dyDescent="0.2">
      <c r="A23" s="1463">
        <v>3299</v>
      </c>
      <c r="B23" s="1469">
        <v>6323</v>
      </c>
      <c r="C23" s="1472">
        <v>32533006</v>
      </c>
      <c r="D23" s="1405" t="s">
        <v>497</v>
      </c>
      <c r="E23" s="1414"/>
      <c r="F23" s="1414"/>
      <c r="G23" s="1414"/>
      <c r="H23" s="1390" t="e">
        <f t="shared" si="0"/>
        <v>#DIV/0!</v>
      </c>
    </row>
    <row r="24" spans="1:10" ht="15.75" hidden="1" thickTop="1" x14ac:dyDescent="0.2">
      <c r="A24" s="1463">
        <v>3299</v>
      </c>
      <c r="B24" s="1469">
        <v>6901</v>
      </c>
      <c r="C24" s="1472">
        <v>32133006</v>
      </c>
      <c r="D24" s="1405" t="s">
        <v>391</v>
      </c>
      <c r="E24" s="1414"/>
      <c r="F24" s="1414"/>
      <c r="G24" s="1414"/>
      <c r="H24" s="1390" t="e">
        <f t="shared" si="0"/>
        <v>#DIV/0!</v>
      </c>
    </row>
    <row r="25" spans="1:10" ht="15.75" hidden="1" thickTop="1" x14ac:dyDescent="0.2">
      <c r="A25" s="1463">
        <v>3299</v>
      </c>
      <c r="B25" s="1469">
        <v>6901</v>
      </c>
      <c r="C25" s="1472">
        <v>32533006</v>
      </c>
      <c r="D25" s="1405" t="s">
        <v>391</v>
      </c>
      <c r="E25" s="1414"/>
      <c r="F25" s="1414"/>
      <c r="G25" s="1414"/>
      <c r="H25" s="1390" t="e">
        <f t="shared" si="0"/>
        <v>#DIV/0!</v>
      </c>
      <c r="J25" s="1480"/>
    </row>
    <row r="26" spans="1:10" ht="31.5" thickTop="1" thickBot="1" x14ac:dyDescent="0.25">
      <c r="A26" s="1463">
        <v>6402</v>
      </c>
      <c r="B26" s="1469">
        <v>5364</v>
      </c>
      <c r="C26" s="2832" t="s">
        <v>1786</v>
      </c>
      <c r="D26" s="1405" t="s">
        <v>2041</v>
      </c>
      <c r="E26" s="1414">
        <v>0</v>
      </c>
      <c r="F26" s="1414">
        <v>13554</v>
      </c>
      <c r="G26" s="1414">
        <v>13529</v>
      </c>
      <c r="H26" s="1396">
        <f t="shared" si="0"/>
        <v>99.815552604397226</v>
      </c>
      <c r="J26" s="1480"/>
    </row>
    <row r="27" spans="1:10" s="1397" customFormat="1" ht="16.5" thickTop="1" thickBot="1" x14ac:dyDescent="0.3">
      <c r="A27" s="3219" t="s">
        <v>690</v>
      </c>
      <c r="B27" s="3220"/>
      <c r="C27" s="3220"/>
      <c r="D27" s="3220"/>
      <c r="E27" s="1387">
        <f>SUM(E10:E25)</f>
        <v>0</v>
      </c>
      <c r="F27" s="1387">
        <f>SUM(F10:F26)</f>
        <v>13554</v>
      </c>
      <c r="G27" s="1387">
        <f>SUM(G10:G26)</f>
        <v>13529</v>
      </c>
      <c r="H27" s="1396">
        <f t="shared" si="0"/>
        <v>99.815552604397226</v>
      </c>
      <c r="I27" s="1476"/>
    </row>
    <row r="28" spans="1:10" ht="13.5" thickTop="1" x14ac:dyDescent="0.2">
      <c r="I28" s="1398"/>
    </row>
    <row r="29" spans="1:10" x14ac:dyDescent="0.2">
      <c r="I29" s="1398"/>
    </row>
    <row r="30" spans="1:10" ht="15" hidden="1" x14ac:dyDescent="0.25">
      <c r="A30" s="1377" t="s">
        <v>1170</v>
      </c>
      <c r="D30" s="1371"/>
      <c r="E30" s="1372"/>
      <c r="H30" s="1398"/>
      <c r="I30" s="1398"/>
    </row>
    <row r="31" spans="1:10" ht="15" hidden="1" x14ac:dyDescent="0.25">
      <c r="A31" s="1377" t="s">
        <v>1223</v>
      </c>
      <c r="D31" s="1371"/>
      <c r="E31" s="1372"/>
      <c r="H31" s="1459" t="s">
        <v>148</v>
      </c>
      <c r="I31" s="1398"/>
    </row>
    <row r="32" spans="1:10" ht="25.5" hidden="1" thickTop="1" thickBot="1" x14ac:dyDescent="0.25">
      <c r="A32" s="1378" t="s">
        <v>149</v>
      </c>
      <c r="B32" s="1379" t="s">
        <v>688</v>
      </c>
      <c r="C32" s="1379" t="s">
        <v>345</v>
      </c>
      <c r="D32" s="1380" t="s">
        <v>151</v>
      </c>
      <c r="E32" s="1402" t="s">
        <v>569</v>
      </c>
      <c r="F32" s="1402" t="s">
        <v>570</v>
      </c>
      <c r="G32" s="1403" t="s">
        <v>797</v>
      </c>
      <c r="H32" s="1404" t="s">
        <v>798</v>
      </c>
      <c r="I32" s="1398"/>
    </row>
    <row r="33" spans="1:9" ht="14.25" hidden="1" thickTop="1" thickBot="1" x14ac:dyDescent="0.25">
      <c r="A33" s="1297">
        <v>1</v>
      </c>
      <c r="B33" s="1296">
        <v>2</v>
      </c>
      <c r="C33" s="1296">
        <v>3</v>
      </c>
      <c r="D33" s="1296">
        <v>5</v>
      </c>
      <c r="E33" s="1295">
        <v>6</v>
      </c>
      <c r="F33" s="1295">
        <v>7</v>
      </c>
      <c r="G33" s="1446">
        <v>8</v>
      </c>
      <c r="H33" s="1383" t="s">
        <v>689</v>
      </c>
      <c r="I33" s="1398"/>
    </row>
    <row r="34" spans="1:9" ht="30.75" hidden="1" thickTop="1" x14ac:dyDescent="0.2">
      <c r="A34" s="1463">
        <v>3299</v>
      </c>
      <c r="B34" s="1469">
        <v>5336</v>
      </c>
      <c r="C34" s="1469">
        <v>32133006</v>
      </c>
      <c r="D34" s="1405" t="s">
        <v>1131</v>
      </c>
      <c r="E34" s="1401"/>
      <c r="F34" s="1401"/>
      <c r="G34" s="1456"/>
      <c r="H34" s="1388" t="e">
        <f>G34/F34*100</f>
        <v>#DIV/0!</v>
      </c>
      <c r="I34" s="1398"/>
    </row>
    <row r="35" spans="1:9" ht="30" hidden="1" x14ac:dyDescent="0.2">
      <c r="A35" s="1463">
        <v>3299</v>
      </c>
      <c r="B35" s="1469">
        <v>5336</v>
      </c>
      <c r="C35" s="1469">
        <v>32533006</v>
      </c>
      <c r="D35" s="1405" t="s">
        <v>1131</v>
      </c>
      <c r="E35" s="1414"/>
      <c r="F35" s="1414"/>
      <c r="G35" s="1453"/>
      <c r="H35" s="1390" t="e">
        <f>G35/F35*100</f>
        <v>#DIV/0!</v>
      </c>
      <c r="I35" s="1398"/>
    </row>
    <row r="36" spans="1:9" ht="30" hidden="1" x14ac:dyDescent="0.2">
      <c r="A36" s="1463">
        <v>3299</v>
      </c>
      <c r="B36" s="1469">
        <v>6351</v>
      </c>
      <c r="C36" s="1469">
        <v>32133006</v>
      </c>
      <c r="D36" s="1481" t="s">
        <v>1145</v>
      </c>
      <c r="E36" s="1414">
        <v>0</v>
      </c>
      <c r="F36" s="1414">
        <v>0</v>
      </c>
      <c r="G36" s="1453">
        <v>0</v>
      </c>
      <c r="H36" s="1390" t="e">
        <f>G36/F36*100</f>
        <v>#DIV/0!</v>
      </c>
      <c r="I36" s="1398"/>
    </row>
    <row r="37" spans="1:9" ht="30.75" hidden="1" thickBot="1" x14ac:dyDescent="0.25">
      <c r="A37" s="1482">
        <v>3299</v>
      </c>
      <c r="B37" s="1483">
        <v>6351</v>
      </c>
      <c r="C37" s="1483">
        <v>32533006</v>
      </c>
      <c r="D37" s="1481" t="s">
        <v>1145</v>
      </c>
      <c r="E37" s="1414">
        <v>0</v>
      </c>
      <c r="F37" s="1414">
        <v>0</v>
      </c>
      <c r="G37" s="1453">
        <v>0</v>
      </c>
      <c r="H37" s="1390" t="e">
        <f>G37/F37*100</f>
        <v>#DIV/0!</v>
      </c>
      <c r="I37" s="1398"/>
    </row>
    <row r="38" spans="1:9" ht="16.5" hidden="1" thickTop="1" thickBot="1" x14ac:dyDescent="0.3">
      <c r="A38" s="1406" t="s">
        <v>690</v>
      </c>
      <c r="B38" s="1407"/>
      <c r="C38" s="1407"/>
      <c r="D38" s="1408"/>
      <c r="E38" s="1387">
        <f>SUM(E34:E35)</f>
        <v>0</v>
      </c>
      <c r="F38" s="1387">
        <f>SUM(F34:F37)</f>
        <v>0</v>
      </c>
      <c r="G38" s="1387">
        <f>SUM(G34:G37)</f>
        <v>0</v>
      </c>
      <c r="H38" s="1391" t="e">
        <f>G38/F38*100</f>
        <v>#DIV/0!</v>
      </c>
      <c r="I38" s="1398"/>
    </row>
    <row r="39" spans="1:9" x14ac:dyDescent="0.2">
      <c r="I39" s="1398"/>
    </row>
    <row r="40" spans="1:9" ht="15" hidden="1" x14ac:dyDescent="0.25">
      <c r="A40" s="1377" t="s">
        <v>1416</v>
      </c>
      <c r="D40" s="1371"/>
      <c r="E40" s="1372"/>
      <c r="H40" s="1398"/>
      <c r="I40" s="1398"/>
    </row>
    <row r="41" spans="1:9" ht="15" hidden="1" x14ac:dyDescent="0.25">
      <c r="A41" s="1377" t="s">
        <v>1130</v>
      </c>
      <c r="D41" s="1371"/>
      <c r="E41" s="1372"/>
      <c r="H41" s="1459" t="s">
        <v>148</v>
      </c>
      <c r="I41" s="1398"/>
    </row>
    <row r="42" spans="1:9" ht="25.5" hidden="1" thickTop="1" thickBot="1" x14ac:dyDescent="0.25">
      <c r="A42" s="1378" t="s">
        <v>149</v>
      </c>
      <c r="B42" s="1379" t="s">
        <v>688</v>
      </c>
      <c r="C42" s="1379" t="s">
        <v>345</v>
      </c>
      <c r="D42" s="1380" t="s">
        <v>151</v>
      </c>
      <c r="E42" s="1402" t="s">
        <v>569</v>
      </c>
      <c r="F42" s="1402" t="s">
        <v>570</v>
      </c>
      <c r="G42" s="1403" t="s">
        <v>797</v>
      </c>
      <c r="H42" s="1404" t="s">
        <v>798</v>
      </c>
      <c r="I42" s="1398"/>
    </row>
    <row r="43" spans="1:9" ht="14.25" hidden="1" thickTop="1" thickBot="1" x14ac:dyDescent="0.25">
      <c r="A43" s="1297">
        <v>1</v>
      </c>
      <c r="B43" s="1296">
        <v>2</v>
      </c>
      <c r="C43" s="1296">
        <v>3</v>
      </c>
      <c r="D43" s="1296">
        <v>5</v>
      </c>
      <c r="E43" s="1295">
        <v>6</v>
      </c>
      <c r="F43" s="1295">
        <v>7</v>
      </c>
      <c r="G43" s="1446">
        <v>8</v>
      </c>
      <c r="H43" s="1383" t="s">
        <v>689</v>
      </c>
      <c r="I43" s="1398"/>
    </row>
    <row r="44" spans="1:9" ht="30.75" hidden="1" thickTop="1" x14ac:dyDescent="0.2">
      <c r="A44" s="1463">
        <v>3299</v>
      </c>
      <c r="B44" s="1469">
        <v>5336</v>
      </c>
      <c r="C44" s="1469">
        <v>32133006</v>
      </c>
      <c r="D44" s="1405" t="s">
        <v>1131</v>
      </c>
      <c r="E44" s="1401">
        <v>0</v>
      </c>
      <c r="F44" s="1401"/>
      <c r="G44" s="1456"/>
      <c r="H44" s="1388" t="e">
        <f>G44/F44*100</f>
        <v>#DIV/0!</v>
      </c>
      <c r="I44" s="1398"/>
    </row>
    <row r="45" spans="1:9" ht="30" hidden="1" x14ac:dyDescent="0.2">
      <c r="A45" s="1463">
        <v>3299</v>
      </c>
      <c r="B45" s="1469">
        <v>5336</v>
      </c>
      <c r="C45" s="1469">
        <v>32533006</v>
      </c>
      <c r="D45" s="1405" t="s">
        <v>1131</v>
      </c>
      <c r="E45" s="1414">
        <v>0</v>
      </c>
      <c r="F45" s="1414"/>
      <c r="G45" s="1453"/>
      <c r="H45" s="1390" t="e">
        <f>G45/F45*100</f>
        <v>#DIV/0!</v>
      </c>
      <c r="I45" s="1398"/>
    </row>
    <row r="46" spans="1:9" ht="30" hidden="1" x14ac:dyDescent="0.2">
      <c r="A46" s="1463">
        <v>3299</v>
      </c>
      <c r="B46" s="1469">
        <v>6351</v>
      </c>
      <c r="C46" s="1469">
        <v>32133006</v>
      </c>
      <c r="D46" s="1481" t="s">
        <v>1145</v>
      </c>
      <c r="E46" s="1414">
        <v>0</v>
      </c>
      <c r="F46" s="1414">
        <v>0</v>
      </c>
      <c r="G46" s="1453">
        <v>0</v>
      </c>
      <c r="H46" s="1390" t="e">
        <f>G46/F46*100</f>
        <v>#DIV/0!</v>
      </c>
      <c r="I46" s="1398"/>
    </row>
    <row r="47" spans="1:9" ht="30.75" hidden="1" thickBot="1" x14ac:dyDescent="0.25">
      <c r="A47" s="1482">
        <v>3299</v>
      </c>
      <c r="B47" s="1483">
        <v>6351</v>
      </c>
      <c r="C47" s="1483">
        <v>32533006</v>
      </c>
      <c r="D47" s="1481" t="s">
        <v>1145</v>
      </c>
      <c r="E47" s="1414">
        <v>0</v>
      </c>
      <c r="F47" s="1414">
        <v>0</v>
      </c>
      <c r="G47" s="1453">
        <v>0</v>
      </c>
      <c r="H47" s="1390" t="e">
        <f>G47/F47*100</f>
        <v>#DIV/0!</v>
      </c>
      <c r="I47" s="1398"/>
    </row>
    <row r="48" spans="1:9" ht="16.5" hidden="1" thickTop="1" thickBot="1" x14ac:dyDescent="0.3">
      <c r="A48" s="1406" t="s">
        <v>690</v>
      </c>
      <c r="B48" s="1407"/>
      <c r="C48" s="1407"/>
      <c r="D48" s="1408"/>
      <c r="E48" s="1387">
        <f>SUM(E44:E45)</f>
        <v>0</v>
      </c>
      <c r="F48" s="1387">
        <f>SUM(F44:F47)</f>
        <v>0</v>
      </c>
      <c r="G48" s="1387">
        <f>SUM(G44:G47)</f>
        <v>0</v>
      </c>
      <c r="H48" s="1391" t="e">
        <f>G48/F48*100</f>
        <v>#DIV/0!</v>
      </c>
      <c r="I48" s="1398"/>
    </row>
    <row r="49" spans="1:9" hidden="1" x14ac:dyDescent="0.2">
      <c r="I49" s="1398"/>
    </row>
    <row r="50" spans="1:9" ht="15" hidden="1" x14ac:dyDescent="0.25">
      <c r="A50" s="1377" t="s">
        <v>1132</v>
      </c>
      <c r="D50" s="1371"/>
      <c r="E50" s="1372"/>
      <c r="H50" s="1398"/>
      <c r="I50" s="1398"/>
    </row>
    <row r="51" spans="1:9" ht="15" hidden="1" x14ac:dyDescent="0.25">
      <c r="A51" s="1377" t="s">
        <v>1133</v>
      </c>
      <c r="D51" s="1371"/>
      <c r="E51" s="1372"/>
      <c r="H51" s="1398" t="s">
        <v>148</v>
      </c>
      <c r="I51" s="1398"/>
    </row>
    <row r="52" spans="1:9" ht="25.5" hidden="1" thickTop="1" thickBot="1" x14ac:dyDescent="0.25">
      <c r="A52" s="1378" t="s">
        <v>149</v>
      </c>
      <c r="B52" s="1379" t="s">
        <v>688</v>
      </c>
      <c r="C52" s="1379" t="s">
        <v>345</v>
      </c>
      <c r="D52" s="1380" t="s">
        <v>151</v>
      </c>
      <c r="E52" s="1402" t="s">
        <v>569</v>
      </c>
      <c r="F52" s="1402" t="s">
        <v>570</v>
      </c>
      <c r="G52" s="1403" t="s">
        <v>797</v>
      </c>
      <c r="H52" s="1404" t="s">
        <v>798</v>
      </c>
      <c r="I52" s="1398"/>
    </row>
    <row r="53" spans="1:9" ht="14.25" hidden="1" thickTop="1" thickBot="1" x14ac:dyDescent="0.25">
      <c r="A53" s="1297">
        <v>1</v>
      </c>
      <c r="B53" s="1296">
        <v>2</v>
      </c>
      <c r="C53" s="1296">
        <v>3</v>
      </c>
      <c r="D53" s="1296">
        <v>5</v>
      </c>
      <c r="E53" s="1295">
        <v>6</v>
      </c>
      <c r="F53" s="1295">
        <v>7</v>
      </c>
      <c r="G53" s="1446">
        <v>8</v>
      </c>
      <c r="H53" s="1383" t="s">
        <v>689</v>
      </c>
      <c r="I53" s="1398"/>
    </row>
    <row r="54" spans="1:9" ht="30.75" hidden="1" thickTop="1" x14ac:dyDescent="0.2">
      <c r="A54" s="1463">
        <v>3299</v>
      </c>
      <c r="B54" s="1469">
        <v>5336</v>
      </c>
      <c r="C54" s="1469">
        <v>32133006</v>
      </c>
      <c r="D54" s="1405" t="s">
        <v>1222</v>
      </c>
      <c r="E54" s="1401">
        <v>0</v>
      </c>
      <c r="F54" s="1401">
        <v>0</v>
      </c>
      <c r="G54" s="1456">
        <v>0</v>
      </c>
      <c r="H54" s="1388" t="e">
        <f>G54/F54*100</f>
        <v>#DIV/0!</v>
      </c>
      <c r="I54" s="1398"/>
    </row>
    <row r="55" spans="1:9" ht="30" hidden="1" x14ac:dyDescent="0.2">
      <c r="A55" s="1463">
        <v>3299</v>
      </c>
      <c r="B55" s="1469">
        <v>5336</v>
      </c>
      <c r="C55" s="1469">
        <v>32533006</v>
      </c>
      <c r="D55" s="1405" t="s">
        <v>1222</v>
      </c>
      <c r="E55" s="1414">
        <v>0</v>
      </c>
      <c r="F55" s="1414">
        <v>0</v>
      </c>
      <c r="G55" s="1453">
        <v>0</v>
      </c>
      <c r="H55" s="1390" t="e">
        <f>G55/F55*100</f>
        <v>#DIV/0!</v>
      </c>
      <c r="I55" s="1398"/>
    </row>
    <row r="56" spans="1:9" ht="16.5" hidden="1" thickTop="1" thickBot="1" x14ac:dyDescent="0.3">
      <c r="A56" s="1406" t="s">
        <v>690</v>
      </c>
      <c r="B56" s="1407"/>
      <c r="C56" s="1407"/>
      <c r="D56" s="1408"/>
      <c r="E56" s="1387">
        <f>SUM(E54:E55)</f>
        <v>0</v>
      </c>
      <c r="F56" s="1387">
        <f>SUM(F54:F55)</f>
        <v>0</v>
      </c>
      <c r="G56" s="1387">
        <f>SUM(G54:G55)</f>
        <v>0</v>
      </c>
      <c r="H56" s="1391" t="e">
        <f>G56/F56*100</f>
        <v>#DIV/0!</v>
      </c>
      <c r="I56" s="1398"/>
    </row>
    <row r="57" spans="1:9" ht="15" hidden="1" x14ac:dyDescent="0.25">
      <c r="A57" s="1417"/>
      <c r="B57" s="1417"/>
      <c r="C57" s="1417"/>
      <c r="D57" s="1417"/>
      <c r="E57" s="1393"/>
      <c r="F57" s="1393"/>
      <c r="G57" s="1393"/>
      <c r="H57" s="1418"/>
      <c r="I57" s="1398"/>
    </row>
    <row r="58" spans="1:9" ht="15" hidden="1" x14ac:dyDescent="0.25">
      <c r="A58" s="1377" t="s">
        <v>306</v>
      </c>
      <c r="D58" s="1371"/>
      <c r="E58" s="1372"/>
      <c r="H58" s="1398"/>
      <c r="I58" s="1398"/>
    </row>
    <row r="59" spans="1:9" ht="15" hidden="1" x14ac:dyDescent="0.25">
      <c r="A59" s="1377" t="s">
        <v>499</v>
      </c>
      <c r="D59" s="1371"/>
      <c r="E59" s="1372"/>
      <c r="H59" s="1459" t="s">
        <v>148</v>
      </c>
      <c r="I59" s="1398"/>
    </row>
    <row r="60" spans="1:9" ht="25.5" hidden="1" thickTop="1" thickBot="1" x14ac:dyDescent="0.25">
      <c r="A60" s="1378" t="s">
        <v>149</v>
      </c>
      <c r="B60" s="1379" t="s">
        <v>688</v>
      </c>
      <c r="C60" s="1379" t="s">
        <v>345</v>
      </c>
      <c r="D60" s="1380" t="s">
        <v>151</v>
      </c>
      <c r="E60" s="1402" t="s">
        <v>569</v>
      </c>
      <c r="F60" s="1402" t="s">
        <v>570</v>
      </c>
      <c r="G60" s="1403" t="s">
        <v>797</v>
      </c>
      <c r="H60" s="1404" t="s">
        <v>798</v>
      </c>
      <c r="I60" s="1398"/>
    </row>
    <row r="61" spans="1:9" ht="14.25" hidden="1" thickTop="1" thickBot="1" x14ac:dyDescent="0.25">
      <c r="A61" s="1297">
        <v>1</v>
      </c>
      <c r="B61" s="1296">
        <v>2</v>
      </c>
      <c r="C61" s="1296">
        <v>3</v>
      </c>
      <c r="D61" s="1296">
        <v>5</v>
      </c>
      <c r="E61" s="1295">
        <v>6</v>
      </c>
      <c r="F61" s="1295">
        <v>7</v>
      </c>
      <c r="G61" s="1446">
        <v>8</v>
      </c>
      <c r="H61" s="1383" t="s">
        <v>689</v>
      </c>
      <c r="I61" s="1398"/>
    </row>
    <row r="62" spans="1:9" ht="30.75" hidden="1" thickTop="1" x14ac:dyDescent="0.2">
      <c r="A62" s="1463">
        <v>3299</v>
      </c>
      <c r="B62" s="1469">
        <v>5336</v>
      </c>
      <c r="C62" s="1469">
        <v>32133006</v>
      </c>
      <c r="D62" s="1405" t="s">
        <v>1131</v>
      </c>
      <c r="E62" s="1401">
        <v>0</v>
      </c>
      <c r="F62" s="1401"/>
      <c r="G62" s="1456"/>
      <c r="H62" s="1388" t="e">
        <f>G62/F62*100</f>
        <v>#DIV/0!</v>
      </c>
      <c r="I62" s="1398"/>
    </row>
    <row r="63" spans="1:9" ht="30" hidden="1" x14ac:dyDescent="0.2">
      <c r="A63" s="1463">
        <v>3299</v>
      </c>
      <c r="B63" s="1469">
        <v>5336</v>
      </c>
      <c r="C63" s="1469">
        <v>32533006</v>
      </c>
      <c r="D63" s="1405" t="s">
        <v>1131</v>
      </c>
      <c r="E63" s="1414">
        <v>0</v>
      </c>
      <c r="F63" s="1414"/>
      <c r="G63" s="1453"/>
      <c r="H63" s="1390" t="e">
        <f>G63/F63*100</f>
        <v>#DIV/0!</v>
      </c>
      <c r="I63" s="1398"/>
    </row>
    <row r="64" spans="1:9" ht="30" hidden="1" x14ac:dyDescent="0.2">
      <c r="A64" s="1463">
        <v>3299</v>
      </c>
      <c r="B64" s="1469">
        <v>6351</v>
      </c>
      <c r="C64" s="1469">
        <v>32133006</v>
      </c>
      <c r="D64" s="1481" t="s">
        <v>1145</v>
      </c>
      <c r="E64" s="1414">
        <v>0</v>
      </c>
      <c r="F64" s="1414">
        <v>0</v>
      </c>
      <c r="G64" s="1453">
        <v>0</v>
      </c>
      <c r="H64" s="1390" t="e">
        <f>G64/F64*100</f>
        <v>#DIV/0!</v>
      </c>
      <c r="I64" s="1398"/>
    </row>
    <row r="65" spans="1:9" ht="30.75" hidden="1" thickBot="1" x14ac:dyDescent="0.25">
      <c r="A65" s="1482">
        <v>3299</v>
      </c>
      <c r="B65" s="1483">
        <v>6351</v>
      </c>
      <c r="C65" s="1483">
        <v>32533006</v>
      </c>
      <c r="D65" s="1481" t="s">
        <v>1145</v>
      </c>
      <c r="E65" s="1414">
        <v>0</v>
      </c>
      <c r="F65" s="1414">
        <v>0</v>
      </c>
      <c r="G65" s="1453">
        <v>0</v>
      </c>
      <c r="H65" s="1390" t="e">
        <f>G65/F65*100</f>
        <v>#DIV/0!</v>
      </c>
      <c r="I65" s="1398"/>
    </row>
    <row r="66" spans="1:9" ht="16.5" hidden="1" thickTop="1" thickBot="1" x14ac:dyDescent="0.3">
      <c r="A66" s="1406" t="s">
        <v>690</v>
      </c>
      <c r="B66" s="1407"/>
      <c r="C66" s="1407"/>
      <c r="D66" s="1408"/>
      <c r="E66" s="1387">
        <f>SUM(E62:E63)</f>
        <v>0</v>
      </c>
      <c r="F66" s="1387">
        <f>SUM(F62:F65)</f>
        <v>0</v>
      </c>
      <c r="G66" s="1387">
        <f>SUM(G62:G65)</f>
        <v>0</v>
      </c>
      <c r="H66" s="1391" t="e">
        <f>G66/F66*100</f>
        <v>#DIV/0!</v>
      </c>
      <c r="I66" s="1398"/>
    </row>
    <row r="67" spans="1:9" ht="15.75" hidden="1" customHeight="1" thickTop="1" x14ac:dyDescent="0.2">
      <c r="I67" s="1398"/>
    </row>
    <row r="68" spans="1:9" ht="15" hidden="1" x14ac:dyDescent="0.25">
      <c r="A68" s="1377" t="s">
        <v>1360</v>
      </c>
      <c r="D68" s="1371"/>
      <c r="E68" s="1372"/>
      <c r="H68" s="1398"/>
      <c r="I68" s="1398"/>
    </row>
    <row r="69" spans="1:9" ht="15" hidden="1" x14ac:dyDescent="0.25">
      <c r="A69" s="1377" t="s">
        <v>1134</v>
      </c>
      <c r="D69" s="1371"/>
      <c r="E69" s="1372"/>
      <c r="H69" s="1459" t="s">
        <v>148</v>
      </c>
      <c r="I69" s="1398"/>
    </row>
    <row r="70" spans="1:9" ht="25.5" hidden="1" thickTop="1" thickBot="1" x14ac:dyDescent="0.25">
      <c r="A70" s="1378" t="s">
        <v>149</v>
      </c>
      <c r="B70" s="1379" t="s">
        <v>688</v>
      </c>
      <c r="C70" s="1379" t="s">
        <v>345</v>
      </c>
      <c r="D70" s="1380" t="s">
        <v>151</v>
      </c>
      <c r="E70" s="1402" t="s">
        <v>569</v>
      </c>
      <c r="F70" s="1402" t="s">
        <v>570</v>
      </c>
      <c r="G70" s="1403" t="s">
        <v>797</v>
      </c>
      <c r="H70" s="1404" t="s">
        <v>798</v>
      </c>
      <c r="I70" s="1398"/>
    </row>
    <row r="71" spans="1:9" ht="14.25" hidden="1" thickTop="1" thickBot="1" x14ac:dyDescent="0.25">
      <c r="A71" s="1297">
        <v>1</v>
      </c>
      <c r="B71" s="1296">
        <v>2</v>
      </c>
      <c r="C71" s="1296">
        <v>3</v>
      </c>
      <c r="D71" s="1296">
        <v>5</v>
      </c>
      <c r="E71" s="1295">
        <v>6</v>
      </c>
      <c r="F71" s="1295">
        <v>7</v>
      </c>
      <c r="G71" s="1446">
        <v>8</v>
      </c>
      <c r="H71" s="1383" t="s">
        <v>689</v>
      </c>
      <c r="I71" s="1398"/>
    </row>
    <row r="72" spans="1:9" ht="30.75" hidden="1" thickTop="1" x14ac:dyDescent="0.2">
      <c r="A72" s="1463">
        <v>3299</v>
      </c>
      <c r="B72" s="1469">
        <v>5336</v>
      </c>
      <c r="C72" s="1469">
        <v>32133006</v>
      </c>
      <c r="D72" s="1405" t="s">
        <v>1131</v>
      </c>
      <c r="E72" s="1401">
        <v>0</v>
      </c>
      <c r="F72" s="1401"/>
      <c r="G72" s="1456"/>
      <c r="H72" s="1388" t="e">
        <f>G72/F72*100</f>
        <v>#DIV/0!</v>
      </c>
      <c r="I72" s="1398"/>
    </row>
    <row r="73" spans="1:9" ht="30" hidden="1" x14ac:dyDescent="0.2">
      <c r="A73" s="1463">
        <v>3299</v>
      </c>
      <c r="B73" s="1469">
        <v>5336</v>
      </c>
      <c r="C73" s="1469">
        <v>32533006</v>
      </c>
      <c r="D73" s="1405" t="s">
        <v>1131</v>
      </c>
      <c r="E73" s="1414">
        <v>0</v>
      </c>
      <c r="F73" s="1414"/>
      <c r="G73" s="1453"/>
      <c r="H73" s="1390" t="e">
        <f>G73/F73*100</f>
        <v>#DIV/0!</v>
      </c>
      <c r="I73" s="1398"/>
    </row>
    <row r="74" spans="1:9" ht="16.5" hidden="1" thickTop="1" thickBot="1" x14ac:dyDescent="0.3">
      <c r="A74" s="1406" t="s">
        <v>690</v>
      </c>
      <c r="B74" s="1407"/>
      <c r="C74" s="1407"/>
      <c r="D74" s="1408"/>
      <c r="E74" s="1387">
        <f>SUM(E72:E73)</f>
        <v>0</v>
      </c>
      <c r="F74" s="1387">
        <f>SUM(F72:F73)</f>
        <v>0</v>
      </c>
      <c r="G74" s="1387">
        <f>SUM(G72:G73)</f>
        <v>0</v>
      </c>
      <c r="H74" s="1391" t="e">
        <f>G74/F74*100</f>
        <v>#DIV/0!</v>
      </c>
      <c r="I74" s="1398"/>
    </row>
    <row r="75" spans="1:9" hidden="1" x14ac:dyDescent="0.2">
      <c r="I75" s="1398"/>
    </row>
    <row r="76" spans="1:9" ht="15" hidden="1" x14ac:dyDescent="0.25">
      <c r="A76" s="1377" t="s">
        <v>1110</v>
      </c>
      <c r="D76" s="1371"/>
      <c r="E76" s="1372"/>
      <c r="H76" s="1398"/>
      <c r="I76" s="1398"/>
    </row>
    <row r="77" spans="1:9" ht="15" hidden="1" x14ac:dyDescent="0.25">
      <c r="A77" s="1377" t="s">
        <v>500</v>
      </c>
      <c r="D77" s="1371"/>
      <c r="E77" s="1372"/>
      <c r="H77" s="1459" t="s">
        <v>148</v>
      </c>
      <c r="I77" s="1398"/>
    </row>
    <row r="78" spans="1:9" ht="25.5" hidden="1" thickTop="1" thickBot="1" x14ac:dyDescent="0.25">
      <c r="A78" s="1378" t="s">
        <v>149</v>
      </c>
      <c r="B78" s="1379" t="s">
        <v>688</v>
      </c>
      <c r="C78" s="1379" t="s">
        <v>345</v>
      </c>
      <c r="D78" s="1380" t="s">
        <v>151</v>
      </c>
      <c r="E78" s="1402" t="s">
        <v>569</v>
      </c>
      <c r="F78" s="1402" t="s">
        <v>570</v>
      </c>
      <c r="G78" s="1403" t="s">
        <v>797</v>
      </c>
      <c r="H78" s="1404" t="s">
        <v>798</v>
      </c>
      <c r="I78" s="1398"/>
    </row>
    <row r="79" spans="1:9" ht="14.25" hidden="1" thickTop="1" thickBot="1" x14ac:dyDescent="0.25">
      <c r="A79" s="1297">
        <v>1</v>
      </c>
      <c r="B79" s="1296">
        <v>2</v>
      </c>
      <c r="C79" s="1296">
        <v>3</v>
      </c>
      <c r="D79" s="1296">
        <v>5</v>
      </c>
      <c r="E79" s="1295">
        <v>6</v>
      </c>
      <c r="F79" s="1295">
        <v>7</v>
      </c>
      <c r="G79" s="1446">
        <v>8</v>
      </c>
      <c r="H79" s="1383" t="s">
        <v>689</v>
      </c>
      <c r="I79" s="1398"/>
    </row>
    <row r="80" spans="1:9" ht="30.75" hidden="1" thickTop="1" x14ac:dyDescent="0.2">
      <c r="A80" s="1463">
        <v>3299</v>
      </c>
      <c r="B80" s="1469">
        <v>5336</v>
      </c>
      <c r="C80" s="1469">
        <v>32133006</v>
      </c>
      <c r="D80" s="1405" t="s">
        <v>1131</v>
      </c>
      <c r="E80" s="1401">
        <v>0</v>
      </c>
      <c r="F80" s="1401"/>
      <c r="G80" s="1456"/>
      <c r="H80" s="1388" t="e">
        <f>G80/F80*100</f>
        <v>#DIV/0!</v>
      </c>
      <c r="I80" s="1398"/>
    </row>
    <row r="81" spans="1:9" ht="30" hidden="1" x14ac:dyDescent="0.2">
      <c r="A81" s="1463">
        <v>3299</v>
      </c>
      <c r="B81" s="1469">
        <v>5336</v>
      </c>
      <c r="C81" s="1469">
        <v>32533006</v>
      </c>
      <c r="D81" s="1405" t="s">
        <v>1131</v>
      </c>
      <c r="E81" s="1414">
        <v>0</v>
      </c>
      <c r="F81" s="1414"/>
      <c r="G81" s="1453"/>
      <c r="H81" s="1390" t="e">
        <f>G81/F81*100</f>
        <v>#DIV/0!</v>
      </c>
      <c r="I81" s="1398"/>
    </row>
    <row r="82" spans="1:9" ht="30" hidden="1" x14ac:dyDescent="0.2">
      <c r="A82" s="1463">
        <v>3299</v>
      </c>
      <c r="B82" s="1469">
        <v>6351</v>
      </c>
      <c r="C82" s="1469">
        <v>32133006</v>
      </c>
      <c r="D82" s="1481" t="s">
        <v>1145</v>
      </c>
      <c r="E82" s="1414">
        <v>0</v>
      </c>
      <c r="F82" s="1414"/>
      <c r="G82" s="1453"/>
      <c r="H82" s="1390" t="e">
        <f>G82/F82*100</f>
        <v>#DIV/0!</v>
      </c>
      <c r="I82" s="1398"/>
    </row>
    <row r="83" spans="1:9" ht="30.75" hidden="1" thickBot="1" x14ac:dyDescent="0.25">
      <c r="A83" s="1482">
        <v>3299</v>
      </c>
      <c r="B83" s="1483">
        <v>6351</v>
      </c>
      <c r="C83" s="1483">
        <v>32533006</v>
      </c>
      <c r="D83" s="1481" t="s">
        <v>1145</v>
      </c>
      <c r="E83" s="1414">
        <v>0</v>
      </c>
      <c r="F83" s="1414"/>
      <c r="G83" s="1453"/>
      <c r="H83" s="1390" t="e">
        <f>G83/F83*100</f>
        <v>#DIV/0!</v>
      </c>
      <c r="I83" s="1398"/>
    </row>
    <row r="84" spans="1:9" ht="16.5" hidden="1" thickTop="1" thickBot="1" x14ac:dyDescent="0.3">
      <c r="A84" s="1406" t="s">
        <v>690</v>
      </c>
      <c r="B84" s="1407"/>
      <c r="C84" s="1407"/>
      <c r="D84" s="1408"/>
      <c r="E84" s="1387">
        <f>SUM(E80:E81)</f>
        <v>0</v>
      </c>
      <c r="F84" s="1387">
        <f>SUM(F80:F83)</f>
        <v>0</v>
      </c>
      <c r="G84" s="1387">
        <f>SUM(G80:G83)</f>
        <v>0</v>
      </c>
      <c r="H84" s="1391" t="e">
        <f>G84/F84*100</f>
        <v>#DIV/0!</v>
      </c>
      <c r="I84" s="1398"/>
    </row>
    <row r="85" spans="1:9" hidden="1" x14ac:dyDescent="0.2">
      <c r="I85" s="1398"/>
    </row>
    <row r="86" spans="1:9" ht="15" hidden="1" x14ac:dyDescent="0.25">
      <c r="A86" s="1377" t="s">
        <v>501</v>
      </c>
      <c r="D86" s="1371"/>
      <c r="E86" s="1372"/>
      <c r="H86" s="1398"/>
      <c r="I86" s="1398"/>
    </row>
    <row r="87" spans="1:9" ht="15" hidden="1" x14ac:dyDescent="0.25">
      <c r="A87" s="1377" t="s">
        <v>502</v>
      </c>
      <c r="D87" s="1371"/>
      <c r="E87" s="1372"/>
      <c r="H87" s="1459" t="s">
        <v>148</v>
      </c>
      <c r="I87" s="1398"/>
    </row>
    <row r="88" spans="1:9" ht="25.5" hidden="1" thickTop="1" thickBot="1" x14ac:dyDescent="0.25">
      <c r="A88" s="1378" t="s">
        <v>149</v>
      </c>
      <c r="B88" s="1379" t="s">
        <v>688</v>
      </c>
      <c r="C88" s="1379" t="s">
        <v>345</v>
      </c>
      <c r="D88" s="1380" t="s">
        <v>151</v>
      </c>
      <c r="E88" s="1402" t="s">
        <v>569</v>
      </c>
      <c r="F88" s="1402" t="s">
        <v>570</v>
      </c>
      <c r="G88" s="1403" t="s">
        <v>797</v>
      </c>
      <c r="H88" s="1404" t="s">
        <v>798</v>
      </c>
      <c r="I88" s="1398"/>
    </row>
    <row r="89" spans="1:9" ht="14.25" hidden="1" thickTop="1" thickBot="1" x14ac:dyDescent="0.25">
      <c r="A89" s="1297">
        <v>1</v>
      </c>
      <c r="B89" s="1296">
        <v>2</v>
      </c>
      <c r="C89" s="1296">
        <v>3</v>
      </c>
      <c r="D89" s="1296">
        <v>5</v>
      </c>
      <c r="E89" s="1295">
        <v>6</v>
      </c>
      <c r="F89" s="1295">
        <v>7</v>
      </c>
      <c r="G89" s="1446">
        <v>8</v>
      </c>
      <c r="H89" s="1383" t="s">
        <v>689</v>
      </c>
      <c r="I89" s="1398"/>
    </row>
    <row r="90" spans="1:9" ht="30.75" hidden="1" thickTop="1" x14ac:dyDescent="0.2">
      <c r="A90" s="1463">
        <v>3299</v>
      </c>
      <c r="B90" s="1469">
        <v>5336</v>
      </c>
      <c r="C90" s="1469">
        <v>32133006</v>
      </c>
      <c r="D90" s="1405" t="s">
        <v>1131</v>
      </c>
      <c r="E90" s="1401">
        <v>0</v>
      </c>
      <c r="F90" s="1401"/>
      <c r="G90" s="1456"/>
      <c r="H90" s="1388" t="e">
        <f>G90/F90*100</f>
        <v>#DIV/0!</v>
      </c>
      <c r="I90" s="1398"/>
    </row>
    <row r="91" spans="1:9" ht="30" hidden="1" x14ac:dyDescent="0.2">
      <c r="A91" s="1463">
        <v>3299</v>
      </c>
      <c r="B91" s="1469">
        <v>5336</v>
      </c>
      <c r="C91" s="1469">
        <v>32533006</v>
      </c>
      <c r="D91" s="1405" t="s">
        <v>1131</v>
      </c>
      <c r="E91" s="1414">
        <v>0</v>
      </c>
      <c r="F91" s="1414"/>
      <c r="G91" s="1453"/>
      <c r="H91" s="1390" t="e">
        <f>G91/F91*100</f>
        <v>#DIV/0!</v>
      </c>
      <c r="I91" s="1398"/>
    </row>
    <row r="92" spans="1:9" ht="16.5" hidden="1" thickTop="1" thickBot="1" x14ac:dyDescent="0.3">
      <c r="A92" s="1406" t="s">
        <v>690</v>
      </c>
      <c r="B92" s="1407"/>
      <c r="C92" s="1407"/>
      <c r="D92" s="1408"/>
      <c r="E92" s="1387">
        <f>SUM(E90:E91)</f>
        <v>0</v>
      </c>
      <c r="F92" s="1387">
        <f>SUM(F90:F91)</f>
        <v>0</v>
      </c>
      <c r="G92" s="1387">
        <f>SUM(G90:G91)</f>
        <v>0</v>
      </c>
      <c r="H92" s="1391" t="e">
        <f>G92/F92*100</f>
        <v>#DIV/0!</v>
      </c>
      <c r="I92" s="1398"/>
    </row>
    <row r="93" spans="1:9" hidden="1" x14ac:dyDescent="0.2">
      <c r="I93" s="1398"/>
    </row>
    <row r="94" spans="1:9" ht="15" hidden="1" x14ac:dyDescent="0.25">
      <c r="A94" s="1377" t="s">
        <v>1135</v>
      </c>
      <c r="D94" s="1371"/>
      <c r="E94" s="1372"/>
      <c r="H94" s="1398"/>
      <c r="I94" s="1398"/>
    </row>
    <row r="95" spans="1:9" ht="15" hidden="1" x14ac:dyDescent="0.25">
      <c r="A95" s="1377" t="s">
        <v>1136</v>
      </c>
      <c r="D95" s="1371"/>
      <c r="E95" s="1372"/>
      <c r="H95" s="1398" t="s">
        <v>148</v>
      </c>
      <c r="I95" s="1398"/>
    </row>
    <row r="96" spans="1:9" ht="25.5" hidden="1" thickTop="1" thickBot="1" x14ac:dyDescent="0.25">
      <c r="A96" s="1378" t="s">
        <v>149</v>
      </c>
      <c r="B96" s="1379" t="s">
        <v>688</v>
      </c>
      <c r="C96" s="1379" t="s">
        <v>345</v>
      </c>
      <c r="D96" s="1380" t="s">
        <v>151</v>
      </c>
      <c r="E96" s="1402" t="s">
        <v>569</v>
      </c>
      <c r="F96" s="1402" t="s">
        <v>570</v>
      </c>
      <c r="G96" s="1403" t="s">
        <v>797</v>
      </c>
      <c r="H96" s="1404" t="s">
        <v>798</v>
      </c>
      <c r="I96" s="1398"/>
    </row>
    <row r="97" spans="1:9" ht="14.25" hidden="1" thickTop="1" thickBot="1" x14ac:dyDescent="0.25">
      <c r="A97" s="1297">
        <v>1</v>
      </c>
      <c r="B97" s="1296">
        <v>2</v>
      </c>
      <c r="C97" s="1296">
        <v>3</v>
      </c>
      <c r="D97" s="1296">
        <v>5</v>
      </c>
      <c r="E97" s="1295">
        <v>6</v>
      </c>
      <c r="F97" s="1295">
        <v>7</v>
      </c>
      <c r="G97" s="1446">
        <v>8</v>
      </c>
      <c r="H97" s="1383" t="s">
        <v>689</v>
      </c>
      <c r="I97" s="1398"/>
    </row>
    <row r="98" spans="1:9" ht="30.75" hidden="1" thickTop="1" x14ac:dyDescent="0.2">
      <c r="A98" s="1463">
        <v>3299</v>
      </c>
      <c r="B98" s="1484">
        <v>5336</v>
      </c>
      <c r="C98" s="1469">
        <v>32133006</v>
      </c>
      <c r="D98" s="1405" t="s">
        <v>1222</v>
      </c>
      <c r="E98" s="1401">
        <v>0</v>
      </c>
      <c r="F98" s="1401">
        <v>0</v>
      </c>
      <c r="G98" s="1456">
        <v>0</v>
      </c>
      <c r="H98" s="1388" t="e">
        <f>G98/F98*100</f>
        <v>#DIV/0!</v>
      </c>
      <c r="I98" s="1398"/>
    </row>
    <row r="99" spans="1:9" ht="30" hidden="1" x14ac:dyDescent="0.2">
      <c r="A99" s="1463">
        <v>3299</v>
      </c>
      <c r="B99" s="1484">
        <v>5336</v>
      </c>
      <c r="C99" s="1469">
        <v>32533006</v>
      </c>
      <c r="D99" s="1405" t="s">
        <v>1222</v>
      </c>
      <c r="E99" s="1414">
        <v>0</v>
      </c>
      <c r="F99" s="1414">
        <v>0</v>
      </c>
      <c r="G99" s="1453">
        <v>0</v>
      </c>
      <c r="H99" s="1390" t="e">
        <f>G99/F99*100</f>
        <v>#DIV/0!</v>
      </c>
      <c r="I99" s="1398"/>
    </row>
    <row r="100" spans="1:9" ht="16.5" hidden="1" thickTop="1" thickBot="1" x14ac:dyDescent="0.3">
      <c r="A100" s="1406" t="s">
        <v>690</v>
      </c>
      <c r="B100" s="1407"/>
      <c r="C100" s="1407"/>
      <c r="D100" s="1408"/>
      <c r="E100" s="1387">
        <f>SUM(E98:E99)</f>
        <v>0</v>
      </c>
      <c r="F100" s="1387">
        <f>SUM(F98:F99)</f>
        <v>0</v>
      </c>
      <c r="G100" s="1387">
        <f>SUM(G98:G99)</f>
        <v>0</v>
      </c>
      <c r="H100" s="1391" t="e">
        <f>G100/F100*100</f>
        <v>#DIV/0!</v>
      </c>
      <c r="I100" s="1398"/>
    </row>
    <row r="101" spans="1:9" hidden="1" x14ac:dyDescent="0.2">
      <c r="I101" s="1398"/>
    </row>
    <row r="102" spans="1:9" ht="15" hidden="1" x14ac:dyDescent="0.25">
      <c r="A102" s="1377" t="s">
        <v>1137</v>
      </c>
      <c r="D102" s="1371"/>
      <c r="E102" s="1372"/>
      <c r="H102" s="1398"/>
      <c r="I102" s="1398"/>
    </row>
    <row r="103" spans="1:9" ht="15" hidden="1" x14ac:dyDescent="0.25">
      <c r="A103" s="1377" t="s">
        <v>1138</v>
      </c>
      <c r="D103" s="1371"/>
      <c r="E103" s="1372"/>
      <c r="H103" s="1398" t="s">
        <v>148</v>
      </c>
      <c r="I103" s="1398"/>
    </row>
    <row r="104" spans="1:9" ht="25.5" hidden="1" thickTop="1" thickBot="1" x14ac:dyDescent="0.25">
      <c r="A104" s="1378" t="s">
        <v>149</v>
      </c>
      <c r="B104" s="1379" t="s">
        <v>688</v>
      </c>
      <c r="C104" s="1379" t="s">
        <v>345</v>
      </c>
      <c r="D104" s="1380" t="s">
        <v>151</v>
      </c>
      <c r="E104" s="1402" t="s">
        <v>569</v>
      </c>
      <c r="F104" s="1402" t="s">
        <v>570</v>
      </c>
      <c r="G104" s="1403" t="s">
        <v>797</v>
      </c>
      <c r="H104" s="1404" t="s">
        <v>798</v>
      </c>
      <c r="I104" s="1398"/>
    </row>
    <row r="105" spans="1:9" ht="14.25" hidden="1" thickTop="1" thickBot="1" x14ac:dyDescent="0.25">
      <c r="A105" s="1297">
        <v>1</v>
      </c>
      <c r="B105" s="1296">
        <v>2</v>
      </c>
      <c r="C105" s="1296">
        <v>3</v>
      </c>
      <c r="D105" s="1296">
        <v>5</v>
      </c>
      <c r="E105" s="1295">
        <v>6</v>
      </c>
      <c r="F105" s="1295">
        <v>7</v>
      </c>
      <c r="G105" s="1446">
        <v>8</v>
      </c>
      <c r="H105" s="1383" t="s">
        <v>689</v>
      </c>
      <c r="I105" s="1398"/>
    </row>
    <row r="106" spans="1:9" ht="30.75" hidden="1" thickTop="1" x14ac:dyDescent="0.2">
      <c r="A106" s="1463">
        <v>3299</v>
      </c>
      <c r="B106" s="1484">
        <v>5336</v>
      </c>
      <c r="C106" s="1469">
        <v>32133006</v>
      </c>
      <c r="D106" s="1405" t="s">
        <v>1222</v>
      </c>
      <c r="E106" s="1401">
        <v>0</v>
      </c>
      <c r="F106" s="1401">
        <v>0</v>
      </c>
      <c r="G106" s="1456">
        <v>0</v>
      </c>
      <c r="H106" s="1388" t="e">
        <f>G106/F106*100</f>
        <v>#DIV/0!</v>
      </c>
      <c r="I106" s="1398"/>
    </row>
    <row r="107" spans="1:9" ht="30" hidden="1" x14ac:dyDescent="0.2">
      <c r="A107" s="1463">
        <v>3299</v>
      </c>
      <c r="B107" s="1484">
        <v>5336</v>
      </c>
      <c r="C107" s="1469">
        <v>32533006</v>
      </c>
      <c r="D107" s="1405" t="s">
        <v>1222</v>
      </c>
      <c r="E107" s="1414">
        <v>0</v>
      </c>
      <c r="F107" s="1414">
        <v>0</v>
      </c>
      <c r="G107" s="1453">
        <v>0</v>
      </c>
      <c r="H107" s="1390" t="e">
        <f>G107/F107*100</f>
        <v>#DIV/0!</v>
      </c>
      <c r="I107" s="1398"/>
    </row>
    <row r="108" spans="1:9" ht="16.5" hidden="1" thickTop="1" thickBot="1" x14ac:dyDescent="0.3">
      <c r="A108" s="1406" t="s">
        <v>690</v>
      </c>
      <c r="B108" s="1407"/>
      <c r="C108" s="1407"/>
      <c r="D108" s="1408"/>
      <c r="E108" s="1387">
        <f>SUM(E106:E107)</f>
        <v>0</v>
      </c>
      <c r="F108" s="1387">
        <f>SUM(F106:F107)</f>
        <v>0</v>
      </c>
      <c r="G108" s="1387">
        <f>SUM(G106:G107)</f>
        <v>0</v>
      </c>
      <c r="H108" s="1391" t="e">
        <f>G108/F108*100</f>
        <v>#DIV/0!</v>
      </c>
      <c r="I108" s="1398"/>
    </row>
    <row r="109" spans="1:9" hidden="1" x14ac:dyDescent="0.2">
      <c r="I109" s="1398"/>
    </row>
    <row r="110" spans="1:9" ht="15" hidden="1" x14ac:dyDescent="0.25">
      <c r="A110" s="1377" t="s">
        <v>1139</v>
      </c>
      <c r="D110" s="1371"/>
      <c r="E110" s="1372"/>
      <c r="H110" s="1398"/>
      <c r="I110" s="1398"/>
    </row>
    <row r="111" spans="1:9" ht="15" hidden="1" x14ac:dyDescent="0.25">
      <c r="A111" s="1377" t="s">
        <v>1140</v>
      </c>
      <c r="D111" s="1371"/>
      <c r="E111" s="1372"/>
      <c r="H111" s="1398" t="s">
        <v>148</v>
      </c>
      <c r="I111" s="1398"/>
    </row>
    <row r="112" spans="1:9" ht="25.5" hidden="1" thickTop="1" thickBot="1" x14ac:dyDescent="0.25">
      <c r="A112" s="1378" t="s">
        <v>149</v>
      </c>
      <c r="B112" s="1379" t="s">
        <v>688</v>
      </c>
      <c r="C112" s="1379" t="s">
        <v>345</v>
      </c>
      <c r="D112" s="1380" t="s">
        <v>151</v>
      </c>
      <c r="E112" s="1402" t="s">
        <v>569</v>
      </c>
      <c r="F112" s="1402" t="s">
        <v>570</v>
      </c>
      <c r="G112" s="1403" t="s">
        <v>797</v>
      </c>
      <c r="H112" s="1404" t="s">
        <v>798</v>
      </c>
      <c r="I112" s="1398"/>
    </row>
    <row r="113" spans="1:9" ht="14.25" hidden="1" thickTop="1" thickBot="1" x14ac:dyDescent="0.25">
      <c r="A113" s="1297">
        <v>1</v>
      </c>
      <c r="B113" s="1296">
        <v>2</v>
      </c>
      <c r="C113" s="1296">
        <v>3</v>
      </c>
      <c r="D113" s="1296">
        <v>5</v>
      </c>
      <c r="E113" s="1295">
        <v>6</v>
      </c>
      <c r="F113" s="1295">
        <v>7</v>
      </c>
      <c r="G113" s="1446">
        <v>8</v>
      </c>
      <c r="H113" s="1383" t="s">
        <v>689</v>
      </c>
      <c r="I113" s="1398"/>
    </row>
    <row r="114" spans="1:9" ht="30.75" hidden="1" thickTop="1" x14ac:dyDescent="0.2">
      <c r="A114" s="1463">
        <v>3299</v>
      </c>
      <c r="B114" s="1484">
        <v>5336</v>
      </c>
      <c r="C114" s="1469">
        <v>32133006</v>
      </c>
      <c r="D114" s="1405" t="s">
        <v>1222</v>
      </c>
      <c r="E114" s="1401">
        <v>0</v>
      </c>
      <c r="F114" s="1401">
        <v>0</v>
      </c>
      <c r="G114" s="1456">
        <v>0</v>
      </c>
      <c r="H114" s="1388" t="e">
        <f>G114/F114*100</f>
        <v>#DIV/0!</v>
      </c>
      <c r="I114" s="1398"/>
    </row>
    <row r="115" spans="1:9" ht="30" hidden="1" x14ac:dyDescent="0.2">
      <c r="A115" s="1463">
        <v>3299</v>
      </c>
      <c r="B115" s="1484">
        <v>5336</v>
      </c>
      <c r="C115" s="1469">
        <v>32533006</v>
      </c>
      <c r="D115" s="1405" t="s">
        <v>1222</v>
      </c>
      <c r="E115" s="1414">
        <v>0</v>
      </c>
      <c r="F115" s="1414">
        <v>0</v>
      </c>
      <c r="G115" s="1453">
        <v>0</v>
      </c>
      <c r="H115" s="1390" t="e">
        <f>G115/F115*100</f>
        <v>#DIV/0!</v>
      </c>
      <c r="I115" s="1398"/>
    </row>
    <row r="116" spans="1:9" ht="16.5" hidden="1" thickTop="1" thickBot="1" x14ac:dyDescent="0.3">
      <c r="A116" s="1406" t="s">
        <v>690</v>
      </c>
      <c r="B116" s="1407"/>
      <c r="C116" s="1407"/>
      <c r="D116" s="1408"/>
      <c r="E116" s="1387">
        <f>SUM(E114:E115)</f>
        <v>0</v>
      </c>
      <c r="F116" s="1387">
        <f>SUM(F114:F115)</f>
        <v>0</v>
      </c>
      <c r="G116" s="1387">
        <f>SUM(G114:G115)</f>
        <v>0</v>
      </c>
      <c r="H116" s="1391" t="e">
        <f>G116/F116*100</f>
        <v>#DIV/0!</v>
      </c>
      <c r="I116" s="1398"/>
    </row>
    <row r="117" spans="1:9" hidden="1" x14ac:dyDescent="0.2">
      <c r="I117" s="1398"/>
    </row>
    <row r="118" spans="1:9" ht="15" hidden="1" x14ac:dyDescent="0.25">
      <c r="A118" s="1377" t="s">
        <v>1141</v>
      </c>
      <c r="D118" s="1371"/>
      <c r="E118" s="1372"/>
      <c r="H118" s="1398"/>
      <c r="I118" s="1398"/>
    </row>
    <row r="119" spans="1:9" ht="15" hidden="1" x14ac:dyDescent="0.25">
      <c r="A119" s="1377" t="s">
        <v>1142</v>
      </c>
      <c r="D119" s="1371"/>
      <c r="E119" s="1372"/>
      <c r="H119" s="1398" t="s">
        <v>148</v>
      </c>
      <c r="I119" s="1398"/>
    </row>
    <row r="120" spans="1:9" ht="25.5" hidden="1" thickTop="1" thickBot="1" x14ac:dyDescent="0.25">
      <c r="A120" s="1378" t="s">
        <v>149</v>
      </c>
      <c r="B120" s="1379" t="s">
        <v>688</v>
      </c>
      <c r="C120" s="1379" t="s">
        <v>345</v>
      </c>
      <c r="D120" s="1380" t="s">
        <v>151</v>
      </c>
      <c r="E120" s="1402" t="s">
        <v>569</v>
      </c>
      <c r="F120" s="1402" t="s">
        <v>570</v>
      </c>
      <c r="G120" s="1403" t="s">
        <v>797</v>
      </c>
      <c r="H120" s="1404" t="s">
        <v>798</v>
      </c>
      <c r="I120" s="1398"/>
    </row>
    <row r="121" spans="1:9" ht="14.25" hidden="1" thickTop="1" thickBot="1" x14ac:dyDescent="0.25">
      <c r="A121" s="1297">
        <v>1</v>
      </c>
      <c r="B121" s="1296">
        <v>2</v>
      </c>
      <c r="C121" s="1296">
        <v>3</v>
      </c>
      <c r="D121" s="1296">
        <v>5</v>
      </c>
      <c r="E121" s="1295">
        <v>6</v>
      </c>
      <c r="F121" s="1295">
        <v>7</v>
      </c>
      <c r="G121" s="1446">
        <v>8</v>
      </c>
      <c r="H121" s="1383" t="s">
        <v>689</v>
      </c>
      <c r="I121" s="1398"/>
    </row>
    <row r="122" spans="1:9" ht="30.75" hidden="1" thickTop="1" x14ac:dyDescent="0.2">
      <c r="A122" s="1463">
        <v>3299</v>
      </c>
      <c r="B122" s="1484">
        <v>5336</v>
      </c>
      <c r="C122" s="1469">
        <v>32133006</v>
      </c>
      <c r="D122" s="1405" t="s">
        <v>1222</v>
      </c>
      <c r="E122" s="1401">
        <v>0</v>
      </c>
      <c r="F122" s="1401">
        <v>0</v>
      </c>
      <c r="G122" s="1456">
        <v>0</v>
      </c>
      <c r="H122" s="1388" t="e">
        <f>G122/F122*100</f>
        <v>#DIV/0!</v>
      </c>
      <c r="I122" s="1398"/>
    </row>
    <row r="123" spans="1:9" ht="30" hidden="1" x14ac:dyDescent="0.2">
      <c r="A123" s="1463">
        <v>3299</v>
      </c>
      <c r="B123" s="1484">
        <v>5336</v>
      </c>
      <c r="C123" s="1469">
        <v>32533006</v>
      </c>
      <c r="D123" s="1405" t="s">
        <v>1222</v>
      </c>
      <c r="E123" s="1414">
        <v>0</v>
      </c>
      <c r="F123" s="1414">
        <v>0</v>
      </c>
      <c r="G123" s="1453">
        <v>0</v>
      </c>
      <c r="H123" s="1390" t="e">
        <f>G123/F123*100</f>
        <v>#DIV/0!</v>
      </c>
      <c r="I123" s="1398"/>
    </row>
    <row r="124" spans="1:9" ht="16.5" hidden="1" thickTop="1" thickBot="1" x14ac:dyDescent="0.3">
      <c r="A124" s="1406" t="s">
        <v>690</v>
      </c>
      <c r="B124" s="1407"/>
      <c r="C124" s="1407"/>
      <c r="D124" s="1408"/>
      <c r="E124" s="1387">
        <f>SUM(E122:E123)</f>
        <v>0</v>
      </c>
      <c r="F124" s="1387">
        <f>SUM(F122:F123)</f>
        <v>0</v>
      </c>
      <c r="G124" s="1387">
        <f>SUM(G122:G123)</f>
        <v>0</v>
      </c>
      <c r="H124" s="1391" t="e">
        <f>G124/F124*100</f>
        <v>#DIV/0!</v>
      </c>
      <c r="I124" s="1398"/>
    </row>
    <row r="125" spans="1:9" hidden="1" x14ac:dyDescent="0.2">
      <c r="I125" s="1398"/>
    </row>
    <row r="126" spans="1:9" ht="15" hidden="1" x14ac:dyDescent="0.25">
      <c r="A126" s="1377" t="s">
        <v>1362</v>
      </c>
      <c r="D126" s="1371"/>
      <c r="E126" s="1372"/>
      <c r="H126" s="1398"/>
      <c r="I126" s="1398"/>
    </row>
    <row r="127" spans="1:9" ht="15" hidden="1" x14ac:dyDescent="0.25">
      <c r="A127" s="1377" t="s">
        <v>503</v>
      </c>
      <c r="D127" s="1371"/>
      <c r="E127" s="1372"/>
      <c r="H127" s="1459" t="s">
        <v>148</v>
      </c>
      <c r="I127" s="1398"/>
    </row>
    <row r="128" spans="1:9" ht="25.5" hidden="1" thickTop="1" thickBot="1" x14ac:dyDescent="0.25">
      <c r="A128" s="1378" t="s">
        <v>149</v>
      </c>
      <c r="B128" s="1379" t="s">
        <v>688</v>
      </c>
      <c r="C128" s="1379" t="s">
        <v>345</v>
      </c>
      <c r="D128" s="1380" t="s">
        <v>151</v>
      </c>
      <c r="E128" s="1402" t="s">
        <v>569</v>
      </c>
      <c r="F128" s="1402" t="s">
        <v>570</v>
      </c>
      <c r="G128" s="1403" t="s">
        <v>797</v>
      </c>
      <c r="H128" s="1404" t="s">
        <v>798</v>
      </c>
      <c r="I128" s="1398"/>
    </row>
    <row r="129" spans="1:9" ht="14.25" hidden="1" thickTop="1" thickBot="1" x14ac:dyDescent="0.25">
      <c r="A129" s="1297">
        <v>1</v>
      </c>
      <c r="B129" s="1296">
        <v>2</v>
      </c>
      <c r="C129" s="1296">
        <v>3</v>
      </c>
      <c r="D129" s="1296">
        <v>5</v>
      </c>
      <c r="E129" s="1295">
        <v>6</v>
      </c>
      <c r="F129" s="1295">
        <v>7</v>
      </c>
      <c r="G129" s="1446">
        <v>8</v>
      </c>
      <c r="H129" s="1383" t="s">
        <v>689</v>
      </c>
      <c r="I129" s="1398"/>
    </row>
    <row r="130" spans="1:9" ht="30.75" hidden="1" thickTop="1" x14ac:dyDescent="0.2">
      <c r="A130" s="1463">
        <v>3299</v>
      </c>
      <c r="B130" s="1484">
        <v>5336</v>
      </c>
      <c r="C130" s="1469">
        <v>32133006</v>
      </c>
      <c r="D130" s="1405" t="s">
        <v>1131</v>
      </c>
      <c r="E130" s="1401">
        <v>0</v>
      </c>
      <c r="F130" s="1401"/>
      <c r="G130" s="1456"/>
      <c r="H130" s="1388" t="e">
        <f>G130/F130*100</f>
        <v>#DIV/0!</v>
      </c>
      <c r="I130" s="1398"/>
    </row>
    <row r="131" spans="1:9" ht="30" hidden="1" x14ac:dyDescent="0.2">
      <c r="A131" s="1463">
        <v>3299</v>
      </c>
      <c r="B131" s="1484">
        <v>5336</v>
      </c>
      <c r="C131" s="1469">
        <v>32533006</v>
      </c>
      <c r="D131" s="1405" t="s">
        <v>1131</v>
      </c>
      <c r="E131" s="1414">
        <v>0</v>
      </c>
      <c r="F131" s="1414"/>
      <c r="G131" s="1453"/>
      <c r="H131" s="1390" t="e">
        <f>G131/F131*100</f>
        <v>#DIV/0!</v>
      </c>
      <c r="I131" s="1398"/>
    </row>
    <row r="132" spans="1:9" ht="30" hidden="1" x14ac:dyDescent="0.2">
      <c r="A132" s="1463">
        <v>3299</v>
      </c>
      <c r="B132" s="1469">
        <v>6351</v>
      </c>
      <c r="C132" s="1469">
        <v>32133006</v>
      </c>
      <c r="D132" s="1481" t="s">
        <v>1145</v>
      </c>
      <c r="E132" s="1414">
        <v>0</v>
      </c>
      <c r="F132" s="1414"/>
      <c r="G132" s="1453"/>
      <c r="H132" s="1390" t="e">
        <f>G132/F132*100</f>
        <v>#DIV/0!</v>
      </c>
      <c r="I132" s="1398"/>
    </row>
    <row r="133" spans="1:9" ht="30.75" hidden="1" thickBot="1" x14ac:dyDescent="0.25">
      <c r="A133" s="1482">
        <v>3299</v>
      </c>
      <c r="B133" s="1483">
        <v>6351</v>
      </c>
      <c r="C133" s="1483">
        <v>32533006</v>
      </c>
      <c r="D133" s="1481" t="s">
        <v>1145</v>
      </c>
      <c r="E133" s="1414">
        <v>0</v>
      </c>
      <c r="F133" s="1414"/>
      <c r="G133" s="1453"/>
      <c r="H133" s="1390" t="e">
        <f>G133/F133*100</f>
        <v>#DIV/0!</v>
      </c>
      <c r="I133" s="1398"/>
    </row>
    <row r="134" spans="1:9" ht="16.5" hidden="1" thickTop="1" thickBot="1" x14ac:dyDescent="0.3">
      <c r="A134" s="1406" t="s">
        <v>690</v>
      </c>
      <c r="B134" s="1407"/>
      <c r="C134" s="1407"/>
      <c r="D134" s="1408"/>
      <c r="E134" s="1387">
        <f>SUM(E130:E131)</f>
        <v>0</v>
      </c>
      <c r="F134" s="1387">
        <f>SUM(F130:F133)</f>
        <v>0</v>
      </c>
      <c r="G134" s="1387">
        <f>SUM(G130:G133)</f>
        <v>0</v>
      </c>
      <c r="H134" s="1391" t="e">
        <f>G134/F134*100</f>
        <v>#DIV/0!</v>
      </c>
      <c r="I134" s="1398"/>
    </row>
    <row r="135" spans="1:9" hidden="1" x14ac:dyDescent="0.2">
      <c r="I135" s="1398"/>
    </row>
    <row r="136" spans="1:9" ht="15" hidden="1" x14ac:dyDescent="0.25">
      <c r="A136" s="1377" t="s">
        <v>1417</v>
      </c>
      <c r="D136" s="1371"/>
      <c r="E136" s="1372"/>
      <c r="H136" s="1398"/>
      <c r="I136" s="1398"/>
    </row>
    <row r="137" spans="1:9" ht="15" hidden="1" x14ac:dyDescent="0.25">
      <c r="A137" s="1377" t="s">
        <v>172</v>
      </c>
      <c r="D137" s="1371"/>
      <c r="E137" s="1372"/>
      <c r="H137" s="1459" t="s">
        <v>148</v>
      </c>
      <c r="I137" s="1398"/>
    </row>
    <row r="138" spans="1:9" ht="25.5" hidden="1" thickTop="1" thickBot="1" x14ac:dyDescent="0.25">
      <c r="A138" s="1378" t="s">
        <v>149</v>
      </c>
      <c r="B138" s="1379" t="s">
        <v>688</v>
      </c>
      <c r="C138" s="1379" t="s">
        <v>345</v>
      </c>
      <c r="D138" s="1380" t="s">
        <v>151</v>
      </c>
      <c r="E138" s="1402" t="s">
        <v>569</v>
      </c>
      <c r="F138" s="1402" t="s">
        <v>570</v>
      </c>
      <c r="G138" s="1403" t="s">
        <v>797</v>
      </c>
      <c r="H138" s="1404" t="s">
        <v>798</v>
      </c>
      <c r="I138" s="1398"/>
    </row>
    <row r="139" spans="1:9" ht="14.25" hidden="1" thickTop="1" thickBot="1" x14ac:dyDescent="0.25">
      <c r="A139" s="1297">
        <v>1</v>
      </c>
      <c r="B139" s="1296">
        <v>2</v>
      </c>
      <c r="C139" s="1296">
        <v>3</v>
      </c>
      <c r="D139" s="1296">
        <v>5</v>
      </c>
      <c r="E139" s="1295">
        <v>6</v>
      </c>
      <c r="F139" s="1295">
        <v>7</v>
      </c>
      <c r="G139" s="1446">
        <v>8</v>
      </c>
      <c r="H139" s="1383" t="s">
        <v>689</v>
      </c>
      <c r="I139" s="1398"/>
    </row>
    <row r="140" spans="1:9" ht="30.75" hidden="1" thickTop="1" x14ac:dyDescent="0.2">
      <c r="A140" s="1463">
        <v>3299</v>
      </c>
      <c r="B140" s="1484">
        <v>5336</v>
      </c>
      <c r="C140" s="1469">
        <v>32133006</v>
      </c>
      <c r="D140" s="1405" t="s">
        <v>1131</v>
      </c>
      <c r="E140" s="1401">
        <v>0</v>
      </c>
      <c r="F140" s="1401"/>
      <c r="G140" s="1456"/>
      <c r="H140" s="1388" t="e">
        <f>G140/F140*100</f>
        <v>#DIV/0!</v>
      </c>
      <c r="I140" s="1398"/>
    </row>
    <row r="141" spans="1:9" ht="30" hidden="1" x14ac:dyDescent="0.2">
      <c r="A141" s="1463">
        <v>3299</v>
      </c>
      <c r="B141" s="1484">
        <v>5336</v>
      </c>
      <c r="C141" s="1469">
        <v>32533006</v>
      </c>
      <c r="D141" s="1405" t="s">
        <v>1131</v>
      </c>
      <c r="E141" s="1414">
        <v>0</v>
      </c>
      <c r="F141" s="1414"/>
      <c r="G141" s="1453"/>
      <c r="H141" s="1390" t="e">
        <f>G141/F141*100</f>
        <v>#DIV/0!</v>
      </c>
      <c r="I141" s="1398"/>
    </row>
    <row r="142" spans="1:9" ht="30" hidden="1" x14ac:dyDescent="0.2">
      <c r="A142" s="1463">
        <v>3299</v>
      </c>
      <c r="B142" s="1469">
        <v>6351</v>
      </c>
      <c r="C142" s="1469">
        <v>32133006</v>
      </c>
      <c r="D142" s="1481" t="s">
        <v>1145</v>
      </c>
      <c r="E142" s="1414">
        <v>0</v>
      </c>
      <c r="F142" s="1414">
        <v>0</v>
      </c>
      <c r="G142" s="1453">
        <v>0</v>
      </c>
      <c r="H142" s="1390" t="e">
        <f>G142/F142*100</f>
        <v>#DIV/0!</v>
      </c>
      <c r="I142" s="1398"/>
    </row>
    <row r="143" spans="1:9" ht="30.75" hidden="1" thickBot="1" x14ac:dyDescent="0.25">
      <c r="A143" s="1482">
        <v>3299</v>
      </c>
      <c r="B143" s="1483">
        <v>6351</v>
      </c>
      <c r="C143" s="1483">
        <v>32533006</v>
      </c>
      <c r="D143" s="1481" t="s">
        <v>1145</v>
      </c>
      <c r="E143" s="1414">
        <v>0</v>
      </c>
      <c r="F143" s="1414">
        <v>0</v>
      </c>
      <c r="G143" s="1453">
        <v>0</v>
      </c>
      <c r="H143" s="1390" t="e">
        <f>G143/F143*100</f>
        <v>#DIV/0!</v>
      </c>
      <c r="I143" s="1398"/>
    </row>
    <row r="144" spans="1:9" ht="16.5" hidden="1" thickTop="1" thickBot="1" x14ac:dyDescent="0.3">
      <c r="A144" s="1406" t="s">
        <v>690</v>
      </c>
      <c r="B144" s="1407"/>
      <c r="C144" s="1407"/>
      <c r="D144" s="1408"/>
      <c r="E144" s="1387">
        <f>SUM(E140:E141)</f>
        <v>0</v>
      </c>
      <c r="F144" s="1387">
        <f>SUM(F140:F143)</f>
        <v>0</v>
      </c>
      <c r="G144" s="1387">
        <f>SUM(G140:G143)</f>
        <v>0</v>
      </c>
      <c r="H144" s="1391" t="e">
        <f>G144/F144*100</f>
        <v>#DIV/0!</v>
      </c>
      <c r="I144" s="1398"/>
    </row>
    <row r="145" spans="1:9" hidden="1" x14ac:dyDescent="0.2">
      <c r="I145" s="1398"/>
    </row>
    <row r="146" spans="1:9" ht="15" hidden="1" x14ac:dyDescent="0.25">
      <c r="A146" s="1377" t="s">
        <v>46</v>
      </c>
      <c r="D146" s="1371"/>
      <c r="E146" s="1372"/>
      <c r="H146" s="1398"/>
      <c r="I146" s="1398"/>
    </row>
    <row r="147" spans="1:9" ht="15" hidden="1" x14ac:dyDescent="0.25">
      <c r="A147" s="1377" t="s">
        <v>504</v>
      </c>
      <c r="D147" s="1371"/>
      <c r="E147" s="1372"/>
      <c r="H147" s="1459" t="s">
        <v>148</v>
      </c>
      <c r="I147" s="1398"/>
    </row>
    <row r="148" spans="1:9" ht="25.5" hidden="1" thickTop="1" thickBot="1" x14ac:dyDescent="0.25">
      <c r="A148" s="1378" t="s">
        <v>149</v>
      </c>
      <c r="B148" s="1379" t="s">
        <v>688</v>
      </c>
      <c r="C148" s="1379" t="s">
        <v>345</v>
      </c>
      <c r="D148" s="1380" t="s">
        <v>151</v>
      </c>
      <c r="E148" s="1402" t="s">
        <v>569</v>
      </c>
      <c r="F148" s="1402" t="s">
        <v>570</v>
      </c>
      <c r="G148" s="1403" t="s">
        <v>797</v>
      </c>
      <c r="H148" s="1404" t="s">
        <v>798</v>
      </c>
      <c r="I148" s="1398"/>
    </row>
    <row r="149" spans="1:9" ht="14.25" hidden="1" thickTop="1" thickBot="1" x14ac:dyDescent="0.25">
      <c r="A149" s="1297">
        <v>1</v>
      </c>
      <c r="B149" s="1296">
        <v>2</v>
      </c>
      <c r="C149" s="1296">
        <v>3</v>
      </c>
      <c r="D149" s="1296">
        <v>5</v>
      </c>
      <c r="E149" s="1295">
        <v>6</v>
      </c>
      <c r="F149" s="1295">
        <v>7</v>
      </c>
      <c r="G149" s="1446">
        <v>8</v>
      </c>
      <c r="H149" s="1383" t="s">
        <v>689</v>
      </c>
      <c r="I149" s="1398"/>
    </row>
    <row r="150" spans="1:9" ht="30.75" hidden="1" thickTop="1" x14ac:dyDescent="0.2">
      <c r="A150" s="1463">
        <v>3299</v>
      </c>
      <c r="B150" s="1484">
        <v>5336</v>
      </c>
      <c r="C150" s="1469">
        <v>32133006</v>
      </c>
      <c r="D150" s="1405" t="s">
        <v>1131</v>
      </c>
      <c r="E150" s="1401">
        <v>0</v>
      </c>
      <c r="F150" s="1401"/>
      <c r="G150" s="1456"/>
      <c r="H150" s="1388" t="e">
        <f>G150/F150*100</f>
        <v>#DIV/0!</v>
      </c>
      <c r="I150" s="1398"/>
    </row>
    <row r="151" spans="1:9" ht="30" hidden="1" x14ac:dyDescent="0.2">
      <c r="A151" s="1463">
        <v>3299</v>
      </c>
      <c r="B151" s="1484">
        <v>5336</v>
      </c>
      <c r="C151" s="1469">
        <v>32533006</v>
      </c>
      <c r="D151" s="1405" t="s">
        <v>1131</v>
      </c>
      <c r="E151" s="1414">
        <v>0</v>
      </c>
      <c r="F151" s="1414"/>
      <c r="G151" s="1453"/>
      <c r="H151" s="1390" t="e">
        <f>G151/F151*100</f>
        <v>#DIV/0!</v>
      </c>
      <c r="I151" s="1398"/>
    </row>
    <row r="152" spans="1:9" ht="30" hidden="1" x14ac:dyDescent="0.2">
      <c r="A152" s="1463">
        <v>3299</v>
      </c>
      <c r="B152" s="1469">
        <v>6351</v>
      </c>
      <c r="C152" s="1469">
        <v>32133006</v>
      </c>
      <c r="D152" s="1481" t="s">
        <v>1145</v>
      </c>
      <c r="E152" s="1414">
        <v>0</v>
      </c>
      <c r="F152" s="1414">
        <v>0</v>
      </c>
      <c r="G152" s="1453">
        <v>0</v>
      </c>
      <c r="H152" s="1390" t="e">
        <f>G152/F152*100</f>
        <v>#DIV/0!</v>
      </c>
      <c r="I152" s="1398"/>
    </row>
    <row r="153" spans="1:9" ht="30.75" hidden="1" thickBot="1" x14ac:dyDescent="0.25">
      <c r="A153" s="1482">
        <v>3299</v>
      </c>
      <c r="B153" s="1483">
        <v>6351</v>
      </c>
      <c r="C153" s="1483">
        <v>32533006</v>
      </c>
      <c r="D153" s="1481" t="s">
        <v>1145</v>
      </c>
      <c r="E153" s="1414">
        <v>0</v>
      </c>
      <c r="F153" s="1414">
        <v>0</v>
      </c>
      <c r="G153" s="1453">
        <v>0</v>
      </c>
      <c r="H153" s="1390" t="e">
        <f>G153/F153*100</f>
        <v>#DIV/0!</v>
      </c>
      <c r="I153" s="1398"/>
    </row>
    <row r="154" spans="1:9" ht="16.5" hidden="1" thickTop="1" thickBot="1" x14ac:dyDescent="0.3">
      <c r="A154" s="1406" t="s">
        <v>690</v>
      </c>
      <c r="B154" s="1407"/>
      <c r="C154" s="1407"/>
      <c r="D154" s="1408"/>
      <c r="E154" s="1387">
        <f>SUM(E150:E151)</f>
        <v>0</v>
      </c>
      <c r="F154" s="1387">
        <f>SUM(F150:F153)</f>
        <v>0</v>
      </c>
      <c r="G154" s="1387">
        <f>SUM(G150:G153)</f>
        <v>0</v>
      </c>
      <c r="H154" s="1391" t="e">
        <f>G154/F154*100</f>
        <v>#DIV/0!</v>
      </c>
      <c r="I154" s="1398"/>
    </row>
    <row r="155" spans="1:9" hidden="1" x14ac:dyDescent="0.2">
      <c r="I155" s="1398"/>
    </row>
    <row r="156" spans="1:9" ht="15" hidden="1" x14ac:dyDescent="0.25">
      <c r="A156" s="1377" t="s">
        <v>1418</v>
      </c>
      <c r="D156" s="1371"/>
      <c r="E156" s="1372"/>
      <c r="H156" s="1398"/>
      <c r="I156" s="1398"/>
    </row>
    <row r="157" spans="1:9" ht="15" hidden="1" x14ac:dyDescent="0.25">
      <c r="A157" s="1377" t="s">
        <v>174</v>
      </c>
      <c r="D157" s="1371"/>
      <c r="E157" s="1372"/>
      <c r="H157" s="1459" t="s">
        <v>148</v>
      </c>
      <c r="I157" s="1398"/>
    </row>
    <row r="158" spans="1:9" ht="25.5" hidden="1" thickTop="1" thickBot="1" x14ac:dyDescent="0.25">
      <c r="A158" s="1378" t="s">
        <v>149</v>
      </c>
      <c r="B158" s="1379" t="s">
        <v>688</v>
      </c>
      <c r="C158" s="1379" t="s">
        <v>345</v>
      </c>
      <c r="D158" s="1380" t="s">
        <v>151</v>
      </c>
      <c r="E158" s="1402" t="s">
        <v>569</v>
      </c>
      <c r="F158" s="1402" t="s">
        <v>570</v>
      </c>
      <c r="G158" s="1403" t="s">
        <v>797</v>
      </c>
      <c r="H158" s="1404" t="s">
        <v>798</v>
      </c>
      <c r="I158" s="1398"/>
    </row>
    <row r="159" spans="1:9" ht="14.25" hidden="1" thickTop="1" thickBot="1" x14ac:dyDescent="0.25">
      <c r="A159" s="1297">
        <v>1</v>
      </c>
      <c r="B159" s="1296">
        <v>2</v>
      </c>
      <c r="C159" s="1296">
        <v>3</v>
      </c>
      <c r="D159" s="1296">
        <v>5</v>
      </c>
      <c r="E159" s="1295">
        <v>6</v>
      </c>
      <c r="F159" s="1295">
        <v>7</v>
      </c>
      <c r="G159" s="1446">
        <v>8</v>
      </c>
      <c r="H159" s="1383" t="s">
        <v>689</v>
      </c>
      <c r="I159" s="1398"/>
    </row>
    <row r="160" spans="1:9" ht="30.75" hidden="1" thickTop="1" x14ac:dyDescent="0.2">
      <c r="A160" s="1463">
        <v>3299</v>
      </c>
      <c r="B160" s="1484">
        <v>5336</v>
      </c>
      <c r="C160" s="1469">
        <v>32133006</v>
      </c>
      <c r="D160" s="1405" t="s">
        <v>1131</v>
      </c>
      <c r="E160" s="1401">
        <v>0</v>
      </c>
      <c r="F160" s="1401"/>
      <c r="G160" s="1456"/>
      <c r="H160" s="1388" t="e">
        <f>G160/F160*100</f>
        <v>#DIV/0!</v>
      </c>
      <c r="I160" s="1398"/>
    </row>
    <row r="161" spans="1:9" ht="30" hidden="1" x14ac:dyDescent="0.2">
      <c r="A161" s="1463">
        <v>3299</v>
      </c>
      <c r="B161" s="1484">
        <v>5336</v>
      </c>
      <c r="C161" s="1469">
        <v>32533006</v>
      </c>
      <c r="D161" s="1405" t="s">
        <v>1131</v>
      </c>
      <c r="E161" s="1414">
        <v>0</v>
      </c>
      <c r="F161" s="1414"/>
      <c r="G161" s="1453"/>
      <c r="H161" s="1390" t="e">
        <f>G161/F161*100</f>
        <v>#DIV/0!</v>
      </c>
      <c r="I161" s="1398"/>
    </row>
    <row r="162" spans="1:9" ht="16.5" hidden="1" thickTop="1" thickBot="1" x14ac:dyDescent="0.3">
      <c r="A162" s="1406" t="s">
        <v>690</v>
      </c>
      <c r="B162" s="1407"/>
      <c r="C162" s="1407"/>
      <c r="D162" s="1408"/>
      <c r="E162" s="1387">
        <f>SUM(E160:E161)</f>
        <v>0</v>
      </c>
      <c r="F162" s="1387">
        <f>SUM(F160:F161)</f>
        <v>0</v>
      </c>
      <c r="G162" s="1387">
        <f>SUM(G160:G161)</f>
        <v>0</v>
      </c>
      <c r="H162" s="1391" t="e">
        <f>G162/F162*100</f>
        <v>#DIV/0!</v>
      </c>
      <c r="I162" s="1398"/>
    </row>
    <row r="163" spans="1:9" hidden="1" x14ac:dyDescent="0.2">
      <c r="I163" s="1398"/>
    </row>
    <row r="164" spans="1:9" ht="15" hidden="1" x14ac:dyDescent="0.25">
      <c r="A164" s="1377" t="s">
        <v>505</v>
      </c>
      <c r="D164" s="1371"/>
      <c r="E164" s="1372"/>
      <c r="H164" s="1398"/>
      <c r="I164" s="1398"/>
    </row>
    <row r="165" spans="1:9" ht="15" hidden="1" x14ac:dyDescent="0.25">
      <c r="A165" s="1377" t="s">
        <v>506</v>
      </c>
      <c r="D165" s="1371"/>
      <c r="E165" s="1372"/>
      <c r="H165" s="1459" t="s">
        <v>148</v>
      </c>
      <c r="I165" s="1398"/>
    </row>
    <row r="166" spans="1:9" ht="25.5" hidden="1" thickTop="1" thickBot="1" x14ac:dyDescent="0.25">
      <c r="A166" s="1378" t="s">
        <v>149</v>
      </c>
      <c r="B166" s="1379" t="s">
        <v>688</v>
      </c>
      <c r="C166" s="1379" t="s">
        <v>345</v>
      </c>
      <c r="D166" s="1380" t="s">
        <v>151</v>
      </c>
      <c r="E166" s="1402" t="s">
        <v>569</v>
      </c>
      <c r="F166" s="1402" t="s">
        <v>570</v>
      </c>
      <c r="G166" s="1403" t="s">
        <v>797</v>
      </c>
      <c r="H166" s="1404" t="s">
        <v>798</v>
      </c>
      <c r="I166" s="1398"/>
    </row>
    <row r="167" spans="1:9" ht="14.25" hidden="1" thickTop="1" thickBot="1" x14ac:dyDescent="0.25">
      <c r="A167" s="1297">
        <v>1</v>
      </c>
      <c r="B167" s="1296">
        <v>2</v>
      </c>
      <c r="C167" s="1296">
        <v>3</v>
      </c>
      <c r="D167" s="1296">
        <v>5</v>
      </c>
      <c r="E167" s="1295">
        <v>6</v>
      </c>
      <c r="F167" s="1295">
        <v>7</v>
      </c>
      <c r="G167" s="1446">
        <v>8</v>
      </c>
      <c r="H167" s="1383" t="s">
        <v>689</v>
      </c>
      <c r="I167" s="1398"/>
    </row>
    <row r="168" spans="1:9" ht="30.75" hidden="1" thickTop="1" x14ac:dyDescent="0.2">
      <c r="A168" s="1463">
        <v>3299</v>
      </c>
      <c r="B168" s="1484">
        <v>5336</v>
      </c>
      <c r="C168" s="1469">
        <v>32133006</v>
      </c>
      <c r="D168" s="1405" t="s">
        <v>1131</v>
      </c>
      <c r="E168" s="1401">
        <v>0</v>
      </c>
      <c r="F168" s="1401"/>
      <c r="G168" s="1456"/>
      <c r="H168" s="1388" t="e">
        <f>G168/F168*100</f>
        <v>#DIV/0!</v>
      </c>
      <c r="I168" s="1398"/>
    </row>
    <row r="169" spans="1:9" ht="30" hidden="1" x14ac:dyDescent="0.2">
      <c r="A169" s="1463">
        <v>3299</v>
      </c>
      <c r="B169" s="1484">
        <v>5336</v>
      </c>
      <c r="C169" s="1469">
        <v>32533006</v>
      </c>
      <c r="D169" s="1405" t="s">
        <v>1131</v>
      </c>
      <c r="E169" s="1414">
        <v>0</v>
      </c>
      <c r="F169" s="1414"/>
      <c r="G169" s="1453"/>
      <c r="H169" s="1390" t="e">
        <f>G169/F169*100</f>
        <v>#DIV/0!</v>
      </c>
      <c r="I169" s="1398"/>
    </row>
    <row r="170" spans="1:9" ht="16.5" hidden="1" thickTop="1" thickBot="1" x14ac:dyDescent="0.3">
      <c r="A170" s="1406" t="s">
        <v>690</v>
      </c>
      <c r="B170" s="1407"/>
      <c r="C170" s="1407"/>
      <c r="D170" s="1408"/>
      <c r="E170" s="1387">
        <f>SUM(E168:E169)</f>
        <v>0</v>
      </c>
      <c r="F170" s="1387">
        <f>SUM(F168:F169)</f>
        <v>0</v>
      </c>
      <c r="G170" s="1387">
        <f>SUM(G168:G169)</f>
        <v>0</v>
      </c>
      <c r="H170" s="1391" t="e">
        <f>G170/F170*100</f>
        <v>#DIV/0!</v>
      </c>
      <c r="I170" s="1398"/>
    </row>
    <row r="171" spans="1:9" hidden="1" x14ac:dyDescent="0.2">
      <c r="I171" s="1398"/>
    </row>
    <row r="172" spans="1:9" ht="15" hidden="1" x14ac:dyDescent="0.25">
      <c r="A172" s="1377" t="s">
        <v>1419</v>
      </c>
      <c r="D172" s="1371"/>
      <c r="E172" s="1372"/>
      <c r="H172" s="1398"/>
      <c r="I172" s="1398"/>
    </row>
    <row r="173" spans="1:9" ht="15" hidden="1" x14ac:dyDescent="0.25">
      <c r="A173" s="1377" t="s">
        <v>507</v>
      </c>
      <c r="D173" s="1371"/>
      <c r="E173" s="1372"/>
      <c r="H173" s="1459" t="s">
        <v>148</v>
      </c>
      <c r="I173" s="1398"/>
    </row>
    <row r="174" spans="1:9" ht="25.5" hidden="1" thickTop="1" thickBot="1" x14ac:dyDescent="0.25">
      <c r="A174" s="1378" t="s">
        <v>149</v>
      </c>
      <c r="B174" s="1379" t="s">
        <v>688</v>
      </c>
      <c r="C174" s="1379" t="s">
        <v>345</v>
      </c>
      <c r="D174" s="1380" t="s">
        <v>151</v>
      </c>
      <c r="E174" s="1402" t="s">
        <v>569</v>
      </c>
      <c r="F174" s="1402" t="s">
        <v>570</v>
      </c>
      <c r="G174" s="1403" t="s">
        <v>797</v>
      </c>
      <c r="H174" s="1404" t="s">
        <v>798</v>
      </c>
      <c r="I174" s="1398"/>
    </row>
    <row r="175" spans="1:9" ht="14.25" hidden="1" thickTop="1" thickBot="1" x14ac:dyDescent="0.25">
      <c r="A175" s="1297">
        <v>1</v>
      </c>
      <c r="B175" s="1296">
        <v>2</v>
      </c>
      <c r="C175" s="1296">
        <v>3</v>
      </c>
      <c r="D175" s="1296">
        <v>5</v>
      </c>
      <c r="E175" s="1295">
        <v>6</v>
      </c>
      <c r="F175" s="1295">
        <v>7</v>
      </c>
      <c r="G175" s="1446">
        <v>8</v>
      </c>
      <c r="H175" s="1383" t="s">
        <v>689</v>
      </c>
      <c r="I175" s="1398"/>
    </row>
    <row r="176" spans="1:9" ht="30.75" hidden="1" thickTop="1" x14ac:dyDescent="0.2">
      <c r="A176" s="1463">
        <v>3299</v>
      </c>
      <c r="B176" s="1484">
        <v>5336</v>
      </c>
      <c r="C176" s="1469">
        <v>32133006</v>
      </c>
      <c r="D176" s="1405" t="s">
        <v>1131</v>
      </c>
      <c r="E176" s="1401">
        <v>0</v>
      </c>
      <c r="F176" s="1401"/>
      <c r="G176" s="1456"/>
      <c r="H176" s="1388" t="e">
        <f>G176/F176*100</f>
        <v>#DIV/0!</v>
      </c>
      <c r="I176" s="1398"/>
    </row>
    <row r="177" spans="1:9" ht="30" hidden="1" x14ac:dyDescent="0.2">
      <c r="A177" s="1463">
        <v>3299</v>
      </c>
      <c r="B177" s="1484">
        <v>5336</v>
      </c>
      <c r="C177" s="1469">
        <v>32533006</v>
      </c>
      <c r="D177" s="1405" t="s">
        <v>1131</v>
      </c>
      <c r="E177" s="1414">
        <v>0</v>
      </c>
      <c r="F177" s="1414"/>
      <c r="G177" s="1453"/>
      <c r="H177" s="1390" t="e">
        <f>G177/F177*100</f>
        <v>#DIV/0!</v>
      </c>
      <c r="I177" s="1398"/>
    </row>
    <row r="178" spans="1:9" ht="16.5" hidden="1" thickTop="1" thickBot="1" x14ac:dyDescent="0.3">
      <c r="A178" s="1406" t="s">
        <v>690</v>
      </c>
      <c r="B178" s="1407"/>
      <c r="C178" s="1407"/>
      <c r="D178" s="1408"/>
      <c r="E178" s="1387">
        <f>SUM(E176:E177)</f>
        <v>0</v>
      </c>
      <c r="F178" s="1387">
        <f>SUM(F176:F177)</f>
        <v>0</v>
      </c>
      <c r="G178" s="1387">
        <f>SUM(G176:G177)</f>
        <v>0</v>
      </c>
      <c r="H178" s="1391" t="e">
        <f>G178/F178*100</f>
        <v>#DIV/0!</v>
      </c>
      <c r="I178" s="1398"/>
    </row>
    <row r="179" spans="1:9" hidden="1" x14ac:dyDescent="0.2">
      <c r="I179" s="1398"/>
    </row>
    <row r="180" spans="1:9" ht="15" hidden="1" x14ac:dyDescent="0.25">
      <c r="A180" s="1377" t="s">
        <v>162</v>
      </c>
      <c r="D180" s="1371"/>
      <c r="E180" s="1372"/>
      <c r="H180" s="1398"/>
      <c r="I180" s="1398"/>
    </row>
    <row r="181" spans="1:9" ht="15" hidden="1" x14ac:dyDescent="0.25">
      <c r="A181" s="1377" t="s">
        <v>1143</v>
      </c>
      <c r="D181" s="1371"/>
      <c r="E181" s="1372"/>
      <c r="H181" s="1459" t="s">
        <v>148</v>
      </c>
      <c r="I181" s="1398"/>
    </row>
    <row r="182" spans="1:9" ht="25.5" hidden="1" thickTop="1" thickBot="1" x14ac:dyDescent="0.25">
      <c r="A182" s="1378" t="s">
        <v>149</v>
      </c>
      <c r="B182" s="1379" t="s">
        <v>688</v>
      </c>
      <c r="C182" s="1379" t="s">
        <v>345</v>
      </c>
      <c r="D182" s="1380" t="s">
        <v>151</v>
      </c>
      <c r="E182" s="1402" t="s">
        <v>569</v>
      </c>
      <c r="F182" s="1402" t="s">
        <v>570</v>
      </c>
      <c r="G182" s="1403" t="s">
        <v>797</v>
      </c>
      <c r="H182" s="1404" t="s">
        <v>798</v>
      </c>
      <c r="I182" s="1398"/>
    </row>
    <row r="183" spans="1:9" ht="14.25" hidden="1" thickTop="1" thickBot="1" x14ac:dyDescent="0.25">
      <c r="A183" s="1297">
        <v>1</v>
      </c>
      <c r="B183" s="1296">
        <v>2</v>
      </c>
      <c r="C183" s="1296">
        <v>3</v>
      </c>
      <c r="D183" s="1296">
        <v>5</v>
      </c>
      <c r="E183" s="1295">
        <v>6</v>
      </c>
      <c r="F183" s="1295">
        <v>7</v>
      </c>
      <c r="G183" s="1446">
        <v>8</v>
      </c>
      <c r="H183" s="1383" t="s">
        <v>689</v>
      </c>
      <c r="I183" s="1398"/>
    </row>
    <row r="184" spans="1:9" ht="30.75" hidden="1" thickTop="1" x14ac:dyDescent="0.2">
      <c r="A184" s="1463">
        <v>3299</v>
      </c>
      <c r="B184" s="1484">
        <v>5336</v>
      </c>
      <c r="C184" s="1469">
        <v>32133006</v>
      </c>
      <c r="D184" s="1405" t="s">
        <v>1131</v>
      </c>
      <c r="E184" s="1401">
        <v>0</v>
      </c>
      <c r="F184" s="1401"/>
      <c r="G184" s="1456"/>
      <c r="H184" s="1388" t="e">
        <f>G184/F184*100</f>
        <v>#DIV/0!</v>
      </c>
      <c r="I184" s="1398"/>
    </row>
    <row r="185" spans="1:9" ht="30" hidden="1" x14ac:dyDescent="0.2">
      <c r="A185" s="1463">
        <v>3299</v>
      </c>
      <c r="B185" s="1484">
        <v>5336</v>
      </c>
      <c r="C185" s="1469">
        <v>32533006</v>
      </c>
      <c r="D185" s="1405" t="s">
        <v>1131</v>
      </c>
      <c r="E185" s="1414">
        <v>0</v>
      </c>
      <c r="F185" s="1414"/>
      <c r="G185" s="1453"/>
      <c r="H185" s="1390" t="e">
        <f>G185/F185*100</f>
        <v>#DIV/0!</v>
      </c>
      <c r="I185" s="1398"/>
    </row>
    <row r="186" spans="1:9" ht="16.5" hidden="1" thickTop="1" thickBot="1" x14ac:dyDescent="0.3">
      <c r="A186" s="1406" t="s">
        <v>690</v>
      </c>
      <c r="B186" s="1407"/>
      <c r="C186" s="1407"/>
      <c r="D186" s="1408"/>
      <c r="E186" s="1387">
        <f>SUM(E184:E185)</f>
        <v>0</v>
      </c>
      <c r="F186" s="1387">
        <f>SUM(F184:F185)</f>
        <v>0</v>
      </c>
      <c r="G186" s="1387">
        <f>SUM(G184:G185)</f>
        <v>0</v>
      </c>
      <c r="H186" s="1391" t="e">
        <f>G186/F186*100</f>
        <v>#DIV/0!</v>
      </c>
      <c r="I186" s="1398"/>
    </row>
    <row r="187" spans="1:9" hidden="1" x14ac:dyDescent="0.2">
      <c r="I187" s="1398"/>
    </row>
    <row r="188" spans="1:9" ht="15" hidden="1" x14ac:dyDescent="0.25">
      <c r="A188" s="1377" t="s">
        <v>1420</v>
      </c>
      <c r="D188" s="1371"/>
      <c r="E188" s="1372"/>
      <c r="H188" s="1398"/>
      <c r="I188" s="1398"/>
    </row>
    <row r="189" spans="1:9" ht="15" hidden="1" x14ac:dyDescent="0.25">
      <c r="A189" s="1377" t="s">
        <v>1144</v>
      </c>
      <c r="D189" s="1371"/>
      <c r="E189" s="1372"/>
      <c r="H189" s="1459" t="s">
        <v>148</v>
      </c>
      <c r="I189" s="1398"/>
    </row>
    <row r="190" spans="1:9" ht="25.5" hidden="1" thickTop="1" thickBot="1" x14ac:dyDescent="0.25">
      <c r="A190" s="1378" t="s">
        <v>149</v>
      </c>
      <c r="B190" s="1379" t="s">
        <v>688</v>
      </c>
      <c r="C190" s="1379" t="s">
        <v>345</v>
      </c>
      <c r="D190" s="1380" t="s">
        <v>151</v>
      </c>
      <c r="E190" s="1402" t="s">
        <v>569</v>
      </c>
      <c r="F190" s="1402" t="s">
        <v>570</v>
      </c>
      <c r="G190" s="1403" t="s">
        <v>797</v>
      </c>
      <c r="H190" s="1404" t="s">
        <v>798</v>
      </c>
      <c r="I190" s="1398"/>
    </row>
    <row r="191" spans="1:9" ht="14.25" hidden="1" thickTop="1" thickBot="1" x14ac:dyDescent="0.25">
      <c r="A191" s="1297">
        <v>1</v>
      </c>
      <c r="B191" s="1296">
        <v>2</v>
      </c>
      <c r="C191" s="1296">
        <v>3</v>
      </c>
      <c r="D191" s="1296">
        <v>5</v>
      </c>
      <c r="E191" s="1295">
        <v>6</v>
      </c>
      <c r="F191" s="1295">
        <v>7</v>
      </c>
      <c r="G191" s="1446">
        <v>8</v>
      </c>
      <c r="H191" s="1383" t="s">
        <v>689</v>
      </c>
      <c r="I191" s="1398"/>
    </row>
    <row r="192" spans="1:9" ht="30.75" hidden="1" thickTop="1" x14ac:dyDescent="0.2">
      <c r="A192" s="1463">
        <v>3299</v>
      </c>
      <c r="B192" s="1484">
        <v>5336</v>
      </c>
      <c r="C192" s="1469">
        <v>32133006</v>
      </c>
      <c r="D192" s="1405" t="s">
        <v>1131</v>
      </c>
      <c r="E192" s="1401">
        <v>0</v>
      </c>
      <c r="F192" s="1401"/>
      <c r="G192" s="1456"/>
      <c r="H192" s="1388" t="e">
        <f>G192/F192*100</f>
        <v>#DIV/0!</v>
      </c>
      <c r="I192" s="1398"/>
    </row>
    <row r="193" spans="1:9" ht="30" hidden="1" x14ac:dyDescent="0.2">
      <c r="A193" s="1463">
        <v>3299</v>
      </c>
      <c r="B193" s="1484">
        <v>5336</v>
      </c>
      <c r="C193" s="1469">
        <v>32533006</v>
      </c>
      <c r="D193" s="1405" t="s">
        <v>1131</v>
      </c>
      <c r="E193" s="1414">
        <v>0</v>
      </c>
      <c r="F193" s="1414"/>
      <c r="G193" s="1453"/>
      <c r="H193" s="1390" t="e">
        <f>G193/F193*100</f>
        <v>#DIV/0!</v>
      </c>
      <c r="I193" s="1398"/>
    </row>
    <row r="194" spans="1:9" ht="30" hidden="1" x14ac:dyDescent="0.2">
      <c r="A194" s="1463">
        <v>3299</v>
      </c>
      <c r="B194" s="1469">
        <v>6351</v>
      </c>
      <c r="C194" s="1469">
        <v>32133006</v>
      </c>
      <c r="D194" s="1405" t="s">
        <v>1145</v>
      </c>
      <c r="E194" s="1414">
        <v>0</v>
      </c>
      <c r="F194" s="1414">
        <v>0</v>
      </c>
      <c r="G194" s="1453">
        <v>0</v>
      </c>
      <c r="H194" s="1390" t="e">
        <f>G194/F194*100</f>
        <v>#DIV/0!</v>
      </c>
      <c r="I194" s="1398"/>
    </row>
    <row r="195" spans="1:9" ht="30" hidden="1" x14ac:dyDescent="0.2">
      <c r="A195" s="1463">
        <v>3299</v>
      </c>
      <c r="B195" s="1469">
        <v>6351</v>
      </c>
      <c r="C195" s="1469">
        <v>32533006</v>
      </c>
      <c r="D195" s="1405" t="s">
        <v>1145</v>
      </c>
      <c r="E195" s="1414">
        <v>0</v>
      </c>
      <c r="F195" s="1414">
        <v>0</v>
      </c>
      <c r="G195" s="1453">
        <v>0</v>
      </c>
      <c r="H195" s="1390" t="e">
        <f>G195/F195*100</f>
        <v>#DIV/0!</v>
      </c>
      <c r="I195" s="1398"/>
    </row>
    <row r="196" spans="1:9" ht="16.5" hidden="1" thickTop="1" thickBot="1" x14ac:dyDescent="0.3">
      <c r="A196" s="1406" t="s">
        <v>690</v>
      </c>
      <c r="B196" s="1407"/>
      <c r="C196" s="1407"/>
      <c r="D196" s="1408"/>
      <c r="E196" s="1387">
        <f>SUM(E192:E195)</f>
        <v>0</v>
      </c>
      <c r="F196" s="1387">
        <f>SUM(F192:F195)</f>
        <v>0</v>
      </c>
      <c r="G196" s="1387">
        <f>SUM(G192:G195)</f>
        <v>0</v>
      </c>
      <c r="H196" s="1391" t="e">
        <f>G196/F196*100</f>
        <v>#DIV/0!</v>
      </c>
      <c r="I196" s="1398"/>
    </row>
    <row r="197" spans="1:9" hidden="1" x14ac:dyDescent="0.2">
      <c r="I197" s="1398"/>
    </row>
    <row r="198" spans="1:9" ht="15" hidden="1" x14ac:dyDescent="0.25">
      <c r="A198" s="1377" t="s">
        <v>508</v>
      </c>
      <c r="D198" s="1371"/>
      <c r="E198" s="1372"/>
      <c r="H198" s="1398"/>
      <c r="I198" s="1398"/>
    </row>
    <row r="199" spans="1:9" ht="15" hidden="1" x14ac:dyDescent="0.25">
      <c r="A199" s="1377" t="s">
        <v>509</v>
      </c>
      <c r="D199" s="1371"/>
      <c r="E199" s="1372"/>
      <c r="H199" s="1398" t="s">
        <v>148</v>
      </c>
      <c r="I199" s="1398"/>
    </row>
    <row r="200" spans="1:9" ht="25.5" hidden="1" thickTop="1" thickBot="1" x14ac:dyDescent="0.25">
      <c r="A200" s="1378" t="s">
        <v>149</v>
      </c>
      <c r="B200" s="1379" t="s">
        <v>688</v>
      </c>
      <c r="C200" s="1379" t="s">
        <v>345</v>
      </c>
      <c r="D200" s="1380" t="s">
        <v>151</v>
      </c>
      <c r="E200" s="1402" t="s">
        <v>569</v>
      </c>
      <c r="F200" s="1402" t="s">
        <v>570</v>
      </c>
      <c r="G200" s="1403" t="s">
        <v>797</v>
      </c>
      <c r="H200" s="1404" t="s">
        <v>798</v>
      </c>
      <c r="I200" s="1398"/>
    </row>
    <row r="201" spans="1:9" ht="14.25" hidden="1" thickTop="1" thickBot="1" x14ac:dyDescent="0.25">
      <c r="A201" s="1297">
        <v>1</v>
      </c>
      <c r="B201" s="1296">
        <v>2</v>
      </c>
      <c r="C201" s="1296">
        <v>3</v>
      </c>
      <c r="D201" s="1296">
        <v>5</v>
      </c>
      <c r="E201" s="1295">
        <v>6</v>
      </c>
      <c r="F201" s="1295">
        <v>7</v>
      </c>
      <c r="G201" s="1446">
        <v>8</v>
      </c>
      <c r="H201" s="1383" t="s">
        <v>689</v>
      </c>
      <c r="I201" s="1398"/>
    </row>
    <row r="202" spans="1:9" ht="30.75" hidden="1" thickTop="1" x14ac:dyDescent="0.2">
      <c r="A202" s="1463">
        <v>3299</v>
      </c>
      <c r="B202" s="1469">
        <v>6351</v>
      </c>
      <c r="C202" s="1469">
        <v>32133006</v>
      </c>
      <c r="D202" s="1405" t="s">
        <v>1145</v>
      </c>
      <c r="E202" s="1401">
        <v>0</v>
      </c>
      <c r="F202" s="1401">
        <v>0</v>
      </c>
      <c r="G202" s="1456">
        <v>0</v>
      </c>
      <c r="H202" s="1388" t="e">
        <f>G202/F202*100</f>
        <v>#DIV/0!</v>
      </c>
      <c r="I202" s="1398"/>
    </row>
    <row r="203" spans="1:9" ht="30" hidden="1" x14ac:dyDescent="0.2">
      <c r="A203" s="1463">
        <v>3299</v>
      </c>
      <c r="B203" s="1469">
        <v>6351</v>
      </c>
      <c r="C203" s="1469">
        <v>32533006</v>
      </c>
      <c r="D203" s="1405" t="s">
        <v>1145</v>
      </c>
      <c r="E203" s="1414">
        <v>0</v>
      </c>
      <c r="F203" s="1414">
        <v>0</v>
      </c>
      <c r="G203" s="1453">
        <v>0</v>
      </c>
      <c r="H203" s="1390" t="e">
        <f>G203/F203*100</f>
        <v>#DIV/0!</v>
      </c>
      <c r="I203" s="1398"/>
    </row>
    <row r="204" spans="1:9" ht="16.5" hidden="1" thickTop="1" thickBot="1" x14ac:dyDescent="0.3">
      <c r="A204" s="1406" t="s">
        <v>690</v>
      </c>
      <c r="B204" s="1407"/>
      <c r="C204" s="1407"/>
      <c r="D204" s="1408"/>
      <c r="E204" s="1387">
        <f>SUM(E202:E203)</f>
        <v>0</v>
      </c>
      <c r="F204" s="1387">
        <f>SUM(F202:F203)</f>
        <v>0</v>
      </c>
      <c r="G204" s="1387">
        <f>SUM(G202:G203)</f>
        <v>0</v>
      </c>
      <c r="H204" s="1391" t="e">
        <f>G204/F204*100</f>
        <v>#DIV/0!</v>
      </c>
      <c r="I204" s="1398"/>
    </row>
    <row r="205" spans="1:9" hidden="1" x14ac:dyDescent="0.2">
      <c r="I205" s="1398"/>
    </row>
    <row r="206" spans="1:9" ht="15" hidden="1" x14ac:dyDescent="0.25">
      <c r="A206" s="1377" t="s">
        <v>488</v>
      </c>
      <c r="D206" s="1371"/>
      <c r="E206" s="1372"/>
      <c r="H206" s="1398"/>
      <c r="I206" s="1398"/>
    </row>
    <row r="207" spans="1:9" ht="15" hidden="1" x14ac:dyDescent="0.25">
      <c r="A207" s="1377" t="s">
        <v>783</v>
      </c>
      <c r="D207" s="1371"/>
      <c r="E207" s="1372"/>
      <c r="H207" s="1459" t="s">
        <v>148</v>
      </c>
      <c r="I207" s="1398"/>
    </row>
    <row r="208" spans="1:9" ht="25.5" hidden="1" thickTop="1" thickBot="1" x14ac:dyDescent="0.25">
      <c r="A208" s="1378" t="s">
        <v>149</v>
      </c>
      <c r="B208" s="1379" t="s">
        <v>688</v>
      </c>
      <c r="C208" s="1379" t="s">
        <v>345</v>
      </c>
      <c r="D208" s="1380" t="s">
        <v>151</v>
      </c>
      <c r="E208" s="1402" t="s">
        <v>569</v>
      </c>
      <c r="F208" s="1402" t="s">
        <v>570</v>
      </c>
      <c r="G208" s="1403" t="s">
        <v>797</v>
      </c>
      <c r="H208" s="1404" t="s">
        <v>798</v>
      </c>
      <c r="I208" s="1398"/>
    </row>
    <row r="209" spans="1:9" ht="14.25" hidden="1" thickTop="1" thickBot="1" x14ac:dyDescent="0.25">
      <c r="A209" s="1297">
        <v>1</v>
      </c>
      <c r="B209" s="1296">
        <v>2</v>
      </c>
      <c r="C209" s="1296">
        <v>3</v>
      </c>
      <c r="D209" s="1296">
        <v>5</v>
      </c>
      <c r="E209" s="1295">
        <v>6</v>
      </c>
      <c r="F209" s="1295">
        <v>7</v>
      </c>
      <c r="G209" s="1446">
        <v>8</v>
      </c>
      <c r="H209" s="1383" t="s">
        <v>689</v>
      </c>
      <c r="I209" s="1398"/>
    </row>
    <row r="210" spans="1:9" ht="30.75" hidden="1" thickTop="1" x14ac:dyDescent="0.2">
      <c r="A210" s="1463">
        <v>3299</v>
      </c>
      <c r="B210" s="1484">
        <v>5336</v>
      </c>
      <c r="C210" s="1469">
        <v>32133006</v>
      </c>
      <c r="D210" s="1405" t="s">
        <v>1131</v>
      </c>
      <c r="E210" s="1401">
        <v>0</v>
      </c>
      <c r="F210" s="1401"/>
      <c r="G210" s="1456"/>
      <c r="H210" s="1388" t="e">
        <f>G210/F210*100</f>
        <v>#DIV/0!</v>
      </c>
      <c r="I210" s="1398"/>
    </row>
    <row r="211" spans="1:9" ht="30" hidden="1" x14ac:dyDescent="0.2">
      <c r="A211" s="1463">
        <v>3299</v>
      </c>
      <c r="B211" s="1484">
        <v>5336</v>
      </c>
      <c r="C211" s="1469">
        <v>32533006</v>
      </c>
      <c r="D211" s="1405" t="s">
        <v>1131</v>
      </c>
      <c r="E211" s="1414">
        <v>0</v>
      </c>
      <c r="F211" s="1414"/>
      <c r="G211" s="1453"/>
      <c r="H211" s="1390" t="e">
        <f>G211/F211*100</f>
        <v>#DIV/0!</v>
      </c>
      <c r="I211" s="1398"/>
    </row>
    <row r="212" spans="1:9" ht="16.5" hidden="1" thickTop="1" thickBot="1" x14ac:dyDescent="0.3">
      <c r="A212" s="1406" t="s">
        <v>690</v>
      </c>
      <c r="B212" s="1407"/>
      <c r="C212" s="1407"/>
      <c r="D212" s="1408"/>
      <c r="E212" s="1387">
        <f>SUM(E210:E211)</f>
        <v>0</v>
      </c>
      <c r="F212" s="1387">
        <f>SUM(F210:F211)</f>
        <v>0</v>
      </c>
      <c r="G212" s="1387">
        <f>SUM(G210:G211)</f>
        <v>0</v>
      </c>
      <c r="H212" s="1391" t="e">
        <f>G212/F212*100</f>
        <v>#DIV/0!</v>
      </c>
      <c r="I212" s="1398"/>
    </row>
    <row r="213" spans="1:9" hidden="1" x14ac:dyDescent="0.2">
      <c r="I213" s="1398"/>
    </row>
    <row r="214" spans="1:9" ht="15" hidden="1" x14ac:dyDescent="0.25">
      <c r="A214" s="1377" t="s">
        <v>510</v>
      </c>
      <c r="D214" s="1371"/>
      <c r="E214" s="1372"/>
      <c r="H214" s="1398"/>
      <c r="I214" s="1398"/>
    </row>
    <row r="215" spans="1:9" ht="15" hidden="1" x14ac:dyDescent="0.25">
      <c r="A215" s="1377" t="s">
        <v>511</v>
      </c>
      <c r="D215" s="1371"/>
      <c r="E215" s="1372"/>
      <c r="H215" s="1459" t="s">
        <v>148</v>
      </c>
      <c r="I215" s="1398"/>
    </row>
    <row r="216" spans="1:9" ht="25.5" hidden="1" thickTop="1" thickBot="1" x14ac:dyDescent="0.25">
      <c r="A216" s="1378" t="s">
        <v>149</v>
      </c>
      <c r="B216" s="1379" t="s">
        <v>688</v>
      </c>
      <c r="C216" s="1379" t="s">
        <v>345</v>
      </c>
      <c r="D216" s="1380" t="s">
        <v>151</v>
      </c>
      <c r="E216" s="1402" t="s">
        <v>569</v>
      </c>
      <c r="F216" s="1402" t="s">
        <v>570</v>
      </c>
      <c r="G216" s="1403" t="s">
        <v>797</v>
      </c>
      <c r="H216" s="1404" t="s">
        <v>798</v>
      </c>
      <c r="I216" s="1398"/>
    </row>
    <row r="217" spans="1:9" ht="14.25" hidden="1" thickTop="1" thickBot="1" x14ac:dyDescent="0.25">
      <c r="A217" s="1297">
        <v>1</v>
      </c>
      <c r="B217" s="1296">
        <v>2</v>
      </c>
      <c r="C217" s="1296">
        <v>3</v>
      </c>
      <c r="D217" s="1296">
        <v>5</v>
      </c>
      <c r="E217" s="1295">
        <v>6</v>
      </c>
      <c r="F217" s="1295">
        <v>7</v>
      </c>
      <c r="G217" s="1446">
        <v>8</v>
      </c>
      <c r="H217" s="1383" t="s">
        <v>689</v>
      </c>
      <c r="I217" s="1398"/>
    </row>
    <row r="218" spans="1:9" ht="30.75" hidden="1" thickTop="1" x14ac:dyDescent="0.2">
      <c r="A218" s="1463">
        <v>3299</v>
      </c>
      <c r="B218" s="1484">
        <v>5336</v>
      </c>
      <c r="C218" s="1469">
        <v>32133006</v>
      </c>
      <c r="D218" s="1405" t="s">
        <v>1131</v>
      </c>
      <c r="E218" s="1401">
        <v>0</v>
      </c>
      <c r="F218" s="1401"/>
      <c r="G218" s="1456"/>
      <c r="H218" s="1388" t="e">
        <f>G218/F218*100</f>
        <v>#DIV/0!</v>
      </c>
      <c r="I218" s="1398"/>
    </row>
    <row r="219" spans="1:9" ht="30" hidden="1" x14ac:dyDescent="0.2">
      <c r="A219" s="1463">
        <v>3299</v>
      </c>
      <c r="B219" s="1484">
        <v>5336</v>
      </c>
      <c r="C219" s="1469">
        <v>32533006</v>
      </c>
      <c r="D219" s="1405" t="s">
        <v>1131</v>
      </c>
      <c r="E219" s="1414">
        <v>0</v>
      </c>
      <c r="F219" s="1414"/>
      <c r="G219" s="1453"/>
      <c r="H219" s="1390" t="e">
        <f>G219/F219*100</f>
        <v>#DIV/0!</v>
      </c>
      <c r="I219" s="1398"/>
    </row>
    <row r="220" spans="1:9" ht="16.5" hidden="1" thickTop="1" thickBot="1" x14ac:dyDescent="0.3">
      <c r="A220" s="1406" t="s">
        <v>690</v>
      </c>
      <c r="B220" s="1407"/>
      <c r="C220" s="1407"/>
      <c r="D220" s="1408"/>
      <c r="E220" s="1387">
        <f>SUM(E218:E219)</f>
        <v>0</v>
      </c>
      <c r="F220" s="1387">
        <f>SUM(F218:F219)</f>
        <v>0</v>
      </c>
      <c r="G220" s="1387">
        <f>SUM(G218:G219)</f>
        <v>0</v>
      </c>
      <c r="H220" s="1391" t="e">
        <f>G220/F220*100</f>
        <v>#DIV/0!</v>
      </c>
      <c r="I220" s="1398"/>
    </row>
    <row r="221" spans="1:9" hidden="1" x14ac:dyDescent="0.2">
      <c r="I221" s="1398"/>
    </row>
    <row r="222" spans="1:9" ht="15" hidden="1" x14ac:dyDescent="0.25">
      <c r="A222" s="1377" t="s">
        <v>914</v>
      </c>
      <c r="D222" s="1371"/>
      <c r="E222" s="1372"/>
      <c r="H222" s="1398"/>
      <c r="I222" s="1398"/>
    </row>
    <row r="223" spans="1:9" ht="15" hidden="1" x14ac:dyDescent="0.25">
      <c r="A223" s="1377" t="s">
        <v>784</v>
      </c>
      <c r="D223" s="1371"/>
      <c r="E223" s="1372"/>
      <c r="H223" s="1398" t="s">
        <v>148</v>
      </c>
      <c r="I223" s="1398"/>
    </row>
    <row r="224" spans="1:9" ht="25.5" hidden="1" thickTop="1" thickBot="1" x14ac:dyDescent="0.25">
      <c r="A224" s="1378" t="s">
        <v>149</v>
      </c>
      <c r="B224" s="1379" t="s">
        <v>688</v>
      </c>
      <c r="C224" s="1379" t="s">
        <v>345</v>
      </c>
      <c r="D224" s="1380" t="s">
        <v>151</v>
      </c>
      <c r="E224" s="1402" t="s">
        <v>569</v>
      </c>
      <c r="F224" s="1402" t="s">
        <v>570</v>
      </c>
      <c r="G224" s="1403" t="s">
        <v>797</v>
      </c>
      <c r="H224" s="1404" t="s">
        <v>798</v>
      </c>
      <c r="I224" s="1398"/>
    </row>
    <row r="225" spans="1:9" ht="14.25" hidden="1" thickTop="1" thickBot="1" x14ac:dyDescent="0.25">
      <c r="A225" s="1297">
        <v>1</v>
      </c>
      <c r="B225" s="1296">
        <v>2</v>
      </c>
      <c r="C225" s="1296">
        <v>3</v>
      </c>
      <c r="D225" s="1296">
        <v>5</v>
      </c>
      <c r="E225" s="1295">
        <v>6</v>
      </c>
      <c r="F225" s="1295">
        <v>7</v>
      </c>
      <c r="G225" s="1446">
        <v>8</v>
      </c>
      <c r="H225" s="1383" t="s">
        <v>689</v>
      </c>
      <c r="I225" s="1398"/>
    </row>
    <row r="226" spans="1:9" ht="30.75" hidden="1" thickTop="1" x14ac:dyDescent="0.2">
      <c r="A226" s="1463">
        <v>3299</v>
      </c>
      <c r="B226" s="1484">
        <v>5336</v>
      </c>
      <c r="C226" s="1469">
        <v>32133006</v>
      </c>
      <c r="D226" s="1485" t="s">
        <v>1222</v>
      </c>
      <c r="E226" s="1401">
        <v>0</v>
      </c>
      <c r="F226" s="1401">
        <v>0</v>
      </c>
      <c r="G226" s="1456">
        <v>0</v>
      </c>
      <c r="H226" s="1388" t="e">
        <f>G226/F226*100</f>
        <v>#DIV/0!</v>
      </c>
      <c r="I226" s="1398"/>
    </row>
    <row r="227" spans="1:9" ht="30" hidden="1" x14ac:dyDescent="0.2">
      <c r="A227" s="1463">
        <v>3299</v>
      </c>
      <c r="B227" s="1484">
        <v>5336</v>
      </c>
      <c r="C227" s="1469">
        <v>32533006</v>
      </c>
      <c r="D227" s="1405" t="s">
        <v>1131</v>
      </c>
      <c r="E227" s="1414">
        <v>0</v>
      </c>
      <c r="F227" s="1414">
        <v>0</v>
      </c>
      <c r="G227" s="1453">
        <v>0</v>
      </c>
      <c r="H227" s="1390" t="e">
        <f>G227/F227*100</f>
        <v>#DIV/0!</v>
      </c>
      <c r="I227" s="1398"/>
    </row>
    <row r="228" spans="1:9" ht="30" hidden="1" x14ac:dyDescent="0.2">
      <c r="A228" s="1463">
        <v>3299</v>
      </c>
      <c r="B228" s="1469">
        <v>6351</v>
      </c>
      <c r="C228" s="1469">
        <v>32133006</v>
      </c>
      <c r="D228" s="1405" t="s">
        <v>1145</v>
      </c>
      <c r="E228" s="1414">
        <v>0</v>
      </c>
      <c r="F228" s="1414">
        <v>0</v>
      </c>
      <c r="G228" s="1453">
        <v>0</v>
      </c>
      <c r="H228" s="1390" t="e">
        <f>G228/F228*100</f>
        <v>#DIV/0!</v>
      </c>
      <c r="I228" s="1398"/>
    </row>
    <row r="229" spans="1:9" ht="30" hidden="1" x14ac:dyDescent="0.2">
      <c r="A229" s="1463">
        <v>3299</v>
      </c>
      <c r="B229" s="1469">
        <v>6351</v>
      </c>
      <c r="C229" s="1469">
        <v>32533006</v>
      </c>
      <c r="D229" s="1405" t="s">
        <v>1145</v>
      </c>
      <c r="E229" s="1414">
        <v>0</v>
      </c>
      <c r="F229" s="1414">
        <v>0</v>
      </c>
      <c r="G229" s="1453">
        <v>0</v>
      </c>
      <c r="H229" s="1390" t="e">
        <f>G229/F229*100</f>
        <v>#DIV/0!</v>
      </c>
      <c r="I229" s="1398"/>
    </row>
    <row r="230" spans="1:9" ht="16.5" hidden="1" thickTop="1" thickBot="1" x14ac:dyDescent="0.3">
      <c r="A230" s="1406" t="s">
        <v>690</v>
      </c>
      <c r="B230" s="1407"/>
      <c r="C230" s="1407"/>
      <c r="D230" s="1408"/>
      <c r="E230" s="1387">
        <f>SUM(E226:E229)</f>
        <v>0</v>
      </c>
      <c r="F230" s="1387">
        <f>SUM(F226:F229)</f>
        <v>0</v>
      </c>
      <c r="G230" s="1387">
        <f>SUM(G226:G229)</f>
        <v>0</v>
      </c>
      <c r="H230" s="1391" t="e">
        <f>G230/F230*100</f>
        <v>#DIV/0!</v>
      </c>
      <c r="I230" s="1398"/>
    </row>
    <row r="231" spans="1:9" hidden="1" x14ac:dyDescent="0.2">
      <c r="I231" s="1398"/>
    </row>
    <row r="232" spans="1:9" ht="15" hidden="1" x14ac:dyDescent="0.25">
      <c r="A232" s="1377" t="s">
        <v>293</v>
      </c>
      <c r="D232" s="1371"/>
      <c r="E232" s="1372"/>
      <c r="H232" s="1398"/>
      <c r="I232" s="1398"/>
    </row>
    <row r="233" spans="1:9" ht="15" hidden="1" x14ac:dyDescent="0.25">
      <c r="A233" s="1377" t="s">
        <v>512</v>
      </c>
      <c r="D233" s="1371"/>
      <c r="E233" s="1372"/>
      <c r="H233" s="1459" t="s">
        <v>148</v>
      </c>
      <c r="I233" s="1398"/>
    </row>
    <row r="234" spans="1:9" ht="25.5" hidden="1" thickTop="1" thickBot="1" x14ac:dyDescent="0.25">
      <c r="A234" s="1378" t="s">
        <v>149</v>
      </c>
      <c r="B234" s="1379" t="s">
        <v>688</v>
      </c>
      <c r="C234" s="1379" t="s">
        <v>345</v>
      </c>
      <c r="D234" s="1380" t="s">
        <v>151</v>
      </c>
      <c r="E234" s="1402" t="s">
        <v>569</v>
      </c>
      <c r="F234" s="1402" t="s">
        <v>570</v>
      </c>
      <c r="G234" s="1403" t="s">
        <v>797</v>
      </c>
      <c r="H234" s="1404" t="s">
        <v>798</v>
      </c>
      <c r="I234" s="1398"/>
    </row>
    <row r="235" spans="1:9" ht="14.25" hidden="1" thickTop="1" thickBot="1" x14ac:dyDescent="0.25">
      <c r="A235" s="1297">
        <v>1</v>
      </c>
      <c r="B235" s="1296">
        <v>2</v>
      </c>
      <c r="C235" s="1296">
        <v>3</v>
      </c>
      <c r="D235" s="1296">
        <v>5</v>
      </c>
      <c r="E235" s="1295">
        <v>6</v>
      </c>
      <c r="F235" s="1295">
        <v>7</v>
      </c>
      <c r="G235" s="1446">
        <v>8</v>
      </c>
      <c r="H235" s="1383" t="s">
        <v>689</v>
      </c>
      <c r="I235" s="1398"/>
    </row>
    <row r="236" spans="1:9" ht="30.75" hidden="1" thickTop="1" x14ac:dyDescent="0.2">
      <c r="A236" s="1463">
        <v>3299</v>
      </c>
      <c r="B236" s="1484">
        <v>5336</v>
      </c>
      <c r="C236" s="1469">
        <v>32133006</v>
      </c>
      <c r="D236" s="1405" t="s">
        <v>1131</v>
      </c>
      <c r="E236" s="1401">
        <v>0</v>
      </c>
      <c r="F236" s="1401"/>
      <c r="G236" s="1456"/>
      <c r="H236" s="1388" t="e">
        <f>G236/F236*100</f>
        <v>#DIV/0!</v>
      </c>
      <c r="I236" s="1398"/>
    </row>
    <row r="237" spans="1:9" ht="30" hidden="1" x14ac:dyDescent="0.2">
      <c r="A237" s="1463">
        <v>3299</v>
      </c>
      <c r="B237" s="1484">
        <v>5336</v>
      </c>
      <c r="C237" s="1469">
        <v>32533006</v>
      </c>
      <c r="D237" s="1405" t="s">
        <v>1131</v>
      </c>
      <c r="E237" s="1414">
        <v>0</v>
      </c>
      <c r="F237" s="1414"/>
      <c r="G237" s="1453"/>
      <c r="H237" s="1390" t="e">
        <f>G237/F237*100</f>
        <v>#DIV/0!</v>
      </c>
      <c r="I237" s="1398"/>
    </row>
    <row r="238" spans="1:9" ht="30" hidden="1" x14ac:dyDescent="0.2">
      <c r="A238" s="1463">
        <v>3299</v>
      </c>
      <c r="B238" s="1469">
        <v>6351</v>
      </c>
      <c r="C238" s="1469">
        <v>32133006</v>
      </c>
      <c r="D238" s="1405" t="s">
        <v>1145</v>
      </c>
      <c r="E238" s="1414">
        <v>0</v>
      </c>
      <c r="F238" s="1414">
        <v>0</v>
      </c>
      <c r="G238" s="1453">
        <v>0</v>
      </c>
      <c r="H238" s="1390" t="e">
        <f>G238/F238*100</f>
        <v>#DIV/0!</v>
      </c>
      <c r="I238" s="1398"/>
    </row>
    <row r="239" spans="1:9" ht="30" hidden="1" x14ac:dyDescent="0.2">
      <c r="A239" s="1463">
        <v>3299</v>
      </c>
      <c r="B239" s="1469">
        <v>6351</v>
      </c>
      <c r="C239" s="1469">
        <v>32533006</v>
      </c>
      <c r="D239" s="1405" t="s">
        <v>1145</v>
      </c>
      <c r="E239" s="1414">
        <v>0</v>
      </c>
      <c r="F239" s="1414">
        <v>0</v>
      </c>
      <c r="G239" s="1453">
        <v>0</v>
      </c>
      <c r="H239" s="1390" t="e">
        <f>G239/F239*100</f>
        <v>#DIV/0!</v>
      </c>
      <c r="I239" s="1398"/>
    </row>
    <row r="240" spans="1:9" ht="16.5" hidden="1" thickTop="1" thickBot="1" x14ac:dyDescent="0.3">
      <c r="A240" s="1406" t="s">
        <v>690</v>
      </c>
      <c r="B240" s="1407"/>
      <c r="C240" s="1407"/>
      <c r="D240" s="1408"/>
      <c r="E240" s="1387">
        <f>SUM(E236:E239)</f>
        <v>0</v>
      </c>
      <c r="F240" s="1387">
        <f>SUM(F236:F239)</f>
        <v>0</v>
      </c>
      <c r="G240" s="1387">
        <f>SUM(G236:G239)</f>
        <v>0</v>
      </c>
      <c r="H240" s="1391" t="e">
        <f>G240/F240*100</f>
        <v>#DIV/0!</v>
      </c>
      <c r="I240" s="1398"/>
    </row>
    <row r="241" spans="1:9" hidden="1" x14ac:dyDescent="0.2">
      <c r="I241" s="1398"/>
    </row>
    <row r="242" spans="1:9" ht="15" hidden="1" x14ac:dyDescent="0.25">
      <c r="A242" s="1377" t="s">
        <v>513</v>
      </c>
      <c r="D242" s="1371"/>
      <c r="E242" s="1372"/>
      <c r="H242" s="1398"/>
      <c r="I242" s="1398"/>
    </row>
    <row r="243" spans="1:9" ht="15" hidden="1" x14ac:dyDescent="0.25">
      <c r="A243" s="1377" t="s">
        <v>514</v>
      </c>
      <c r="D243" s="1371"/>
      <c r="E243" s="1372"/>
      <c r="H243" s="1398" t="s">
        <v>148</v>
      </c>
      <c r="I243" s="1398"/>
    </row>
    <row r="244" spans="1:9" ht="25.5" hidden="1" thickTop="1" thickBot="1" x14ac:dyDescent="0.25">
      <c r="A244" s="1378" t="s">
        <v>149</v>
      </c>
      <c r="B244" s="1379" t="s">
        <v>688</v>
      </c>
      <c r="C244" s="1379" t="s">
        <v>345</v>
      </c>
      <c r="D244" s="1380" t="s">
        <v>151</v>
      </c>
      <c r="E244" s="1402" t="s">
        <v>569</v>
      </c>
      <c r="F244" s="1402" t="s">
        <v>570</v>
      </c>
      <c r="G244" s="1403" t="s">
        <v>797</v>
      </c>
      <c r="H244" s="1404" t="s">
        <v>798</v>
      </c>
      <c r="I244" s="1398"/>
    </row>
    <row r="245" spans="1:9" ht="14.25" hidden="1" thickTop="1" thickBot="1" x14ac:dyDescent="0.25">
      <c r="A245" s="1297">
        <v>1</v>
      </c>
      <c r="B245" s="1296">
        <v>2</v>
      </c>
      <c r="C245" s="1296">
        <v>3</v>
      </c>
      <c r="D245" s="1296">
        <v>5</v>
      </c>
      <c r="E245" s="1295">
        <v>6</v>
      </c>
      <c r="F245" s="1295">
        <v>7</v>
      </c>
      <c r="G245" s="1446">
        <v>8</v>
      </c>
      <c r="H245" s="1383" t="s">
        <v>689</v>
      </c>
      <c r="I245" s="1398"/>
    </row>
    <row r="246" spans="1:9" ht="30.75" hidden="1" thickTop="1" x14ac:dyDescent="0.2">
      <c r="A246" s="1463">
        <v>3299</v>
      </c>
      <c r="B246" s="1484">
        <v>5336</v>
      </c>
      <c r="C246" s="1469">
        <v>32133006</v>
      </c>
      <c r="D246" s="1485" t="s">
        <v>1222</v>
      </c>
      <c r="E246" s="1401">
        <v>0</v>
      </c>
      <c r="F246" s="1401">
        <v>0</v>
      </c>
      <c r="G246" s="1456">
        <v>0</v>
      </c>
      <c r="H246" s="1388" t="e">
        <f>G246/F246*100</f>
        <v>#DIV/0!</v>
      </c>
      <c r="I246" s="1398"/>
    </row>
    <row r="247" spans="1:9" ht="30" hidden="1" x14ac:dyDescent="0.2">
      <c r="A247" s="1463">
        <v>3299</v>
      </c>
      <c r="B247" s="1484">
        <v>5336</v>
      </c>
      <c r="C247" s="1469">
        <v>32533006</v>
      </c>
      <c r="D247" s="1405" t="s">
        <v>1131</v>
      </c>
      <c r="E247" s="1414">
        <v>0</v>
      </c>
      <c r="F247" s="1414">
        <v>0</v>
      </c>
      <c r="G247" s="1453">
        <v>0</v>
      </c>
      <c r="H247" s="1390" t="e">
        <f>G247/F247*100</f>
        <v>#DIV/0!</v>
      </c>
      <c r="I247" s="1398"/>
    </row>
    <row r="248" spans="1:9" ht="30" hidden="1" x14ac:dyDescent="0.2">
      <c r="A248" s="1463">
        <v>3299</v>
      </c>
      <c r="B248" s="1469">
        <v>6351</v>
      </c>
      <c r="C248" s="1469">
        <v>32133006</v>
      </c>
      <c r="D248" s="1405" t="s">
        <v>1145</v>
      </c>
      <c r="E248" s="1414">
        <v>0</v>
      </c>
      <c r="F248" s="1414">
        <v>0</v>
      </c>
      <c r="G248" s="1453">
        <v>0</v>
      </c>
      <c r="H248" s="1390" t="e">
        <f>G248/F248*100</f>
        <v>#DIV/0!</v>
      </c>
      <c r="I248" s="1398"/>
    </row>
    <row r="249" spans="1:9" ht="30" hidden="1" x14ac:dyDescent="0.2">
      <c r="A249" s="1463">
        <v>3299</v>
      </c>
      <c r="B249" s="1469">
        <v>6351</v>
      </c>
      <c r="C249" s="1469">
        <v>32533006</v>
      </c>
      <c r="D249" s="1405" t="s">
        <v>1145</v>
      </c>
      <c r="E249" s="1414">
        <v>0</v>
      </c>
      <c r="F249" s="1414">
        <v>0</v>
      </c>
      <c r="G249" s="1453">
        <v>0</v>
      </c>
      <c r="H249" s="1390" t="e">
        <f>G249/F249*100</f>
        <v>#DIV/0!</v>
      </c>
      <c r="I249" s="1398"/>
    </row>
    <row r="250" spans="1:9" ht="16.5" hidden="1" thickTop="1" thickBot="1" x14ac:dyDescent="0.3">
      <c r="A250" s="1406" t="s">
        <v>690</v>
      </c>
      <c r="B250" s="1407"/>
      <c r="C250" s="1407"/>
      <c r="D250" s="1408"/>
      <c r="E250" s="1387">
        <f>SUM(E246:E249)</f>
        <v>0</v>
      </c>
      <c r="F250" s="1387">
        <f>SUM(F246:F249)</f>
        <v>0</v>
      </c>
      <c r="G250" s="1387">
        <f>SUM(G246:G249)</f>
        <v>0</v>
      </c>
      <c r="H250" s="1391" t="e">
        <f>G250/F250*100</f>
        <v>#DIV/0!</v>
      </c>
      <c r="I250" s="1398"/>
    </row>
    <row r="251" spans="1:9" hidden="1" x14ac:dyDescent="0.2">
      <c r="I251" s="1398"/>
    </row>
    <row r="252" spans="1:9" ht="15" hidden="1" x14ac:dyDescent="0.25">
      <c r="A252" s="1377" t="s">
        <v>1421</v>
      </c>
      <c r="D252" s="1371"/>
      <c r="E252" s="1372"/>
      <c r="H252" s="1398"/>
      <c r="I252" s="1398"/>
    </row>
    <row r="253" spans="1:9" ht="15" hidden="1" x14ac:dyDescent="0.25">
      <c r="A253" s="1377" t="s">
        <v>785</v>
      </c>
      <c r="D253" s="1371"/>
      <c r="E253" s="1372"/>
      <c r="H253" s="1459" t="s">
        <v>148</v>
      </c>
      <c r="I253" s="1398"/>
    </row>
    <row r="254" spans="1:9" ht="25.5" hidden="1" thickTop="1" thickBot="1" x14ac:dyDescent="0.25">
      <c r="A254" s="1378" t="s">
        <v>149</v>
      </c>
      <c r="B254" s="1379" t="s">
        <v>688</v>
      </c>
      <c r="C254" s="1379" t="s">
        <v>345</v>
      </c>
      <c r="D254" s="1380" t="s">
        <v>151</v>
      </c>
      <c r="E254" s="1402" t="s">
        <v>569</v>
      </c>
      <c r="F254" s="1402" t="s">
        <v>570</v>
      </c>
      <c r="G254" s="1403" t="s">
        <v>797</v>
      </c>
      <c r="H254" s="1404" t="s">
        <v>798</v>
      </c>
      <c r="I254" s="1398"/>
    </row>
    <row r="255" spans="1:9" ht="14.25" hidden="1" thickTop="1" thickBot="1" x14ac:dyDescent="0.25">
      <c r="A255" s="1297">
        <v>1</v>
      </c>
      <c r="B255" s="1296">
        <v>2</v>
      </c>
      <c r="C255" s="1296">
        <v>3</v>
      </c>
      <c r="D255" s="1296">
        <v>5</v>
      </c>
      <c r="E255" s="1295">
        <v>6</v>
      </c>
      <c r="F255" s="1295">
        <v>7</v>
      </c>
      <c r="G255" s="1446">
        <v>8</v>
      </c>
      <c r="H255" s="1383" t="s">
        <v>689</v>
      </c>
      <c r="I255" s="1398"/>
    </row>
    <row r="256" spans="1:9" ht="30.75" hidden="1" thickTop="1" x14ac:dyDescent="0.2">
      <c r="A256" s="1463">
        <v>3299</v>
      </c>
      <c r="B256" s="1484">
        <v>5336</v>
      </c>
      <c r="C256" s="1469">
        <v>32133006</v>
      </c>
      <c r="D256" s="1405" t="s">
        <v>1131</v>
      </c>
      <c r="E256" s="1401">
        <v>0</v>
      </c>
      <c r="F256" s="1401"/>
      <c r="G256" s="1456"/>
      <c r="H256" s="1388" t="e">
        <f>G256/F256*100</f>
        <v>#DIV/0!</v>
      </c>
      <c r="I256" s="1398"/>
    </row>
    <row r="257" spans="1:9" ht="30" hidden="1" x14ac:dyDescent="0.2">
      <c r="A257" s="1463">
        <v>3299</v>
      </c>
      <c r="B257" s="1484">
        <v>5336</v>
      </c>
      <c r="C257" s="1469">
        <v>32533006</v>
      </c>
      <c r="D257" s="1405" t="s">
        <v>1131</v>
      </c>
      <c r="E257" s="1414">
        <v>0</v>
      </c>
      <c r="F257" s="1414"/>
      <c r="G257" s="1453"/>
      <c r="H257" s="1390" t="e">
        <f>G257/F257*100</f>
        <v>#DIV/0!</v>
      </c>
      <c r="I257" s="1398"/>
    </row>
    <row r="258" spans="1:9" ht="16.5" hidden="1" thickTop="1" thickBot="1" x14ac:dyDescent="0.3">
      <c r="A258" s="1406" t="s">
        <v>690</v>
      </c>
      <c r="B258" s="1407"/>
      <c r="C258" s="1407"/>
      <c r="D258" s="1408"/>
      <c r="E258" s="1387">
        <f>SUM(E256:E257)</f>
        <v>0</v>
      </c>
      <c r="F258" s="1387">
        <f>SUM(F256:F257)</f>
        <v>0</v>
      </c>
      <c r="G258" s="1387">
        <f>SUM(G256:G257)</f>
        <v>0</v>
      </c>
      <c r="H258" s="1391" t="e">
        <f>G258/F258*100</f>
        <v>#DIV/0!</v>
      </c>
      <c r="I258" s="1398"/>
    </row>
    <row r="259" spans="1:9" hidden="1" x14ac:dyDescent="0.2">
      <c r="I259" s="1398"/>
    </row>
    <row r="260" spans="1:9" ht="15" hidden="1" x14ac:dyDescent="0.25">
      <c r="A260" s="1377" t="s">
        <v>868</v>
      </c>
      <c r="D260" s="1371"/>
      <c r="E260" s="1372"/>
      <c r="H260" s="1398"/>
      <c r="I260" s="1398"/>
    </row>
    <row r="261" spans="1:9" ht="15" hidden="1" x14ac:dyDescent="0.25">
      <c r="A261" s="1377" t="s">
        <v>869</v>
      </c>
      <c r="D261" s="1371"/>
      <c r="E261" s="1372"/>
      <c r="H261" s="1459" t="s">
        <v>148</v>
      </c>
      <c r="I261" s="1398"/>
    </row>
    <row r="262" spans="1:9" ht="25.5" hidden="1" thickTop="1" thickBot="1" x14ac:dyDescent="0.25">
      <c r="A262" s="1378" t="s">
        <v>149</v>
      </c>
      <c r="B262" s="1379" t="s">
        <v>688</v>
      </c>
      <c r="C262" s="1379" t="s">
        <v>345</v>
      </c>
      <c r="D262" s="1380" t="s">
        <v>151</v>
      </c>
      <c r="E262" s="1402" t="s">
        <v>569</v>
      </c>
      <c r="F262" s="1402" t="s">
        <v>570</v>
      </c>
      <c r="G262" s="1403" t="s">
        <v>797</v>
      </c>
      <c r="H262" s="1404" t="s">
        <v>798</v>
      </c>
      <c r="I262" s="1398"/>
    </row>
    <row r="263" spans="1:9" ht="14.25" hidden="1" thickTop="1" thickBot="1" x14ac:dyDescent="0.25">
      <c r="A263" s="1297">
        <v>1</v>
      </c>
      <c r="B263" s="1296">
        <v>2</v>
      </c>
      <c r="C263" s="1296">
        <v>3</v>
      </c>
      <c r="D263" s="1296">
        <v>5</v>
      </c>
      <c r="E263" s="1295">
        <v>6</v>
      </c>
      <c r="F263" s="1295">
        <v>7</v>
      </c>
      <c r="G263" s="1446">
        <v>8</v>
      </c>
      <c r="H263" s="1383" t="s">
        <v>689</v>
      </c>
      <c r="I263" s="1398"/>
    </row>
    <row r="264" spans="1:9" ht="45.75" hidden="1" thickTop="1" x14ac:dyDescent="0.2">
      <c r="A264" s="1463">
        <v>3299</v>
      </c>
      <c r="B264" s="1469">
        <v>5213</v>
      </c>
      <c r="C264" s="1469">
        <v>32133006</v>
      </c>
      <c r="D264" s="1486" t="s">
        <v>1129</v>
      </c>
      <c r="E264" s="1401">
        <v>0</v>
      </c>
      <c r="F264" s="1401"/>
      <c r="G264" s="1456"/>
      <c r="H264" s="1388" t="e">
        <f>G264/F264*100</f>
        <v>#DIV/0!</v>
      </c>
      <c r="I264" s="1398"/>
    </row>
    <row r="265" spans="1:9" ht="45" hidden="1" x14ac:dyDescent="0.2">
      <c r="A265" s="1463">
        <v>3299</v>
      </c>
      <c r="B265" s="1469">
        <v>5213</v>
      </c>
      <c r="C265" s="1469">
        <v>32533006</v>
      </c>
      <c r="D265" s="1485" t="s">
        <v>1129</v>
      </c>
      <c r="E265" s="1414">
        <v>0</v>
      </c>
      <c r="F265" s="1414"/>
      <c r="G265" s="1453"/>
      <c r="H265" s="1390" t="e">
        <f>G265/F265*100</f>
        <v>#DIV/0!</v>
      </c>
      <c r="I265" s="1398"/>
    </row>
    <row r="266" spans="1:9" ht="16.5" hidden="1" thickTop="1" thickBot="1" x14ac:dyDescent="0.3">
      <c r="A266" s="1406" t="s">
        <v>690</v>
      </c>
      <c r="B266" s="1407"/>
      <c r="C266" s="1407"/>
      <c r="D266" s="1408"/>
      <c r="E266" s="1387">
        <f>SUM(E264:E265)</f>
        <v>0</v>
      </c>
      <c r="F266" s="1387">
        <f>SUM(F264:F265)</f>
        <v>0</v>
      </c>
      <c r="G266" s="1387">
        <f>SUM(G264:G265)</f>
        <v>0</v>
      </c>
      <c r="H266" s="1391" t="e">
        <f>G266/F266*100</f>
        <v>#DIV/0!</v>
      </c>
      <c r="I266" s="1398"/>
    </row>
    <row r="267" spans="1:9" hidden="1" x14ac:dyDescent="0.2">
      <c r="I267" s="1398"/>
    </row>
    <row r="268" spans="1:9" ht="15" hidden="1" x14ac:dyDescent="0.25">
      <c r="A268" s="1377" t="s">
        <v>1422</v>
      </c>
      <c r="D268" s="1371"/>
      <c r="E268" s="1372"/>
      <c r="H268" s="1398"/>
      <c r="I268" s="1398"/>
    </row>
    <row r="269" spans="1:9" ht="15" hidden="1" x14ac:dyDescent="0.25">
      <c r="A269" s="1377" t="s">
        <v>78</v>
      </c>
      <c r="D269" s="1371"/>
      <c r="E269" s="1372"/>
      <c r="H269" s="1459" t="s">
        <v>148</v>
      </c>
      <c r="I269" s="1398"/>
    </row>
    <row r="270" spans="1:9" ht="25.5" hidden="1" thickTop="1" thickBot="1" x14ac:dyDescent="0.25">
      <c r="A270" s="1378" t="s">
        <v>149</v>
      </c>
      <c r="B270" s="1379" t="s">
        <v>688</v>
      </c>
      <c r="C270" s="1379" t="s">
        <v>345</v>
      </c>
      <c r="D270" s="1380" t="s">
        <v>151</v>
      </c>
      <c r="E270" s="1402" t="s">
        <v>569</v>
      </c>
      <c r="F270" s="1402" t="s">
        <v>570</v>
      </c>
      <c r="G270" s="1403" t="s">
        <v>797</v>
      </c>
      <c r="H270" s="1404" t="s">
        <v>798</v>
      </c>
      <c r="I270" s="1398"/>
    </row>
    <row r="271" spans="1:9" ht="14.25" hidden="1" thickTop="1" thickBot="1" x14ac:dyDescent="0.25">
      <c r="A271" s="1297">
        <v>1</v>
      </c>
      <c r="B271" s="1296">
        <v>2</v>
      </c>
      <c r="C271" s="1296">
        <v>3</v>
      </c>
      <c r="D271" s="1296">
        <v>5</v>
      </c>
      <c r="E271" s="1295">
        <v>6</v>
      </c>
      <c r="F271" s="1295">
        <v>7</v>
      </c>
      <c r="G271" s="1446">
        <v>8</v>
      </c>
      <c r="H271" s="1383" t="s">
        <v>689</v>
      </c>
      <c r="I271" s="1398"/>
    </row>
    <row r="272" spans="1:9" ht="45.75" hidden="1" thickTop="1" x14ac:dyDescent="0.2">
      <c r="A272" s="1412">
        <v>3299</v>
      </c>
      <c r="B272" s="1413">
        <v>5213</v>
      </c>
      <c r="C272" s="1413">
        <v>32133006</v>
      </c>
      <c r="D272" s="1424" t="s">
        <v>1129</v>
      </c>
      <c r="E272" s="1401">
        <v>0</v>
      </c>
      <c r="F272" s="1401"/>
      <c r="G272" s="1456"/>
      <c r="H272" s="1388" t="e">
        <f>G272/F272*100</f>
        <v>#DIV/0!</v>
      </c>
      <c r="I272" s="1398"/>
    </row>
    <row r="273" spans="1:9" ht="45" hidden="1" x14ac:dyDescent="0.2">
      <c r="A273" s="1463">
        <v>3299</v>
      </c>
      <c r="B273" s="1469">
        <v>5213</v>
      </c>
      <c r="C273" s="1469">
        <v>32533006</v>
      </c>
      <c r="D273" s="1405" t="s">
        <v>1129</v>
      </c>
      <c r="E273" s="1414">
        <v>0</v>
      </c>
      <c r="F273" s="1414"/>
      <c r="G273" s="1453"/>
      <c r="H273" s="1390" t="e">
        <f>G273/F273*100</f>
        <v>#DIV/0!</v>
      </c>
      <c r="I273" s="1398"/>
    </row>
    <row r="274" spans="1:9" ht="45" hidden="1" x14ac:dyDescent="0.2">
      <c r="A274" s="1463">
        <v>3299</v>
      </c>
      <c r="B274" s="1469">
        <v>6313</v>
      </c>
      <c r="C274" s="1469">
        <v>32133006</v>
      </c>
      <c r="D274" s="1405" t="s">
        <v>79</v>
      </c>
      <c r="E274" s="1414">
        <v>0</v>
      </c>
      <c r="F274" s="1414">
        <v>0</v>
      </c>
      <c r="G274" s="1453">
        <v>0</v>
      </c>
      <c r="H274" s="1390" t="e">
        <f>G274/F274*100</f>
        <v>#DIV/0!</v>
      </c>
      <c r="I274" s="1398"/>
    </row>
    <row r="275" spans="1:9" ht="45" hidden="1" x14ac:dyDescent="0.2">
      <c r="A275" s="1463">
        <v>3299</v>
      </c>
      <c r="B275" s="1469">
        <v>6313</v>
      </c>
      <c r="C275" s="1469">
        <v>32533006</v>
      </c>
      <c r="D275" s="1405" t="s">
        <v>79</v>
      </c>
      <c r="E275" s="1414">
        <v>0</v>
      </c>
      <c r="F275" s="1414">
        <v>0</v>
      </c>
      <c r="G275" s="1453">
        <v>0</v>
      </c>
      <c r="H275" s="1390" t="e">
        <f>G275/F275*100</f>
        <v>#DIV/0!</v>
      </c>
      <c r="I275" s="1398"/>
    </row>
    <row r="276" spans="1:9" ht="16.5" hidden="1" thickTop="1" thickBot="1" x14ac:dyDescent="0.3">
      <c r="A276" s="1406" t="s">
        <v>690</v>
      </c>
      <c r="B276" s="1407"/>
      <c r="C276" s="1407"/>
      <c r="D276" s="1408"/>
      <c r="E276" s="1387">
        <f>SUM(E272:E275)</f>
        <v>0</v>
      </c>
      <c r="F276" s="1387">
        <f>SUM(F272:F275)</f>
        <v>0</v>
      </c>
      <c r="G276" s="1387">
        <f>SUM(G272:G275)</f>
        <v>0</v>
      </c>
      <c r="H276" s="1391" t="e">
        <f>G276/F276*100</f>
        <v>#DIV/0!</v>
      </c>
      <c r="I276" s="1398"/>
    </row>
    <row r="277" spans="1:9" hidden="1" x14ac:dyDescent="0.2">
      <c r="I277" s="1398"/>
    </row>
    <row r="278" spans="1:9" ht="15" hidden="1" x14ac:dyDescent="0.25">
      <c r="A278" s="1377" t="s">
        <v>846</v>
      </c>
      <c r="D278" s="1371"/>
      <c r="E278" s="1372"/>
      <c r="H278" s="1398"/>
      <c r="I278" s="1398"/>
    </row>
    <row r="279" spans="1:9" ht="15" hidden="1" x14ac:dyDescent="0.25">
      <c r="A279" s="1377" t="s">
        <v>870</v>
      </c>
      <c r="D279" s="1371"/>
      <c r="E279" s="1372"/>
      <c r="H279" s="1459" t="s">
        <v>148</v>
      </c>
      <c r="I279" s="1398"/>
    </row>
    <row r="280" spans="1:9" ht="25.5" hidden="1" thickTop="1" thickBot="1" x14ac:dyDescent="0.25">
      <c r="A280" s="1378" t="s">
        <v>149</v>
      </c>
      <c r="B280" s="1379" t="s">
        <v>688</v>
      </c>
      <c r="C280" s="1379" t="s">
        <v>345</v>
      </c>
      <c r="D280" s="1380" t="s">
        <v>151</v>
      </c>
      <c r="E280" s="1402" t="s">
        <v>569</v>
      </c>
      <c r="F280" s="1402" t="s">
        <v>570</v>
      </c>
      <c r="G280" s="1403" t="s">
        <v>797</v>
      </c>
      <c r="H280" s="1404" t="s">
        <v>798</v>
      </c>
      <c r="I280" s="1398"/>
    </row>
    <row r="281" spans="1:9" ht="14.25" hidden="1" thickTop="1" thickBot="1" x14ac:dyDescent="0.25">
      <c r="A281" s="1297">
        <v>1</v>
      </c>
      <c r="B281" s="1296">
        <v>2</v>
      </c>
      <c r="C281" s="1296">
        <v>3</v>
      </c>
      <c r="D281" s="1296">
        <v>5</v>
      </c>
      <c r="E281" s="1295">
        <v>6</v>
      </c>
      <c r="F281" s="1295">
        <v>7</v>
      </c>
      <c r="G281" s="1446">
        <v>8</v>
      </c>
      <c r="H281" s="1383" t="s">
        <v>689</v>
      </c>
      <c r="I281" s="1398"/>
    </row>
    <row r="282" spans="1:9" ht="45.75" hidden="1" thickTop="1" x14ac:dyDescent="0.2">
      <c r="A282" s="1463">
        <v>3299</v>
      </c>
      <c r="B282" s="1469">
        <v>5213</v>
      </c>
      <c r="C282" s="1469">
        <v>32133006</v>
      </c>
      <c r="D282" s="1486" t="s">
        <v>1129</v>
      </c>
      <c r="E282" s="1401">
        <v>0</v>
      </c>
      <c r="F282" s="1401"/>
      <c r="G282" s="1456"/>
      <c r="H282" s="1388" t="e">
        <f>G282/F282*100</f>
        <v>#DIV/0!</v>
      </c>
      <c r="I282" s="1398"/>
    </row>
    <row r="283" spans="1:9" ht="45.75" hidden="1" thickBot="1" x14ac:dyDescent="0.25">
      <c r="A283" s="1463">
        <v>3299</v>
      </c>
      <c r="B283" s="1469">
        <v>5213</v>
      </c>
      <c r="C283" s="1469">
        <v>32533006</v>
      </c>
      <c r="D283" s="1487" t="s">
        <v>1129</v>
      </c>
      <c r="E283" s="1414">
        <v>0</v>
      </c>
      <c r="F283" s="1414"/>
      <c r="G283" s="1453"/>
      <c r="H283" s="1390" t="e">
        <f>G283/F283*100</f>
        <v>#DIV/0!</v>
      </c>
      <c r="I283" s="1398"/>
    </row>
    <row r="284" spans="1:9" ht="16.5" hidden="1" thickTop="1" thickBot="1" x14ac:dyDescent="0.3">
      <c r="A284" s="1406" t="s">
        <v>690</v>
      </c>
      <c r="B284" s="1407"/>
      <c r="C284" s="1407"/>
      <c r="D284" s="1408"/>
      <c r="E284" s="1387">
        <f>SUM(E282:E283)</f>
        <v>0</v>
      </c>
      <c r="F284" s="1387">
        <f>SUM(F282:F283)</f>
        <v>0</v>
      </c>
      <c r="G284" s="1387">
        <f>SUM(G282:G283)</f>
        <v>0</v>
      </c>
      <c r="H284" s="1391" t="e">
        <f>G284/F284*100</f>
        <v>#DIV/0!</v>
      </c>
      <c r="I284" s="1398"/>
    </row>
    <row r="285" spans="1:9" hidden="1" x14ac:dyDescent="0.2">
      <c r="I285" s="1398"/>
    </row>
    <row r="286" spans="1:9" ht="15" hidden="1" x14ac:dyDescent="0.25">
      <c r="A286" s="1377" t="s">
        <v>1423</v>
      </c>
      <c r="D286" s="1371"/>
      <c r="E286" s="1372"/>
      <c r="H286" s="1398"/>
      <c r="I286" s="1398"/>
    </row>
    <row r="287" spans="1:9" ht="15" hidden="1" x14ac:dyDescent="0.25">
      <c r="A287" s="1377" t="s">
        <v>871</v>
      </c>
      <c r="D287" s="1371"/>
      <c r="E287" s="1372"/>
      <c r="H287" s="1459" t="s">
        <v>148</v>
      </c>
      <c r="I287" s="1398"/>
    </row>
    <row r="288" spans="1:9" ht="25.5" hidden="1" thickTop="1" thickBot="1" x14ac:dyDescent="0.25">
      <c r="A288" s="1378" t="s">
        <v>149</v>
      </c>
      <c r="B288" s="1379" t="s">
        <v>688</v>
      </c>
      <c r="C288" s="1379" t="s">
        <v>345</v>
      </c>
      <c r="D288" s="1380" t="s">
        <v>151</v>
      </c>
      <c r="E288" s="1402" t="s">
        <v>569</v>
      </c>
      <c r="F288" s="1402" t="s">
        <v>570</v>
      </c>
      <c r="G288" s="1403" t="s">
        <v>797</v>
      </c>
      <c r="H288" s="1404" t="s">
        <v>798</v>
      </c>
      <c r="I288" s="1398"/>
    </row>
    <row r="289" spans="1:9" ht="14.25" hidden="1" thickTop="1" thickBot="1" x14ac:dyDescent="0.25">
      <c r="A289" s="1297">
        <v>1</v>
      </c>
      <c r="B289" s="1296">
        <v>2</v>
      </c>
      <c r="C289" s="1296">
        <v>3</v>
      </c>
      <c r="D289" s="1296">
        <v>5</v>
      </c>
      <c r="E289" s="1295">
        <v>6</v>
      </c>
      <c r="F289" s="1295">
        <v>7</v>
      </c>
      <c r="G289" s="1446">
        <v>8</v>
      </c>
      <c r="H289" s="1383" t="s">
        <v>689</v>
      </c>
      <c r="I289" s="1398"/>
    </row>
    <row r="290" spans="1:9" ht="30.75" hidden="1" thickTop="1" x14ac:dyDescent="0.2">
      <c r="A290" s="1463">
        <v>3299</v>
      </c>
      <c r="B290" s="1469">
        <v>5229</v>
      </c>
      <c r="C290" s="1469">
        <v>32133006</v>
      </c>
      <c r="D290" s="1405" t="s">
        <v>872</v>
      </c>
      <c r="E290" s="1401">
        <v>0</v>
      </c>
      <c r="F290" s="1401"/>
      <c r="G290" s="1456"/>
      <c r="H290" s="1388" t="e">
        <f>G290/F290*100</f>
        <v>#DIV/0!</v>
      </c>
      <c r="I290" s="1398"/>
    </row>
    <row r="291" spans="1:9" ht="30" hidden="1" x14ac:dyDescent="0.2">
      <c r="A291" s="1463">
        <v>3299</v>
      </c>
      <c r="B291" s="1469">
        <v>5229</v>
      </c>
      <c r="C291" s="1469">
        <v>32533006</v>
      </c>
      <c r="D291" s="1405" t="s">
        <v>872</v>
      </c>
      <c r="E291" s="1414">
        <v>0</v>
      </c>
      <c r="F291" s="1414"/>
      <c r="G291" s="1453"/>
      <c r="H291" s="1390" t="e">
        <f>G291/F291*100</f>
        <v>#DIV/0!</v>
      </c>
      <c r="I291" s="1398"/>
    </row>
    <row r="292" spans="1:9" ht="16.5" hidden="1" thickTop="1" thickBot="1" x14ac:dyDescent="0.3">
      <c r="A292" s="1406" t="s">
        <v>690</v>
      </c>
      <c r="B292" s="1407"/>
      <c r="C292" s="1407"/>
      <c r="D292" s="1408"/>
      <c r="E292" s="1387">
        <f>SUM(E290:E291)</f>
        <v>0</v>
      </c>
      <c r="F292" s="1387">
        <f>SUM(F290:F291)</f>
        <v>0</v>
      </c>
      <c r="G292" s="1387">
        <f>SUM(G290:G291)</f>
        <v>0</v>
      </c>
      <c r="H292" s="1391" t="e">
        <f>G292/F292*100</f>
        <v>#DIV/0!</v>
      </c>
      <c r="I292" s="1398"/>
    </row>
    <row r="293" spans="1:9" hidden="1" x14ac:dyDescent="0.2">
      <c r="I293" s="1398"/>
    </row>
    <row r="294" spans="1:9" ht="15" hidden="1" x14ac:dyDescent="0.25">
      <c r="A294" s="1377" t="s">
        <v>80</v>
      </c>
      <c r="D294" s="1371"/>
      <c r="E294" s="1372"/>
      <c r="H294" s="1398"/>
      <c r="I294" s="1398"/>
    </row>
    <row r="295" spans="1:9" ht="15" hidden="1" x14ac:dyDescent="0.25">
      <c r="A295" s="1377" t="s">
        <v>207</v>
      </c>
      <c r="D295" s="1371"/>
      <c r="E295" s="1372"/>
      <c r="H295" s="1459" t="s">
        <v>148</v>
      </c>
      <c r="I295" s="1398"/>
    </row>
    <row r="296" spans="1:9" ht="25.5" hidden="1" thickTop="1" thickBot="1" x14ac:dyDescent="0.25">
      <c r="A296" s="1378" t="s">
        <v>149</v>
      </c>
      <c r="B296" s="1379" t="s">
        <v>688</v>
      </c>
      <c r="C296" s="1379" t="s">
        <v>345</v>
      </c>
      <c r="D296" s="1380" t="s">
        <v>151</v>
      </c>
      <c r="E296" s="1402" t="s">
        <v>569</v>
      </c>
      <c r="F296" s="1402" t="s">
        <v>570</v>
      </c>
      <c r="G296" s="1403" t="s">
        <v>797</v>
      </c>
      <c r="H296" s="1404" t="s">
        <v>798</v>
      </c>
      <c r="I296" s="1398"/>
    </row>
    <row r="297" spans="1:9" ht="14.25" hidden="1" thickTop="1" thickBot="1" x14ac:dyDescent="0.25">
      <c r="A297" s="1297">
        <v>1</v>
      </c>
      <c r="B297" s="1296">
        <v>2</v>
      </c>
      <c r="C297" s="1296">
        <v>3</v>
      </c>
      <c r="D297" s="1296">
        <v>5</v>
      </c>
      <c r="E297" s="1295">
        <v>6</v>
      </c>
      <c r="F297" s="1295">
        <v>7</v>
      </c>
      <c r="G297" s="1446">
        <v>8</v>
      </c>
      <c r="H297" s="1383" t="s">
        <v>689</v>
      </c>
      <c r="I297" s="1398"/>
    </row>
    <row r="298" spans="1:9" ht="15.75" hidden="1" thickTop="1" x14ac:dyDescent="0.25">
      <c r="A298" s="1384">
        <v>3299</v>
      </c>
      <c r="B298" s="1385">
        <v>5321</v>
      </c>
      <c r="C298" s="1385">
        <v>32133006</v>
      </c>
      <c r="D298" s="1454" t="s">
        <v>1078</v>
      </c>
      <c r="E298" s="1401">
        <v>0</v>
      </c>
      <c r="F298" s="1401"/>
      <c r="G298" s="1456"/>
      <c r="H298" s="1388" t="e">
        <f>G298/F298*100</f>
        <v>#DIV/0!</v>
      </c>
      <c r="I298" s="1398"/>
    </row>
    <row r="299" spans="1:9" ht="15" hidden="1" x14ac:dyDescent="0.25">
      <c r="A299" s="1384">
        <v>3299</v>
      </c>
      <c r="B299" s="1385">
        <v>5321</v>
      </c>
      <c r="C299" s="1385">
        <v>32533006</v>
      </c>
      <c r="D299" s="1454" t="s">
        <v>1078</v>
      </c>
      <c r="E299" s="1414">
        <v>0</v>
      </c>
      <c r="F299" s="1414"/>
      <c r="G299" s="1453"/>
      <c r="H299" s="1390" t="e">
        <f>G299/F299*100</f>
        <v>#DIV/0!</v>
      </c>
      <c r="I299" s="1398"/>
    </row>
    <row r="300" spans="1:9" ht="15" hidden="1" x14ac:dyDescent="0.25">
      <c r="A300" s="1384">
        <v>3299</v>
      </c>
      <c r="B300" s="1385">
        <v>6341</v>
      </c>
      <c r="C300" s="1385">
        <v>32133006</v>
      </c>
      <c r="D300" s="1454" t="s">
        <v>227</v>
      </c>
      <c r="E300" s="1414">
        <v>0</v>
      </c>
      <c r="F300" s="1414">
        <v>0</v>
      </c>
      <c r="G300" s="1453">
        <v>0</v>
      </c>
      <c r="H300" s="1390" t="e">
        <f>G300/F300*100</f>
        <v>#DIV/0!</v>
      </c>
      <c r="I300" s="1398"/>
    </row>
    <row r="301" spans="1:9" ht="15" hidden="1" x14ac:dyDescent="0.25">
      <c r="A301" s="1384">
        <v>3299</v>
      </c>
      <c r="B301" s="1385">
        <v>6341</v>
      </c>
      <c r="C301" s="1385">
        <v>32533006</v>
      </c>
      <c r="D301" s="1454" t="s">
        <v>227</v>
      </c>
      <c r="E301" s="1414">
        <v>0</v>
      </c>
      <c r="F301" s="1414">
        <v>0</v>
      </c>
      <c r="G301" s="1453">
        <v>0</v>
      </c>
      <c r="H301" s="1390" t="e">
        <f>G301/F301*100</f>
        <v>#DIV/0!</v>
      </c>
      <c r="I301" s="1398"/>
    </row>
    <row r="302" spans="1:9" ht="16.5" hidden="1" thickTop="1" thickBot="1" x14ac:dyDescent="0.3">
      <c r="A302" s="1406" t="s">
        <v>690</v>
      </c>
      <c r="B302" s="1407"/>
      <c r="C302" s="1407"/>
      <c r="D302" s="1408"/>
      <c r="E302" s="1387">
        <f>SUM(E298:E301)</f>
        <v>0</v>
      </c>
      <c r="F302" s="1387">
        <f>SUM(F298:F301)</f>
        <v>0</v>
      </c>
      <c r="G302" s="1387">
        <f>SUM(G298:G301)</f>
        <v>0</v>
      </c>
      <c r="H302" s="1391" t="e">
        <f>G302/F302*100</f>
        <v>#DIV/0!</v>
      </c>
      <c r="I302" s="1398"/>
    </row>
    <row r="303" spans="1:9" hidden="1" x14ac:dyDescent="0.2">
      <c r="I303" s="1398"/>
    </row>
    <row r="304" spans="1:9" ht="15" hidden="1" x14ac:dyDescent="0.25">
      <c r="A304" s="1377" t="s">
        <v>873</v>
      </c>
      <c r="D304" s="1371"/>
      <c r="E304" s="1372"/>
      <c r="H304" s="1398"/>
      <c r="I304" s="1398"/>
    </row>
    <row r="305" spans="1:9" ht="15" hidden="1" x14ac:dyDescent="0.25">
      <c r="A305" s="1377" t="s">
        <v>874</v>
      </c>
      <c r="D305" s="1371"/>
      <c r="E305" s="1372"/>
      <c r="H305" s="1459" t="s">
        <v>148</v>
      </c>
      <c r="I305" s="1398"/>
    </row>
    <row r="306" spans="1:9" ht="25.5" hidden="1" thickTop="1" thickBot="1" x14ac:dyDescent="0.25">
      <c r="A306" s="1378" t="s">
        <v>149</v>
      </c>
      <c r="B306" s="1379" t="s">
        <v>688</v>
      </c>
      <c r="C306" s="1379" t="s">
        <v>345</v>
      </c>
      <c r="D306" s="1380" t="s">
        <v>151</v>
      </c>
      <c r="E306" s="1402" t="s">
        <v>569</v>
      </c>
      <c r="F306" s="1402" t="s">
        <v>570</v>
      </c>
      <c r="G306" s="1403" t="s">
        <v>797</v>
      </c>
      <c r="H306" s="1404" t="s">
        <v>798</v>
      </c>
      <c r="I306" s="1398"/>
    </row>
    <row r="307" spans="1:9" ht="14.25" hidden="1" thickTop="1" thickBot="1" x14ac:dyDescent="0.25">
      <c r="A307" s="1297">
        <v>1</v>
      </c>
      <c r="B307" s="1296">
        <v>2</v>
      </c>
      <c r="C307" s="1296">
        <v>3</v>
      </c>
      <c r="D307" s="1296">
        <v>5</v>
      </c>
      <c r="E307" s="1295">
        <v>6</v>
      </c>
      <c r="F307" s="1295">
        <v>7</v>
      </c>
      <c r="G307" s="1446">
        <v>8</v>
      </c>
      <c r="H307" s="1383" t="s">
        <v>689</v>
      </c>
      <c r="I307" s="1398"/>
    </row>
    <row r="308" spans="1:9" ht="15.75" hidden="1" thickTop="1" x14ac:dyDescent="0.25">
      <c r="A308" s="1384">
        <v>3299</v>
      </c>
      <c r="B308" s="1385">
        <v>5321</v>
      </c>
      <c r="C308" s="1385">
        <v>32133006</v>
      </c>
      <c r="D308" s="1454" t="s">
        <v>1078</v>
      </c>
      <c r="E308" s="1401">
        <v>0</v>
      </c>
      <c r="F308" s="1401"/>
      <c r="G308" s="1456"/>
      <c r="H308" s="1388" t="e">
        <f>G308/F308*100</f>
        <v>#DIV/0!</v>
      </c>
      <c r="I308" s="1398"/>
    </row>
    <row r="309" spans="1:9" ht="15" hidden="1" x14ac:dyDescent="0.25">
      <c r="A309" s="1384">
        <v>3299</v>
      </c>
      <c r="B309" s="1385">
        <v>5321</v>
      </c>
      <c r="C309" s="1385">
        <v>32533006</v>
      </c>
      <c r="D309" s="1454" t="s">
        <v>1078</v>
      </c>
      <c r="E309" s="1414">
        <v>0</v>
      </c>
      <c r="F309" s="1414"/>
      <c r="G309" s="1453"/>
      <c r="H309" s="1390" t="e">
        <f>G309/F309*100</f>
        <v>#DIV/0!</v>
      </c>
      <c r="I309" s="1398"/>
    </row>
    <row r="310" spans="1:9" ht="15" hidden="1" x14ac:dyDescent="0.25">
      <c r="A310" s="1384">
        <v>3299</v>
      </c>
      <c r="B310" s="1385">
        <v>6341</v>
      </c>
      <c r="C310" s="1385">
        <v>32133006</v>
      </c>
      <c r="D310" s="1454" t="s">
        <v>227</v>
      </c>
      <c r="E310" s="1414">
        <v>0</v>
      </c>
      <c r="F310" s="1414">
        <v>0</v>
      </c>
      <c r="G310" s="1453">
        <v>0</v>
      </c>
      <c r="H310" s="1390" t="e">
        <f>G310/F310*100</f>
        <v>#DIV/0!</v>
      </c>
      <c r="I310" s="1398"/>
    </row>
    <row r="311" spans="1:9" ht="15" hidden="1" x14ac:dyDescent="0.25">
      <c r="A311" s="1384">
        <v>3299</v>
      </c>
      <c r="B311" s="1385">
        <v>6341</v>
      </c>
      <c r="C311" s="1385">
        <v>32533006</v>
      </c>
      <c r="D311" s="1454" t="s">
        <v>227</v>
      </c>
      <c r="E311" s="1414">
        <v>0</v>
      </c>
      <c r="F311" s="1414">
        <v>0</v>
      </c>
      <c r="G311" s="1453">
        <v>0</v>
      </c>
      <c r="H311" s="1390" t="e">
        <f>G311/F311*100</f>
        <v>#DIV/0!</v>
      </c>
      <c r="I311" s="1398"/>
    </row>
    <row r="312" spans="1:9" ht="16.5" hidden="1" thickTop="1" thickBot="1" x14ac:dyDescent="0.3">
      <c r="A312" s="1406" t="s">
        <v>690</v>
      </c>
      <c r="B312" s="1407"/>
      <c r="C312" s="1407"/>
      <c r="D312" s="1408"/>
      <c r="E312" s="1387">
        <f>SUM(E308:E311)</f>
        <v>0</v>
      </c>
      <c r="F312" s="1387">
        <f>SUM(F308:F311)</f>
        <v>0</v>
      </c>
      <c r="G312" s="1387">
        <f>SUM(G308:G311)</f>
        <v>0</v>
      </c>
      <c r="H312" s="1391" t="e">
        <f>G312/F312*100</f>
        <v>#DIV/0!</v>
      </c>
      <c r="I312" s="1398"/>
    </row>
    <row r="313" spans="1:9" hidden="1" x14ac:dyDescent="0.2">
      <c r="I313" s="1398"/>
    </row>
    <row r="314" spans="1:9" ht="15" hidden="1" x14ac:dyDescent="0.25">
      <c r="A314" s="1377" t="s">
        <v>208</v>
      </c>
      <c r="D314" s="1371"/>
      <c r="E314" s="1372"/>
      <c r="H314" s="1398"/>
      <c r="I314" s="1398"/>
    </row>
    <row r="315" spans="1:9" ht="15" hidden="1" x14ac:dyDescent="0.25">
      <c r="A315" s="1377" t="s">
        <v>209</v>
      </c>
      <c r="D315" s="1371"/>
      <c r="E315" s="1372"/>
      <c r="H315" s="1459" t="s">
        <v>148</v>
      </c>
      <c r="I315" s="1398"/>
    </row>
    <row r="316" spans="1:9" ht="25.5" hidden="1" thickTop="1" thickBot="1" x14ac:dyDescent="0.25">
      <c r="A316" s="1378" t="s">
        <v>149</v>
      </c>
      <c r="B316" s="1379" t="s">
        <v>688</v>
      </c>
      <c r="C316" s="1379" t="s">
        <v>345</v>
      </c>
      <c r="D316" s="1380" t="s">
        <v>151</v>
      </c>
      <c r="E316" s="1402" t="s">
        <v>569</v>
      </c>
      <c r="F316" s="1402" t="s">
        <v>570</v>
      </c>
      <c r="G316" s="1403" t="s">
        <v>797</v>
      </c>
      <c r="H316" s="1404" t="s">
        <v>798</v>
      </c>
      <c r="I316" s="1398"/>
    </row>
    <row r="317" spans="1:9" ht="14.25" hidden="1" thickTop="1" thickBot="1" x14ac:dyDescent="0.25">
      <c r="A317" s="1297">
        <v>1</v>
      </c>
      <c r="B317" s="1296">
        <v>2</v>
      </c>
      <c r="C317" s="1296">
        <v>3</v>
      </c>
      <c r="D317" s="1296">
        <v>5</v>
      </c>
      <c r="E317" s="1295">
        <v>6</v>
      </c>
      <c r="F317" s="1295">
        <v>7</v>
      </c>
      <c r="G317" s="1446">
        <v>8</v>
      </c>
      <c r="H317" s="1383" t="s">
        <v>689</v>
      </c>
      <c r="I317" s="1398"/>
    </row>
    <row r="318" spans="1:9" ht="15.75" hidden="1" thickTop="1" x14ac:dyDescent="0.25">
      <c r="A318" s="1384">
        <v>3299</v>
      </c>
      <c r="B318" s="1385">
        <v>5321</v>
      </c>
      <c r="C318" s="1385">
        <v>32133006</v>
      </c>
      <c r="D318" s="1454" t="s">
        <v>1078</v>
      </c>
      <c r="E318" s="1401">
        <v>0</v>
      </c>
      <c r="F318" s="1401"/>
      <c r="G318" s="1456"/>
      <c r="H318" s="1388" t="e">
        <f>G318/F318*100</f>
        <v>#DIV/0!</v>
      </c>
      <c r="I318" s="1398"/>
    </row>
    <row r="319" spans="1:9" ht="15" hidden="1" x14ac:dyDescent="0.25">
      <c r="A319" s="1384">
        <v>3299</v>
      </c>
      <c r="B319" s="1385">
        <v>5321</v>
      </c>
      <c r="C319" s="1385">
        <v>32533006</v>
      </c>
      <c r="D319" s="1454" t="s">
        <v>1078</v>
      </c>
      <c r="E319" s="1414">
        <v>0</v>
      </c>
      <c r="F319" s="1414"/>
      <c r="G319" s="1453"/>
      <c r="H319" s="1390" t="e">
        <f>G319/F319*100</f>
        <v>#DIV/0!</v>
      </c>
      <c r="I319" s="1398"/>
    </row>
    <row r="320" spans="1:9" ht="16.5" hidden="1" thickTop="1" thickBot="1" x14ac:dyDescent="0.3">
      <c r="A320" s="1406" t="s">
        <v>690</v>
      </c>
      <c r="B320" s="1407"/>
      <c r="C320" s="1407"/>
      <c r="D320" s="1408"/>
      <c r="E320" s="1387">
        <f>SUM(E318:E319)</f>
        <v>0</v>
      </c>
      <c r="F320" s="1387">
        <f>SUM(F318:F319)</f>
        <v>0</v>
      </c>
      <c r="G320" s="1387">
        <f>SUM(G318:G319)</f>
        <v>0</v>
      </c>
      <c r="H320" s="1391" t="e">
        <f>G320/F320*100</f>
        <v>#DIV/0!</v>
      </c>
      <c r="I320" s="1398"/>
    </row>
    <row r="321" spans="1:9" hidden="1" x14ac:dyDescent="0.2">
      <c r="I321" s="1398"/>
    </row>
    <row r="322" spans="1:9" ht="15" hidden="1" x14ac:dyDescent="0.25">
      <c r="A322" s="1377" t="s">
        <v>875</v>
      </c>
      <c r="D322" s="1371"/>
      <c r="E322" s="1372"/>
      <c r="H322" s="1398"/>
      <c r="I322" s="1398"/>
    </row>
    <row r="323" spans="1:9" ht="15" hidden="1" x14ac:dyDescent="0.25">
      <c r="A323" s="1377" t="s">
        <v>876</v>
      </c>
      <c r="D323" s="1371"/>
      <c r="E323" s="1372"/>
      <c r="H323" s="1459" t="s">
        <v>148</v>
      </c>
      <c r="I323" s="1398"/>
    </row>
    <row r="324" spans="1:9" ht="25.5" hidden="1" thickTop="1" thickBot="1" x14ac:dyDescent="0.25">
      <c r="A324" s="1378" t="s">
        <v>149</v>
      </c>
      <c r="B324" s="1379" t="s">
        <v>688</v>
      </c>
      <c r="C324" s="1379" t="s">
        <v>345</v>
      </c>
      <c r="D324" s="1380" t="s">
        <v>151</v>
      </c>
      <c r="E324" s="1402" t="s">
        <v>569</v>
      </c>
      <c r="F324" s="1402" t="s">
        <v>570</v>
      </c>
      <c r="G324" s="1403" t="s">
        <v>797</v>
      </c>
      <c r="H324" s="1404" t="s">
        <v>798</v>
      </c>
      <c r="I324" s="1398"/>
    </row>
    <row r="325" spans="1:9" ht="14.25" hidden="1" thickTop="1" thickBot="1" x14ac:dyDescent="0.25">
      <c r="A325" s="1297">
        <v>1</v>
      </c>
      <c r="B325" s="1296">
        <v>2</v>
      </c>
      <c r="C325" s="1296">
        <v>3</v>
      </c>
      <c r="D325" s="1296">
        <v>5</v>
      </c>
      <c r="E325" s="1295">
        <v>6</v>
      </c>
      <c r="F325" s="1295">
        <v>7</v>
      </c>
      <c r="G325" s="1446">
        <v>8</v>
      </c>
      <c r="H325" s="1383" t="s">
        <v>689</v>
      </c>
      <c r="I325" s="1398"/>
    </row>
    <row r="326" spans="1:9" ht="15.75" hidden="1" thickTop="1" x14ac:dyDescent="0.25">
      <c r="A326" s="1384">
        <v>3299</v>
      </c>
      <c r="B326" s="1385">
        <v>5321</v>
      </c>
      <c r="C326" s="1385">
        <v>32133006</v>
      </c>
      <c r="D326" s="1454" t="s">
        <v>1078</v>
      </c>
      <c r="E326" s="1401">
        <v>0</v>
      </c>
      <c r="F326" s="1401"/>
      <c r="G326" s="1456"/>
      <c r="H326" s="1388" t="e">
        <f>G326/F326*100</f>
        <v>#DIV/0!</v>
      </c>
      <c r="I326" s="1398"/>
    </row>
    <row r="327" spans="1:9" ht="15" hidden="1" x14ac:dyDescent="0.25">
      <c r="A327" s="1384">
        <v>3299</v>
      </c>
      <c r="B327" s="1385">
        <v>5321</v>
      </c>
      <c r="C327" s="1385">
        <v>32533006</v>
      </c>
      <c r="D327" s="1454" t="s">
        <v>1078</v>
      </c>
      <c r="E327" s="1414">
        <v>0</v>
      </c>
      <c r="F327" s="1414"/>
      <c r="G327" s="1453"/>
      <c r="H327" s="1390" t="e">
        <f>G327/F327*100</f>
        <v>#DIV/0!</v>
      </c>
      <c r="I327" s="1398"/>
    </row>
    <row r="328" spans="1:9" ht="15" hidden="1" x14ac:dyDescent="0.25">
      <c r="A328" s="1384">
        <v>3299</v>
      </c>
      <c r="B328" s="1385">
        <v>6341</v>
      </c>
      <c r="C328" s="1385">
        <v>32133006</v>
      </c>
      <c r="D328" s="1454" t="s">
        <v>227</v>
      </c>
      <c r="E328" s="1414">
        <v>0</v>
      </c>
      <c r="F328" s="1414">
        <v>0</v>
      </c>
      <c r="G328" s="1453">
        <v>0</v>
      </c>
      <c r="H328" s="1390" t="e">
        <f>G328/F328*100</f>
        <v>#DIV/0!</v>
      </c>
      <c r="I328" s="1398"/>
    </row>
    <row r="329" spans="1:9" ht="15" hidden="1" x14ac:dyDescent="0.25">
      <c r="A329" s="1384">
        <v>3299</v>
      </c>
      <c r="B329" s="1385">
        <v>6341</v>
      </c>
      <c r="C329" s="1385">
        <v>32533006</v>
      </c>
      <c r="D329" s="1454" t="s">
        <v>227</v>
      </c>
      <c r="E329" s="1414">
        <v>0</v>
      </c>
      <c r="F329" s="1414">
        <v>0</v>
      </c>
      <c r="G329" s="1453">
        <v>0</v>
      </c>
      <c r="H329" s="1390" t="e">
        <f>G329/F329*100</f>
        <v>#DIV/0!</v>
      </c>
      <c r="I329" s="1398"/>
    </row>
    <row r="330" spans="1:9" ht="16.5" hidden="1" thickTop="1" thickBot="1" x14ac:dyDescent="0.3">
      <c r="A330" s="1406" t="s">
        <v>690</v>
      </c>
      <c r="B330" s="1407"/>
      <c r="C330" s="1407"/>
      <c r="D330" s="1408"/>
      <c r="E330" s="1387">
        <f>SUM(E326:E329)</f>
        <v>0</v>
      </c>
      <c r="F330" s="1387">
        <f>SUM(F326:F329)</f>
        <v>0</v>
      </c>
      <c r="G330" s="1387">
        <f>SUM(G326:G329)</f>
        <v>0</v>
      </c>
      <c r="H330" s="1391" t="e">
        <f>G330/F330*100</f>
        <v>#DIV/0!</v>
      </c>
      <c r="I330" s="1398"/>
    </row>
    <row r="331" spans="1:9" hidden="1" x14ac:dyDescent="0.2">
      <c r="I331" s="1398"/>
    </row>
    <row r="332" spans="1:9" ht="15" hidden="1" x14ac:dyDescent="0.25">
      <c r="A332" s="1377" t="s">
        <v>877</v>
      </c>
      <c r="D332" s="1371"/>
      <c r="E332" s="1372"/>
      <c r="H332" s="1398"/>
      <c r="I332" s="1398"/>
    </row>
    <row r="333" spans="1:9" ht="15" hidden="1" x14ac:dyDescent="0.25">
      <c r="A333" s="1377" t="s">
        <v>878</v>
      </c>
      <c r="D333" s="1371"/>
      <c r="E333" s="1372"/>
      <c r="H333" s="1459" t="s">
        <v>148</v>
      </c>
      <c r="I333" s="1398"/>
    </row>
    <row r="334" spans="1:9" ht="25.5" hidden="1" thickTop="1" thickBot="1" x14ac:dyDescent="0.25">
      <c r="A334" s="1378" t="s">
        <v>149</v>
      </c>
      <c r="B334" s="1379" t="s">
        <v>688</v>
      </c>
      <c r="C334" s="1379" t="s">
        <v>345</v>
      </c>
      <c r="D334" s="1380" t="s">
        <v>151</v>
      </c>
      <c r="E334" s="1402" t="s">
        <v>569</v>
      </c>
      <c r="F334" s="1402" t="s">
        <v>570</v>
      </c>
      <c r="G334" s="1403" t="s">
        <v>797</v>
      </c>
      <c r="H334" s="1404" t="s">
        <v>798</v>
      </c>
      <c r="I334" s="1398"/>
    </row>
    <row r="335" spans="1:9" ht="14.25" hidden="1" thickTop="1" thickBot="1" x14ac:dyDescent="0.25">
      <c r="A335" s="1297">
        <v>1</v>
      </c>
      <c r="B335" s="1296">
        <v>2</v>
      </c>
      <c r="C335" s="1296">
        <v>3</v>
      </c>
      <c r="D335" s="1296">
        <v>5</v>
      </c>
      <c r="E335" s="1295">
        <v>6</v>
      </c>
      <c r="F335" s="1295">
        <v>7</v>
      </c>
      <c r="G335" s="1446">
        <v>8</v>
      </c>
      <c r="H335" s="1383" t="s">
        <v>689</v>
      </c>
      <c r="I335" s="1398"/>
    </row>
    <row r="336" spans="1:9" ht="30.75" hidden="1" thickTop="1" x14ac:dyDescent="0.25">
      <c r="A336" s="1463">
        <v>3299</v>
      </c>
      <c r="B336" s="1469">
        <v>5329</v>
      </c>
      <c r="C336" s="1469">
        <v>32133006</v>
      </c>
      <c r="D336" s="1488" t="s">
        <v>879</v>
      </c>
      <c r="E336" s="1401">
        <v>0</v>
      </c>
      <c r="F336" s="1401"/>
      <c r="G336" s="1456"/>
      <c r="H336" s="1388" t="e">
        <f>G336/F336*100</f>
        <v>#DIV/0!</v>
      </c>
      <c r="I336" s="1398"/>
    </row>
    <row r="337" spans="1:9" ht="30" hidden="1" x14ac:dyDescent="0.25">
      <c r="A337" s="1463">
        <v>3299</v>
      </c>
      <c r="B337" s="1469">
        <v>5329</v>
      </c>
      <c r="C337" s="1469">
        <v>32533006</v>
      </c>
      <c r="D337" s="1488" t="s">
        <v>879</v>
      </c>
      <c r="E337" s="1414">
        <v>0</v>
      </c>
      <c r="F337" s="1414"/>
      <c r="G337" s="1453"/>
      <c r="H337" s="1390" t="e">
        <f>G337/F337*100</f>
        <v>#DIV/0!</v>
      </c>
      <c r="I337" s="1398"/>
    </row>
    <row r="338" spans="1:9" ht="30" hidden="1" x14ac:dyDescent="0.25">
      <c r="A338" s="1463">
        <v>3299</v>
      </c>
      <c r="B338" s="1469">
        <v>6329</v>
      </c>
      <c r="C338" s="1469">
        <v>32133006</v>
      </c>
      <c r="D338" s="1488" t="s">
        <v>880</v>
      </c>
      <c r="E338" s="1414">
        <v>0</v>
      </c>
      <c r="F338" s="1414">
        <v>0</v>
      </c>
      <c r="G338" s="1453">
        <v>0</v>
      </c>
      <c r="H338" s="1390" t="e">
        <f>G338/F338*100</f>
        <v>#DIV/0!</v>
      </c>
      <c r="I338" s="1398"/>
    </row>
    <row r="339" spans="1:9" ht="30" hidden="1" x14ac:dyDescent="0.25">
      <c r="A339" s="1463">
        <v>3299</v>
      </c>
      <c r="B339" s="1469">
        <v>6329</v>
      </c>
      <c r="C339" s="1469">
        <v>32533006</v>
      </c>
      <c r="D339" s="1488" t="s">
        <v>880</v>
      </c>
      <c r="E339" s="1414"/>
      <c r="F339" s="1414">
        <v>0</v>
      </c>
      <c r="G339" s="1453">
        <v>0</v>
      </c>
      <c r="H339" s="1390" t="e">
        <f>G339/F339*100</f>
        <v>#DIV/0!</v>
      </c>
      <c r="I339" s="1398"/>
    </row>
    <row r="340" spans="1:9" ht="30" hidden="1" x14ac:dyDescent="0.25">
      <c r="A340" s="1463">
        <v>3299</v>
      </c>
      <c r="B340" s="1469">
        <v>6349</v>
      </c>
      <c r="C340" s="1469">
        <v>32133006</v>
      </c>
      <c r="D340" s="1488" t="s">
        <v>881</v>
      </c>
      <c r="E340" s="1414">
        <v>0</v>
      </c>
      <c r="F340" s="1414">
        <v>0</v>
      </c>
      <c r="G340" s="1453">
        <v>0</v>
      </c>
      <c r="H340" s="1390">
        <v>0</v>
      </c>
      <c r="I340" s="1398"/>
    </row>
    <row r="341" spans="1:9" ht="30" hidden="1" x14ac:dyDescent="0.25">
      <c r="A341" s="1463">
        <v>3299</v>
      </c>
      <c r="B341" s="1469">
        <v>6349</v>
      </c>
      <c r="C341" s="1469">
        <v>32533006</v>
      </c>
      <c r="D341" s="1488" t="s">
        <v>881</v>
      </c>
      <c r="E341" s="1414">
        <v>0</v>
      </c>
      <c r="F341" s="1414">
        <v>0</v>
      </c>
      <c r="G341" s="1453">
        <v>0</v>
      </c>
      <c r="H341" s="1390">
        <v>0</v>
      </c>
      <c r="I341" s="1398"/>
    </row>
    <row r="342" spans="1:9" ht="16.5" hidden="1" thickTop="1" thickBot="1" x14ac:dyDescent="0.3">
      <c r="A342" s="1406" t="s">
        <v>690</v>
      </c>
      <c r="B342" s="1407"/>
      <c r="C342" s="1407"/>
      <c r="D342" s="1408"/>
      <c r="E342" s="1387">
        <f>SUM(E336:E341)</f>
        <v>0</v>
      </c>
      <c r="F342" s="1387">
        <f>SUM(F336:F341)</f>
        <v>0</v>
      </c>
      <c r="G342" s="1387">
        <f>SUM(G336:G341)</f>
        <v>0</v>
      </c>
      <c r="H342" s="1391" t="e">
        <f>G342/F342*100</f>
        <v>#DIV/0!</v>
      </c>
      <c r="I342" s="1398"/>
    </row>
    <row r="343" spans="1:9" ht="15" hidden="1" x14ac:dyDescent="0.25">
      <c r="A343" s="1417"/>
      <c r="B343" s="1417"/>
      <c r="C343" s="1417"/>
      <c r="D343" s="1417"/>
      <c r="E343" s="1393"/>
      <c r="F343" s="1393"/>
      <c r="G343" s="1393"/>
      <c r="H343" s="1418"/>
      <c r="I343" s="1398"/>
    </row>
    <row r="344" spans="1:9" ht="15" hidden="1" x14ac:dyDescent="0.25">
      <c r="A344" s="1377" t="s">
        <v>210</v>
      </c>
      <c r="D344" s="1371"/>
      <c r="E344" s="1372"/>
      <c r="H344" s="1398"/>
      <c r="I344" s="1398"/>
    </row>
    <row r="345" spans="1:9" ht="15" hidden="1" x14ac:dyDescent="0.25">
      <c r="A345" s="1377" t="s">
        <v>211</v>
      </c>
      <c r="D345" s="1371"/>
      <c r="E345" s="1372"/>
      <c r="H345" s="1459" t="s">
        <v>148</v>
      </c>
      <c r="I345" s="1398"/>
    </row>
    <row r="346" spans="1:9" ht="25.5" hidden="1" thickTop="1" thickBot="1" x14ac:dyDescent="0.25">
      <c r="A346" s="1378" t="s">
        <v>149</v>
      </c>
      <c r="B346" s="1379" t="s">
        <v>688</v>
      </c>
      <c r="C346" s="1379" t="s">
        <v>345</v>
      </c>
      <c r="D346" s="1380" t="s">
        <v>151</v>
      </c>
      <c r="E346" s="1402" t="s">
        <v>569</v>
      </c>
      <c r="F346" s="1402" t="s">
        <v>570</v>
      </c>
      <c r="G346" s="1403" t="s">
        <v>797</v>
      </c>
      <c r="H346" s="1404" t="s">
        <v>798</v>
      </c>
      <c r="I346" s="1398"/>
    </row>
    <row r="347" spans="1:9" ht="14.25" hidden="1" thickTop="1" thickBot="1" x14ac:dyDescent="0.25">
      <c r="A347" s="1297">
        <v>1</v>
      </c>
      <c r="B347" s="1296">
        <v>2</v>
      </c>
      <c r="C347" s="1296">
        <v>3</v>
      </c>
      <c r="D347" s="1296">
        <v>5</v>
      </c>
      <c r="E347" s="1295">
        <v>6</v>
      </c>
      <c r="F347" s="1295">
        <v>7</v>
      </c>
      <c r="G347" s="1446">
        <v>8</v>
      </c>
      <c r="H347" s="1383" t="s">
        <v>689</v>
      </c>
      <c r="I347" s="1398"/>
    </row>
    <row r="348" spans="1:9" ht="15.75" hidden="1" thickTop="1" x14ac:dyDescent="0.25">
      <c r="A348" s="1384">
        <v>3299</v>
      </c>
      <c r="B348" s="1385">
        <v>5321</v>
      </c>
      <c r="C348" s="1385">
        <v>32133006</v>
      </c>
      <c r="D348" s="1454" t="s">
        <v>1078</v>
      </c>
      <c r="E348" s="1401">
        <v>0</v>
      </c>
      <c r="F348" s="1401"/>
      <c r="G348" s="1456"/>
      <c r="H348" s="1388" t="e">
        <f>G348/F348*100</f>
        <v>#DIV/0!</v>
      </c>
      <c r="I348" s="1398"/>
    </row>
    <row r="349" spans="1:9" ht="15" hidden="1" x14ac:dyDescent="0.25">
      <c r="A349" s="1384">
        <v>3299</v>
      </c>
      <c r="B349" s="1385">
        <v>5321</v>
      </c>
      <c r="C349" s="1385">
        <v>32533006</v>
      </c>
      <c r="D349" s="1454" t="s">
        <v>1078</v>
      </c>
      <c r="E349" s="1414">
        <v>0</v>
      </c>
      <c r="F349" s="1414"/>
      <c r="G349" s="1453"/>
      <c r="H349" s="1390" t="e">
        <f>G349/F349*100</f>
        <v>#DIV/0!</v>
      </c>
      <c r="I349" s="1398"/>
    </row>
    <row r="350" spans="1:9" ht="15" hidden="1" x14ac:dyDescent="0.25">
      <c r="A350" s="1384">
        <v>3299</v>
      </c>
      <c r="B350" s="1385">
        <v>6341</v>
      </c>
      <c r="C350" s="1385">
        <v>32133006</v>
      </c>
      <c r="D350" s="1454" t="s">
        <v>227</v>
      </c>
      <c r="E350" s="1414">
        <v>0</v>
      </c>
      <c r="F350" s="1414">
        <v>0</v>
      </c>
      <c r="G350" s="1453">
        <v>0</v>
      </c>
      <c r="H350" s="1390" t="e">
        <f>G350/F350*100</f>
        <v>#DIV/0!</v>
      </c>
      <c r="I350" s="1398"/>
    </row>
    <row r="351" spans="1:9" ht="15" hidden="1" x14ac:dyDescent="0.25">
      <c r="A351" s="1384">
        <v>3299</v>
      </c>
      <c r="B351" s="1385">
        <v>6341</v>
      </c>
      <c r="C351" s="1385">
        <v>32533006</v>
      </c>
      <c r="D351" s="1454" t="s">
        <v>227</v>
      </c>
      <c r="E351" s="1414">
        <v>0</v>
      </c>
      <c r="F351" s="1414">
        <v>0</v>
      </c>
      <c r="G351" s="1453">
        <v>0</v>
      </c>
      <c r="H351" s="1390" t="e">
        <f>G351/F351*100</f>
        <v>#DIV/0!</v>
      </c>
      <c r="I351" s="1398"/>
    </row>
    <row r="352" spans="1:9" ht="16.5" hidden="1" thickTop="1" thickBot="1" x14ac:dyDescent="0.3">
      <c r="A352" s="1406" t="s">
        <v>690</v>
      </c>
      <c r="B352" s="1407"/>
      <c r="C352" s="1407"/>
      <c r="D352" s="1408"/>
      <c r="E352" s="1387">
        <f>SUM(E348:E351)</f>
        <v>0</v>
      </c>
      <c r="F352" s="1387">
        <f>SUM(F348:F351)</f>
        <v>0</v>
      </c>
      <c r="G352" s="1387">
        <f>SUM(G348:G351)</f>
        <v>0</v>
      </c>
      <c r="H352" s="1391" t="e">
        <f>G352/F352*100</f>
        <v>#DIV/0!</v>
      </c>
      <c r="I352" s="1398"/>
    </row>
    <row r="353" spans="1:9" ht="15" hidden="1" x14ac:dyDescent="0.25">
      <c r="A353" s="1417"/>
      <c r="B353" s="1417"/>
      <c r="C353" s="1417"/>
      <c r="D353" s="1417"/>
      <c r="E353" s="1393"/>
      <c r="F353" s="1393"/>
      <c r="G353" s="1393"/>
      <c r="H353" s="1418"/>
      <c r="I353" s="1398"/>
    </row>
    <row r="354" spans="1:9" ht="15" hidden="1" x14ac:dyDescent="0.25">
      <c r="A354" s="1377" t="s">
        <v>882</v>
      </c>
      <c r="D354" s="1371"/>
      <c r="E354" s="1372"/>
      <c r="H354" s="1398"/>
      <c r="I354" s="1398"/>
    </row>
    <row r="355" spans="1:9" ht="15" hidden="1" x14ac:dyDescent="0.25">
      <c r="A355" s="1377" t="s">
        <v>883</v>
      </c>
      <c r="D355" s="1371"/>
      <c r="E355" s="1372"/>
      <c r="H355" s="1459" t="s">
        <v>148</v>
      </c>
      <c r="I355" s="1398"/>
    </row>
    <row r="356" spans="1:9" ht="25.5" hidden="1" thickTop="1" thickBot="1" x14ac:dyDescent="0.25">
      <c r="A356" s="1378" t="s">
        <v>149</v>
      </c>
      <c r="B356" s="1379" t="s">
        <v>688</v>
      </c>
      <c r="C356" s="1379" t="s">
        <v>345</v>
      </c>
      <c r="D356" s="1380" t="s">
        <v>151</v>
      </c>
      <c r="E356" s="1402" t="s">
        <v>569</v>
      </c>
      <c r="F356" s="1402" t="s">
        <v>570</v>
      </c>
      <c r="G356" s="1403" t="s">
        <v>797</v>
      </c>
      <c r="H356" s="1404" t="s">
        <v>798</v>
      </c>
      <c r="I356" s="1398"/>
    </row>
    <row r="357" spans="1:9" ht="14.25" hidden="1" thickTop="1" thickBot="1" x14ac:dyDescent="0.25">
      <c r="A357" s="1297">
        <v>1</v>
      </c>
      <c r="B357" s="1296">
        <v>2</v>
      </c>
      <c r="C357" s="1296">
        <v>3</v>
      </c>
      <c r="D357" s="1296">
        <v>5</v>
      </c>
      <c r="E357" s="1295">
        <v>6</v>
      </c>
      <c r="F357" s="1295">
        <v>7</v>
      </c>
      <c r="G357" s="1446">
        <v>8</v>
      </c>
      <c r="H357" s="1383" t="s">
        <v>689</v>
      </c>
      <c r="I357" s="1398"/>
    </row>
    <row r="358" spans="1:9" ht="15.75" hidden="1" thickTop="1" x14ac:dyDescent="0.25">
      <c r="A358" s="1384">
        <v>3299</v>
      </c>
      <c r="B358" s="1385">
        <v>5321</v>
      </c>
      <c r="C358" s="1385">
        <v>32133006</v>
      </c>
      <c r="D358" s="1454" t="s">
        <v>1078</v>
      </c>
      <c r="E358" s="1401">
        <v>0</v>
      </c>
      <c r="F358" s="1401"/>
      <c r="G358" s="1456"/>
      <c r="H358" s="1388" t="e">
        <f>G358/F358*100</f>
        <v>#DIV/0!</v>
      </c>
      <c r="I358" s="1398"/>
    </row>
    <row r="359" spans="1:9" ht="15" hidden="1" x14ac:dyDescent="0.25">
      <c r="A359" s="1384">
        <v>3299</v>
      </c>
      <c r="B359" s="1385">
        <v>5321</v>
      </c>
      <c r="C359" s="1385">
        <v>32533006</v>
      </c>
      <c r="D359" s="1454" t="s">
        <v>1078</v>
      </c>
      <c r="E359" s="1414">
        <v>0</v>
      </c>
      <c r="F359" s="1414"/>
      <c r="G359" s="1453"/>
      <c r="H359" s="1390" t="e">
        <f>G359/F359*100</f>
        <v>#DIV/0!</v>
      </c>
      <c r="I359" s="1398"/>
    </row>
    <row r="360" spans="1:9" ht="16.5" hidden="1" thickTop="1" thickBot="1" x14ac:dyDescent="0.3">
      <c r="A360" s="1406" t="s">
        <v>690</v>
      </c>
      <c r="B360" s="1407"/>
      <c r="C360" s="1407"/>
      <c r="D360" s="1408"/>
      <c r="E360" s="1387">
        <f>SUM(E358:E359)</f>
        <v>0</v>
      </c>
      <c r="F360" s="1387">
        <f>SUM(F358:F359)</f>
        <v>0</v>
      </c>
      <c r="G360" s="1387">
        <f>SUM(G358:G359)</f>
        <v>0</v>
      </c>
      <c r="H360" s="1391" t="e">
        <f>G360/F360*100</f>
        <v>#DIV/0!</v>
      </c>
      <c r="I360" s="1398"/>
    </row>
    <row r="361" spans="1:9" ht="15" hidden="1" x14ac:dyDescent="0.25">
      <c r="A361" s="1417"/>
      <c r="B361" s="1417"/>
      <c r="C361" s="1417"/>
      <c r="D361" s="1417"/>
      <c r="E361" s="1393"/>
      <c r="F361" s="1393"/>
      <c r="G361" s="1393"/>
      <c r="H361" s="1418"/>
      <c r="I361" s="1398"/>
    </row>
    <row r="362" spans="1:9" ht="15" hidden="1" x14ac:dyDescent="0.25">
      <c r="A362" s="1377" t="s">
        <v>884</v>
      </c>
      <c r="D362" s="1371"/>
      <c r="E362" s="1372"/>
      <c r="H362" s="1398"/>
      <c r="I362" s="1398"/>
    </row>
    <row r="363" spans="1:9" ht="15" hidden="1" x14ac:dyDescent="0.25">
      <c r="A363" s="1377" t="s">
        <v>885</v>
      </c>
      <c r="D363" s="1371"/>
      <c r="E363" s="1372"/>
      <c r="H363" s="1459" t="s">
        <v>148</v>
      </c>
      <c r="I363" s="1398"/>
    </row>
    <row r="364" spans="1:9" ht="25.5" hidden="1" thickTop="1" thickBot="1" x14ac:dyDescent="0.25">
      <c r="A364" s="1378" t="s">
        <v>149</v>
      </c>
      <c r="B364" s="1379" t="s">
        <v>688</v>
      </c>
      <c r="C364" s="1379" t="s">
        <v>345</v>
      </c>
      <c r="D364" s="1380" t="s">
        <v>151</v>
      </c>
      <c r="E364" s="1402" t="s">
        <v>569</v>
      </c>
      <c r="F364" s="1402" t="s">
        <v>570</v>
      </c>
      <c r="G364" s="1403" t="s">
        <v>797</v>
      </c>
      <c r="H364" s="1404" t="s">
        <v>798</v>
      </c>
      <c r="I364" s="1398"/>
    </row>
    <row r="365" spans="1:9" ht="14.25" hidden="1" thickTop="1" thickBot="1" x14ac:dyDescent="0.25">
      <c r="A365" s="1297">
        <v>1</v>
      </c>
      <c r="B365" s="1296">
        <v>2</v>
      </c>
      <c r="C365" s="1296">
        <v>3</v>
      </c>
      <c r="D365" s="1296">
        <v>5</v>
      </c>
      <c r="E365" s="1295">
        <v>6</v>
      </c>
      <c r="F365" s="1295">
        <v>7</v>
      </c>
      <c r="G365" s="1446">
        <v>8</v>
      </c>
      <c r="H365" s="1383" t="s">
        <v>689</v>
      </c>
      <c r="I365" s="1398"/>
    </row>
    <row r="366" spans="1:9" ht="15.75" hidden="1" thickTop="1" x14ac:dyDescent="0.25">
      <c r="A366" s="1384">
        <v>3299</v>
      </c>
      <c r="B366" s="1385">
        <v>5321</v>
      </c>
      <c r="C366" s="1385">
        <v>32133006</v>
      </c>
      <c r="D366" s="1454" t="s">
        <v>1078</v>
      </c>
      <c r="E366" s="1401">
        <v>0</v>
      </c>
      <c r="F366" s="1401"/>
      <c r="G366" s="1456"/>
      <c r="H366" s="1388" t="e">
        <f>G366/F366*100</f>
        <v>#DIV/0!</v>
      </c>
      <c r="I366" s="1398"/>
    </row>
    <row r="367" spans="1:9" ht="15" hidden="1" x14ac:dyDescent="0.25">
      <c r="A367" s="1384">
        <v>3299</v>
      </c>
      <c r="B367" s="1385">
        <v>5321</v>
      </c>
      <c r="C367" s="1385">
        <v>32533006</v>
      </c>
      <c r="D367" s="1454" t="s">
        <v>1078</v>
      </c>
      <c r="E367" s="1414">
        <v>0</v>
      </c>
      <c r="F367" s="1414"/>
      <c r="G367" s="1453"/>
      <c r="H367" s="1390" t="e">
        <f>G367/F367*100</f>
        <v>#DIV/0!</v>
      </c>
      <c r="I367" s="1398"/>
    </row>
    <row r="368" spans="1:9" ht="15" hidden="1" x14ac:dyDescent="0.25">
      <c r="A368" s="1384">
        <v>3299</v>
      </c>
      <c r="B368" s="1385">
        <v>6341</v>
      </c>
      <c r="C368" s="1385">
        <v>32133006</v>
      </c>
      <c r="D368" s="1454" t="s">
        <v>227</v>
      </c>
      <c r="E368" s="1414">
        <v>0</v>
      </c>
      <c r="F368" s="1414">
        <v>0</v>
      </c>
      <c r="G368" s="1453">
        <v>0</v>
      </c>
      <c r="H368" s="1390" t="e">
        <f>G368/F368*100</f>
        <v>#DIV/0!</v>
      </c>
      <c r="I368" s="1398"/>
    </row>
    <row r="369" spans="1:9" ht="15" hidden="1" x14ac:dyDescent="0.25">
      <c r="A369" s="1384">
        <v>3299</v>
      </c>
      <c r="B369" s="1385">
        <v>6341</v>
      </c>
      <c r="C369" s="1385">
        <v>32533006</v>
      </c>
      <c r="D369" s="1454" t="s">
        <v>227</v>
      </c>
      <c r="E369" s="1414">
        <v>0</v>
      </c>
      <c r="F369" s="1414">
        <v>0</v>
      </c>
      <c r="G369" s="1453">
        <v>0</v>
      </c>
      <c r="H369" s="1390" t="e">
        <f>G369/F369*100</f>
        <v>#DIV/0!</v>
      </c>
      <c r="I369" s="1398"/>
    </row>
    <row r="370" spans="1:9" ht="16.5" hidden="1" thickTop="1" thickBot="1" x14ac:dyDescent="0.3">
      <c r="A370" s="1406" t="s">
        <v>690</v>
      </c>
      <c r="B370" s="1407"/>
      <c r="C370" s="1407"/>
      <c r="D370" s="1408"/>
      <c r="E370" s="1387">
        <f>SUM(E366:E369)</f>
        <v>0</v>
      </c>
      <c r="F370" s="1387">
        <f>SUM(F366:F369)</f>
        <v>0</v>
      </c>
      <c r="G370" s="1387">
        <f>SUM(G366:G369)</f>
        <v>0</v>
      </c>
      <c r="H370" s="1391" t="e">
        <f>G370/F370*100</f>
        <v>#DIV/0!</v>
      </c>
      <c r="I370" s="1398"/>
    </row>
    <row r="371" spans="1:9" ht="15" hidden="1" x14ac:dyDescent="0.25">
      <c r="A371" s="1417"/>
      <c r="B371" s="1417"/>
      <c r="C371" s="1417"/>
      <c r="D371" s="1417"/>
      <c r="E371" s="1393"/>
      <c r="F371" s="1393"/>
      <c r="G371" s="1393"/>
      <c r="H371" s="1418"/>
      <c r="I371" s="1398"/>
    </row>
    <row r="372" spans="1:9" ht="15" hidden="1" x14ac:dyDescent="0.25">
      <c r="A372" s="1377" t="s">
        <v>886</v>
      </c>
      <c r="D372" s="1371"/>
      <c r="E372" s="1372"/>
      <c r="H372" s="1398"/>
      <c r="I372" s="1398"/>
    </row>
    <row r="373" spans="1:9" ht="15" hidden="1" x14ac:dyDescent="0.25">
      <c r="A373" s="1377" t="s">
        <v>887</v>
      </c>
      <c r="D373" s="1371"/>
      <c r="E373" s="1372"/>
      <c r="H373" s="1459" t="s">
        <v>148</v>
      </c>
      <c r="I373" s="1398"/>
    </row>
    <row r="374" spans="1:9" ht="25.5" hidden="1" thickTop="1" thickBot="1" x14ac:dyDescent="0.25">
      <c r="A374" s="1378" t="s">
        <v>149</v>
      </c>
      <c r="B374" s="1379" t="s">
        <v>688</v>
      </c>
      <c r="C374" s="1379" t="s">
        <v>345</v>
      </c>
      <c r="D374" s="1380" t="s">
        <v>151</v>
      </c>
      <c r="E374" s="1402" t="s">
        <v>569</v>
      </c>
      <c r="F374" s="1402" t="s">
        <v>570</v>
      </c>
      <c r="G374" s="1403" t="s">
        <v>797</v>
      </c>
      <c r="H374" s="1404" t="s">
        <v>798</v>
      </c>
      <c r="I374" s="1398"/>
    </row>
    <row r="375" spans="1:9" ht="14.25" hidden="1" thickTop="1" thickBot="1" x14ac:dyDescent="0.25">
      <c r="A375" s="1297">
        <v>1</v>
      </c>
      <c r="B375" s="1296">
        <v>2</v>
      </c>
      <c r="C375" s="1296">
        <v>3</v>
      </c>
      <c r="D375" s="1296">
        <v>5</v>
      </c>
      <c r="E375" s="1295">
        <v>6</v>
      </c>
      <c r="F375" s="1295">
        <v>7</v>
      </c>
      <c r="G375" s="1446">
        <v>8</v>
      </c>
      <c r="H375" s="1383" t="s">
        <v>689</v>
      </c>
      <c r="I375" s="1398"/>
    </row>
    <row r="376" spans="1:9" ht="15.75" hidden="1" thickTop="1" x14ac:dyDescent="0.25">
      <c r="A376" s="1384">
        <v>3299</v>
      </c>
      <c r="B376" s="1385">
        <v>5321</v>
      </c>
      <c r="C376" s="1385">
        <v>32133006</v>
      </c>
      <c r="D376" s="1454" t="s">
        <v>1078</v>
      </c>
      <c r="E376" s="1401">
        <v>0</v>
      </c>
      <c r="F376" s="1401"/>
      <c r="G376" s="1456"/>
      <c r="H376" s="1388" t="e">
        <f>G376/F376*100</f>
        <v>#DIV/0!</v>
      </c>
      <c r="I376" s="1398"/>
    </row>
    <row r="377" spans="1:9" ht="15" hidden="1" x14ac:dyDescent="0.25">
      <c r="A377" s="1384">
        <v>3299</v>
      </c>
      <c r="B377" s="1385">
        <v>5321</v>
      </c>
      <c r="C377" s="1385">
        <v>32533006</v>
      </c>
      <c r="D377" s="1454" t="s">
        <v>1078</v>
      </c>
      <c r="E377" s="1414">
        <v>0</v>
      </c>
      <c r="F377" s="1414"/>
      <c r="G377" s="1453"/>
      <c r="H377" s="1390" t="e">
        <f>G377/F377*100</f>
        <v>#DIV/0!</v>
      </c>
      <c r="I377" s="1398"/>
    </row>
    <row r="378" spans="1:9" ht="15" hidden="1" x14ac:dyDescent="0.25">
      <c r="A378" s="1384">
        <v>3299</v>
      </c>
      <c r="B378" s="1385">
        <v>6341</v>
      </c>
      <c r="C378" s="1385">
        <v>32133006</v>
      </c>
      <c r="D378" s="1454" t="s">
        <v>227</v>
      </c>
      <c r="E378" s="1414">
        <v>0</v>
      </c>
      <c r="F378" s="1414">
        <v>0</v>
      </c>
      <c r="G378" s="1453">
        <v>0</v>
      </c>
      <c r="H378" s="1390" t="e">
        <f>G378/F378*100</f>
        <v>#DIV/0!</v>
      </c>
      <c r="I378" s="1398"/>
    </row>
    <row r="379" spans="1:9" ht="15" hidden="1" x14ac:dyDescent="0.25">
      <c r="A379" s="1384">
        <v>3299</v>
      </c>
      <c r="B379" s="1385">
        <v>6341</v>
      </c>
      <c r="C379" s="1385">
        <v>32533006</v>
      </c>
      <c r="D379" s="1454" t="s">
        <v>227</v>
      </c>
      <c r="E379" s="1414">
        <v>0</v>
      </c>
      <c r="F379" s="1414">
        <v>0</v>
      </c>
      <c r="G379" s="1453">
        <v>0</v>
      </c>
      <c r="H379" s="1390" t="e">
        <f>G379/F379*100</f>
        <v>#DIV/0!</v>
      </c>
      <c r="I379" s="1398"/>
    </row>
    <row r="380" spans="1:9" ht="16.5" hidden="1" thickTop="1" thickBot="1" x14ac:dyDescent="0.3">
      <c r="A380" s="1406" t="s">
        <v>690</v>
      </c>
      <c r="B380" s="1407"/>
      <c r="C380" s="1407"/>
      <c r="D380" s="1408"/>
      <c r="E380" s="1387">
        <f>SUM(E376:E379)</f>
        <v>0</v>
      </c>
      <c r="F380" s="1387">
        <f>SUM(F376:F379)</f>
        <v>0</v>
      </c>
      <c r="G380" s="1387">
        <f>SUM(G376:G379)</f>
        <v>0</v>
      </c>
      <c r="H380" s="1391" t="e">
        <f>G380/F380*100</f>
        <v>#DIV/0!</v>
      </c>
      <c r="I380" s="1398"/>
    </row>
    <row r="381" spans="1:9" ht="15" hidden="1" x14ac:dyDescent="0.25">
      <c r="A381" s="1417"/>
      <c r="B381" s="1417"/>
      <c r="C381" s="1417"/>
      <c r="D381" s="1417"/>
      <c r="E381" s="1393"/>
      <c r="F381" s="1393"/>
      <c r="G381" s="1393"/>
      <c r="H381" s="1418"/>
      <c r="I381" s="1398"/>
    </row>
    <row r="382" spans="1:9" ht="15" hidden="1" x14ac:dyDescent="0.25">
      <c r="A382" s="1377" t="s">
        <v>888</v>
      </c>
      <c r="D382" s="1371"/>
      <c r="E382" s="1372"/>
      <c r="H382" s="1398"/>
      <c r="I382" s="1398"/>
    </row>
    <row r="383" spans="1:9" ht="15" hidden="1" x14ac:dyDescent="0.25">
      <c r="A383" s="1377" t="s">
        <v>889</v>
      </c>
      <c r="D383" s="1371"/>
      <c r="E383" s="1372"/>
      <c r="H383" s="1459" t="s">
        <v>148</v>
      </c>
      <c r="I383" s="1398"/>
    </row>
    <row r="384" spans="1:9" ht="25.5" hidden="1" thickTop="1" thickBot="1" x14ac:dyDescent="0.25">
      <c r="A384" s="1378" t="s">
        <v>149</v>
      </c>
      <c r="B384" s="1379" t="s">
        <v>688</v>
      </c>
      <c r="C384" s="1379" t="s">
        <v>345</v>
      </c>
      <c r="D384" s="1380" t="s">
        <v>151</v>
      </c>
      <c r="E384" s="1402" t="s">
        <v>569</v>
      </c>
      <c r="F384" s="1402" t="s">
        <v>570</v>
      </c>
      <c r="G384" s="1403" t="s">
        <v>797</v>
      </c>
      <c r="H384" s="1404" t="s">
        <v>798</v>
      </c>
      <c r="I384" s="1398"/>
    </row>
    <row r="385" spans="1:9" ht="14.25" hidden="1" thickTop="1" thickBot="1" x14ac:dyDescent="0.25">
      <c r="A385" s="1297">
        <v>1</v>
      </c>
      <c r="B385" s="1296">
        <v>2</v>
      </c>
      <c r="C385" s="1296">
        <v>3</v>
      </c>
      <c r="D385" s="1296">
        <v>5</v>
      </c>
      <c r="E385" s="1295">
        <v>6</v>
      </c>
      <c r="F385" s="1295">
        <v>7</v>
      </c>
      <c r="G385" s="1446">
        <v>8</v>
      </c>
      <c r="H385" s="1383" t="s">
        <v>689</v>
      </c>
      <c r="I385" s="1398"/>
    </row>
    <row r="386" spans="1:9" ht="15.75" hidden="1" thickTop="1" x14ac:dyDescent="0.25">
      <c r="A386" s="1384">
        <v>3299</v>
      </c>
      <c r="B386" s="1385">
        <v>5321</v>
      </c>
      <c r="C386" s="1385">
        <v>32133006</v>
      </c>
      <c r="D386" s="1454" t="s">
        <v>1078</v>
      </c>
      <c r="E386" s="1401">
        <v>0</v>
      </c>
      <c r="F386" s="1401"/>
      <c r="G386" s="1456"/>
      <c r="H386" s="1388" t="e">
        <f>G386/F386*100</f>
        <v>#DIV/0!</v>
      </c>
      <c r="I386" s="1398"/>
    </row>
    <row r="387" spans="1:9" ht="15" hidden="1" x14ac:dyDescent="0.25">
      <c r="A387" s="1384">
        <v>3299</v>
      </c>
      <c r="B387" s="1385">
        <v>5321</v>
      </c>
      <c r="C387" s="1385">
        <v>32533006</v>
      </c>
      <c r="D387" s="1454" t="s">
        <v>1078</v>
      </c>
      <c r="E387" s="1414">
        <v>0</v>
      </c>
      <c r="F387" s="1414"/>
      <c r="G387" s="1453"/>
      <c r="H387" s="1390" t="e">
        <f>G387/F387*100</f>
        <v>#DIV/0!</v>
      </c>
      <c r="I387" s="1398"/>
    </row>
    <row r="388" spans="1:9" ht="16.5" hidden="1" customHeight="1" thickTop="1" thickBot="1" x14ac:dyDescent="0.3">
      <c r="A388" s="1406" t="s">
        <v>690</v>
      </c>
      <c r="B388" s="1407"/>
      <c r="C388" s="1407"/>
      <c r="D388" s="1408"/>
      <c r="E388" s="1387">
        <f>SUM(E386:E387)</f>
        <v>0</v>
      </c>
      <c r="F388" s="1387">
        <f>SUM(F386:F387)</f>
        <v>0</v>
      </c>
      <c r="G388" s="1387">
        <f>SUM(G386:G387)</f>
        <v>0</v>
      </c>
      <c r="H388" s="1391" t="e">
        <f>G388/F388*100</f>
        <v>#DIV/0!</v>
      </c>
      <c r="I388" s="1398"/>
    </row>
    <row r="389" spans="1:9" ht="16.5" hidden="1" customHeight="1" thickTop="1" x14ac:dyDescent="0.25">
      <c r="A389" s="1417"/>
      <c r="B389" s="1417"/>
      <c r="C389" s="1417"/>
      <c r="D389" s="1417"/>
      <c r="E389" s="1393"/>
      <c r="F389" s="1393"/>
      <c r="G389" s="1393"/>
      <c r="H389" s="1418"/>
      <c r="I389" s="1398"/>
    </row>
    <row r="390" spans="1:9" ht="15" hidden="1" x14ac:dyDescent="0.25">
      <c r="A390" s="1377" t="s">
        <v>212</v>
      </c>
      <c r="D390" s="1371"/>
      <c r="E390" s="1372"/>
      <c r="H390" s="1398"/>
      <c r="I390" s="1398"/>
    </row>
    <row r="391" spans="1:9" ht="15" hidden="1" x14ac:dyDescent="0.25">
      <c r="A391" s="1377" t="s">
        <v>213</v>
      </c>
      <c r="D391" s="1371"/>
      <c r="E391" s="1372"/>
      <c r="H391" s="1398" t="s">
        <v>148</v>
      </c>
      <c r="I391" s="1398"/>
    </row>
    <row r="392" spans="1:9" ht="25.5" hidden="1" thickTop="1" thickBot="1" x14ac:dyDescent="0.25">
      <c r="A392" s="1378" t="s">
        <v>149</v>
      </c>
      <c r="B392" s="1379" t="s">
        <v>688</v>
      </c>
      <c r="C392" s="1379" t="s">
        <v>345</v>
      </c>
      <c r="D392" s="1380" t="s">
        <v>151</v>
      </c>
      <c r="E392" s="1402" t="s">
        <v>569</v>
      </c>
      <c r="F392" s="1402" t="s">
        <v>570</v>
      </c>
      <c r="G392" s="1403" t="s">
        <v>797</v>
      </c>
      <c r="H392" s="1404" t="s">
        <v>798</v>
      </c>
      <c r="I392" s="1398"/>
    </row>
    <row r="393" spans="1:9" ht="14.25" hidden="1" thickTop="1" thickBot="1" x14ac:dyDescent="0.25">
      <c r="A393" s="1297">
        <v>1</v>
      </c>
      <c r="B393" s="1296">
        <v>2</v>
      </c>
      <c r="C393" s="1296">
        <v>3</v>
      </c>
      <c r="D393" s="1296">
        <v>5</v>
      </c>
      <c r="E393" s="1295">
        <v>6</v>
      </c>
      <c r="F393" s="1295">
        <v>7</v>
      </c>
      <c r="G393" s="1446">
        <v>8</v>
      </c>
      <c r="H393" s="1383" t="s">
        <v>689</v>
      </c>
      <c r="I393" s="1398"/>
    </row>
    <row r="394" spans="1:9" ht="15.75" hidden="1" customHeight="1" thickTop="1" x14ac:dyDescent="0.25">
      <c r="A394" s="1384">
        <v>3299</v>
      </c>
      <c r="B394" s="1385">
        <v>5321</v>
      </c>
      <c r="C394" s="1385">
        <v>32133006</v>
      </c>
      <c r="D394" s="1454" t="s">
        <v>1078</v>
      </c>
      <c r="E394" s="1401">
        <v>0</v>
      </c>
      <c r="F394" s="1401">
        <v>0</v>
      </c>
      <c r="G394" s="1456">
        <v>0</v>
      </c>
      <c r="H394" s="1388" t="e">
        <f>G394/F394*100</f>
        <v>#DIV/0!</v>
      </c>
      <c r="I394" s="1398"/>
    </row>
    <row r="395" spans="1:9" ht="15" hidden="1" x14ac:dyDescent="0.25">
      <c r="A395" s="1384">
        <v>3299</v>
      </c>
      <c r="B395" s="1385">
        <v>5321</v>
      </c>
      <c r="C395" s="1385">
        <v>32533006</v>
      </c>
      <c r="D395" s="1454" t="s">
        <v>1078</v>
      </c>
      <c r="E395" s="1414">
        <v>0</v>
      </c>
      <c r="F395" s="1414">
        <v>0</v>
      </c>
      <c r="G395" s="1453">
        <v>0</v>
      </c>
      <c r="H395" s="1390" t="e">
        <f>G395/F395*100</f>
        <v>#DIV/0!</v>
      </c>
      <c r="I395" s="1398"/>
    </row>
    <row r="396" spans="1:9" ht="16.5" hidden="1" thickTop="1" thickBot="1" x14ac:dyDescent="0.3">
      <c r="A396" s="1406" t="s">
        <v>690</v>
      </c>
      <c r="B396" s="1407"/>
      <c r="C396" s="1407"/>
      <c r="D396" s="1408"/>
      <c r="E396" s="1387">
        <f>SUM(E394:E395)</f>
        <v>0</v>
      </c>
      <c r="F396" s="1387">
        <f>SUM(F394:F395)</f>
        <v>0</v>
      </c>
      <c r="G396" s="1387">
        <f>SUM(G394:G395)</f>
        <v>0</v>
      </c>
      <c r="H396" s="1391" t="e">
        <f>G396/F396*100</f>
        <v>#DIV/0!</v>
      </c>
      <c r="I396" s="1398"/>
    </row>
    <row r="397" spans="1:9" hidden="1" x14ac:dyDescent="0.2"/>
    <row r="398" spans="1:9" ht="15" hidden="1" x14ac:dyDescent="0.25">
      <c r="A398" s="1377" t="s">
        <v>890</v>
      </c>
      <c r="D398" s="1371"/>
      <c r="E398" s="1372"/>
      <c r="H398" s="1398"/>
    </row>
    <row r="399" spans="1:9" ht="15" hidden="1" x14ac:dyDescent="0.25">
      <c r="A399" s="1377" t="s">
        <v>891</v>
      </c>
      <c r="D399" s="1371"/>
      <c r="E399" s="1372"/>
      <c r="H399" s="1459" t="s">
        <v>148</v>
      </c>
    </row>
    <row r="400" spans="1:9" ht="25.5" hidden="1" thickTop="1" thickBot="1" x14ac:dyDescent="0.25">
      <c r="A400" s="1378" t="s">
        <v>149</v>
      </c>
      <c r="B400" s="1379" t="s">
        <v>688</v>
      </c>
      <c r="C400" s="1379" t="s">
        <v>345</v>
      </c>
      <c r="D400" s="1380" t="s">
        <v>151</v>
      </c>
      <c r="E400" s="1402" t="s">
        <v>569</v>
      </c>
      <c r="F400" s="1402" t="s">
        <v>570</v>
      </c>
      <c r="G400" s="1403" t="s">
        <v>797</v>
      </c>
      <c r="H400" s="1404" t="s">
        <v>798</v>
      </c>
    </row>
    <row r="401" spans="1:13" ht="14.25" hidden="1" thickTop="1" thickBot="1" x14ac:dyDescent="0.25">
      <c r="A401" s="1297">
        <v>1</v>
      </c>
      <c r="B401" s="1296">
        <v>2</v>
      </c>
      <c r="C401" s="1296">
        <v>3</v>
      </c>
      <c r="D401" s="1296">
        <v>5</v>
      </c>
      <c r="E401" s="1295">
        <v>6</v>
      </c>
      <c r="F401" s="1295">
        <v>7</v>
      </c>
      <c r="G401" s="1446">
        <v>8</v>
      </c>
      <c r="H401" s="1383" t="s">
        <v>689</v>
      </c>
    </row>
    <row r="402" spans="1:13" ht="15.75" hidden="1" thickTop="1" x14ac:dyDescent="0.25">
      <c r="A402" s="1384">
        <v>3299</v>
      </c>
      <c r="B402" s="1385">
        <v>5321</v>
      </c>
      <c r="C402" s="1385">
        <v>32133006</v>
      </c>
      <c r="D402" s="1454" t="s">
        <v>1078</v>
      </c>
      <c r="E402" s="1401">
        <v>0</v>
      </c>
      <c r="F402" s="1401"/>
      <c r="G402" s="1456"/>
      <c r="H402" s="1388" t="e">
        <f>G402/F402*100</f>
        <v>#DIV/0!</v>
      </c>
    </row>
    <row r="403" spans="1:13" ht="15" hidden="1" x14ac:dyDescent="0.25">
      <c r="A403" s="1384">
        <v>3299</v>
      </c>
      <c r="B403" s="1385">
        <v>5321</v>
      </c>
      <c r="C403" s="1385">
        <v>32533006</v>
      </c>
      <c r="D403" s="1454" t="s">
        <v>1078</v>
      </c>
      <c r="E403" s="1414">
        <v>0</v>
      </c>
      <c r="F403" s="1414"/>
      <c r="G403" s="1453"/>
      <c r="H403" s="1390" t="e">
        <f>G403/F403*100</f>
        <v>#DIV/0!</v>
      </c>
    </row>
    <row r="404" spans="1:13" ht="15" hidden="1" x14ac:dyDescent="0.25">
      <c r="A404" s="1384">
        <v>3299</v>
      </c>
      <c r="B404" s="1385">
        <v>6341</v>
      </c>
      <c r="C404" s="1385">
        <v>32133006</v>
      </c>
      <c r="D404" s="1454" t="s">
        <v>227</v>
      </c>
      <c r="E404" s="1414">
        <v>0</v>
      </c>
      <c r="F404" s="1414">
        <v>0</v>
      </c>
      <c r="G404" s="1453">
        <v>0</v>
      </c>
      <c r="H404" s="1390" t="e">
        <f>G404/F404*100</f>
        <v>#DIV/0!</v>
      </c>
    </row>
    <row r="405" spans="1:13" ht="15" hidden="1" x14ac:dyDescent="0.25">
      <c r="A405" s="1384">
        <v>3299</v>
      </c>
      <c r="B405" s="1385">
        <v>6341</v>
      </c>
      <c r="C405" s="1385">
        <v>32533006</v>
      </c>
      <c r="D405" s="1454" t="s">
        <v>227</v>
      </c>
      <c r="E405" s="1414">
        <v>0</v>
      </c>
      <c r="F405" s="1414">
        <v>0</v>
      </c>
      <c r="G405" s="1453">
        <v>0</v>
      </c>
      <c r="H405" s="1390" t="e">
        <f>G405/F405*100</f>
        <v>#DIV/0!</v>
      </c>
    </row>
    <row r="406" spans="1:13" ht="16.5" hidden="1" thickTop="1" thickBot="1" x14ac:dyDescent="0.3">
      <c r="A406" s="1406" t="s">
        <v>690</v>
      </c>
      <c r="B406" s="1407"/>
      <c r="C406" s="1407"/>
      <c r="D406" s="1408"/>
      <c r="E406" s="1387">
        <f>SUM(E402:E405)</f>
        <v>0</v>
      </c>
      <c r="F406" s="1387">
        <f>SUM(F402:F405)</f>
        <v>0</v>
      </c>
      <c r="G406" s="1387">
        <f>SUM(G402:G405)</f>
        <v>0</v>
      </c>
      <c r="H406" s="1391" t="e">
        <f>G406/F406*100</f>
        <v>#DIV/0!</v>
      </c>
    </row>
    <row r="410" spans="1:13" ht="16.5" x14ac:dyDescent="0.25">
      <c r="A410" s="1429" t="s">
        <v>423</v>
      </c>
      <c r="B410" s="1430"/>
      <c r="C410" s="1431"/>
      <c r="D410" s="1432"/>
      <c r="E410" s="1433">
        <f>SUM(E411:E413)</f>
        <v>0</v>
      </c>
      <c r="F410" s="1433">
        <f>F411+F412+F413+F414</f>
        <v>13554</v>
      </c>
      <c r="G410" s="1433">
        <f>G411+G412+G413+G414</f>
        <v>13529</v>
      </c>
      <c r="H410" s="1452">
        <f>G410/F410*100</f>
        <v>99.815552604397226</v>
      </c>
      <c r="J410" s="1435">
        <f>J411+J412+J413</f>
        <v>0</v>
      </c>
      <c r="K410" s="1435">
        <f>K411+K412+K413</f>
        <v>13554245.630000001</v>
      </c>
      <c r="L410" s="1435">
        <f>L411+L412+L413</f>
        <v>13529451.359999999</v>
      </c>
    </row>
    <row r="411" spans="1:13" ht="15" x14ac:dyDescent="0.2">
      <c r="A411" s="1263" t="s">
        <v>242</v>
      </c>
      <c r="B411" s="1265"/>
      <c r="C411" s="1261"/>
      <c r="D411" s="1436"/>
      <c r="E411" s="1264">
        <f>E14+E15+E16+E17+E18+E19+E20+E26+E34+E35+E44+E45+E62+E63+E140+E141+E218+E219+E236+E237+E336+E337+E358+E359+E376+E377+E386+E387+E402+E403</f>
        <v>0</v>
      </c>
      <c r="F411" s="1264">
        <f>F14+F15+F16+F17+F18+F19+F20+F26+F34+F35+F44+F45+F62+F63+F140+F141+F218+F219+F236+F237+F336+F337+F358+F359+F376+F377+F386+F387+F402+F403</f>
        <v>13554</v>
      </c>
      <c r="G411" s="1264">
        <f>G14+G15+G16+G17+G18+G19+G20+G26+G34+G35+G44+G45+G62+G63+G140+G141+G218+G219+G236+G237+G336+G337+G358+G359+G376+G377+G386+G387+G402+G403</f>
        <v>13529</v>
      </c>
      <c r="H411" s="1451">
        <f>G411/F411*100</f>
        <v>99.815552604397226</v>
      </c>
      <c r="J411" s="1437">
        <v>0</v>
      </c>
      <c r="K411" s="1437">
        <v>13554245.630000001</v>
      </c>
      <c r="L411" s="1437">
        <v>13529451.359999999</v>
      </c>
      <c r="M411" s="1373"/>
    </row>
    <row r="412" spans="1:13" ht="15" x14ac:dyDescent="0.2">
      <c r="A412" s="1263" t="s">
        <v>243</v>
      </c>
      <c r="B412" s="1262"/>
      <c r="C412" s="1261"/>
      <c r="D412" s="1438"/>
      <c r="E412" s="1264">
        <f>E24+E25</f>
        <v>0</v>
      </c>
      <c r="F412" s="1264">
        <f>F24+F25</f>
        <v>0</v>
      </c>
      <c r="G412" s="1264">
        <f>G24+G25</f>
        <v>0</v>
      </c>
      <c r="H412" s="1451">
        <v>0</v>
      </c>
      <c r="J412" s="1437">
        <v>0</v>
      </c>
      <c r="K412" s="1437">
        <v>0</v>
      </c>
      <c r="L412" s="1437">
        <v>0</v>
      </c>
      <c r="M412" s="1373"/>
    </row>
    <row r="413" spans="1:13" ht="15" x14ac:dyDescent="0.2">
      <c r="A413" s="1263" t="s">
        <v>424</v>
      </c>
      <c r="B413" s="1262"/>
      <c r="C413" s="1261"/>
      <c r="D413" s="1438"/>
      <c r="E413" s="1264">
        <v>0</v>
      </c>
      <c r="F413" s="1264">
        <v>0</v>
      </c>
      <c r="G413" s="1264">
        <v>0</v>
      </c>
      <c r="H413" s="1451">
        <v>0</v>
      </c>
      <c r="J413" s="1437">
        <v>0</v>
      </c>
      <c r="K413" s="1437">
        <v>0</v>
      </c>
      <c r="L413" s="1437">
        <v>0</v>
      </c>
    </row>
    <row r="414" spans="1:13" ht="15" x14ac:dyDescent="0.2">
      <c r="A414" s="1263"/>
      <c r="B414" s="1262"/>
      <c r="C414" s="1261"/>
      <c r="D414" s="1438"/>
      <c r="E414" s="1264"/>
      <c r="F414" s="1264"/>
      <c r="G414" s="1264"/>
      <c r="H414" s="1260"/>
      <c r="J414" s="1373"/>
      <c r="K414" s="1373"/>
      <c r="L414" s="1373"/>
      <c r="M414" s="1373"/>
    </row>
    <row r="415" spans="1:13" ht="51.75" customHeight="1" thickBot="1" x14ac:dyDescent="0.4">
      <c r="A415" s="3148" t="s">
        <v>847</v>
      </c>
      <c r="B415" s="3207"/>
      <c r="C415" s="3207"/>
      <c r="D415" s="3207"/>
      <c r="E415" s="1258">
        <f>SUM(E410)</f>
        <v>0</v>
      </c>
      <c r="F415" s="1258">
        <f>SUM(F410)</f>
        <v>13554</v>
      </c>
      <c r="G415" s="1258">
        <f>SUM(G410)</f>
        <v>13529</v>
      </c>
      <c r="H415" s="1257">
        <f>(G415/F415)*100</f>
        <v>99.815552604397226</v>
      </c>
      <c r="J415" s="1373"/>
      <c r="L415" s="1373"/>
    </row>
    <row r="416" spans="1:13" ht="13.5" thickTop="1" x14ac:dyDescent="0.2"/>
    <row r="535" spans="1:5" ht="13.5" thickBot="1" x14ac:dyDescent="0.25">
      <c r="A535" s="1409"/>
      <c r="B535" s="1409"/>
      <c r="C535" s="1409"/>
      <c r="D535" s="1477"/>
      <c r="E535" s="1478"/>
    </row>
    <row r="536" spans="1:5" ht="13.5" thickTop="1" x14ac:dyDescent="0.2">
      <c r="A536" s="1427"/>
      <c r="B536" s="1427"/>
      <c r="C536" s="1427"/>
      <c r="D536" s="1419"/>
      <c r="E536" s="1479"/>
    </row>
    <row r="537" spans="1:5" x14ac:dyDescent="0.2">
      <c r="D537" s="1372" t="e">
        <f>#REF!+#REF!</f>
        <v>#REF!</v>
      </c>
    </row>
  </sheetData>
  <mergeCells count="2">
    <mergeCell ref="A27:D27"/>
    <mergeCell ref="A415:D415"/>
  </mergeCells>
  <pageMargins left="0.78740157480314965" right="0.78740157480314965" top="0.98425196850393704" bottom="0.98425196850393704" header="0.51181102362204722" footer="0.51181102362204722"/>
  <pageSetup paperSize="9" scale="65" firstPageNumber="139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61"/>
  <sheetViews>
    <sheetView showGridLines="0"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5" style="1371" customWidth="1"/>
    <col min="2" max="2" width="6.140625" style="1371" customWidth="1"/>
    <col min="3" max="3" width="10.28515625" style="1371" customWidth="1"/>
    <col min="4" max="4" width="40.42578125" style="1372" customWidth="1"/>
    <col min="5" max="5" width="15.42578125" style="1398" customWidth="1"/>
    <col min="6" max="6" width="15.85546875" style="1398" customWidth="1"/>
    <col min="7" max="7" width="13.85546875" style="1398" customWidth="1"/>
    <col min="8" max="8" width="8.42578125" style="1372" customWidth="1"/>
    <col min="9" max="9" width="14.28515625" style="1372" bestFit="1" customWidth="1"/>
    <col min="10" max="10" width="9.140625" style="1372"/>
    <col min="11" max="12" width="16" style="1372" bestFit="1" customWidth="1"/>
    <col min="13" max="256" width="9.140625" style="1372"/>
    <col min="257" max="257" width="4.7109375" style="1372" customWidth="1"/>
    <col min="258" max="258" width="6.140625" style="1372" customWidth="1"/>
    <col min="259" max="259" width="10.28515625" style="1372" customWidth="1"/>
    <col min="260" max="260" width="40.42578125" style="1372" customWidth="1"/>
    <col min="261" max="261" width="10.42578125" style="1372" customWidth="1"/>
    <col min="262" max="262" width="15.85546875" style="1372" customWidth="1"/>
    <col min="263" max="263" width="13.85546875" style="1372" customWidth="1"/>
    <col min="264" max="264" width="6.42578125" style="1372" customWidth="1"/>
    <col min="265" max="265" width="14.28515625" style="1372" bestFit="1" customWidth="1"/>
    <col min="266" max="266" width="9.140625" style="1372"/>
    <col min="267" max="268" width="16" style="1372" bestFit="1" customWidth="1"/>
    <col min="269" max="512" width="9.140625" style="1372"/>
    <col min="513" max="513" width="4.7109375" style="1372" customWidth="1"/>
    <col min="514" max="514" width="6.140625" style="1372" customWidth="1"/>
    <col min="515" max="515" width="10.28515625" style="1372" customWidth="1"/>
    <col min="516" max="516" width="40.42578125" style="1372" customWidth="1"/>
    <col min="517" max="517" width="10.42578125" style="1372" customWidth="1"/>
    <col min="518" max="518" width="15.85546875" style="1372" customWidth="1"/>
    <col min="519" max="519" width="13.85546875" style="1372" customWidth="1"/>
    <col min="520" max="520" width="6.42578125" style="1372" customWidth="1"/>
    <col min="521" max="521" width="14.28515625" style="1372" bestFit="1" customWidth="1"/>
    <col min="522" max="522" width="9.140625" style="1372"/>
    <col min="523" max="524" width="16" style="1372" bestFit="1" customWidth="1"/>
    <col min="525" max="768" width="9.140625" style="1372"/>
    <col min="769" max="769" width="4.7109375" style="1372" customWidth="1"/>
    <col min="770" max="770" width="6.140625" style="1372" customWidth="1"/>
    <col min="771" max="771" width="10.28515625" style="1372" customWidth="1"/>
    <col min="772" max="772" width="40.42578125" style="1372" customWidth="1"/>
    <col min="773" max="773" width="10.42578125" style="1372" customWidth="1"/>
    <col min="774" max="774" width="15.85546875" style="1372" customWidth="1"/>
    <col min="775" max="775" width="13.85546875" style="1372" customWidth="1"/>
    <col min="776" max="776" width="6.42578125" style="1372" customWidth="1"/>
    <col min="777" max="777" width="14.28515625" style="1372" bestFit="1" customWidth="1"/>
    <col min="778" max="778" width="9.140625" style="1372"/>
    <col min="779" max="780" width="16" style="1372" bestFit="1" customWidth="1"/>
    <col min="781" max="1024" width="9.140625" style="1372"/>
    <col min="1025" max="1025" width="4.7109375" style="1372" customWidth="1"/>
    <col min="1026" max="1026" width="6.140625" style="1372" customWidth="1"/>
    <col min="1027" max="1027" width="10.28515625" style="1372" customWidth="1"/>
    <col min="1028" max="1028" width="40.42578125" style="1372" customWidth="1"/>
    <col min="1029" max="1029" width="10.42578125" style="1372" customWidth="1"/>
    <col min="1030" max="1030" width="15.85546875" style="1372" customWidth="1"/>
    <col min="1031" max="1031" width="13.85546875" style="1372" customWidth="1"/>
    <col min="1032" max="1032" width="6.42578125" style="1372" customWidth="1"/>
    <col min="1033" max="1033" width="14.28515625" style="1372" bestFit="1" customWidth="1"/>
    <col min="1034" max="1034" width="9.140625" style="1372"/>
    <col min="1035" max="1036" width="16" style="1372" bestFit="1" customWidth="1"/>
    <col min="1037" max="1280" width="9.140625" style="1372"/>
    <col min="1281" max="1281" width="4.7109375" style="1372" customWidth="1"/>
    <col min="1282" max="1282" width="6.140625" style="1372" customWidth="1"/>
    <col min="1283" max="1283" width="10.28515625" style="1372" customWidth="1"/>
    <col min="1284" max="1284" width="40.42578125" style="1372" customWidth="1"/>
    <col min="1285" max="1285" width="10.42578125" style="1372" customWidth="1"/>
    <col min="1286" max="1286" width="15.85546875" style="1372" customWidth="1"/>
    <col min="1287" max="1287" width="13.85546875" style="1372" customWidth="1"/>
    <col min="1288" max="1288" width="6.42578125" style="1372" customWidth="1"/>
    <col min="1289" max="1289" width="14.28515625" style="1372" bestFit="1" customWidth="1"/>
    <col min="1290" max="1290" width="9.140625" style="1372"/>
    <col min="1291" max="1292" width="16" style="1372" bestFit="1" customWidth="1"/>
    <col min="1293" max="1536" width="9.140625" style="1372"/>
    <col min="1537" max="1537" width="4.7109375" style="1372" customWidth="1"/>
    <col min="1538" max="1538" width="6.140625" style="1372" customWidth="1"/>
    <col min="1539" max="1539" width="10.28515625" style="1372" customWidth="1"/>
    <col min="1540" max="1540" width="40.42578125" style="1372" customWidth="1"/>
    <col min="1541" max="1541" width="10.42578125" style="1372" customWidth="1"/>
    <col min="1542" max="1542" width="15.85546875" style="1372" customWidth="1"/>
    <col min="1543" max="1543" width="13.85546875" style="1372" customWidth="1"/>
    <col min="1544" max="1544" width="6.42578125" style="1372" customWidth="1"/>
    <col min="1545" max="1545" width="14.28515625" style="1372" bestFit="1" customWidth="1"/>
    <col min="1546" max="1546" width="9.140625" style="1372"/>
    <col min="1547" max="1548" width="16" style="1372" bestFit="1" customWidth="1"/>
    <col min="1549" max="1792" width="9.140625" style="1372"/>
    <col min="1793" max="1793" width="4.7109375" style="1372" customWidth="1"/>
    <col min="1794" max="1794" width="6.140625" style="1372" customWidth="1"/>
    <col min="1795" max="1795" width="10.28515625" style="1372" customWidth="1"/>
    <col min="1796" max="1796" width="40.42578125" style="1372" customWidth="1"/>
    <col min="1797" max="1797" width="10.42578125" style="1372" customWidth="1"/>
    <col min="1798" max="1798" width="15.85546875" style="1372" customWidth="1"/>
    <col min="1799" max="1799" width="13.85546875" style="1372" customWidth="1"/>
    <col min="1800" max="1800" width="6.42578125" style="1372" customWidth="1"/>
    <col min="1801" max="1801" width="14.28515625" style="1372" bestFit="1" customWidth="1"/>
    <col min="1802" max="1802" width="9.140625" style="1372"/>
    <col min="1803" max="1804" width="16" style="1372" bestFit="1" customWidth="1"/>
    <col min="1805" max="2048" width="9.140625" style="1372"/>
    <col min="2049" max="2049" width="4.7109375" style="1372" customWidth="1"/>
    <col min="2050" max="2050" width="6.140625" style="1372" customWidth="1"/>
    <col min="2051" max="2051" width="10.28515625" style="1372" customWidth="1"/>
    <col min="2052" max="2052" width="40.42578125" style="1372" customWidth="1"/>
    <col min="2053" max="2053" width="10.42578125" style="1372" customWidth="1"/>
    <col min="2054" max="2054" width="15.85546875" style="1372" customWidth="1"/>
    <col min="2055" max="2055" width="13.85546875" style="1372" customWidth="1"/>
    <col min="2056" max="2056" width="6.42578125" style="1372" customWidth="1"/>
    <col min="2057" max="2057" width="14.28515625" style="1372" bestFit="1" customWidth="1"/>
    <col min="2058" max="2058" width="9.140625" style="1372"/>
    <col min="2059" max="2060" width="16" style="1372" bestFit="1" customWidth="1"/>
    <col min="2061" max="2304" width="9.140625" style="1372"/>
    <col min="2305" max="2305" width="4.7109375" style="1372" customWidth="1"/>
    <col min="2306" max="2306" width="6.140625" style="1372" customWidth="1"/>
    <col min="2307" max="2307" width="10.28515625" style="1372" customWidth="1"/>
    <col min="2308" max="2308" width="40.42578125" style="1372" customWidth="1"/>
    <col min="2309" max="2309" width="10.42578125" style="1372" customWidth="1"/>
    <col min="2310" max="2310" width="15.85546875" style="1372" customWidth="1"/>
    <col min="2311" max="2311" width="13.85546875" style="1372" customWidth="1"/>
    <col min="2312" max="2312" width="6.42578125" style="1372" customWidth="1"/>
    <col min="2313" max="2313" width="14.28515625" style="1372" bestFit="1" customWidth="1"/>
    <col min="2314" max="2314" width="9.140625" style="1372"/>
    <col min="2315" max="2316" width="16" style="1372" bestFit="1" customWidth="1"/>
    <col min="2317" max="2560" width="9.140625" style="1372"/>
    <col min="2561" max="2561" width="4.7109375" style="1372" customWidth="1"/>
    <col min="2562" max="2562" width="6.140625" style="1372" customWidth="1"/>
    <col min="2563" max="2563" width="10.28515625" style="1372" customWidth="1"/>
    <col min="2564" max="2564" width="40.42578125" style="1372" customWidth="1"/>
    <col min="2565" max="2565" width="10.42578125" style="1372" customWidth="1"/>
    <col min="2566" max="2566" width="15.85546875" style="1372" customWidth="1"/>
    <col min="2567" max="2567" width="13.85546875" style="1372" customWidth="1"/>
    <col min="2568" max="2568" width="6.42578125" style="1372" customWidth="1"/>
    <col min="2569" max="2569" width="14.28515625" style="1372" bestFit="1" customWidth="1"/>
    <col min="2570" max="2570" width="9.140625" style="1372"/>
    <col min="2571" max="2572" width="16" style="1372" bestFit="1" customWidth="1"/>
    <col min="2573" max="2816" width="9.140625" style="1372"/>
    <col min="2817" max="2817" width="4.7109375" style="1372" customWidth="1"/>
    <col min="2818" max="2818" width="6.140625" style="1372" customWidth="1"/>
    <col min="2819" max="2819" width="10.28515625" style="1372" customWidth="1"/>
    <col min="2820" max="2820" width="40.42578125" style="1372" customWidth="1"/>
    <col min="2821" max="2821" width="10.42578125" style="1372" customWidth="1"/>
    <col min="2822" max="2822" width="15.85546875" style="1372" customWidth="1"/>
    <col min="2823" max="2823" width="13.85546875" style="1372" customWidth="1"/>
    <col min="2824" max="2824" width="6.42578125" style="1372" customWidth="1"/>
    <col min="2825" max="2825" width="14.28515625" style="1372" bestFit="1" customWidth="1"/>
    <col min="2826" max="2826" width="9.140625" style="1372"/>
    <col min="2827" max="2828" width="16" style="1372" bestFit="1" customWidth="1"/>
    <col min="2829" max="3072" width="9.140625" style="1372"/>
    <col min="3073" max="3073" width="4.7109375" style="1372" customWidth="1"/>
    <col min="3074" max="3074" width="6.140625" style="1372" customWidth="1"/>
    <col min="3075" max="3075" width="10.28515625" style="1372" customWidth="1"/>
    <col min="3076" max="3076" width="40.42578125" style="1372" customWidth="1"/>
    <col min="3077" max="3077" width="10.42578125" style="1372" customWidth="1"/>
    <col min="3078" max="3078" width="15.85546875" style="1372" customWidth="1"/>
    <col min="3079" max="3079" width="13.85546875" style="1372" customWidth="1"/>
    <col min="3080" max="3080" width="6.42578125" style="1372" customWidth="1"/>
    <col min="3081" max="3081" width="14.28515625" style="1372" bestFit="1" customWidth="1"/>
    <col min="3082" max="3082" width="9.140625" style="1372"/>
    <col min="3083" max="3084" width="16" style="1372" bestFit="1" customWidth="1"/>
    <col min="3085" max="3328" width="9.140625" style="1372"/>
    <col min="3329" max="3329" width="4.7109375" style="1372" customWidth="1"/>
    <col min="3330" max="3330" width="6.140625" style="1372" customWidth="1"/>
    <col min="3331" max="3331" width="10.28515625" style="1372" customWidth="1"/>
    <col min="3332" max="3332" width="40.42578125" style="1372" customWidth="1"/>
    <col min="3333" max="3333" width="10.42578125" style="1372" customWidth="1"/>
    <col min="3334" max="3334" width="15.85546875" style="1372" customWidth="1"/>
    <col min="3335" max="3335" width="13.85546875" style="1372" customWidth="1"/>
    <col min="3336" max="3336" width="6.42578125" style="1372" customWidth="1"/>
    <col min="3337" max="3337" width="14.28515625" style="1372" bestFit="1" customWidth="1"/>
    <col min="3338" max="3338" width="9.140625" style="1372"/>
    <col min="3339" max="3340" width="16" style="1372" bestFit="1" customWidth="1"/>
    <col min="3341" max="3584" width="9.140625" style="1372"/>
    <col min="3585" max="3585" width="4.7109375" style="1372" customWidth="1"/>
    <col min="3586" max="3586" width="6.140625" style="1372" customWidth="1"/>
    <col min="3587" max="3587" width="10.28515625" style="1372" customWidth="1"/>
    <col min="3588" max="3588" width="40.42578125" style="1372" customWidth="1"/>
    <col min="3589" max="3589" width="10.42578125" style="1372" customWidth="1"/>
    <col min="3590" max="3590" width="15.85546875" style="1372" customWidth="1"/>
    <col min="3591" max="3591" width="13.85546875" style="1372" customWidth="1"/>
    <col min="3592" max="3592" width="6.42578125" style="1372" customWidth="1"/>
    <col min="3593" max="3593" width="14.28515625" style="1372" bestFit="1" customWidth="1"/>
    <col min="3594" max="3594" width="9.140625" style="1372"/>
    <col min="3595" max="3596" width="16" style="1372" bestFit="1" customWidth="1"/>
    <col min="3597" max="3840" width="9.140625" style="1372"/>
    <col min="3841" max="3841" width="4.7109375" style="1372" customWidth="1"/>
    <col min="3842" max="3842" width="6.140625" style="1372" customWidth="1"/>
    <col min="3843" max="3843" width="10.28515625" style="1372" customWidth="1"/>
    <col min="3844" max="3844" width="40.42578125" style="1372" customWidth="1"/>
    <col min="3845" max="3845" width="10.42578125" style="1372" customWidth="1"/>
    <col min="3846" max="3846" width="15.85546875" style="1372" customWidth="1"/>
    <col min="3847" max="3847" width="13.85546875" style="1372" customWidth="1"/>
    <col min="3848" max="3848" width="6.42578125" style="1372" customWidth="1"/>
    <col min="3849" max="3849" width="14.28515625" style="1372" bestFit="1" customWidth="1"/>
    <col min="3850" max="3850" width="9.140625" style="1372"/>
    <col min="3851" max="3852" width="16" style="1372" bestFit="1" customWidth="1"/>
    <col min="3853" max="4096" width="9.140625" style="1372"/>
    <col min="4097" max="4097" width="4.7109375" style="1372" customWidth="1"/>
    <col min="4098" max="4098" width="6.140625" style="1372" customWidth="1"/>
    <col min="4099" max="4099" width="10.28515625" style="1372" customWidth="1"/>
    <col min="4100" max="4100" width="40.42578125" style="1372" customWidth="1"/>
    <col min="4101" max="4101" width="10.42578125" style="1372" customWidth="1"/>
    <col min="4102" max="4102" width="15.85546875" style="1372" customWidth="1"/>
    <col min="4103" max="4103" width="13.85546875" style="1372" customWidth="1"/>
    <col min="4104" max="4104" width="6.42578125" style="1372" customWidth="1"/>
    <col min="4105" max="4105" width="14.28515625" style="1372" bestFit="1" customWidth="1"/>
    <col min="4106" max="4106" width="9.140625" style="1372"/>
    <col min="4107" max="4108" width="16" style="1372" bestFit="1" customWidth="1"/>
    <col min="4109" max="4352" width="9.140625" style="1372"/>
    <col min="4353" max="4353" width="4.7109375" style="1372" customWidth="1"/>
    <col min="4354" max="4354" width="6.140625" style="1372" customWidth="1"/>
    <col min="4355" max="4355" width="10.28515625" style="1372" customWidth="1"/>
    <col min="4356" max="4356" width="40.42578125" style="1372" customWidth="1"/>
    <col min="4357" max="4357" width="10.42578125" style="1372" customWidth="1"/>
    <col min="4358" max="4358" width="15.85546875" style="1372" customWidth="1"/>
    <col min="4359" max="4359" width="13.85546875" style="1372" customWidth="1"/>
    <col min="4360" max="4360" width="6.42578125" style="1372" customWidth="1"/>
    <col min="4361" max="4361" width="14.28515625" style="1372" bestFit="1" customWidth="1"/>
    <col min="4362" max="4362" width="9.140625" style="1372"/>
    <col min="4363" max="4364" width="16" style="1372" bestFit="1" customWidth="1"/>
    <col min="4365" max="4608" width="9.140625" style="1372"/>
    <col min="4609" max="4609" width="4.7109375" style="1372" customWidth="1"/>
    <col min="4610" max="4610" width="6.140625" style="1372" customWidth="1"/>
    <col min="4611" max="4611" width="10.28515625" style="1372" customWidth="1"/>
    <col min="4612" max="4612" width="40.42578125" style="1372" customWidth="1"/>
    <col min="4613" max="4613" width="10.42578125" style="1372" customWidth="1"/>
    <col min="4614" max="4614" width="15.85546875" style="1372" customWidth="1"/>
    <col min="4615" max="4615" width="13.85546875" style="1372" customWidth="1"/>
    <col min="4616" max="4616" width="6.42578125" style="1372" customWidth="1"/>
    <col min="4617" max="4617" width="14.28515625" style="1372" bestFit="1" customWidth="1"/>
    <col min="4618" max="4618" width="9.140625" style="1372"/>
    <col min="4619" max="4620" width="16" style="1372" bestFit="1" customWidth="1"/>
    <col min="4621" max="4864" width="9.140625" style="1372"/>
    <col min="4865" max="4865" width="4.7109375" style="1372" customWidth="1"/>
    <col min="4866" max="4866" width="6.140625" style="1372" customWidth="1"/>
    <col min="4867" max="4867" width="10.28515625" style="1372" customWidth="1"/>
    <col min="4868" max="4868" width="40.42578125" style="1372" customWidth="1"/>
    <col min="4869" max="4869" width="10.42578125" style="1372" customWidth="1"/>
    <col min="4870" max="4870" width="15.85546875" style="1372" customWidth="1"/>
    <col min="4871" max="4871" width="13.85546875" style="1372" customWidth="1"/>
    <col min="4872" max="4872" width="6.42578125" style="1372" customWidth="1"/>
    <col min="4873" max="4873" width="14.28515625" style="1372" bestFit="1" customWidth="1"/>
    <col min="4874" max="4874" width="9.140625" style="1372"/>
    <col min="4875" max="4876" width="16" style="1372" bestFit="1" customWidth="1"/>
    <col min="4877" max="5120" width="9.140625" style="1372"/>
    <col min="5121" max="5121" width="4.7109375" style="1372" customWidth="1"/>
    <col min="5122" max="5122" width="6.140625" style="1372" customWidth="1"/>
    <col min="5123" max="5123" width="10.28515625" style="1372" customWidth="1"/>
    <col min="5124" max="5124" width="40.42578125" style="1372" customWidth="1"/>
    <col min="5125" max="5125" width="10.42578125" style="1372" customWidth="1"/>
    <col min="5126" max="5126" width="15.85546875" style="1372" customWidth="1"/>
    <col min="5127" max="5127" width="13.85546875" style="1372" customWidth="1"/>
    <col min="5128" max="5128" width="6.42578125" style="1372" customWidth="1"/>
    <col min="5129" max="5129" width="14.28515625" style="1372" bestFit="1" customWidth="1"/>
    <col min="5130" max="5130" width="9.140625" style="1372"/>
    <col min="5131" max="5132" width="16" style="1372" bestFit="1" customWidth="1"/>
    <col min="5133" max="5376" width="9.140625" style="1372"/>
    <col min="5377" max="5377" width="4.7109375" style="1372" customWidth="1"/>
    <col min="5378" max="5378" width="6.140625" style="1372" customWidth="1"/>
    <col min="5379" max="5379" width="10.28515625" style="1372" customWidth="1"/>
    <col min="5380" max="5380" width="40.42578125" style="1372" customWidth="1"/>
    <col min="5381" max="5381" width="10.42578125" style="1372" customWidth="1"/>
    <col min="5382" max="5382" width="15.85546875" style="1372" customWidth="1"/>
    <col min="5383" max="5383" width="13.85546875" style="1372" customWidth="1"/>
    <col min="5384" max="5384" width="6.42578125" style="1372" customWidth="1"/>
    <col min="5385" max="5385" width="14.28515625" style="1372" bestFit="1" customWidth="1"/>
    <col min="5386" max="5386" width="9.140625" style="1372"/>
    <col min="5387" max="5388" width="16" style="1372" bestFit="1" customWidth="1"/>
    <col min="5389" max="5632" width="9.140625" style="1372"/>
    <col min="5633" max="5633" width="4.7109375" style="1372" customWidth="1"/>
    <col min="5634" max="5634" width="6.140625" style="1372" customWidth="1"/>
    <col min="5635" max="5635" width="10.28515625" style="1372" customWidth="1"/>
    <col min="5636" max="5636" width="40.42578125" style="1372" customWidth="1"/>
    <col min="5637" max="5637" width="10.42578125" style="1372" customWidth="1"/>
    <col min="5638" max="5638" width="15.85546875" style="1372" customWidth="1"/>
    <col min="5639" max="5639" width="13.85546875" style="1372" customWidth="1"/>
    <col min="5640" max="5640" width="6.42578125" style="1372" customWidth="1"/>
    <col min="5641" max="5641" width="14.28515625" style="1372" bestFit="1" customWidth="1"/>
    <col min="5642" max="5642" width="9.140625" style="1372"/>
    <col min="5643" max="5644" width="16" style="1372" bestFit="1" customWidth="1"/>
    <col min="5645" max="5888" width="9.140625" style="1372"/>
    <col min="5889" max="5889" width="4.7109375" style="1372" customWidth="1"/>
    <col min="5890" max="5890" width="6.140625" style="1372" customWidth="1"/>
    <col min="5891" max="5891" width="10.28515625" style="1372" customWidth="1"/>
    <col min="5892" max="5892" width="40.42578125" style="1372" customWidth="1"/>
    <col min="5893" max="5893" width="10.42578125" style="1372" customWidth="1"/>
    <col min="5894" max="5894" width="15.85546875" style="1372" customWidth="1"/>
    <col min="5895" max="5895" width="13.85546875" style="1372" customWidth="1"/>
    <col min="5896" max="5896" width="6.42578125" style="1372" customWidth="1"/>
    <col min="5897" max="5897" width="14.28515625" style="1372" bestFit="1" customWidth="1"/>
    <col min="5898" max="5898" width="9.140625" style="1372"/>
    <col min="5899" max="5900" width="16" style="1372" bestFit="1" customWidth="1"/>
    <col min="5901" max="6144" width="9.140625" style="1372"/>
    <col min="6145" max="6145" width="4.7109375" style="1372" customWidth="1"/>
    <col min="6146" max="6146" width="6.140625" style="1372" customWidth="1"/>
    <col min="6147" max="6147" width="10.28515625" style="1372" customWidth="1"/>
    <col min="6148" max="6148" width="40.42578125" style="1372" customWidth="1"/>
    <col min="6149" max="6149" width="10.42578125" style="1372" customWidth="1"/>
    <col min="6150" max="6150" width="15.85546875" style="1372" customWidth="1"/>
    <col min="6151" max="6151" width="13.85546875" style="1372" customWidth="1"/>
    <col min="6152" max="6152" width="6.42578125" style="1372" customWidth="1"/>
    <col min="6153" max="6153" width="14.28515625" style="1372" bestFit="1" customWidth="1"/>
    <col min="6154" max="6154" width="9.140625" style="1372"/>
    <col min="6155" max="6156" width="16" style="1372" bestFit="1" customWidth="1"/>
    <col min="6157" max="6400" width="9.140625" style="1372"/>
    <col min="6401" max="6401" width="4.7109375" style="1372" customWidth="1"/>
    <col min="6402" max="6402" width="6.140625" style="1372" customWidth="1"/>
    <col min="6403" max="6403" width="10.28515625" style="1372" customWidth="1"/>
    <col min="6404" max="6404" width="40.42578125" style="1372" customWidth="1"/>
    <col min="6405" max="6405" width="10.42578125" style="1372" customWidth="1"/>
    <col min="6406" max="6406" width="15.85546875" style="1372" customWidth="1"/>
    <col min="6407" max="6407" width="13.85546875" style="1372" customWidth="1"/>
    <col min="6408" max="6408" width="6.42578125" style="1372" customWidth="1"/>
    <col min="6409" max="6409" width="14.28515625" style="1372" bestFit="1" customWidth="1"/>
    <col min="6410" max="6410" width="9.140625" style="1372"/>
    <col min="6411" max="6412" width="16" style="1372" bestFit="1" customWidth="1"/>
    <col min="6413" max="6656" width="9.140625" style="1372"/>
    <col min="6657" max="6657" width="4.7109375" style="1372" customWidth="1"/>
    <col min="6658" max="6658" width="6.140625" style="1372" customWidth="1"/>
    <col min="6659" max="6659" width="10.28515625" style="1372" customWidth="1"/>
    <col min="6660" max="6660" width="40.42578125" style="1372" customWidth="1"/>
    <col min="6661" max="6661" width="10.42578125" style="1372" customWidth="1"/>
    <col min="6662" max="6662" width="15.85546875" style="1372" customWidth="1"/>
    <col min="6663" max="6663" width="13.85546875" style="1372" customWidth="1"/>
    <col min="6664" max="6664" width="6.42578125" style="1372" customWidth="1"/>
    <col min="6665" max="6665" width="14.28515625" style="1372" bestFit="1" customWidth="1"/>
    <col min="6666" max="6666" width="9.140625" style="1372"/>
    <col min="6667" max="6668" width="16" style="1372" bestFit="1" customWidth="1"/>
    <col min="6669" max="6912" width="9.140625" style="1372"/>
    <col min="6913" max="6913" width="4.7109375" style="1372" customWidth="1"/>
    <col min="6914" max="6914" width="6.140625" style="1372" customWidth="1"/>
    <col min="6915" max="6915" width="10.28515625" style="1372" customWidth="1"/>
    <col min="6916" max="6916" width="40.42578125" style="1372" customWidth="1"/>
    <col min="6917" max="6917" width="10.42578125" style="1372" customWidth="1"/>
    <col min="6918" max="6918" width="15.85546875" style="1372" customWidth="1"/>
    <col min="6919" max="6919" width="13.85546875" style="1372" customWidth="1"/>
    <col min="6920" max="6920" width="6.42578125" style="1372" customWidth="1"/>
    <col min="6921" max="6921" width="14.28515625" style="1372" bestFit="1" customWidth="1"/>
    <col min="6922" max="6922" width="9.140625" style="1372"/>
    <col min="6923" max="6924" width="16" style="1372" bestFit="1" customWidth="1"/>
    <col min="6925" max="7168" width="9.140625" style="1372"/>
    <col min="7169" max="7169" width="4.7109375" style="1372" customWidth="1"/>
    <col min="7170" max="7170" width="6.140625" style="1372" customWidth="1"/>
    <col min="7171" max="7171" width="10.28515625" style="1372" customWidth="1"/>
    <col min="7172" max="7172" width="40.42578125" style="1372" customWidth="1"/>
    <col min="7173" max="7173" width="10.42578125" style="1372" customWidth="1"/>
    <col min="7174" max="7174" width="15.85546875" style="1372" customWidth="1"/>
    <col min="7175" max="7175" width="13.85546875" style="1372" customWidth="1"/>
    <col min="7176" max="7176" width="6.42578125" style="1372" customWidth="1"/>
    <col min="7177" max="7177" width="14.28515625" style="1372" bestFit="1" customWidth="1"/>
    <col min="7178" max="7178" width="9.140625" style="1372"/>
    <col min="7179" max="7180" width="16" style="1372" bestFit="1" customWidth="1"/>
    <col min="7181" max="7424" width="9.140625" style="1372"/>
    <col min="7425" max="7425" width="4.7109375" style="1372" customWidth="1"/>
    <col min="7426" max="7426" width="6.140625" style="1372" customWidth="1"/>
    <col min="7427" max="7427" width="10.28515625" style="1372" customWidth="1"/>
    <col min="7428" max="7428" width="40.42578125" style="1372" customWidth="1"/>
    <col min="7429" max="7429" width="10.42578125" style="1372" customWidth="1"/>
    <col min="7430" max="7430" width="15.85546875" style="1372" customWidth="1"/>
    <col min="7431" max="7431" width="13.85546875" style="1372" customWidth="1"/>
    <col min="7432" max="7432" width="6.42578125" style="1372" customWidth="1"/>
    <col min="7433" max="7433" width="14.28515625" style="1372" bestFit="1" customWidth="1"/>
    <col min="7434" max="7434" width="9.140625" style="1372"/>
    <col min="7435" max="7436" width="16" style="1372" bestFit="1" customWidth="1"/>
    <col min="7437" max="7680" width="9.140625" style="1372"/>
    <col min="7681" max="7681" width="4.7109375" style="1372" customWidth="1"/>
    <col min="7682" max="7682" width="6.140625" style="1372" customWidth="1"/>
    <col min="7683" max="7683" width="10.28515625" style="1372" customWidth="1"/>
    <col min="7684" max="7684" width="40.42578125" style="1372" customWidth="1"/>
    <col min="7685" max="7685" width="10.42578125" style="1372" customWidth="1"/>
    <col min="7686" max="7686" width="15.85546875" style="1372" customWidth="1"/>
    <col min="7687" max="7687" width="13.85546875" style="1372" customWidth="1"/>
    <col min="7688" max="7688" width="6.42578125" style="1372" customWidth="1"/>
    <col min="7689" max="7689" width="14.28515625" style="1372" bestFit="1" customWidth="1"/>
    <col min="7690" max="7690" width="9.140625" style="1372"/>
    <col min="7691" max="7692" width="16" style="1372" bestFit="1" customWidth="1"/>
    <col min="7693" max="7936" width="9.140625" style="1372"/>
    <col min="7937" max="7937" width="4.7109375" style="1372" customWidth="1"/>
    <col min="7938" max="7938" width="6.140625" style="1372" customWidth="1"/>
    <col min="7939" max="7939" width="10.28515625" style="1372" customWidth="1"/>
    <col min="7940" max="7940" width="40.42578125" style="1372" customWidth="1"/>
    <col min="7941" max="7941" width="10.42578125" style="1372" customWidth="1"/>
    <col min="7942" max="7942" width="15.85546875" style="1372" customWidth="1"/>
    <col min="7943" max="7943" width="13.85546875" style="1372" customWidth="1"/>
    <col min="7944" max="7944" width="6.42578125" style="1372" customWidth="1"/>
    <col min="7945" max="7945" width="14.28515625" style="1372" bestFit="1" customWidth="1"/>
    <col min="7946" max="7946" width="9.140625" style="1372"/>
    <col min="7947" max="7948" width="16" style="1372" bestFit="1" customWidth="1"/>
    <col min="7949" max="8192" width="9.140625" style="1372"/>
    <col min="8193" max="8193" width="4.7109375" style="1372" customWidth="1"/>
    <col min="8194" max="8194" width="6.140625" style="1372" customWidth="1"/>
    <col min="8195" max="8195" width="10.28515625" style="1372" customWidth="1"/>
    <col min="8196" max="8196" width="40.42578125" style="1372" customWidth="1"/>
    <col min="8197" max="8197" width="10.42578125" style="1372" customWidth="1"/>
    <col min="8198" max="8198" width="15.85546875" style="1372" customWidth="1"/>
    <col min="8199" max="8199" width="13.85546875" style="1372" customWidth="1"/>
    <col min="8200" max="8200" width="6.42578125" style="1372" customWidth="1"/>
    <col min="8201" max="8201" width="14.28515625" style="1372" bestFit="1" customWidth="1"/>
    <col min="8202" max="8202" width="9.140625" style="1372"/>
    <col min="8203" max="8204" width="16" style="1372" bestFit="1" customWidth="1"/>
    <col min="8205" max="8448" width="9.140625" style="1372"/>
    <col min="8449" max="8449" width="4.7109375" style="1372" customWidth="1"/>
    <col min="8450" max="8450" width="6.140625" style="1372" customWidth="1"/>
    <col min="8451" max="8451" width="10.28515625" style="1372" customWidth="1"/>
    <col min="8452" max="8452" width="40.42578125" style="1372" customWidth="1"/>
    <col min="8453" max="8453" width="10.42578125" style="1372" customWidth="1"/>
    <col min="8454" max="8454" width="15.85546875" style="1372" customWidth="1"/>
    <col min="8455" max="8455" width="13.85546875" style="1372" customWidth="1"/>
    <col min="8456" max="8456" width="6.42578125" style="1372" customWidth="1"/>
    <col min="8457" max="8457" width="14.28515625" style="1372" bestFit="1" customWidth="1"/>
    <col min="8458" max="8458" width="9.140625" style="1372"/>
    <col min="8459" max="8460" width="16" style="1372" bestFit="1" customWidth="1"/>
    <col min="8461" max="8704" width="9.140625" style="1372"/>
    <col min="8705" max="8705" width="4.7109375" style="1372" customWidth="1"/>
    <col min="8706" max="8706" width="6.140625" style="1372" customWidth="1"/>
    <col min="8707" max="8707" width="10.28515625" style="1372" customWidth="1"/>
    <col min="8708" max="8708" width="40.42578125" style="1372" customWidth="1"/>
    <col min="8709" max="8709" width="10.42578125" style="1372" customWidth="1"/>
    <col min="8710" max="8710" width="15.85546875" style="1372" customWidth="1"/>
    <col min="8711" max="8711" width="13.85546875" style="1372" customWidth="1"/>
    <col min="8712" max="8712" width="6.42578125" style="1372" customWidth="1"/>
    <col min="8713" max="8713" width="14.28515625" style="1372" bestFit="1" customWidth="1"/>
    <col min="8714" max="8714" width="9.140625" style="1372"/>
    <col min="8715" max="8716" width="16" style="1372" bestFit="1" customWidth="1"/>
    <col min="8717" max="8960" width="9.140625" style="1372"/>
    <col min="8961" max="8961" width="4.7109375" style="1372" customWidth="1"/>
    <col min="8962" max="8962" width="6.140625" style="1372" customWidth="1"/>
    <col min="8963" max="8963" width="10.28515625" style="1372" customWidth="1"/>
    <col min="8964" max="8964" width="40.42578125" style="1372" customWidth="1"/>
    <col min="8965" max="8965" width="10.42578125" style="1372" customWidth="1"/>
    <col min="8966" max="8966" width="15.85546875" style="1372" customWidth="1"/>
    <col min="8967" max="8967" width="13.85546875" style="1372" customWidth="1"/>
    <col min="8968" max="8968" width="6.42578125" style="1372" customWidth="1"/>
    <col min="8969" max="8969" width="14.28515625" style="1372" bestFit="1" customWidth="1"/>
    <col min="8970" max="8970" width="9.140625" style="1372"/>
    <col min="8971" max="8972" width="16" style="1372" bestFit="1" customWidth="1"/>
    <col min="8973" max="9216" width="9.140625" style="1372"/>
    <col min="9217" max="9217" width="4.7109375" style="1372" customWidth="1"/>
    <col min="9218" max="9218" width="6.140625" style="1372" customWidth="1"/>
    <col min="9219" max="9219" width="10.28515625" style="1372" customWidth="1"/>
    <col min="9220" max="9220" width="40.42578125" style="1372" customWidth="1"/>
    <col min="9221" max="9221" width="10.42578125" style="1372" customWidth="1"/>
    <col min="9222" max="9222" width="15.85546875" style="1372" customWidth="1"/>
    <col min="9223" max="9223" width="13.85546875" style="1372" customWidth="1"/>
    <col min="9224" max="9224" width="6.42578125" style="1372" customWidth="1"/>
    <col min="9225" max="9225" width="14.28515625" style="1372" bestFit="1" customWidth="1"/>
    <col min="9226" max="9226" width="9.140625" style="1372"/>
    <col min="9227" max="9228" width="16" style="1372" bestFit="1" customWidth="1"/>
    <col min="9229" max="9472" width="9.140625" style="1372"/>
    <col min="9473" max="9473" width="4.7109375" style="1372" customWidth="1"/>
    <col min="9474" max="9474" width="6.140625" style="1372" customWidth="1"/>
    <col min="9475" max="9475" width="10.28515625" style="1372" customWidth="1"/>
    <col min="9476" max="9476" width="40.42578125" style="1372" customWidth="1"/>
    <col min="9477" max="9477" width="10.42578125" style="1372" customWidth="1"/>
    <col min="9478" max="9478" width="15.85546875" style="1372" customWidth="1"/>
    <col min="9479" max="9479" width="13.85546875" style="1372" customWidth="1"/>
    <col min="9480" max="9480" width="6.42578125" style="1372" customWidth="1"/>
    <col min="9481" max="9481" width="14.28515625" style="1372" bestFit="1" customWidth="1"/>
    <col min="9482" max="9482" width="9.140625" style="1372"/>
    <col min="9483" max="9484" width="16" style="1372" bestFit="1" customWidth="1"/>
    <col min="9485" max="9728" width="9.140625" style="1372"/>
    <col min="9729" max="9729" width="4.7109375" style="1372" customWidth="1"/>
    <col min="9730" max="9730" width="6.140625" style="1372" customWidth="1"/>
    <col min="9731" max="9731" width="10.28515625" style="1372" customWidth="1"/>
    <col min="9732" max="9732" width="40.42578125" style="1372" customWidth="1"/>
    <col min="9733" max="9733" width="10.42578125" style="1372" customWidth="1"/>
    <col min="9734" max="9734" width="15.85546875" style="1372" customWidth="1"/>
    <col min="9735" max="9735" width="13.85546875" style="1372" customWidth="1"/>
    <col min="9736" max="9736" width="6.42578125" style="1372" customWidth="1"/>
    <col min="9737" max="9737" width="14.28515625" style="1372" bestFit="1" customWidth="1"/>
    <col min="9738" max="9738" width="9.140625" style="1372"/>
    <col min="9739" max="9740" width="16" style="1372" bestFit="1" customWidth="1"/>
    <col min="9741" max="9984" width="9.140625" style="1372"/>
    <col min="9985" max="9985" width="4.7109375" style="1372" customWidth="1"/>
    <col min="9986" max="9986" width="6.140625" style="1372" customWidth="1"/>
    <col min="9987" max="9987" width="10.28515625" style="1372" customWidth="1"/>
    <col min="9988" max="9988" width="40.42578125" style="1372" customWidth="1"/>
    <col min="9989" max="9989" width="10.42578125" style="1372" customWidth="1"/>
    <col min="9990" max="9990" width="15.85546875" style="1372" customWidth="1"/>
    <col min="9991" max="9991" width="13.85546875" style="1372" customWidth="1"/>
    <col min="9992" max="9992" width="6.42578125" style="1372" customWidth="1"/>
    <col min="9993" max="9993" width="14.28515625" style="1372" bestFit="1" customWidth="1"/>
    <col min="9994" max="9994" width="9.140625" style="1372"/>
    <col min="9995" max="9996" width="16" style="1372" bestFit="1" customWidth="1"/>
    <col min="9997" max="10240" width="9.140625" style="1372"/>
    <col min="10241" max="10241" width="4.7109375" style="1372" customWidth="1"/>
    <col min="10242" max="10242" width="6.140625" style="1372" customWidth="1"/>
    <col min="10243" max="10243" width="10.28515625" style="1372" customWidth="1"/>
    <col min="10244" max="10244" width="40.42578125" style="1372" customWidth="1"/>
    <col min="10245" max="10245" width="10.42578125" style="1372" customWidth="1"/>
    <col min="10246" max="10246" width="15.85546875" style="1372" customWidth="1"/>
    <col min="10247" max="10247" width="13.85546875" style="1372" customWidth="1"/>
    <col min="10248" max="10248" width="6.42578125" style="1372" customWidth="1"/>
    <col min="10249" max="10249" width="14.28515625" style="1372" bestFit="1" customWidth="1"/>
    <col min="10250" max="10250" width="9.140625" style="1372"/>
    <col min="10251" max="10252" width="16" style="1372" bestFit="1" customWidth="1"/>
    <col min="10253" max="10496" width="9.140625" style="1372"/>
    <col min="10497" max="10497" width="4.7109375" style="1372" customWidth="1"/>
    <col min="10498" max="10498" width="6.140625" style="1372" customWidth="1"/>
    <col min="10499" max="10499" width="10.28515625" style="1372" customWidth="1"/>
    <col min="10500" max="10500" width="40.42578125" style="1372" customWidth="1"/>
    <col min="10501" max="10501" width="10.42578125" style="1372" customWidth="1"/>
    <col min="10502" max="10502" width="15.85546875" style="1372" customWidth="1"/>
    <col min="10503" max="10503" width="13.85546875" style="1372" customWidth="1"/>
    <col min="10504" max="10504" width="6.42578125" style="1372" customWidth="1"/>
    <col min="10505" max="10505" width="14.28515625" style="1372" bestFit="1" customWidth="1"/>
    <col min="10506" max="10506" width="9.140625" style="1372"/>
    <col min="10507" max="10508" width="16" style="1372" bestFit="1" customWidth="1"/>
    <col min="10509" max="10752" width="9.140625" style="1372"/>
    <col min="10753" max="10753" width="4.7109375" style="1372" customWidth="1"/>
    <col min="10754" max="10754" width="6.140625" style="1372" customWidth="1"/>
    <col min="10755" max="10755" width="10.28515625" style="1372" customWidth="1"/>
    <col min="10756" max="10756" width="40.42578125" style="1372" customWidth="1"/>
    <col min="10757" max="10757" width="10.42578125" style="1372" customWidth="1"/>
    <col min="10758" max="10758" width="15.85546875" style="1372" customWidth="1"/>
    <col min="10759" max="10759" width="13.85546875" style="1372" customWidth="1"/>
    <col min="10760" max="10760" width="6.42578125" style="1372" customWidth="1"/>
    <col min="10761" max="10761" width="14.28515625" style="1372" bestFit="1" customWidth="1"/>
    <col min="10762" max="10762" width="9.140625" style="1372"/>
    <col min="10763" max="10764" width="16" style="1372" bestFit="1" customWidth="1"/>
    <col min="10765" max="11008" width="9.140625" style="1372"/>
    <col min="11009" max="11009" width="4.7109375" style="1372" customWidth="1"/>
    <col min="11010" max="11010" width="6.140625" style="1372" customWidth="1"/>
    <col min="11011" max="11011" width="10.28515625" style="1372" customWidth="1"/>
    <col min="11012" max="11012" width="40.42578125" style="1372" customWidth="1"/>
    <col min="11013" max="11013" width="10.42578125" style="1372" customWidth="1"/>
    <col min="11014" max="11014" width="15.85546875" style="1372" customWidth="1"/>
    <col min="11015" max="11015" width="13.85546875" style="1372" customWidth="1"/>
    <col min="11016" max="11016" width="6.42578125" style="1372" customWidth="1"/>
    <col min="11017" max="11017" width="14.28515625" style="1372" bestFit="1" customWidth="1"/>
    <col min="11018" max="11018" width="9.140625" style="1372"/>
    <col min="11019" max="11020" width="16" style="1372" bestFit="1" customWidth="1"/>
    <col min="11021" max="11264" width="9.140625" style="1372"/>
    <col min="11265" max="11265" width="4.7109375" style="1372" customWidth="1"/>
    <col min="11266" max="11266" width="6.140625" style="1372" customWidth="1"/>
    <col min="11267" max="11267" width="10.28515625" style="1372" customWidth="1"/>
    <col min="11268" max="11268" width="40.42578125" style="1372" customWidth="1"/>
    <col min="11269" max="11269" width="10.42578125" style="1372" customWidth="1"/>
    <col min="11270" max="11270" width="15.85546875" style="1372" customWidth="1"/>
    <col min="11271" max="11271" width="13.85546875" style="1372" customWidth="1"/>
    <col min="11272" max="11272" width="6.42578125" style="1372" customWidth="1"/>
    <col min="11273" max="11273" width="14.28515625" style="1372" bestFit="1" customWidth="1"/>
    <col min="11274" max="11274" width="9.140625" style="1372"/>
    <col min="11275" max="11276" width="16" style="1372" bestFit="1" customWidth="1"/>
    <col min="11277" max="11520" width="9.140625" style="1372"/>
    <col min="11521" max="11521" width="4.7109375" style="1372" customWidth="1"/>
    <col min="11522" max="11522" width="6.140625" style="1372" customWidth="1"/>
    <col min="11523" max="11523" width="10.28515625" style="1372" customWidth="1"/>
    <col min="11524" max="11524" width="40.42578125" style="1372" customWidth="1"/>
    <col min="11525" max="11525" width="10.42578125" style="1372" customWidth="1"/>
    <col min="11526" max="11526" width="15.85546875" style="1372" customWidth="1"/>
    <col min="11527" max="11527" width="13.85546875" style="1372" customWidth="1"/>
    <col min="11528" max="11528" width="6.42578125" style="1372" customWidth="1"/>
    <col min="11529" max="11529" width="14.28515625" style="1372" bestFit="1" customWidth="1"/>
    <col min="11530" max="11530" width="9.140625" style="1372"/>
    <col min="11531" max="11532" width="16" style="1372" bestFit="1" customWidth="1"/>
    <col min="11533" max="11776" width="9.140625" style="1372"/>
    <col min="11777" max="11777" width="4.7109375" style="1372" customWidth="1"/>
    <col min="11778" max="11778" width="6.140625" style="1372" customWidth="1"/>
    <col min="11779" max="11779" width="10.28515625" style="1372" customWidth="1"/>
    <col min="11780" max="11780" width="40.42578125" style="1372" customWidth="1"/>
    <col min="11781" max="11781" width="10.42578125" style="1372" customWidth="1"/>
    <col min="11782" max="11782" width="15.85546875" style="1372" customWidth="1"/>
    <col min="11783" max="11783" width="13.85546875" style="1372" customWidth="1"/>
    <col min="11784" max="11784" width="6.42578125" style="1372" customWidth="1"/>
    <col min="11785" max="11785" width="14.28515625" style="1372" bestFit="1" customWidth="1"/>
    <col min="11786" max="11786" width="9.140625" style="1372"/>
    <col min="11787" max="11788" width="16" style="1372" bestFit="1" customWidth="1"/>
    <col min="11789" max="12032" width="9.140625" style="1372"/>
    <col min="12033" max="12033" width="4.7109375" style="1372" customWidth="1"/>
    <col min="12034" max="12034" width="6.140625" style="1372" customWidth="1"/>
    <col min="12035" max="12035" width="10.28515625" style="1372" customWidth="1"/>
    <col min="12036" max="12036" width="40.42578125" style="1372" customWidth="1"/>
    <col min="12037" max="12037" width="10.42578125" style="1372" customWidth="1"/>
    <col min="12038" max="12038" width="15.85546875" style="1372" customWidth="1"/>
    <col min="12039" max="12039" width="13.85546875" style="1372" customWidth="1"/>
    <col min="12040" max="12040" width="6.42578125" style="1372" customWidth="1"/>
    <col min="12041" max="12041" width="14.28515625" style="1372" bestFit="1" customWidth="1"/>
    <col min="12042" max="12042" width="9.140625" style="1372"/>
    <col min="12043" max="12044" width="16" style="1372" bestFit="1" customWidth="1"/>
    <col min="12045" max="12288" width="9.140625" style="1372"/>
    <col min="12289" max="12289" width="4.7109375" style="1372" customWidth="1"/>
    <col min="12290" max="12290" width="6.140625" style="1372" customWidth="1"/>
    <col min="12291" max="12291" width="10.28515625" style="1372" customWidth="1"/>
    <col min="12292" max="12292" width="40.42578125" style="1372" customWidth="1"/>
    <col min="12293" max="12293" width="10.42578125" style="1372" customWidth="1"/>
    <col min="12294" max="12294" width="15.85546875" style="1372" customWidth="1"/>
    <col min="12295" max="12295" width="13.85546875" style="1372" customWidth="1"/>
    <col min="12296" max="12296" width="6.42578125" style="1372" customWidth="1"/>
    <col min="12297" max="12297" width="14.28515625" style="1372" bestFit="1" customWidth="1"/>
    <col min="12298" max="12298" width="9.140625" style="1372"/>
    <col min="12299" max="12300" width="16" style="1372" bestFit="1" customWidth="1"/>
    <col min="12301" max="12544" width="9.140625" style="1372"/>
    <col min="12545" max="12545" width="4.7109375" style="1372" customWidth="1"/>
    <col min="12546" max="12546" width="6.140625" style="1372" customWidth="1"/>
    <col min="12547" max="12547" width="10.28515625" style="1372" customWidth="1"/>
    <col min="12548" max="12548" width="40.42578125" style="1372" customWidth="1"/>
    <col min="12549" max="12549" width="10.42578125" style="1372" customWidth="1"/>
    <col min="12550" max="12550" width="15.85546875" style="1372" customWidth="1"/>
    <col min="12551" max="12551" width="13.85546875" style="1372" customWidth="1"/>
    <col min="12552" max="12552" width="6.42578125" style="1372" customWidth="1"/>
    <col min="12553" max="12553" width="14.28515625" style="1372" bestFit="1" customWidth="1"/>
    <col min="12554" max="12554" width="9.140625" style="1372"/>
    <col min="12555" max="12556" width="16" style="1372" bestFit="1" customWidth="1"/>
    <col min="12557" max="12800" width="9.140625" style="1372"/>
    <col min="12801" max="12801" width="4.7109375" style="1372" customWidth="1"/>
    <col min="12802" max="12802" width="6.140625" style="1372" customWidth="1"/>
    <col min="12803" max="12803" width="10.28515625" style="1372" customWidth="1"/>
    <col min="12804" max="12804" width="40.42578125" style="1372" customWidth="1"/>
    <col min="12805" max="12805" width="10.42578125" style="1372" customWidth="1"/>
    <col min="12806" max="12806" width="15.85546875" style="1372" customWidth="1"/>
    <col min="12807" max="12807" width="13.85546875" style="1372" customWidth="1"/>
    <col min="12808" max="12808" width="6.42578125" style="1372" customWidth="1"/>
    <col min="12809" max="12809" width="14.28515625" style="1372" bestFit="1" customWidth="1"/>
    <col min="12810" max="12810" width="9.140625" style="1372"/>
    <col min="12811" max="12812" width="16" style="1372" bestFit="1" customWidth="1"/>
    <col min="12813" max="13056" width="9.140625" style="1372"/>
    <col min="13057" max="13057" width="4.7109375" style="1372" customWidth="1"/>
    <col min="13058" max="13058" width="6.140625" style="1372" customWidth="1"/>
    <col min="13059" max="13059" width="10.28515625" style="1372" customWidth="1"/>
    <col min="13060" max="13060" width="40.42578125" style="1372" customWidth="1"/>
    <col min="13061" max="13061" width="10.42578125" style="1372" customWidth="1"/>
    <col min="13062" max="13062" width="15.85546875" style="1372" customWidth="1"/>
    <col min="13063" max="13063" width="13.85546875" style="1372" customWidth="1"/>
    <col min="13064" max="13064" width="6.42578125" style="1372" customWidth="1"/>
    <col min="13065" max="13065" width="14.28515625" style="1372" bestFit="1" customWidth="1"/>
    <col min="13066" max="13066" width="9.140625" style="1372"/>
    <col min="13067" max="13068" width="16" style="1372" bestFit="1" customWidth="1"/>
    <col min="13069" max="13312" width="9.140625" style="1372"/>
    <col min="13313" max="13313" width="4.7109375" style="1372" customWidth="1"/>
    <col min="13314" max="13314" width="6.140625" style="1372" customWidth="1"/>
    <col min="13315" max="13315" width="10.28515625" style="1372" customWidth="1"/>
    <col min="13316" max="13316" width="40.42578125" style="1372" customWidth="1"/>
    <col min="13317" max="13317" width="10.42578125" style="1372" customWidth="1"/>
    <col min="13318" max="13318" width="15.85546875" style="1372" customWidth="1"/>
    <col min="13319" max="13319" width="13.85546875" style="1372" customWidth="1"/>
    <col min="13320" max="13320" width="6.42578125" style="1372" customWidth="1"/>
    <col min="13321" max="13321" width="14.28515625" style="1372" bestFit="1" customWidth="1"/>
    <col min="13322" max="13322" width="9.140625" style="1372"/>
    <col min="13323" max="13324" width="16" style="1372" bestFit="1" customWidth="1"/>
    <col min="13325" max="13568" width="9.140625" style="1372"/>
    <col min="13569" max="13569" width="4.7109375" style="1372" customWidth="1"/>
    <col min="13570" max="13570" width="6.140625" style="1372" customWidth="1"/>
    <col min="13571" max="13571" width="10.28515625" style="1372" customWidth="1"/>
    <col min="13572" max="13572" width="40.42578125" style="1372" customWidth="1"/>
    <col min="13573" max="13573" width="10.42578125" style="1372" customWidth="1"/>
    <col min="13574" max="13574" width="15.85546875" style="1372" customWidth="1"/>
    <col min="13575" max="13575" width="13.85546875" style="1372" customWidth="1"/>
    <col min="13576" max="13576" width="6.42578125" style="1372" customWidth="1"/>
    <col min="13577" max="13577" width="14.28515625" style="1372" bestFit="1" customWidth="1"/>
    <col min="13578" max="13578" width="9.140625" style="1372"/>
    <col min="13579" max="13580" width="16" style="1372" bestFit="1" customWidth="1"/>
    <col min="13581" max="13824" width="9.140625" style="1372"/>
    <col min="13825" max="13825" width="4.7109375" style="1372" customWidth="1"/>
    <col min="13826" max="13826" width="6.140625" style="1372" customWidth="1"/>
    <col min="13827" max="13827" width="10.28515625" style="1372" customWidth="1"/>
    <col min="13828" max="13828" width="40.42578125" style="1372" customWidth="1"/>
    <col min="13829" max="13829" width="10.42578125" style="1372" customWidth="1"/>
    <col min="13830" max="13830" width="15.85546875" style="1372" customWidth="1"/>
    <col min="13831" max="13831" width="13.85546875" style="1372" customWidth="1"/>
    <col min="13832" max="13832" width="6.42578125" style="1372" customWidth="1"/>
    <col min="13833" max="13833" width="14.28515625" style="1372" bestFit="1" customWidth="1"/>
    <col min="13834" max="13834" width="9.140625" style="1372"/>
    <col min="13835" max="13836" width="16" style="1372" bestFit="1" customWidth="1"/>
    <col min="13837" max="14080" width="9.140625" style="1372"/>
    <col min="14081" max="14081" width="4.7109375" style="1372" customWidth="1"/>
    <col min="14082" max="14082" width="6.140625" style="1372" customWidth="1"/>
    <col min="14083" max="14083" width="10.28515625" style="1372" customWidth="1"/>
    <col min="14084" max="14084" width="40.42578125" style="1372" customWidth="1"/>
    <col min="14085" max="14085" width="10.42578125" style="1372" customWidth="1"/>
    <col min="14086" max="14086" width="15.85546875" style="1372" customWidth="1"/>
    <col min="14087" max="14087" width="13.85546875" style="1372" customWidth="1"/>
    <col min="14088" max="14088" width="6.42578125" style="1372" customWidth="1"/>
    <col min="14089" max="14089" width="14.28515625" style="1372" bestFit="1" customWidth="1"/>
    <col min="14090" max="14090" width="9.140625" style="1372"/>
    <col min="14091" max="14092" width="16" style="1372" bestFit="1" customWidth="1"/>
    <col min="14093" max="14336" width="9.140625" style="1372"/>
    <col min="14337" max="14337" width="4.7109375" style="1372" customWidth="1"/>
    <col min="14338" max="14338" width="6.140625" style="1372" customWidth="1"/>
    <col min="14339" max="14339" width="10.28515625" style="1372" customWidth="1"/>
    <col min="14340" max="14340" width="40.42578125" style="1372" customWidth="1"/>
    <col min="14341" max="14341" width="10.42578125" style="1372" customWidth="1"/>
    <col min="14342" max="14342" width="15.85546875" style="1372" customWidth="1"/>
    <col min="14343" max="14343" width="13.85546875" style="1372" customWidth="1"/>
    <col min="14344" max="14344" width="6.42578125" style="1372" customWidth="1"/>
    <col min="14345" max="14345" width="14.28515625" style="1372" bestFit="1" customWidth="1"/>
    <col min="14346" max="14346" width="9.140625" style="1372"/>
    <col min="14347" max="14348" width="16" style="1372" bestFit="1" customWidth="1"/>
    <col min="14349" max="14592" width="9.140625" style="1372"/>
    <col min="14593" max="14593" width="4.7109375" style="1372" customWidth="1"/>
    <col min="14594" max="14594" width="6.140625" style="1372" customWidth="1"/>
    <col min="14595" max="14595" width="10.28515625" style="1372" customWidth="1"/>
    <col min="14596" max="14596" width="40.42578125" style="1372" customWidth="1"/>
    <col min="14597" max="14597" width="10.42578125" style="1372" customWidth="1"/>
    <col min="14598" max="14598" width="15.85546875" style="1372" customWidth="1"/>
    <col min="14599" max="14599" width="13.85546875" style="1372" customWidth="1"/>
    <col min="14600" max="14600" width="6.42578125" style="1372" customWidth="1"/>
    <col min="14601" max="14601" width="14.28515625" style="1372" bestFit="1" customWidth="1"/>
    <col min="14602" max="14602" width="9.140625" style="1372"/>
    <col min="14603" max="14604" width="16" style="1372" bestFit="1" customWidth="1"/>
    <col min="14605" max="14848" width="9.140625" style="1372"/>
    <col min="14849" max="14849" width="4.7109375" style="1372" customWidth="1"/>
    <col min="14850" max="14850" width="6.140625" style="1372" customWidth="1"/>
    <col min="14851" max="14851" width="10.28515625" style="1372" customWidth="1"/>
    <col min="14852" max="14852" width="40.42578125" style="1372" customWidth="1"/>
    <col min="14853" max="14853" width="10.42578125" style="1372" customWidth="1"/>
    <col min="14854" max="14854" width="15.85546875" style="1372" customWidth="1"/>
    <col min="14855" max="14855" width="13.85546875" style="1372" customWidth="1"/>
    <col min="14856" max="14856" width="6.42578125" style="1372" customWidth="1"/>
    <col min="14857" max="14857" width="14.28515625" style="1372" bestFit="1" customWidth="1"/>
    <col min="14858" max="14858" width="9.140625" style="1372"/>
    <col min="14859" max="14860" width="16" style="1372" bestFit="1" customWidth="1"/>
    <col min="14861" max="15104" width="9.140625" style="1372"/>
    <col min="15105" max="15105" width="4.7109375" style="1372" customWidth="1"/>
    <col min="15106" max="15106" width="6.140625" style="1372" customWidth="1"/>
    <col min="15107" max="15107" width="10.28515625" style="1372" customWidth="1"/>
    <col min="15108" max="15108" width="40.42578125" style="1372" customWidth="1"/>
    <col min="15109" max="15109" width="10.42578125" style="1372" customWidth="1"/>
    <col min="15110" max="15110" width="15.85546875" style="1372" customWidth="1"/>
    <col min="15111" max="15111" width="13.85546875" style="1372" customWidth="1"/>
    <col min="15112" max="15112" width="6.42578125" style="1372" customWidth="1"/>
    <col min="15113" max="15113" width="14.28515625" style="1372" bestFit="1" customWidth="1"/>
    <col min="15114" max="15114" width="9.140625" style="1372"/>
    <col min="15115" max="15116" width="16" style="1372" bestFit="1" customWidth="1"/>
    <col min="15117" max="15360" width="9.140625" style="1372"/>
    <col min="15361" max="15361" width="4.7109375" style="1372" customWidth="1"/>
    <col min="15362" max="15362" width="6.140625" style="1372" customWidth="1"/>
    <col min="15363" max="15363" width="10.28515625" style="1372" customWidth="1"/>
    <col min="15364" max="15364" width="40.42578125" style="1372" customWidth="1"/>
    <col min="15365" max="15365" width="10.42578125" style="1372" customWidth="1"/>
    <col min="15366" max="15366" width="15.85546875" style="1372" customWidth="1"/>
    <col min="15367" max="15367" width="13.85546875" style="1372" customWidth="1"/>
    <col min="15368" max="15368" width="6.42578125" style="1372" customWidth="1"/>
    <col min="15369" max="15369" width="14.28515625" style="1372" bestFit="1" customWidth="1"/>
    <col min="15370" max="15370" width="9.140625" style="1372"/>
    <col min="15371" max="15372" width="16" style="1372" bestFit="1" customWidth="1"/>
    <col min="15373" max="15616" width="9.140625" style="1372"/>
    <col min="15617" max="15617" width="4.7109375" style="1372" customWidth="1"/>
    <col min="15618" max="15618" width="6.140625" style="1372" customWidth="1"/>
    <col min="15619" max="15619" width="10.28515625" style="1372" customWidth="1"/>
    <col min="15620" max="15620" width="40.42578125" style="1372" customWidth="1"/>
    <col min="15621" max="15621" width="10.42578125" style="1372" customWidth="1"/>
    <col min="15622" max="15622" width="15.85546875" style="1372" customWidth="1"/>
    <col min="15623" max="15623" width="13.85546875" style="1372" customWidth="1"/>
    <col min="15624" max="15624" width="6.42578125" style="1372" customWidth="1"/>
    <col min="15625" max="15625" width="14.28515625" style="1372" bestFit="1" customWidth="1"/>
    <col min="15626" max="15626" width="9.140625" style="1372"/>
    <col min="15627" max="15628" width="16" style="1372" bestFit="1" customWidth="1"/>
    <col min="15629" max="15872" width="9.140625" style="1372"/>
    <col min="15873" max="15873" width="4.7109375" style="1372" customWidth="1"/>
    <col min="15874" max="15874" width="6.140625" style="1372" customWidth="1"/>
    <col min="15875" max="15875" width="10.28515625" style="1372" customWidth="1"/>
    <col min="15876" max="15876" width="40.42578125" style="1372" customWidth="1"/>
    <col min="15877" max="15877" width="10.42578125" style="1372" customWidth="1"/>
    <col min="15878" max="15878" width="15.85546875" style="1372" customWidth="1"/>
    <col min="15879" max="15879" width="13.85546875" style="1372" customWidth="1"/>
    <col min="15880" max="15880" width="6.42578125" style="1372" customWidth="1"/>
    <col min="15881" max="15881" width="14.28515625" style="1372" bestFit="1" customWidth="1"/>
    <col min="15882" max="15882" width="9.140625" style="1372"/>
    <col min="15883" max="15884" width="16" style="1372" bestFit="1" customWidth="1"/>
    <col min="15885" max="16128" width="9.140625" style="1372"/>
    <col min="16129" max="16129" width="4.7109375" style="1372" customWidth="1"/>
    <col min="16130" max="16130" width="6.140625" style="1372" customWidth="1"/>
    <col min="16131" max="16131" width="10.28515625" style="1372" customWidth="1"/>
    <col min="16132" max="16132" width="40.42578125" style="1372" customWidth="1"/>
    <col min="16133" max="16133" width="10.42578125" style="1372" customWidth="1"/>
    <col min="16134" max="16134" width="15.85546875" style="1372" customWidth="1"/>
    <col min="16135" max="16135" width="13.85546875" style="1372" customWidth="1"/>
    <col min="16136" max="16136" width="6.42578125" style="1372" customWidth="1"/>
    <col min="16137" max="16137" width="14.28515625" style="1372" bestFit="1" customWidth="1"/>
    <col min="16138" max="16138" width="9.140625" style="1372"/>
    <col min="16139" max="16140" width="16" style="1372" bestFit="1" customWidth="1"/>
    <col min="16141" max="16384" width="9.140625" style="1372"/>
  </cols>
  <sheetData>
    <row r="1" spans="1:8" ht="39" customHeight="1" thickBot="1" x14ac:dyDescent="0.25">
      <c r="A1" s="3221" t="s">
        <v>848</v>
      </c>
      <c r="B1" s="3221"/>
      <c r="C1" s="3221"/>
      <c r="D1" s="3221"/>
      <c r="E1" s="3221"/>
      <c r="F1" s="3221"/>
      <c r="G1" s="3221"/>
      <c r="H1" s="3221"/>
    </row>
    <row r="2" spans="1:8" ht="18" x14ac:dyDescent="0.25">
      <c r="A2" s="1376"/>
      <c r="B2" s="1400"/>
      <c r="C2" s="1400"/>
      <c r="D2" s="1400"/>
      <c r="E2" s="1400"/>
      <c r="F2" s="1400"/>
      <c r="G2" s="1400"/>
      <c r="H2" s="1445" t="s">
        <v>849</v>
      </c>
    </row>
    <row r="3" spans="1:8" ht="18" x14ac:dyDescent="0.25">
      <c r="A3" s="1337" t="s">
        <v>336</v>
      </c>
      <c r="B3" s="1400"/>
      <c r="C3" s="1370" t="s">
        <v>2009</v>
      </c>
      <c r="D3" s="1336"/>
      <c r="E3" s="1400"/>
      <c r="F3" s="1400"/>
      <c r="G3" s="1400"/>
      <c r="H3" s="1445"/>
    </row>
    <row r="4" spans="1:8" ht="18" x14ac:dyDescent="0.25">
      <c r="A4" s="1376"/>
      <c r="B4" s="1400"/>
      <c r="C4" s="1370" t="s">
        <v>1450</v>
      </c>
      <c r="D4" s="1254"/>
      <c r="E4" s="1400"/>
      <c r="F4" s="1400"/>
      <c r="G4" s="1400"/>
      <c r="H4" s="1445"/>
    </row>
    <row r="5" spans="1:8" ht="18" x14ac:dyDescent="0.25">
      <c r="A5" s="1375" t="s">
        <v>850</v>
      </c>
      <c r="B5" s="1400"/>
      <c r="C5" s="1400"/>
      <c r="D5" s="1400"/>
      <c r="E5" s="1400"/>
      <c r="F5" s="1400"/>
      <c r="G5" s="1400"/>
      <c r="H5" s="1445"/>
    </row>
    <row r="7" spans="1:8" ht="15.75" thickBot="1" x14ac:dyDescent="0.3">
      <c r="A7" s="1377" t="s">
        <v>229</v>
      </c>
      <c r="H7" s="1459" t="s">
        <v>148</v>
      </c>
    </row>
    <row r="8" spans="1:8" s="1292" customFormat="1" ht="25.5" thickTop="1" thickBot="1" x14ac:dyDescent="0.25">
      <c r="A8" s="1378" t="s">
        <v>149</v>
      </c>
      <c r="B8" s="1379" t="s">
        <v>688</v>
      </c>
      <c r="C8" s="1379" t="s">
        <v>345</v>
      </c>
      <c r="D8" s="1380" t="s">
        <v>151</v>
      </c>
      <c r="E8" s="1402" t="s">
        <v>569</v>
      </c>
      <c r="F8" s="1402" t="s">
        <v>570</v>
      </c>
      <c r="G8" s="1403" t="s">
        <v>797</v>
      </c>
      <c r="H8" s="1404" t="s">
        <v>798</v>
      </c>
    </row>
    <row r="9" spans="1:8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5">
        <v>5</v>
      </c>
      <c r="F9" s="1295">
        <v>6</v>
      </c>
      <c r="G9" s="1446">
        <v>7</v>
      </c>
      <c r="H9" s="1468" t="s">
        <v>54</v>
      </c>
    </row>
    <row r="10" spans="1:8" ht="45.75" hidden="1" thickTop="1" x14ac:dyDescent="0.2">
      <c r="A10" s="1463">
        <v>3299</v>
      </c>
      <c r="B10" s="1469">
        <v>5213</v>
      </c>
      <c r="C10" s="1472">
        <v>32133006</v>
      </c>
      <c r="D10" s="1424" t="s">
        <v>1129</v>
      </c>
      <c r="E10" s="1401"/>
      <c r="F10" s="1401"/>
      <c r="G10" s="1401"/>
      <c r="H10" s="1388" t="e">
        <f t="shared" ref="H10:H26" si="0">G10/F10*100</f>
        <v>#DIV/0!</v>
      </c>
    </row>
    <row r="11" spans="1:8" ht="45.75" hidden="1" thickTop="1" x14ac:dyDescent="0.2">
      <c r="A11" s="1463">
        <v>3299</v>
      </c>
      <c r="B11" s="1469">
        <v>5213</v>
      </c>
      <c r="C11" s="1472">
        <v>32533006</v>
      </c>
      <c r="D11" s="1405" t="s">
        <v>1129</v>
      </c>
      <c r="E11" s="1414"/>
      <c r="F11" s="1414"/>
      <c r="G11" s="1414"/>
      <c r="H11" s="1390" t="e">
        <f t="shared" si="0"/>
        <v>#DIV/0!</v>
      </c>
    </row>
    <row r="12" spans="1:8" ht="30.75" hidden="1" thickTop="1" x14ac:dyDescent="0.2">
      <c r="A12" s="1463">
        <v>3299</v>
      </c>
      <c r="B12" s="1469">
        <v>5221</v>
      </c>
      <c r="C12" s="1472">
        <v>32133006</v>
      </c>
      <c r="D12" s="1405" t="s">
        <v>1183</v>
      </c>
      <c r="E12" s="1414"/>
      <c r="F12" s="1414"/>
      <c r="G12" s="1414"/>
      <c r="H12" s="1390" t="e">
        <f t="shared" si="0"/>
        <v>#DIV/0!</v>
      </c>
    </row>
    <row r="13" spans="1:8" ht="30.75" hidden="1" thickTop="1" x14ac:dyDescent="0.2">
      <c r="A13" s="1463">
        <v>3299</v>
      </c>
      <c r="B13" s="1469">
        <v>5221</v>
      </c>
      <c r="C13" s="1472">
        <v>32533006</v>
      </c>
      <c r="D13" s="1405" t="s">
        <v>1183</v>
      </c>
      <c r="E13" s="1414"/>
      <c r="F13" s="1414"/>
      <c r="G13" s="1414"/>
      <c r="H13" s="1390" t="e">
        <f t="shared" si="0"/>
        <v>#DIV/0!</v>
      </c>
    </row>
    <row r="14" spans="1:8" ht="30.75" hidden="1" thickTop="1" x14ac:dyDescent="0.2">
      <c r="A14" s="1463">
        <v>3299</v>
      </c>
      <c r="B14" s="1469">
        <v>5222</v>
      </c>
      <c r="C14" s="1472">
        <v>32133006</v>
      </c>
      <c r="D14" s="1405" t="s">
        <v>202</v>
      </c>
      <c r="E14" s="1414"/>
      <c r="F14" s="1414"/>
      <c r="G14" s="1414"/>
      <c r="H14" s="1390" t="e">
        <f t="shared" si="0"/>
        <v>#DIV/0!</v>
      </c>
    </row>
    <row r="15" spans="1:8" ht="30.75" hidden="1" thickTop="1" x14ac:dyDescent="0.2">
      <c r="A15" s="1463">
        <v>3299</v>
      </c>
      <c r="B15" s="1469">
        <v>5222</v>
      </c>
      <c r="C15" s="1472">
        <v>32533006</v>
      </c>
      <c r="D15" s="1405" t="s">
        <v>202</v>
      </c>
      <c r="E15" s="1414"/>
      <c r="F15" s="1414"/>
      <c r="G15" s="1414"/>
      <c r="H15" s="1390" t="e">
        <f t="shared" si="0"/>
        <v>#DIV/0!</v>
      </c>
    </row>
    <row r="16" spans="1:8" ht="15.75" hidden="1" thickTop="1" x14ac:dyDescent="0.2">
      <c r="A16" s="1463">
        <v>3299</v>
      </c>
      <c r="B16" s="1469">
        <v>5901</v>
      </c>
      <c r="C16" s="1472">
        <v>32133006</v>
      </c>
      <c r="D16" s="1405" t="s">
        <v>547</v>
      </c>
      <c r="E16" s="1414"/>
      <c r="F16" s="1414"/>
      <c r="G16" s="1414"/>
      <c r="H16" s="1390" t="e">
        <f t="shared" si="0"/>
        <v>#DIV/0!</v>
      </c>
    </row>
    <row r="17" spans="1:9" ht="15.75" hidden="1" thickTop="1" x14ac:dyDescent="0.2">
      <c r="A17" s="1463">
        <v>3299</v>
      </c>
      <c r="B17" s="1469">
        <v>5901</v>
      </c>
      <c r="C17" s="1472">
        <v>32533006</v>
      </c>
      <c r="D17" s="1405" t="s">
        <v>547</v>
      </c>
      <c r="E17" s="1414"/>
      <c r="F17" s="1414"/>
      <c r="G17" s="1414"/>
      <c r="H17" s="1390" t="e">
        <f t="shared" si="0"/>
        <v>#DIV/0!</v>
      </c>
    </row>
    <row r="18" spans="1:9" ht="45.75" hidden="1" thickTop="1" x14ac:dyDescent="0.2">
      <c r="A18" s="1463">
        <v>3299</v>
      </c>
      <c r="B18" s="1469">
        <v>5901</v>
      </c>
      <c r="C18" s="1472">
        <v>32133006</v>
      </c>
      <c r="D18" s="1405" t="s">
        <v>79</v>
      </c>
      <c r="E18" s="1414"/>
      <c r="F18" s="1414"/>
      <c r="G18" s="1414"/>
      <c r="H18" s="1390" t="e">
        <f t="shared" si="0"/>
        <v>#DIV/0!</v>
      </c>
    </row>
    <row r="19" spans="1:9" ht="45.75" hidden="1" thickTop="1" x14ac:dyDescent="0.2">
      <c r="A19" s="1463">
        <v>3299</v>
      </c>
      <c r="B19" s="1469">
        <v>5901</v>
      </c>
      <c r="C19" s="1472">
        <v>32533006</v>
      </c>
      <c r="D19" s="1405" t="s">
        <v>79</v>
      </c>
      <c r="E19" s="1414"/>
      <c r="F19" s="1414"/>
      <c r="G19" s="1414"/>
      <c r="H19" s="1390" t="e">
        <f t="shared" si="0"/>
        <v>#DIV/0!</v>
      </c>
    </row>
    <row r="20" spans="1:9" ht="30.75" hidden="1" thickTop="1" x14ac:dyDescent="0.2">
      <c r="A20" s="1463">
        <v>3299</v>
      </c>
      <c r="B20" s="1469">
        <v>5901</v>
      </c>
      <c r="C20" s="1472">
        <v>32133006</v>
      </c>
      <c r="D20" s="1405" t="s">
        <v>1027</v>
      </c>
      <c r="E20" s="1414"/>
      <c r="F20" s="1414"/>
      <c r="G20" s="1414"/>
      <c r="H20" s="1390" t="e">
        <f t="shared" si="0"/>
        <v>#DIV/0!</v>
      </c>
    </row>
    <row r="21" spans="1:9" ht="30.75" hidden="1" thickTop="1" x14ac:dyDescent="0.2">
      <c r="A21" s="1463">
        <v>3299</v>
      </c>
      <c r="B21" s="1469">
        <v>5901</v>
      </c>
      <c r="C21" s="1472">
        <v>32533006</v>
      </c>
      <c r="D21" s="1405" t="s">
        <v>1027</v>
      </c>
      <c r="E21" s="1414"/>
      <c r="F21" s="1414"/>
      <c r="G21" s="1414"/>
      <c r="H21" s="1390" t="e">
        <f t="shared" si="0"/>
        <v>#DIV/0!</v>
      </c>
    </row>
    <row r="22" spans="1:9" ht="15.75" hidden="1" thickTop="1" x14ac:dyDescent="0.2">
      <c r="A22" s="1463">
        <v>3299</v>
      </c>
      <c r="B22" s="1469">
        <v>5909</v>
      </c>
      <c r="C22" s="1472">
        <v>0</v>
      </c>
      <c r="D22" s="1405" t="s">
        <v>588</v>
      </c>
      <c r="E22" s="1414"/>
      <c r="F22" s="1414"/>
      <c r="G22" s="1414"/>
      <c r="H22" s="1390" t="e">
        <f t="shared" si="0"/>
        <v>#DIV/0!</v>
      </c>
    </row>
    <row r="23" spans="1:9" ht="15.75" hidden="1" thickTop="1" x14ac:dyDescent="0.2">
      <c r="A23" s="1463">
        <v>3299</v>
      </c>
      <c r="B23" s="1469">
        <v>6901</v>
      </c>
      <c r="C23" s="1472">
        <v>32133006</v>
      </c>
      <c r="D23" s="1405" t="s">
        <v>391</v>
      </c>
      <c r="E23" s="1414"/>
      <c r="F23" s="1414"/>
      <c r="G23" s="1414"/>
      <c r="H23" s="1390" t="e">
        <f t="shared" si="0"/>
        <v>#DIV/0!</v>
      </c>
    </row>
    <row r="24" spans="1:9" ht="15.75" hidden="1" thickTop="1" x14ac:dyDescent="0.2">
      <c r="A24" s="1463">
        <v>3299</v>
      </c>
      <c r="B24" s="1469">
        <v>6901</v>
      </c>
      <c r="C24" s="1472">
        <v>32533006</v>
      </c>
      <c r="D24" s="1405" t="s">
        <v>391</v>
      </c>
      <c r="E24" s="1414"/>
      <c r="F24" s="1414"/>
      <c r="G24" s="1414"/>
      <c r="H24" s="1390" t="e">
        <f t="shared" si="0"/>
        <v>#DIV/0!</v>
      </c>
    </row>
    <row r="25" spans="1:9" ht="31.5" thickTop="1" thickBot="1" x14ac:dyDescent="0.25">
      <c r="A25" s="1463">
        <v>6402</v>
      </c>
      <c r="B25" s="1469">
        <v>5364</v>
      </c>
      <c r="C25" s="2832" t="s">
        <v>1786</v>
      </c>
      <c r="D25" s="1405" t="s">
        <v>2041</v>
      </c>
      <c r="E25" s="1414">
        <v>0</v>
      </c>
      <c r="F25" s="1414">
        <v>6952</v>
      </c>
      <c r="G25" s="1414">
        <v>6941</v>
      </c>
      <c r="H25" s="1396">
        <f t="shared" si="0"/>
        <v>99.841772151898738</v>
      </c>
    </row>
    <row r="26" spans="1:9" s="1397" customFormat="1" ht="16.5" thickTop="1" thickBot="1" x14ac:dyDescent="0.3">
      <c r="A26" s="3219" t="s">
        <v>690</v>
      </c>
      <c r="B26" s="3220"/>
      <c r="C26" s="3220"/>
      <c r="D26" s="3220"/>
      <c r="E26" s="1387">
        <f>SUM(E10:E24)</f>
        <v>0</v>
      </c>
      <c r="F26" s="1387">
        <f>SUM(F10:F25)</f>
        <v>6952</v>
      </c>
      <c r="G26" s="1387">
        <f>SUM(G10:G25)</f>
        <v>6941</v>
      </c>
      <c r="H26" s="1396">
        <f t="shared" si="0"/>
        <v>99.841772151898738</v>
      </c>
      <c r="I26" s="1476"/>
    </row>
    <row r="27" spans="1:9" ht="13.5" thickTop="1" x14ac:dyDescent="0.2">
      <c r="I27" s="1398"/>
    </row>
    <row r="28" spans="1:9" ht="15" hidden="1" x14ac:dyDescent="0.25">
      <c r="A28" s="1377" t="s">
        <v>1424</v>
      </c>
      <c r="D28" s="1371"/>
      <c r="E28" s="1372"/>
      <c r="H28" s="1398"/>
      <c r="I28" s="1398"/>
    </row>
    <row r="29" spans="1:9" ht="15" hidden="1" x14ac:dyDescent="0.25">
      <c r="A29" s="1377" t="s">
        <v>892</v>
      </c>
      <c r="D29" s="1371"/>
      <c r="E29" s="1372"/>
      <c r="H29" s="1459" t="s">
        <v>148</v>
      </c>
      <c r="I29" s="1398"/>
    </row>
    <row r="30" spans="1:9" ht="25.5" hidden="1" thickTop="1" thickBot="1" x14ac:dyDescent="0.25">
      <c r="A30" s="1378" t="s">
        <v>149</v>
      </c>
      <c r="B30" s="1379" t="s">
        <v>688</v>
      </c>
      <c r="C30" s="1379" t="s">
        <v>345</v>
      </c>
      <c r="D30" s="1380" t="s">
        <v>151</v>
      </c>
      <c r="E30" s="1402" t="s">
        <v>569</v>
      </c>
      <c r="F30" s="1402" t="s">
        <v>570</v>
      </c>
      <c r="G30" s="1403" t="s">
        <v>797</v>
      </c>
      <c r="H30" s="1404" t="s">
        <v>798</v>
      </c>
      <c r="I30" s="1398"/>
    </row>
    <row r="31" spans="1:9" ht="14.25" hidden="1" thickTop="1" thickBot="1" x14ac:dyDescent="0.25">
      <c r="A31" s="1297">
        <v>1</v>
      </c>
      <c r="B31" s="1296">
        <v>2</v>
      </c>
      <c r="C31" s="1296">
        <v>3</v>
      </c>
      <c r="D31" s="1296">
        <v>5</v>
      </c>
      <c r="E31" s="1295">
        <v>6</v>
      </c>
      <c r="F31" s="1295">
        <v>7</v>
      </c>
      <c r="G31" s="1446">
        <v>8</v>
      </c>
      <c r="H31" s="1383" t="s">
        <v>689</v>
      </c>
      <c r="I31" s="1398"/>
    </row>
    <row r="32" spans="1:9" ht="30.75" hidden="1" thickTop="1" x14ac:dyDescent="0.2">
      <c r="A32" s="1463">
        <v>3299</v>
      </c>
      <c r="B32" s="1469">
        <v>5336</v>
      </c>
      <c r="C32" s="1469">
        <v>32133006</v>
      </c>
      <c r="D32" s="1405" t="s">
        <v>1131</v>
      </c>
      <c r="E32" s="1401">
        <v>0</v>
      </c>
      <c r="F32" s="1401"/>
      <c r="G32" s="1456"/>
      <c r="H32" s="1388" t="e">
        <f>G32/F32*100</f>
        <v>#DIV/0!</v>
      </c>
      <c r="I32" s="1398"/>
    </row>
    <row r="33" spans="1:9" ht="30" hidden="1" x14ac:dyDescent="0.2">
      <c r="A33" s="1463">
        <v>3299</v>
      </c>
      <c r="B33" s="1469">
        <v>5336</v>
      </c>
      <c r="C33" s="1469">
        <v>32533006</v>
      </c>
      <c r="D33" s="1405" t="s">
        <v>1131</v>
      </c>
      <c r="E33" s="1414">
        <v>0</v>
      </c>
      <c r="F33" s="1414"/>
      <c r="G33" s="1453"/>
      <c r="H33" s="1390" t="e">
        <f>G33/F33*100</f>
        <v>#DIV/0!</v>
      </c>
      <c r="I33" s="1398"/>
    </row>
    <row r="34" spans="1:9" ht="30" hidden="1" x14ac:dyDescent="0.2">
      <c r="A34" s="1463">
        <v>3299</v>
      </c>
      <c r="B34" s="1469">
        <v>6351</v>
      </c>
      <c r="C34" s="1469">
        <v>32133006</v>
      </c>
      <c r="D34" s="1405" t="s">
        <v>1145</v>
      </c>
      <c r="E34" s="1414">
        <v>0</v>
      </c>
      <c r="F34" s="1414">
        <v>0</v>
      </c>
      <c r="G34" s="1453">
        <v>0</v>
      </c>
      <c r="H34" s="1390" t="e">
        <f>G34/F34*100</f>
        <v>#DIV/0!</v>
      </c>
      <c r="I34" s="1398"/>
    </row>
    <row r="35" spans="1:9" ht="30" hidden="1" x14ac:dyDescent="0.2">
      <c r="A35" s="1463">
        <v>3299</v>
      </c>
      <c r="B35" s="1469">
        <v>6351</v>
      </c>
      <c r="C35" s="1469">
        <v>32533006</v>
      </c>
      <c r="D35" s="1405" t="s">
        <v>1145</v>
      </c>
      <c r="E35" s="1414">
        <v>0</v>
      </c>
      <c r="F35" s="1414">
        <v>0</v>
      </c>
      <c r="G35" s="1453">
        <v>0</v>
      </c>
      <c r="H35" s="1390" t="e">
        <f>G35/F35*100</f>
        <v>#DIV/0!</v>
      </c>
      <c r="I35" s="1398"/>
    </row>
    <row r="36" spans="1:9" ht="16.5" hidden="1" thickTop="1" thickBot="1" x14ac:dyDescent="0.3">
      <c r="A36" s="1406" t="s">
        <v>690</v>
      </c>
      <c r="B36" s="1407"/>
      <c r="C36" s="1407"/>
      <c r="D36" s="1408"/>
      <c r="E36" s="1387">
        <f>SUM(E32:E35)</f>
        <v>0</v>
      </c>
      <c r="F36" s="1387">
        <f>SUM(F32:F35)</f>
        <v>0</v>
      </c>
      <c r="G36" s="1387">
        <f>SUM(G32:G35)</f>
        <v>0</v>
      </c>
      <c r="H36" s="1391" t="e">
        <f>G36/F36*100</f>
        <v>#DIV/0!</v>
      </c>
      <c r="I36" s="1398"/>
    </row>
    <row r="37" spans="1:9" hidden="1" x14ac:dyDescent="0.2">
      <c r="I37" s="1398"/>
    </row>
    <row r="38" spans="1:9" ht="15" hidden="1" x14ac:dyDescent="0.25">
      <c r="A38" s="1377" t="s">
        <v>1014</v>
      </c>
      <c r="D38" s="1371"/>
      <c r="E38" s="1372"/>
      <c r="H38" s="1398"/>
      <c r="I38" s="1398"/>
    </row>
    <row r="39" spans="1:9" ht="15" hidden="1" x14ac:dyDescent="0.25">
      <c r="A39" s="1377" t="s">
        <v>893</v>
      </c>
      <c r="D39" s="1371"/>
      <c r="E39" s="1372"/>
      <c r="H39" s="1459" t="s">
        <v>148</v>
      </c>
      <c r="I39" s="1398"/>
    </row>
    <row r="40" spans="1:9" ht="25.5" hidden="1" thickTop="1" thickBot="1" x14ac:dyDescent="0.25">
      <c r="A40" s="1378" t="s">
        <v>149</v>
      </c>
      <c r="B40" s="1379" t="s">
        <v>688</v>
      </c>
      <c r="C40" s="1379" t="s">
        <v>345</v>
      </c>
      <c r="D40" s="1380" t="s">
        <v>151</v>
      </c>
      <c r="E40" s="1402" t="s">
        <v>569</v>
      </c>
      <c r="F40" s="1402" t="s">
        <v>570</v>
      </c>
      <c r="G40" s="1403" t="s">
        <v>797</v>
      </c>
      <c r="H40" s="1404" t="s">
        <v>798</v>
      </c>
      <c r="I40" s="1398"/>
    </row>
    <row r="41" spans="1:9" ht="14.25" hidden="1" thickTop="1" thickBot="1" x14ac:dyDescent="0.25">
      <c r="A41" s="1297">
        <v>1</v>
      </c>
      <c r="B41" s="1296">
        <v>2</v>
      </c>
      <c r="C41" s="1296">
        <v>3</v>
      </c>
      <c r="D41" s="1296">
        <v>5</v>
      </c>
      <c r="E41" s="1295">
        <v>6</v>
      </c>
      <c r="F41" s="1295">
        <v>7</v>
      </c>
      <c r="G41" s="1446">
        <v>8</v>
      </c>
      <c r="H41" s="1383" t="s">
        <v>689</v>
      </c>
      <c r="I41" s="1398"/>
    </row>
    <row r="42" spans="1:9" ht="30.75" hidden="1" thickTop="1" x14ac:dyDescent="0.2">
      <c r="A42" s="1463">
        <v>3299</v>
      </c>
      <c r="B42" s="1489">
        <v>5336</v>
      </c>
      <c r="C42" s="1469">
        <v>32133006</v>
      </c>
      <c r="D42" s="1405" t="s">
        <v>1131</v>
      </c>
      <c r="E42" s="1401">
        <v>0</v>
      </c>
      <c r="F42" s="1401"/>
      <c r="G42" s="1456"/>
      <c r="H42" s="1388" t="e">
        <f>G42/F42*100</f>
        <v>#DIV/0!</v>
      </c>
      <c r="I42" s="1398"/>
    </row>
    <row r="43" spans="1:9" ht="30" hidden="1" x14ac:dyDescent="0.2">
      <c r="A43" s="1463">
        <v>3299</v>
      </c>
      <c r="B43" s="1489">
        <v>5336</v>
      </c>
      <c r="C43" s="1469">
        <v>32533006</v>
      </c>
      <c r="D43" s="1405" t="s">
        <v>1131</v>
      </c>
      <c r="E43" s="1414">
        <v>0</v>
      </c>
      <c r="F43" s="1414"/>
      <c r="G43" s="1453"/>
      <c r="H43" s="1390" t="e">
        <f>G43/F43*100</f>
        <v>#DIV/0!</v>
      </c>
      <c r="I43" s="1398"/>
    </row>
    <row r="44" spans="1:9" ht="16.5" hidden="1" thickTop="1" thickBot="1" x14ac:dyDescent="0.3">
      <c r="A44" s="1406" t="s">
        <v>690</v>
      </c>
      <c r="B44" s="1407"/>
      <c r="C44" s="1407"/>
      <c r="D44" s="1408"/>
      <c r="E44" s="1387">
        <f>SUM(E42:E43)</f>
        <v>0</v>
      </c>
      <c r="F44" s="1387">
        <f>SUM(F42:F43)</f>
        <v>0</v>
      </c>
      <c r="G44" s="1387">
        <f>SUM(G42:G43)</f>
        <v>0</v>
      </c>
      <c r="H44" s="1391" t="e">
        <f>G44/F44*100</f>
        <v>#DIV/0!</v>
      </c>
      <c r="I44" s="1398"/>
    </row>
    <row r="45" spans="1:9" hidden="1" x14ac:dyDescent="0.2">
      <c r="I45" s="1398"/>
    </row>
    <row r="46" spans="1:9" hidden="1" x14ac:dyDescent="0.2">
      <c r="I46" s="1398"/>
    </row>
    <row r="47" spans="1:9" hidden="1" x14ac:dyDescent="0.2">
      <c r="I47" s="1398"/>
    </row>
    <row r="48" spans="1:9" hidden="1" x14ac:dyDescent="0.2">
      <c r="I48" s="1398"/>
    </row>
    <row r="49" spans="1:9" hidden="1" x14ac:dyDescent="0.2">
      <c r="I49" s="1398"/>
    </row>
    <row r="50" spans="1:9" hidden="1" x14ac:dyDescent="0.2">
      <c r="I50" s="1398"/>
    </row>
    <row r="51" spans="1:9" hidden="1" x14ac:dyDescent="0.2">
      <c r="I51" s="1398"/>
    </row>
    <row r="52" spans="1:9" hidden="1" x14ac:dyDescent="0.2">
      <c r="I52" s="1398"/>
    </row>
    <row r="53" spans="1:9" ht="15" hidden="1" x14ac:dyDescent="0.25">
      <c r="A53" s="1377" t="s">
        <v>1425</v>
      </c>
      <c r="D53" s="1371"/>
      <c r="E53" s="1372"/>
      <c r="H53" s="1398"/>
      <c r="I53" s="1398"/>
    </row>
    <row r="54" spans="1:9" ht="15" hidden="1" x14ac:dyDescent="0.25">
      <c r="A54" s="1377" t="s">
        <v>1229</v>
      </c>
      <c r="D54" s="1371"/>
      <c r="E54" s="1372"/>
      <c r="H54" s="1459" t="s">
        <v>148</v>
      </c>
      <c r="I54" s="1398"/>
    </row>
    <row r="55" spans="1:9" ht="25.5" hidden="1" thickTop="1" thickBot="1" x14ac:dyDescent="0.25">
      <c r="A55" s="1378" t="s">
        <v>149</v>
      </c>
      <c r="B55" s="1379" t="s">
        <v>688</v>
      </c>
      <c r="C55" s="1379" t="s">
        <v>345</v>
      </c>
      <c r="D55" s="1380" t="s">
        <v>151</v>
      </c>
      <c r="E55" s="1402" t="s">
        <v>569</v>
      </c>
      <c r="F55" s="1402" t="s">
        <v>570</v>
      </c>
      <c r="G55" s="1403" t="s">
        <v>797</v>
      </c>
      <c r="H55" s="1404" t="s">
        <v>798</v>
      </c>
      <c r="I55" s="1398"/>
    </row>
    <row r="56" spans="1:9" ht="14.25" hidden="1" thickTop="1" thickBot="1" x14ac:dyDescent="0.25">
      <c r="A56" s="1297">
        <v>1</v>
      </c>
      <c r="B56" s="1296">
        <v>2</v>
      </c>
      <c r="C56" s="1296">
        <v>3</v>
      </c>
      <c r="D56" s="1296">
        <v>5</v>
      </c>
      <c r="E56" s="1295">
        <v>6</v>
      </c>
      <c r="F56" s="1295">
        <v>7</v>
      </c>
      <c r="G56" s="1446">
        <v>8</v>
      </c>
      <c r="H56" s="1383" t="s">
        <v>689</v>
      </c>
      <c r="I56" s="1398"/>
    </row>
    <row r="57" spans="1:9" ht="30.75" hidden="1" thickTop="1" x14ac:dyDescent="0.2">
      <c r="A57" s="1463">
        <v>3299</v>
      </c>
      <c r="B57" s="1489">
        <v>5336</v>
      </c>
      <c r="C57" s="1469">
        <v>32133006</v>
      </c>
      <c r="D57" s="1405" t="s">
        <v>1131</v>
      </c>
      <c r="E57" s="1401">
        <v>0</v>
      </c>
      <c r="F57" s="1401"/>
      <c r="G57" s="1456"/>
      <c r="H57" s="1388" t="e">
        <f>G57/F57*100</f>
        <v>#DIV/0!</v>
      </c>
      <c r="I57" s="1398"/>
    </row>
    <row r="58" spans="1:9" ht="30" hidden="1" x14ac:dyDescent="0.2">
      <c r="A58" s="1463">
        <v>3299</v>
      </c>
      <c r="B58" s="1489">
        <v>5336</v>
      </c>
      <c r="C58" s="1469">
        <v>32533006</v>
      </c>
      <c r="D58" s="1405" t="s">
        <v>1131</v>
      </c>
      <c r="E58" s="1414">
        <v>0</v>
      </c>
      <c r="F58" s="1414"/>
      <c r="G58" s="1453"/>
      <c r="H58" s="1390" t="e">
        <f>G58/F58*100</f>
        <v>#DIV/0!</v>
      </c>
      <c r="I58" s="1398"/>
    </row>
    <row r="59" spans="1:9" ht="16.5" hidden="1" thickTop="1" thickBot="1" x14ac:dyDescent="0.3">
      <c r="A59" s="1406" t="s">
        <v>690</v>
      </c>
      <c r="B59" s="1407"/>
      <c r="C59" s="1407"/>
      <c r="D59" s="1408"/>
      <c r="E59" s="1387">
        <f>SUM(E57:E58)</f>
        <v>0</v>
      </c>
      <c r="F59" s="1387">
        <f>SUM(F57:F58)</f>
        <v>0</v>
      </c>
      <c r="G59" s="1387">
        <f>SUM(G57:G58)</f>
        <v>0</v>
      </c>
      <c r="H59" s="1391" t="e">
        <f>G59/F59*100</f>
        <v>#DIV/0!</v>
      </c>
      <c r="I59" s="1398"/>
    </row>
    <row r="60" spans="1:9" ht="11.25" hidden="1" customHeight="1" thickTop="1" x14ac:dyDescent="0.2">
      <c r="I60" s="1398"/>
    </row>
    <row r="61" spans="1:9" ht="15" hidden="1" x14ac:dyDescent="0.25">
      <c r="A61" s="1377" t="s">
        <v>48</v>
      </c>
      <c r="D61" s="1371"/>
      <c r="E61" s="1372"/>
      <c r="H61" s="1398"/>
      <c r="I61" s="1398"/>
    </row>
    <row r="62" spans="1:9" ht="15" hidden="1" x14ac:dyDescent="0.25">
      <c r="A62" s="1377" t="s">
        <v>894</v>
      </c>
      <c r="D62" s="1371"/>
      <c r="E62" s="1372"/>
      <c r="H62" s="1459" t="s">
        <v>148</v>
      </c>
      <c r="I62" s="1398"/>
    </row>
    <row r="63" spans="1:9" ht="25.5" hidden="1" thickTop="1" thickBot="1" x14ac:dyDescent="0.25">
      <c r="A63" s="1378" t="s">
        <v>149</v>
      </c>
      <c r="B63" s="1379" t="s">
        <v>688</v>
      </c>
      <c r="C63" s="1379" t="s">
        <v>345</v>
      </c>
      <c r="D63" s="1380" t="s">
        <v>151</v>
      </c>
      <c r="E63" s="1402" t="s">
        <v>569</v>
      </c>
      <c r="F63" s="1402" t="s">
        <v>570</v>
      </c>
      <c r="G63" s="1403" t="s">
        <v>797</v>
      </c>
      <c r="H63" s="1404" t="s">
        <v>798</v>
      </c>
      <c r="I63" s="1398"/>
    </row>
    <row r="64" spans="1:9" ht="14.25" hidden="1" thickTop="1" thickBot="1" x14ac:dyDescent="0.25">
      <c r="A64" s="1297">
        <v>1</v>
      </c>
      <c r="B64" s="1296">
        <v>2</v>
      </c>
      <c r="C64" s="1296">
        <v>3</v>
      </c>
      <c r="D64" s="1296">
        <v>5</v>
      </c>
      <c r="E64" s="1295">
        <v>6</v>
      </c>
      <c r="F64" s="1295">
        <v>7</v>
      </c>
      <c r="G64" s="1446">
        <v>8</v>
      </c>
      <c r="H64" s="1383" t="s">
        <v>689</v>
      </c>
      <c r="I64" s="1398"/>
    </row>
    <row r="65" spans="1:9" ht="30.75" hidden="1" thickTop="1" x14ac:dyDescent="0.2">
      <c r="A65" s="1463">
        <v>3299</v>
      </c>
      <c r="B65" s="1489">
        <v>5336</v>
      </c>
      <c r="C65" s="1469">
        <v>32133006</v>
      </c>
      <c r="D65" s="1405" t="s">
        <v>1131</v>
      </c>
      <c r="E65" s="1401">
        <v>0</v>
      </c>
      <c r="F65" s="1401">
        <v>58</v>
      </c>
      <c r="G65" s="1456">
        <v>58</v>
      </c>
      <c r="H65" s="1388">
        <f>G65/F65*100</f>
        <v>100</v>
      </c>
      <c r="I65" s="1398"/>
    </row>
    <row r="66" spans="1:9" ht="30" hidden="1" x14ac:dyDescent="0.2">
      <c r="A66" s="1463">
        <v>3299</v>
      </c>
      <c r="B66" s="1489">
        <v>5336</v>
      </c>
      <c r="C66" s="1469">
        <v>32533006</v>
      </c>
      <c r="D66" s="1405" t="s">
        <v>1131</v>
      </c>
      <c r="E66" s="1414">
        <v>0</v>
      </c>
      <c r="F66" s="1414">
        <v>327</v>
      </c>
      <c r="G66" s="1453">
        <v>327</v>
      </c>
      <c r="H66" s="1390">
        <f>G66/F66*100</f>
        <v>100</v>
      </c>
      <c r="I66" s="1398"/>
    </row>
    <row r="67" spans="1:9" ht="30" hidden="1" x14ac:dyDescent="0.2">
      <c r="A67" s="1463">
        <v>3299</v>
      </c>
      <c r="B67" s="1489">
        <v>6351</v>
      </c>
      <c r="C67" s="1469">
        <v>32133006</v>
      </c>
      <c r="D67" s="1485" t="s">
        <v>1145</v>
      </c>
      <c r="E67" s="1414">
        <v>0</v>
      </c>
      <c r="F67" s="1414">
        <v>12</v>
      </c>
      <c r="G67" s="1453">
        <v>12</v>
      </c>
      <c r="H67" s="1390">
        <f>G67/F67*100</f>
        <v>100</v>
      </c>
      <c r="I67" s="1398"/>
    </row>
    <row r="68" spans="1:9" ht="30" hidden="1" x14ac:dyDescent="0.2">
      <c r="A68" s="1463">
        <v>3299</v>
      </c>
      <c r="B68" s="1489">
        <v>6351</v>
      </c>
      <c r="C68" s="1469">
        <v>32533006</v>
      </c>
      <c r="D68" s="1485" t="s">
        <v>1145</v>
      </c>
      <c r="E68" s="1414">
        <v>0</v>
      </c>
      <c r="F68" s="1414">
        <v>66</v>
      </c>
      <c r="G68" s="1453">
        <v>66</v>
      </c>
      <c r="H68" s="1390">
        <f>G68/F68*100</f>
        <v>100</v>
      </c>
      <c r="I68" s="1398"/>
    </row>
    <row r="69" spans="1:9" ht="16.5" hidden="1" thickTop="1" thickBot="1" x14ac:dyDescent="0.3">
      <c r="A69" s="1406" t="s">
        <v>690</v>
      </c>
      <c r="B69" s="1407"/>
      <c r="C69" s="1407"/>
      <c r="D69" s="1408"/>
      <c r="E69" s="1387">
        <f>SUM(E65:E66)</f>
        <v>0</v>
      </c>
      <c r="F69" s="1387">
        <f>SUM(F65:F68)</f>
        <v>463</v>
      </c>
      <c r="G69" s="1387">
        <f>SUM(G65:G68)</f>
        <v>463</v>
      </c>
      <c r="H69" s="1391">
        <f>G69/F69*100</f>
        <v>100</v>
      </c>
      <c r="I69" s="1398"/>
    </row>
    <row r="70" spans="1:9" ht="7.5" hidden="1" customHeight="1" thickTop="1" x14ac:dyDescent="0.2">
      <c r="I70" s="1398"/>
    </row>
    <row r="71" spans="1:9" ht="15" hidden="1" x14ac:dyDescent="0.25">
      <c r="A71" s="1377" t="s">
        <v>1426</v>
      </c>
      <c r="D71" s="1371"/>
      <c r="E71" s="1372"/>
      <c r="H71" s="1398"/>
      <c r="I71" s="1398"/>
    </row>
    <row r="72" spans="1:9" ht="15" hidden="1" x14ac:dyDescent="0.25">
      <c r="A72" s="1377" t="s">
        <v>895</v>
      </c>
      <c r="D72" s="1371"/>
      <c r="E72" s="1372"/>
      <c r="H72" s="1459" t="s">
        <v>148</v>
      </c>
      <c r="I72" s="1398"/>
    </row>
    <row r="73" spans="1:9" ht="25.5" hidden="1" thickTop="1" thickBot="1" x14ac:dyDescent="0.25">
      <c r="A73" s="1378" t="s">
        <v>149</v>
      </c>
      <c r="B73" s="1379" t="s">
        <v>688</v>
      </c>
      <c r="C73" s="1379" t="s">
        <v>345</v>
      </c>
      <c r="D73" s="1380" t="s">
        <v>151</v>
      </c>
      <c r="E73" s="1402" t="s">
        <v>569</v>
      </c>
      <c r="F73" s="1402" t="s">
        <v>570</v>
      </c>
      <c r="G73" s="1403" t="s">
        <v>797</v>
      </c>
      <c r="H73" s="1404" t="s">
        <v>798</v>
      </c>
      <c r="I73" s="1398"/>
    </row>
    <row r="74" spans="1:9" ht="14.25" hidden="1" thickTop="1" thickBot="1" x14ac:dyDescent="0.25">
      <c r="A74" s="1297">
        <v>1</v>
      </c>
      <c r="B74" s="1296">
        <v>2</v>
      </c>
      <c r="C74" s="1296">
        <v>3</v>
      </c>
      <c r="D74" s="1296">
        <v>5</v>
      </c>
      <c r="E74" s="1295">
        <v>6</v>
      </c>
      <c r="F74" s="1295">
        <v>7</v>
      </c>
      <c r="G74" s="1446">
        <v>8</v>
      </c>
      <c r="H74" s="1383" t="s">
        <v>689</v>
      </c>
      <c r="I74" s="1398"/>
    </row>
    <row r="75" spans="1:9" ht="30.75" hidden="1" thickTop="1" x14ac:dyDescent="0.2">
      <c r="A75" s="1463">
        <v>3299</v>
      </c>
      <c r="B75" s="1489">
        <v>5336</v>
      </c>
      <c r="C75" s="1469">
        <v>32133006</v>
      </c>
      <c r="D75" s="1405" t="s">
        <v>1131</v>
      </c>
      <c r="E75" s="1401">
        <v>0</v>
      </c>
      <c r="F75" s="1401"/>
      <c r="G75" s="1456"/>
      <c r="H75" s="1388" t="e">
        <f>G75/F75*100</f>
        <v>#DIV/0!</v>
      </c>
      <c r="I75" s="1398"/>
    </row>
    <row r="76" spans="1:9" ht="30" hidden="1" x14ac:dyDescent="0.2">
      <c r="A76" s="1463">
        <v>3299</v>
      </c>
      <c r="B76" s="1489">
        <v>5336</v>
      </c>
      <c r="C76" s="1469">
        <v>32533006</v>
      </c>
      <c r="D76" s="1405" t="s">
        <v>1131</v>
      </c>
      <c r="E76" s="1414">
        <v>0</v>
      </c>
      <c r="F76" s="1414"/>
      <c r="G76" s="1453"/>
      <c r="H76" s="1390" t="e">
        <f>G76/F76*100</f>
        <v>#DIV/0!</v>
      </c>
      <c r="I76" s="1398"/>
    </row>
    <row r="77" spans="1:9" ht="16.5" hidden="1" thickTop="1" thickBot="1" x14ac:dyDescent="0.3">
      <c r="A77" s="1406" t="s">
        <v>690</v>
      </c>
      <c r="B77" s="1407"/>
      <c r="C77" s="1407"/>
      <c r="D77" s="1408"/>
      <c r="E77" s="1387">
        <f>SUM(E75:E76)</f>
        <v>0</v>
      </c>
      <c r="F77" s="1387">
        <f>SUM(F75:F76)</f>
        <v>0</v>
      </c>
      <c r="G77" s="1387">
        <f>SUM(G75:G76)</f>
        <v>0</v>
      </c>
      <c r="H77" s="1391" t="e">
        <f>G77/F77*100</f>
        <v>#DIV/0!</v>
      </c>
      <c r="I77" s="1398"/>
    </row>
    <row r="78" spans="1:9" hidden="1" x14ac:dyDescent="0.2">
      <c r="I78" s="1398"/>
    </row>
    <row r="79" spans="1:9" ht="15" hidden="1" x14ac:dyDescent="0.25">
      <c r="A79" s="1377" t="s">
        <v>309</v>
      </c>
      <c r="D79" s="1371"/>
      <c r="E79" s="1372"/>
      <c r="H79" s="1398"/>
      <c r="I79" s="1398"/>
    </row>
    <row r="80" spans="1:9" ht="15" hidden="1" x14ac:dyDescent="0.25">
      <c r="A80" s="1377" t="s">
        <v>1028</v>
      </c>
      <c r="D80" s="1371"/>
      <c r="E80" s="1372"/>
      <c r="H80" s="1459" t="s">
        <v>148</v>
      </c>
      <c r="I80" s="1398"/>
    </row>
    <row r="81" spans="1:9" ht="25.5" hidden="1" thickTop="1" thickBot="1" x14ac:dyDescent="0.25">
      <c r="A81" s="1378" t="s">
        <v>149</v>
      </c>
      <c r="B81" s="1379" t="s">
        <v>688</v>
      </c>
      <c r="C81" s="1379" t="s">
        <v>345</v>
      </c>
      <c r="D81" s="1380" t="s">
        <v>151</v>
      </c>
      <c r="E81" s="1402" t="s">
        <v>569</v>
      </c>
      <c r="F81" s="1402" t="s">
        <v>570</v>
      </c>
      <c r="G81" s="1403" t="s">
        <v>797</v>
      </c>
      <c r="H81" s="1404" t="s">
        <v>798</v>
      </c>
      <c r="I81" s="1398"/>
    </row>
    <row r="82" spans="1:9" ht="14.25" hidden="1" thickTop="1" thickBot="1" x14ac:dyDescent="0.25">
      <c r="A82" s="1297">
        <v>1</v>
      </c>
      <c r="B82" s="1296">
        <v>2</v>
      </c>
      <c r="C82" s="1296">
        <v>3</v>
      </c>
      <c r="D82" s="1296">
        <v>5</v>
      </c>
      <c r="E82" s="1295">
        <v>6</v>
      </c>
      <c r="F82" s="1295">
        <v>7</v>
      </c>
      <c r="G82" s="1446">
        <v>8</v>
      </c>
      <c r="H82" s="1383" t="s">
        <v>689</v>
      </c>
      <c r="I82" s="1398"/>
    </row>
    <row r="83" spans="1:9" ht="30.75" hidden="1" thickTop="1" x14ac:dyDescent="0.2">
      <c r="A83" s="1463">
        <v>3299</v>
      </c>
      <c r="B83" s="1489">
        <v>5336</v>
      </c>
      <c r="C83" s="1469">
        <v>32133006</v>
      </c>
      <c r="D83" s="1405" t="s">
        <v>1131</v>
      </c>
      <c r="E83" s="1401">
        <v>0</v>
      </c>
      <c r="F83" s="1401"/>
      <c r="G83" s="1456"/>
      <c r="H83" s="1388" t="e">
        <f>G83/F83*100</f>
        <v>#DIV/0!</v>
      </c>
      <c r="I83" s="1398"/>
    </row>
    <row r="84" spans="1:9" ht="30" hidden="1" x14ac:dyDescent="0.2">
      <c r="A84" s="1463">
        <v>3299</v>
      </c>
      <c r="B84" s="1489">
        <v>5336</v>
      </c>
      <c r="C84" s="1469">
        <v>32533006</v>
      </c>
      <c r="D84" s="1405" t="s">
        <v>1131</v>
      </c>
      <c r="E84" s="1414">
        <v>0</v>
      </c>
      <c r="F84" s="1414"/>
      <c r="G84" s="1453"/>
      <c r="H84" s="1390" t="e">
        <f>G84/F84*100</f>
        <v>#DIV/0!</v>
      </c>
      <c r="I84" s="1398"/>
    </row>
    <row r="85" spans="1:9" ht="30" hidden="1" x14ac:dyDescent="0.2">
      <c r="A85" s="1463">
        <v>3299</v>
      </c>
      <c r="B85" s="1469">
        <v>6351</v>
      </c>
      <c r="C85" s="1469">
        <v>32133006</v>
      </c>
      <c r="D85" s="1405" t="s">
        <v>1145</v>
      </c>
      <c r="E85" s="1414">
        <v>0</v>
      </c>
      <c r="F85" s="1414">
        <v>0</v>
      </c>
      <c r="G85" s="1453">
        <v>0</v>
      </c>
      <c r="H85" s="1390" t="e">
        <f>G85/F85*100</f>
        <v>#DIV/0!</v>
      </c>
      <c r="I85" s="1398"/>
    </row>
    <row r="86" spans="1:9" ht="30" hidden="1" x14ac:dyDescent="0.2">
      <c r="A86" s="1463">
        <v>3299</v>
      </c>
      <c r="B86" s="1469">
        <v>6351</v>
      </c>
      <c r="C86" s="1469">
        <v>32533006</v>
      </c>
      <c r="D86" s="1405" t="s">
        <v>1145</v>
      </c>
      <c r="E86" s="1414">
        <v>0</v>
      </c>
      <c r="F86" s="1414">
        <v>0</v>
      </c>
      <c r="G86" s="1453">
        <v>0</v>
      </c>
      <c r="H86" s="1390" t="e">
        <f>G86/F86*100</f>
        <v>#DIV/0!</v>
      </c>
      <c r="I86" s="1398"/>
    </row>
    <row r="87" spans="1:9" ht="16.5" hidden="1" thickTop="1" thickBot="1" x14ac:dyDescent="0.3">
      <c r="A87" s="1406" t="s">
        <v>690</v>
      </c>
      <c r="B87" s="1407"/>
      <c r="C87" s="1407"/>
      <c r="D87" s="1408"/>
      <c r="E87" s="1387">
        <f>SUM(E83:E86)</f>
        <v>0</v>
      </c>
      <c r="F87" s="1387">
        <f>SUM(F83:F86)</f>
        <v>0</v>
      </c>
      <c r="G87" s="1387">
        <f>SUM(G83:G86)</f>
        <v>0</v>
      </c>
      <c r="H87" s="1391" t="e">
        <f>G87/F87*100</f>
        <v>#DIV/0!</v>
      </c>
      <c r="I87" s="1398"/>
    </row>
    <row r="88" spans="1:9" ht="10.5" hidden="1" customHeight="1" thickTop="1" x14ac:dyDescent="0.2">
      <c r="I88" s="1398"/>
    </row>
    <row r="89" spans="1:9" ht="15" hidden="1" x14ac:dyDescent="0.25">
      <c r="A89" s="1377" t="s">
        <v>1427</v>
      </c>
      <c r="D89" s="1371"/>
      <c r="E89" s="1372"/>
      <c r="H89" s="1398"/>
      <c r="I89" s="1398"/>
    </row>
    <row r="90" spans="1:9" ht="15" hidden="1" x14ac:dyDescent="0.25">
      <c r="A90" s="1377" t="s">
        <v>896</v>
      </c>
      <c r="D90" s="1371"/>
      <c r="E90" s="1372"/>
      <c r="H90" s="1459" t="s">
        <v>148</v>
      </c>
      <c r="I90" s="1398"/>
    </row>
    <row r="91" spans="1:9" ht="25.5" hidden="1" thickTop="1" thickBot="1" x14ac:dyDescent="0.25">
      <c r="A91" s="1378" t="s">
        <v>149</v>
      </c>
      <c r="B91" s="1379" t="s">
        <v>688</v>
      </c>
      <c r="C91" s="1379" t="s">
        <v>345</v>
      </c>
      <c r="D91" s="1380" t="s">
        <v>151</v>
      </c>
      <c r="E91" s="1402" t="s">
        <v>569</v>
      </c>
      <c r="F91" s="1402" t="s">
        <v>570</v>
      </c>
      <c r="G91" s="1403" t="s">
        <v>797</v>
      </c>
      <c r="H91" s="1404" t="s">
        <v>798</v>
      </c>
      <c r="I91" s="1398"/>
    </row>
    <row r="92" spans="1:9" ht="14.25" hidden="1" thickTop="1" thickBot="1" x14ac:dyDescent="0.25">
      <c r="A92" s="1297">
        <v>1</v>
      </c>
      <c r="B92" s="1296">
        <v>2</v>
      </c>
      <c r="C92" s="1296">
        <v>3</v>
      </c>
      <c r="D92" s="1296">
        <v>5</v>
      </c>
      <c r="E92" s="1295">
        <v>6</v>
      </c>
      <c r="F92" s="1295">
        <v>7</v>
      </c>
      <c r="G92" s="1446">
        <v>8</v>
      </c>
      <c r="H92" s="1383" t="s">
        <v>689</v>
      </c>
      <c r="I92" s="1398"/>
    </row>
    <row r="93" spans="1:9" ht="30.75" hidden="1" thickTop="1" x14ac:dyDescent="0.2">
      <c r="A93" s="1463">
        <v>3299</v>
      </c>
      <c r="B93" s="1489">
        <v>5336</v>
      </c>
      <c r="C93" s="1469">
        <v>32133006</v>
      </c>
      <c r="D93" s="1405" t="s">
        <v>1131</v>
      </c>
      <c r="E93" s="1401">
        <v>0</v>
      </c>
      <c r="F93" s="1401"/>
      <c r="G93" s="1456"/>
      <c r="H93" s="1388" t="e">
        <f>G93/F93*100</f>
        <v>#DIV/0!</v>
      </c>
      <c r="I93" s="1398"/>
    </row>
    <row r="94" spans="1:9" ht="30" hidden="1" x14ac:dyDescent="0.2">
      <c r="A94" s="1463">
        <v>3299</v>
      </c>
      <c r="B94" s="1489">
        <v>5336</v>
      </c>
      <c r="C94" s="1469">
        <v>32533006</v>
      </c>
      <c r="D94" s="1405" t="s">
        <v>1131</v>
      </c>
      <c r="E94" s="1414">
        <v>0</v>
      </c>
      <c r="F94" s="1414"/>
      <c r="G94" s="1453"/>
      <c r="H94" s="1390" t="e">
        <f>G94/F94*100</f>
        <v>#DIV/0!</v>
      </c>
      <c r="I94" s="1398"/>
    </row>
    <row r="95" spans="1:9" ht="30" hidden="1" x14ac:dyDescent="0.2">
      <c r="A95" s="1463">
        <v>3299</v>
      </c>
      <c r="B95" s="1469">
        <v>6351</v>
      </c>
      <c r="C95" s="1469">
        <v>32133006</v>
      </c>
      <c r="D95" s="1405" t="s">
        <v>1145</v>
      </c>
      <c r="E95" s="1414">
        <v>0</v>
      </c>
      <c r="F95" s="1414">
        <v>0</v>
      </c>
      <c r="G95" s="1453">
        <v>0</v>
      </c>
      <c r="H95" s="1390" t="e">
        <f>G95/F95*100</f>
        <v>#DIV/0!</v>
      </c>
      <c r="I95" s="1398"/>
    </row>
    <row r="96" spans="1:9" ht="30" hidden="1" x14ac:dyDescent="0.2">
      <c r="A96" s="1463">
        <v>3299</v>
      </c>
      <c r="B96" s="1469">
        <v>6351</v>
      </c>
      <c r="C96" s="1469">
        <v>32533006</v>
      </c>
      <c r="D96" s="1405" t="s">
        <v>1145</v>
      </c>
      <c r="E96" s="1414">
        <v>0</v>
      </c>
      <c r="F96" s="1414">
        <v>0</v>
      </c>
      <c r="G96" s="1453">
        <v>0</v>
      </c>
      <c r="H96" s="1390" t="e">
        <f>G96/F96*100</f>
        <v>#DIV/0!</v>
      </c>
      <c r="I96" s="1398"/>
    </row>
    <row r="97" spans="1:9" ht="16.5" hidden="1" thickTop="1" thickBot="1" x14ac:dyDescent="0.3">
      <c r="A97" s="1406" t="s">
        <v>690</v>
      </c>
      <c r="B97" s="1407"/>
      <c r="C97" s="1407"/>
      <c r="D97" s="1408"/>
      <c r="E97" s="1387">
        <f>SUM(E93:E96)</f>
        <v>0</v>
      </c>
      <c r="F97" s="1387">
        <f>SUM(F93:F96)</f>
        <v>0</v>
      </c>
      <c r="G97" s="1387">
        <f>SUM(G93:G96)</f>
        <v>0</v>
      </c>
      <c r="H97" s="1391" t="e">
        <f>G97/F97*100</f>
        <v>#DIV/0!</v>
      </c>
      <c r="I97" s="1398"/>
    </row>
    <row r="98" spans="1:9" ht="8.25" hidden="1" customHeight="1" thickTop="1" x14ac:dyDescent="0.2">
      <c r="I98" s="1398"/>
    </row>
    <row r="99" spans="1:9" ht="15" hidden="1" x14ac:dyDescent="0.25">
      <c r="A99" s="1377" t="s">
        <v>897</v>
      </c>
      <c r="D99" s="1371"/>
      <c r="E99" s="1372"/>
      <c r="H99" s="1398"/>
      <c r="I99" s="1398"/>
    </row>
    <row r="100" spans="1:9" ht="15" hidden="1" x14ac:dyDescent="0.25">
      <c r="A100" s="1377" t="s">
        <v>174</v>
      </c>
      <c r="D100" s="1371"/>
      <c r="E100" s="1372"/>
      <c r="H100" s="1398" t="s">
        <v>148</v>
      </c>
      <c r="I100" s="1398"/>
    </row>
    <row r="101" spans="1:9" ht="25.5" hidden="1" thickTop="1" thickBot="1" x14ac:dyDescent="0.25">
      <c r="A101" s="1378" t="s">
        <v>149</v>
      </c>
      <c r="B101" s="1379" t="s">
        <v>688</v>
      </c>
      <c r="C101" s="1379" t="s">
        <v>345</v>
      </c>
      <c r="D101" s="1380" t="s">
        <v>151</v>
      </c>
      <c r="E101" s="1402" t="s">
        <v>569</v>
      </c>
      <c r="F101" s="1402" t="s">
        <v>570</v>
      </c>
      <c r="G101" s="1403" t="s">
        <v>797</v>
      </c>
      <c r="H101" s="1404" t="s">
        <v>798</v>
      </c>
      <c r="I101" s="1398"/>
    </row>
    <row r="102" spans="1:9" ht="14.25" hidden="1" thickTop="1" thickBot="1" x14ac:dyDescent="0.25">
      <c r="A102" s="1297">
        <v>1</v>
      </c>
      <c r="B102" s="1296">
        <v>2</v>
      </c>
      <c r="C102" s="1296">
        <v>3</v>
      </c>
      <c r="D102" s="1296">
        <v>5</v>
      </c>
      <c r="E102" s="1295">
        <v>6</v>
      </c>
      <c r="F102" s="1295">
        <v>7</v>
      </c>
      <c r="G102" s="1446">
        <v>8</v>
      </c>
      <c r="H102" s="1383" t="s">
        <v>689</v>
      </c>
      <c r="I102" s="1398"/>
    </row>
    <row r="103" spans="1:9" ht="30.75" hidden="1" thickTop="1" x14ac:dyDescent="0.2">
      <c r="A103" s="1463">
        <v>3299</v>
      </c>
      <c r="B103" s="1489">
        <v>5336</v>
      </c>
      <c r="C103" s="1469">
        <v>32133006</v>
      </c>
      <c r="D103" s="1485" t="s">
        <v>1222</v>
      </c>
      <c r="E103" s="1401">
        <v>0</v>
      </c>
      <c r="F103" s="1401">
        <v>0</v>
      </c>
      <c r="G103" s="1456">
        <v>0</v>
      </c>
      <c r="H103" s="1388" t="e">
        <f>G103/F103*100</f>
        <v>#DIV/0!</v>
      </c>
      <c r="I103" s="1398"/>
    </row>
    <row r="104" spans="1:9" ht="30" hidden="1" x14ac:dyDescent="0.2">
      <c r="A104" s="1463">
        <v>3299</v>
      </c>
      <c r="B104" s="1489">
        <v>5336</v>
      </c>
      <c r="C104" s="1469">
        <v>32533006</v>
      </c>
      <c r="D104" s="1405" t="s">
        <v>1131</v>
      </c>
      <c r="E104" s="1414">
        <v>0</v>
      </c>
      <c r="F104" s="1414">
        <v>0</v>
      </c>
      <c r="G104" s="1453">
        <v>0</v>
      </c>
      <c r="H104" s="1390" t="e">
        <f>G104/F104*100</f>
        <v>#DIV/0!</v>
      </c>
      <c r="I104" s="1398"/>
    </row>
    <row r="105" spans="1:9" ht="16.5" hidden="1" thickTop="1" thickBot="1" x14ac:dyDescent="0.3">
      <c r="A105" s="1406" t="s">
        <v>690</v>
      </c>
      <c r="B105" s="1407"/>
      <c r="C105" s="1407"/>
      <c r="D105" s="1408"/>
      <c r="E105" s="1387">
        <f>SUM(E103:E104)</f>
        <v>0</v>
      </c>
      <c r="F105" s="1387">
        <f>SUM(F103:F104)</f>
        <v>0</v>
      </c>
      <c r="G105" s="1387">
        <f>SUM(G103:G104)</f>
        <v>0</v>
      </c>
      <c r="H105" s="1391" t="e">
        <f>G105/F105*100</f>
        <v>#DIV/0!</v>
      </c>
      <c r="I105" s="1398"/>
    </row>
    <row r="106" spans="1:9" ht="15" hidden="1" x14ac:dyDescent="0.25">
      <c r="A106" s="1417"/>
      <c r="B106" s="1417"/>
      <c r="C106" s="1417"/>
      <c r="D106" s="1417"/>
      <c r="E106" s="1393"/>
      <c r="F106" s="1393"/>
      <c r="G106" s="1393"/>
      <c r="H106" s="1418"/>
      <c r="I106" s="1398"/>
    </row>
    <row r="107" spans="1:9" ht="15" hidden="1" x14ac:dyDescent="0.25">
      <c r="A107" s="1490" t="s">
        <v>1428</v>
      </c>
      <c r="B107" s="1490"/>
      <c r="C107" s="1490"/>
      <c r="D107" s="1490"/>
      <c r="E107" s="1490"/>
      <c r="F107" s="1491"/>
      <c r="G107" s="1491"/>
      <c r="H107" s="1491"/>
      <c r="I107" s="1491"/>
    </row>
    <row r="108" spans="1:9" ht="15" hidden="1" x14ac:dyDescent="0.25">
      <c r="A108" s="1490" t="s">
        <v>1228</v>
      </c>
      <c r="B108" s="1490"/>
      <c r="C108" s="1492"/>
      <c r="D108" s="1492"/>
      <c r="E108" s="1493"/>
      <c r="F108" s="1491"/>
      <c r="G108" s="1491"/>
      <c r="H108" s="1494" t="s">
        <v>148</v>
      </c>
      <c r="I108" s="1491"/>
    </row>
    <row r="109" spans="1:9" ht="25.5" hidden="1" thickTop="1" thickBot="1" x14ac:dyDescent="0.25">
      <c r="A109" s="1495" t="s">
        <v>149</v>
      </c>
      <c r="B109" s="1496" t="s">
        <v>688</v>
      </c>
      <c r="C109" s="1496" t="s">
        <v>345</v>
      </c>
      <c r="D109" s="1497" t="s">
        <v>151</v>
      </c>
      <c r="E109" s="1498" t="s">
        <v>569</v>
      </c>
      <c r="F109" s="1498" t="s">
        <v>570</v>
      </c>
      <c r="G109" s="1499" t="s">
        <v>797</v>
      </c>
      <c r="H109" s="1500" t="s">
        <v>798</v>
      </c>
      <c r="I109" s="1491"/>
    </row>
    <row r="110" spans="1:9" ht="13.5" hidden="1" thickBot="1" x14ac:dyDescent="0.25">
      <c r="A110" s="1501">
        <v>1</v>
      </c>
      <c r="B110" s="1502">
        <v>2</v>
      </c>
      <c r="C110" s="1502">
        <v>3</v>
      </c>
      <c r="D110" s="1502">
        <v>5</v>
      </c>
      <c r="E110" s="1503">
        <v>6</v>
      </c>
      <c r="F110" s="1503">
        <v>7</v>
      </c>
      <c r="G110" s="1504">
        <v>8</v>
      </c>
      <c r="H110" s="1505" t="s">
        <v>689</v>
      </c>
      <c r="I110" s="1491"/>
    </row>
    <row r="111" spans="1:9" ht="30" hidden="1" x14ac:dyDescent="0.2">
      <c r="A111" s="1506">
        <v>3299</v>
      </c>
      <c r="B111" s="1507">
        <v>5336</v>
      </c>
      <c r="C111" s="1507">
        <v>32133006</v>
      </c>
      <c r="D111" s="1405" t="s">
        <v>1131</v>
      </c>
      <c r="E111" s="1508">
        <v>0</v>
      </c>
      <c r="F111" s="1508"/>
      <c r="G111" s="1509"/>
      <c r="H111" s="1510">
        <v>88.6</v>
      </c>
      <c r="I111" s="1491"/>
    </row>
    <row r="112" spans="1:9" ht="30" hidden="1" x14ac:dyDescent="0.2">
      <c r="A112" s="1506">
        <v>3299</v>
      </c>
      <c r="B112" s="1507">
        <v>5336</v>
      </c>
      <c r="C112" s="1507">
        <v>32533006</v>
      </c>
      <c r="D112" s="1405" t="s">
        <v>1131</v>
      </c>
      <c r="E112" s="1508">
        <v>0</v>
      </c>
      <c r="F112" s="1508"/>
      <c r="G112" s="1509"/>
      <c r="H112" s="1510">
        <v>89.1</v>
      </c>
      <c r="I112" s="1491"/>
    </row>
    <row r="113" spans="1:9" ht="16.5" hidden="1" thickTop="1" thickBot="1" x14ac:dyDescent="0.3">
      <c r="A113" s="1511" t="s">
        <v>690</v>
      </c>
      <c r="B113" s="1512"/>
      <c r="C113" s="1512"/>
      <c r="D113" s="1513"/>
      <c r="E113" s="1514">
        <v>0</v>
      </c>
      <c r="F113" s="1514">
        <f>SUM(F111:F112)</f>
        <v>0</v>
      </c>
      <c r="G113" s="1514">
        <f>SUM(G111:G112)</f>
        <v>0</v>
      </c>
      <c r="H113" s="1515">
        <v>89</v>
      </c>
      <c r="I113" s="1491"/>
    </row>
    <row r="114" spans="1:9" ht="15" hidden="1" x14ac:dyDescent="0.25">
      <c r="A114" s="1377" t="s">
        <v>1029</v>
      </c>
      <c r="D114" s="1371"/>
      <c r="E114" s="1372"/>
      <c r="H114" s="1398"/>
      <c r="I114" s="1398"/>
    </row>
    <row r="115" spans="1:9" ht="15" hidden="1" x14ac:dyDescent="0.25">
      <c r="A115" s="1377" t="s">
        <v>1030</v>
      </c>
      <c r="D115" s="1371"/>
      <c r="E115" s="1372"/>
      <c r="H115" s="1398" t="s">
        <v>148</v>
      </c>
      <c r="I115" s="1398"/>
    </row>
    <row r="116" spans="1:9" ht="25.5" hidden="1" thickTop="1" thickBot="1" x14ac:dyDescent="0.25">
      <c r="A116" s="1378" t="s">
        <v>149</v>
      </c>
      <c r="B116" s="1379" t="s">
        <v>688</v>
      </c>
      <c r="C116" s="1379" t="s">
        <v>345</v>
      </c>
      <c r="D116" s="1380" t="s">
        <v>151</v>
      </c>
      <c r="E116" s="1402" t="s">
        <v>569</v>
      </c>
      <c r="F116" s="1402" t="s">
        <v>570</v>
      </c>
      <c r="G116" s="1403" t="s">
        <v>797</v>
      </c>
      <c r="H116" s="1404" t="s">
        <v>798</v>
      </c>
      <c r="I116" s="1398"/>
    </row>
    <row r="117" spans="1:9" ht="14.25" hidden="1" thickTop="1" thickBot="1" x14ac:dyDescent="0.25">
      <c r="A117" s="1297">
        <v>1</v>
      </c>
      <c r="B117" s="1296">
        <v>2</v>
      </c>
      <c r="C117" s="1296">
        <v>3</v>
      </c>
      <c r="D117" s="1296">
        <v>5</v>
      </c>
      <c r="E117" s="1295">
        <v>6</v>
      </c>
      <c r="F117" s="1295">
        <v>7</v>
      </c>
      <c r="G117" s="1446">
        <v>8</v>
      </c>
      <c r="H117" s="1383" t="s">
        <v>689</v>
      </c>
      <c r="I117" s="1398"/>
    </row>
    <row r="118" spans="1:9" ht="30.75" hidden="1" thickTop="1" x14ac:dyDescent="0.2">
      <c r="A118" s="1463">
        <v>3299</v>
      </c>
      <c r="B118" s="1489">
        <v>5336</v>
      </c>
      <c r="C118" s="1469">
        <v>32133006</v>
      </c>
      <c r="D118" s="1485" t="s">
        <v>1222</v>
      </c>
      <c r="E118" s="1401">
        <v>0</v>
      </c>
      <c r="F118" s="1401">
        <v>0</v>
      </c>
      <c r="G118" s="1456">
        <v>0</v>
      </c>
      <c r="H118" s="1388" t="e">
        <f>G118/F118*100</f>
        <v>#DIV/0!</v>
      </c>
      <c r="I118" s="1398"/>
    </row>
    <row r="119" spans="1:9" ht="30" hidden="1" x14ac:dyDescent="0.2">
      <c r="A119" s="1463">
        <v>3299</v>
      </c>
      <c r="B119" s="1489">
        <v>5336</v>
      </c>
      <c r="C119" s="1469">
        <v>32533006</v>
      </c>
      <c r="D119" s="1405" t="s">
        <v>1131</v>
      </c>
      <c r="E119" s="1414">
        <v>0</v>
      </c>
      <c r="F119" s="1414">
        <v>0</v>
      </c>
      <c r="G119" s="1453">
        <v>0</v>
      </c>
      <c r="H119" s="1390" t="e">
        <f>G119/F119*100</f>
        <v>#DIV/0!</v>
      </c>
      <c r="I119" s="1398"/>
    </row>
    <row r="120" spans="1:9" ht="16.5" hidden="1" thickTop="1" thickBot="1" x14ac:dyDescent="0.3">
      <c r="A120" s="1406" t="s">
        <v>690</v>
      </c>
      <c r="B120" s="1407"/>
      <c r="C120" s="1407"/>
      <c r="D120" s="1408"/>
      <c r="E120" s="1387">
        <f>SUM(E118:E119)</f>
        <v>0</v>
      </c>
      <c r="F120" s="1387">
        <f>SUM(F118:F119)</f>
        <v>0</v>
      </c>
      <c r="G120" s="1387">
        <f>SUM(G118:G119)</f>
        <v>0</v>
      </c>
      <c r="H120" s="1391" t="e">
        <f>G120/F120*100</f>
        <v>#DIV/0!</v>
      </c>
      <c r="I120" s="1398"/>
    </row>
    <row r="121" spans="1:9" hidden="1" x14ac:dyDescent="0.2">
      <c r="I121" s="1398"/>
    </row>
    <row r="122" spans="1:9" ht="15" hidden="1" x14ac:dyDescent="0.25">
      <c r="A122" s="1377" t="s">
        <v>898</v>
      </c>
      <c r="D122" s="1371"/>
      <c r="E122" s="1372"/>
      <c r="H122" s="1398"/>
      <c r="I122" s="1398"/>
    </row>
    <row r="123" spans="1:9" ht="15" hidden="1" x14ac:dyDescent="0.25">
      <c r="A123" s="1377" t="s">
        <v>1031</v>
      </c>
      <c r="D123" s="1371"/>
      <c r="E123" s="1372"/>
      <c r="H123" s="1398" t="s">
        <v>148</v>
      </c>
      <c r="I123" s="1398"/>
    </row>
    <row r="124" spans="1:9" ht="25.5" hidden="1" thickTop="1" thickBot="1" x14ac:dyDescent="0.25">
      <c r="A124" s="1378" t="s">
        <v>149</v>
      </c>
      <c r="B124" s="1379" t="s">
        <v>688</v>
      </c>
      <c r="C124" s="1379" t="s">
        <v>345</v>
      </c>
      <c r="D124" s="1380" t="s">
        <v>151</v>
      </c>
      <c r="E124" s="1402" t="s">
        <v>569</v>
      </c>
      <c r="F124" s="1402" t="s">
        <v>570</v>
      </c>
      <c r="G124" s="1403" t="s">
        <v>797</v>
      </c>
      <c r="H124" s="1404" t="s">
        <v>798</v>
      </c>
      <c r="I124" s="1398"/>
    </row>
    <row r="125" spans="1:9" ht="14.25" hidden="1" thickTop="1" thickBot="1" x14ac:dyDescent="0.25">
      <c r="A125" s="1297">
        <v>1</v>
      </c>
      <c r="B125" s="1296">
        <v>2</v>
      </c>
      <c r="C125" s="1296">
        <v>3</v>
      </c>
      <c r="D125" s="1296">
        <v>5</v>
      </c>
      <c r="E125" s="1295">
        <v>6</v>
      </c>
      <c r="F125" s="1295">
        <v>7</v>
      </c>
      <c r="G125" s="1446">
        <v>8</v>
      </c>
      <c r="H125" s="1383" t="s">
        <v>689</v>
      </c>
      <c r="I125" s="1398"/>
    </row>
    <row r="126" spans="1:9" ht="30.75" hidden="1" thickTop="1" x14ac:dyDescent="0.2">
      <c r="A126" s="1463">
        <v>3299</v>
      </c>
      <c r="B126" s="1489">
        <v>5336</v>
      </c>
      <c r="C126" s="1469">
        <v>32133006</v>
      </c>
      <c r="D126" s="1485" t="s">
        <v>1222</v>
      </c>
      <c r="E126" s="1401">
        <v>0</v>
      </c>
      <c r="F126" s="1401">
        <v>0</v>
      </c>
      <c r="G126" s="1456">
        <v>0</v>
      </c>
      <c r="H126" s="1388" t="e">
        <f>G126/F126*100</f>
        <v>#DIV/0!</v>
      </c>
      <c r="I126" s="1398"/>
    </row>
    <row r="127" spans="1:9" ht="30" hidden="1" x14ac:dyDescent="0.2">
      <c r="A127" s="1463">
        <v>3299</v>
      </c>
      <c r="B127" s="1489">
        <v>5336</v>
      </c>
      <c r="C127" s="1469">
        <v>32533006</v>
      </c>
      <c r="D127" s="1405" t="s">
        <v>1131</v>
      </c>
      <c r="E127" s="1414">
        <v>0</v>
      </c>
      <c r="F127" s="1414">
        <v>0</v>
      </c>
      <c r="G127" s="1453">
        <v>0</v>
      </c>
      <c r="H127" s="1390" t="e">
        <f>G127/F127*100</f>
        <v>#DIV/0!</v>
      </c>
      <c r="I127" s="1398"/>
    </row>
    <row r="128" spans="1:9" ht="16.5" hidden="1" customHeight="1" thickTop="1" thickBot="1" x14ac:dyDescent="0.3">
      <c r="A128" s="1406" t="s">
        <v>690</v>
      </c>
      <c r="B128" s="1407"/>
      <c r="C128" s="1407"/>
      <c r="D128" s="1408"/>
      <c r="E128" s="1387">
        <f>SUM(E126:E127)</f>
        <v>0</v>
      </c>
      <c r="F128" s="1387">
        <f>SUM(F126:F127)</f>
        <v>0</v>
      </c>
      <c r="G128" s="1387">
        <f>SUM(G126:G127)</f>
        <v>0</v>
      </c>
      <c r="H128" s="1391" t="e">
        <f>G128/F128*100</f>
        <v>#DIV/0!</v>
      </c>
      <c r="I128" s="1398"/>
    </row>
    <row r="129" spans="1:9" ht="15" hidden="1" customHeight="1" thickTop="1" x14ac:dyDescent="0.2">
      <c r="I129" s="1398"/>
    </row>
    <row r="130" spans="1:9" ht="15" hidden="1" customHeight="1" thickTop="1" x14ac:dyDescent="0.25">
      <c r="A130" s="1377" t="s">
        <v>899</v>
      </c>
      <c r="D130" s="1371"/>
      <c r="E130" s="1372"/>
      <c r="H130" s="1398"/>
      <c r="I130" s="1398"/>
    </row>
    <row r="131" spans="1:9" ht="15" hidden="1" customHeight="1" thickBot="1" x14ac:dyDescent="0.3">
      <c r="A131" s="1377" t="s">
        <v>900</v>
      </c>
      <c r="D131" s="1371"/>
      <c r="E131" s="1372"/>
      <c r="H131" s="1459" t="s">
        <v>148</v>
      </c>
      <c r="I131" s="1398"/>
    </row>
    <row r="132" spans="1:9" ht="25.5" hidden="1" customHeight="1" thickTop="1" thickBot="1" x14ac:dyDescent="0.25">
      <c r="A132" s="1378" t="s">
        <v>149</v>
      </c>
      <c r="B132" s="1379" t="s">
        <v>688</v>
      </c>
      <c r="C132" s="1379" t="s">
        <v>345</v>
      </c>
      <c r="D132" s="1380" t="s">
        <v>151</v>
      </c>
      <c r="E132" s="1402" t="s">
        <v>569</v>
      </c>
      <c r="F132" s="1402" t="s">
        <v>570</v>
      </c>
      <c r="G132" s="1403" t="s">
        <v>797</v>
      </c>
      <c r="H132" s="1404" t="s">
        <v>798</v>
      </c>
      <c r="I132" s="1398"/>
    </row>
    <row r="133" spans="1:9" ht="15" hidden="1" customHeight="1" thickTop="1" thickBot="1" x14ac:dyDescent="0.25">
      <c r="A133" s="1297">
        <v>1</v>
      </c>
      <c r="B133" s="1296">
        <v>2</v>
      </c>
      <c r="C133" s="1296">
        <v>3</v>
      </c>
      <c r="D133" s="1296">
        <v>5</v>
      </c>
      <c r="E133" s="1295">
        <v>6</v>
      </c>
      <c r="F133" s="1295">
        <v>7</v>
      </c>
      <c r="G133" s="1446">
        <v>8</v>
      </c>
      <c r="H133" s="1383" t="s">
        <v>689</v>
      </c>
      <c r="I133" s="1398"/>
    </row>
    <row r="134" spans="1:9" ht="30.75" hidden="1" customHeight="1" thickTop="1" x14ac:dyDescent="0.2">
      <c r="A134" s="1463">
        <v>3299</v>
      </c>
      <c r="B134" s="1489">
        <v>5336</v>
      </c>
      <c r="C134" s="1469">
        <v>32133006</v>
      </c>
      <c r="D134" s="1405" t="s">
        <v>1131</v>
      </c>
      <c r="E134" s="1401">
        <v>0</v>
      </c>
      <c r="F134" s="1401"/>
      <c r="G134" s="1456"/>
      <c r="H134" s="1388" t="e">
        <f>G134/F134*100</f>
        <v>#DIV/0!</v>
      </c>
      <c r="I134" s="1398"/>
    </row>
    <row r="135" spans="1:9" ht="30.75" hidden="1" customHeight="1" thickBot="1" x14ac:dyDescent="0.25">
      <c r="A135" s="1463">
        <v>3299</v>
      </c>
      <c r="B135" s="1489">
        <v>5336</v>
      </c>
      <c r="C135" s="1469">
        <v>32533006</v>
      </c>
      <c r="D135" s="1405" t="s">
        <v>1131</v>
      </c>
      <c r="E135" s="1414">
        <v>0</v>
      </c>
      <c r="F135" s="1414"/>
      <c r="G135" s="1453"/>
      <c r="H135" s="1390" t="e">
        <f>G135/F135*100</f>
        <v>#DIV/0!</v>
      </c>
      <c r="I135" s="1398"/>
    </row>
    <row r="136" spans="1:9" ht="16.5" hidden="1" customHeight="1" thickTop="1" thickBot="1" x14ac:dyDescent="0.3">
      <c r="A136" s="1406" t="s">
        <v>690</v>
      </c>
      <c r="B136" s="1407"/>
      <c r="C136" s="1407"/>
      <c r="D136" s="1408"/>
      <c r="E136" s="1387">
        <f>SUM(E134:E135)</f>
        <v>0</v>
      </c>
      <c r="F136" s="1387">
        <f>SUM(F134:F135)</f>
        <v>0</v>
      </c>
      <c r="G136" s="1387">
        <f>SUM(G134:G135)</f>
        <v>0</v>
      </c>
      <c r="H136" s="1391" t="e">
        <f>G136/F136*100</f>
        <v>#DIV/0!</v>
      </c>
      <c r="I136" s="1398"/>
    </row>
    <row r="137" spans="1:9" ht="15" hidden="1" customHeight="1" thickTop="1" x14ac:dyDescent="0.2">
      <c r="I137" s="1398"/>
    </row>
    <row r="138" spans="1:9" ht="15" hidden="1" customHeight="1" x14ac:dyDescent="0.25">
      <c r="A138" s="1377" t="s">
        <v>901</v>
      </c>
      <c r="D138" s="1371"/>
      <c r="E138" s="1372"/>
      <c r="H138" s="1398"/>
      <c r="I138" s="1398"/>
    </row>
    <row r="139" spans="1:9" ht="15" hidden="1" customHeight="1" thickBot="1" x14ac:dyDescent="0.3">
      <c r="A139" s="1377" t="s">
        <v>902</v>
      </c>
      <c r="D139" s="1371"/>
      <c r="E139" s="1372"/>
      <c r="H139" s="1398" t="s">
        <v>148</v>
      </c>
      <c r="I139" s="1398"/>
    </row>
    <row r="140" spans="1:9" ht="25.5" hidden="1" customHeight="1" thickTop="1" thickBot="1" x14ac:dyDescent="0.25">
      <c r="A140" s="1378" t="s">
        <v>149</v>
      </c>
      <c r="B140" s="1379" t="s">
        <v>688</v>
      </c>
      <c r="C140" s="1379" t="s">
        <v>345</v>
      </c>
      <c r="D140" s="1380" t="s">
        <v>151</v>
      </c>
      <c r="E140" s="1402" t="s">
        <v>569</v>
      </c>
      <c r="F140" s="1402" t="s">
        <v>570</v>
      </c>
      <c r="G140" s="1403" t="s">
        <v>797</v>
      </c>
      <c r="H140" s="1404" t="s">
        <v>798</v>
      </c>
      <c r="I140" s="1398"/>
    </row>
    <row r="141" spans="1:9" ht="15" hidden="1" customHeight="1" thickTop="1" thickBot="1" x14ac:dyDescent="0.25">
      <c r="A141" s="1297">
        <v>1</v>
      </c>
      <c r="B141" s="1296">
        <v>2</v>
      </c>
      <c r="C141" s="1296">
        <v>3</v>
      </c>
      <c r="D141" s="1296">
        <v>5</v>
      </c>
      <c r="E141" s="1295">
        <v>6</v>
      </c>
      <c r="F141" s="1295">
        <v>7</v>
      </c>
      <c r="G141" s="1446">
        <v>8</v>
      </c>
      <c r="H141" s="1383" t="s">
        <v>689</v>
      </c>
      <c r="I141" s="1398"/>
    </row>
    <row r="142" spans="1:9" ht="42.75" hidden="1" customHeight="1" thickTop="1" x14ac:dyDescent="0.2">
      <c r="A142" s="1463">
        <v>3299</v>
      </c>
      <c r="B142" s="1469">
        <v>5213</v>
      </c>
      <c r="C142" s="1469">
        <v>32133006</v>
      </c>
      <c r="D142" s="1405" t="s">
        <v>903</v>
      </c>
      <c r="E142" s="1401">
        <v>0</v>
      </c>
      <c r="F142" s="1401">
        <v>0</v>
      </c>
      <c r="G142" s="1456">
        <v>0</v>
      </c>
      <c r="H142" s="1388" t="e">
        <f>G142/F142*100</f>
        <v>#DIV/0!</v>
      </c>
      <c r="I142" s="1398"/>
    </row>
    <row r="143" spans="1:9" ht="47.25" hidden="1" customHeight="1" thickBot="1" x14ac:dyDescent="0.25">
      <c r="A143" s="1463">
        <v>3299</v>
      </c>
      <c r="B143" s="1469">
        <v>5213</v>
      </c>
      <c r="C143" s="1469">
        <v>32533006</v>
      </c>
      <c r="D143" s="1405" t="s">
        <v>903</v>
      </c>
      <c r="E143" s="1414">
        <v>0</v>
      </c>
      <c r="F143" s="1414">
        <v>0</v>
      </c>
      <c r="G143" s="1453">
        <v>0</v>
      </c>
      <c r="H143" s="1390" t="e">
        <f>G143/F143*100</f>
        <v>#DIV/0!</v>
      </c>
      <c r="I143" s="1398"/>
    </row>
    <row r="144" spans="1:9" ht="16.5" hidden="1" customHeight="1" thickTop="1" thickBot="1" x14ac:dyDescent="0.3">
      <c r="A144" s="1406" t="s">
        <v>690</v>
      </c>
      <c r="B144" s="1407"/>
      <c r="C144" s="1407"/>
      <c r="D144" s="1408"/>
      <c r="E144" s="1387">
        <f>SUM(E142:E143)</f>
        <v>0</v>
      </c>
      <c r="F144" s="1387">
        <f>SUM(F142:F143)</f>
        <v>0</v>
      </c>
      <c r="G144" s="1387">
        <f>SUM(G142:G143)</f>
        <v>0</v>
      </c>
      <c r="H144" s="1391" t="e">
        <f>G144/F144*100</f>
        <v>#DIV/0!</v>
      </c>
      <c r="I144" s="1398"/>
    </row>
    <row r="145" spans="1:9" ht="15" hidden="1" customHeight="1" thickTop="1" x14ac:dyDescent="0.2">
      <c r="I145" s="1398"/>
    </row>
    <row r="146" spans="1:9" ht="15" hidden="1" customHeight="1" x14ac:dyDescent="0.25">
      <c r="A146" s="1377" t="s">
        <v>1227</v>
      </c>
      <c r="B146" s="1490"/>
      <c r="C146" s="1490"/>
      <c r="D146" s="1490"/>
      <c r="E146" s="1490"/>
      <c r="F146" s="1491"/>
      <c r="G146" s="1491"/>
      <c r="H146" s="1491"/>
      <c r="I146" s="1491"/>
    </row>
    <row r="147" spans="1:9" ht="15" hidden="1" customHeight="1" thickBot="1" x14ac:dyDescent="0.3">
      <c r="A147" s="1490" t="s">
        <v>1226</v>
      </c>
      <c r="B147" s="1490"/>
      <c r="C147" s="1492"/>
      <c r="D147" s="1492"/>
      <c r="E147" s="1493"/>
      <c r="F147" s="1491"/>
      <c r="G147" s="1491"/>
      <c r="H147" s="1494" t="s">
        <v>148</v>
      </c>
      <c r="I147" s="1491"/>
    </row>
    <row r="148" spans="1:9" ht="27.75" hidden="1" customHeight="1" thickTop="1" thickBot="1" x14ac:dyDescent="0.25">
      <c r="A148" s="1495" t="s">
        <v>149</v>
      </c>
      <c r="B148" s="1496" t="s">
        <v>688</v>
      </c>
      <c r="C148" s="1496" t="s">
        <v>345</v>
      </c>
      <c r="D148" s="1497" t="s">
        <v>151</v>
      </c>
      <c r="E148" s="1498" t="s">
        <v>569</v>
      </c>
      <c r="F148" s="1498" t="s">
        <v>570</v>
      </c>
      <c r="G148" s="1499" t="s">
        <v>797</v>
      </c>
      <c r="H148" s="1500" t="s">
        <v>798</v>
      </c>
      <c r="I148" s="1491"/>
    </row>
    <row r="149" spans="1:9" ht="15" hidden="1" customHeight="1" thickTop="1" thickBot="1" x14ac:dyDescent="0.25">
      <c r="A149" s="1501">
        <v>1</v>
      </c>
      <c r="B149" s="1502">
        <v>2</v>
      </c>
      <c r="C149" s="1502">
        <v>3</v>
      </c>
      <c r="D149" s="1502">
        <v>5</v>
      </c>
      <c r="E149" s="1503">
        <v>6</v>
      </c>
      <c r="F149" s="1503">
        <v>7</v>
      </c>
      <c r="G149" s="1504">
        <v>8</v>
      </c>
      <c r="H149" s="1505" t="s">
        <v>689</v>
      </c>
      <c r="I149" s="1491"/>
    </row>
    <row r="150" spans="1:9" ht="30.75" hidden="1" customHeight="1" thickTop="1" x14ac:dyDescent="0.2">
      <c r="A150" s="1506">
        <v>3299</v>
      </c>
      <c r="B150" s="1507">
        <v>5221</v>
      </c>
      <c r="C150" s="1507">
        <v>32133006</v>
      </c>
      <c r="D150" s="1516" t="s">
        <v>1183</v>
      </c>
      <c r="E150" s="1508">
        <v>0</v>
      </c>
      <c r="F150" s="1508"/>
      <c r="G150" s="1509"/>
      <c r="H150" s="1510">
        <v>84.8</v>
      </c>
      <c r="I150" s="1491"/>
    </row>
    <row r="151" spans="1:9" ht="30.75" hidden="1" customHeight="1" thickBot="1" x14ac:dyDescent="0.25">
      <c r="A151" s="1506">
        <v>3299</v>
      </c>
      <c r="B151" s="1507">
        <v>5221</v>
      </c>
      <c r="C151" s="1507">
        <v>32533006</v>
      </c>
      <c r="D151" s="1516" t="s">
        <v>1183</v>
      </c>
      <c r="E151" s="1508">
        <v>0</v>
      </c>
      <c r="F151" s="1508"/>
      <c r="G151" s="1509"/>
      <c r="H151" s="1510">
        <v>84.9</v>
      </c>
      <c r="I151" s="1491"/>
    </row>
    <row r="152" spans="1:9" ht="15" hidden="1" customHeight="1" thickTop="1" thickBot="1" x14ac:dyDescent="0.3">
      <c r="A152" s="1511" t="s">
        <v>690</v>
      </c>
      <c r="B152" s="1512"/>
      <c r="C152" s="1512"/>
      <c r="D152" s="1513"/>
      <c r="E152" s="1514">
        <v>0</v>
      </c>
      <c r="F152" s="1514">
        <f>SUM(F150:F151)</f>
        <v>0</v>
      </c>
      <c r="G152" s="1514">
        <f>SUM(G150:G151)</f>
        <v>0</v>
      </c>
      <c r="H152" s="1515">
        <v>84.9</v>
      </c>
      <c r="I152" s="1491"/>
    </row>
    <row r="153" spans="1:9" ht="15" hidden="1" customHeight="1" thickTop="1" x14ac:dyDescent="0.2">
      <c r="I153" s="1398"/>
    </row>
    <row r="154" spans="1:9" ht="15" hidden="1" customHeight="1" x14ac:dyDescent="0.25">
      <c r="A154" s="1377" t="s">
        <v>1225</v>
      </c>
      <c r="B154" s="1490"/>
      <c r="C154" s="1490"/>
      <c r="D154" s="1490"/>
      <c r="E154" s="1490"/>
      <c r="F154" s="1491"/>
      <c r="G154" s="1491"/>
      <c r="H154" s="1491"/>
      <c r="I154" s="1491"/>
    </row>
    <row r="155" spans="1:9" ht="15" hidden="1" customHeight="1" thickBot="1" x14ac:dyDescent="0.3">
      <c r="A155" s="1490" t="s">
        <v>1224</v>
      </c>
      <c r="B155" s="1490"/>
      <c r="C155" s="1492"/>
      <c r="D155" s="1492"/>
      <c r="E155" s="1493"/>
      <c r="F155" s="1491"/>
      <c r="G155" s="1491"/>
      <c r="H155" s="1494" t="s">
        <v>148</v>
      </c>
      <c r="I155" s="1491"/>
    </row>
    <row r="156" spans="1:9" ht="27.75" hidden="1" customHeight="1" thickTop="1" thickBot="1" x14ac:dyDescent="0.25">
      <c r="A156" s="1495" t="s">
        <v>149</v>
      </c>
      <c r="B156" s="1496" t="s">
        <v>688</v>
      </c>
      <c r="C156" s="1496" t="s">
        <v>345</v>
      </c>
      <c r="D156" s="1497" t="s">
        <v>151</v>
      </c>
      <c r="E156" s="1498" t="s">
        <v>569</v>
      </c>
      <c r="F156" s="1498" t="s">
        <v>570</v>
      </c>
      <c r="G156" s="1499" t="s">
        <v>797</v>
      </c>
      <c r="H156" s="1500" t="s">
        <v>798</v>
      </c>
      <c r="I156" s="1491"/>
    </row>
    <row r="157" spans="1:9" ht="15" hidden="1" customHeight="1" thickTop="1" thickBot="1" x14ac:dyDescent="0.25">
      <c r="A157" s="1501">
        <v>1</v>
      </c>
      <c r="B157" s="1502">
        <v>2</v>
      </c>
      <c r="C157" s="1502">
        <v>3</v>
      </c>
      <c r="D157" s="1502">
        <v>5</v>
      </c>
      <c r="E157" s="1503">
        <v>6</v>
      </c>
      <c r="F157" s="1503">
        <v>7</v>
      </c>
      <c r="G157" s="1504">
        <v>8</v>
      </c>
      <c r="H157" s="1505" t="s">
        <v>689</v>
      </c>
      <c r="I157" s="1491"/>
    </row>
    <row r="158" spans="1:9" ht="30.75" hidden="1" customHeight="1" thickTop="1" x14ac:dyDescent="0.2">
      <c r="A158" s="1506">
        <v>3299</v>
      </c>
      <c r="B158" s="1507">
        <v>5221</v>
      </c>
      <c r="C158" s="1507">
        <v>32133006</v>
      </c>
      <c r="D158" s="1516" t="s">
        <v>1183</v>
      </c>
      <c r="E158" s="1508">
        <v>0</v>
      </c>
      <c r="F158" s="1508"/>
      <c r="G158" s="1509"/>
      <c r="H158" s="1510">
        <v>84.8</v>
      </c>
      <c r="I158" s="1491"/>
    </row>
    <row r="159" spans="1:9" ht="30.75" hidden="1" customHeight="1" thickBot="1" x14ac:dyDescent="0.25">
      <c r="A159" s="1506">
        <v>3299</v>
      </c>
      <c r="B159" s="1507">
        <v>5221</v>
      </c>
      <c r="C159" s="1507">
        <v>32533006</v>
      </c>
      <c r="D159" s="1516" t="s">
        <v>1183</v>
      </c>
      <c r="E159" s="1508">
        <v>0</v>
      </c>
      <c r="F159" s="1508"/>
      <c r="G159" s="1509"/>
      <c r="H159" s="1510">
        <v>84.9</v>
      </c>
      <c r="I159" s="1491"/>
    </row>
    <row r="160" spans="1:9" ht="15" hidden="1" customHeight="1" thickTop="1" thickBot="1" x14ac:dyDescent="0.3">
      <c r="A160" s="1511" t="s">
        <v>690</v>
      </c>
      <c r="B160" s="1512"/>
      <c r="C160" s="1512"/>
      <c r="D160" s="1513"/>
      <c r="E160" s="1514">
        <v>0</v>
      </c>
      <c r="F160" s="1514">
        <f>SUM(F158:F159)</f>
        <v>0</v>
      </c>
      <c r="G160" s="1514">
        <f>SUM(G158:G159)</f>
        <v>0</v>
      </c>
      <c r="H160" s="1515">
        <v>84.9</v>
      </c>
      <c r="I160" s="1491"/>
    </row>
    <row r="161" spans="1:9" ht="15" hidden="1" customHeight="1" thickTop="1" x14ac:dyDescent="0.2">
      <c r="I161" s="1398"/>
    </row>
    <row r="162" spans="1:9" ht="15" hidden="1" customHeight="1" x14ac:dyDescent="0.25">
      <c r="A162" s="1377" t="s">
        <v>904</v>
      </c>
      <c r="D162" s="1371"/>
      <c r="E162" s="1372"/>
      <c r="H162" s="1398"/>
      <c r="I162" s="1398"/>
    </row>
    <row r="163" spans="1:9" ht="15" hidden="1" customHeight="1" thickBot="1" x14ac:dyDescent="0.3">
      <c r="A163" s="1377" t="s">
        <v>869</v>
      </c>
      <c r="D163" s="1371"/>
      <c r="E163" s="1372"/>
      <c r="H163" s="1459" t="s">
        <v>148</v>
      </c>
      <c r="I163" s="1398"/>
    </row>
    <row r="164" spans="1:9" ht="25.5" hidden="1" customHeight="1" thickTop="1" thickBot="1" x14ac:dyDescent="0.25">
      <c r="A164" s="1378" t="s">
        <v>149</v>
      </c>
      <c r="B164" s="1379" t="s">
        <v>688</v>
      </c>
      <c r="C164" s="1379" t="s">
        <v>345</v>
      </c>
      <c r="D164" s="1380" t="s">
        <v>151</v>
      </c>
      <c r="E164" s="1402" t="s">
        <v>569</v>
      </c>
      <c r="F164" s="1402" t="s">
        <v>570</v>
      </c>
      <c r="G164" s="1403" t="s">
        <v>797</v>
      </c>
      <c r="H164" s="1404" t="s">
        <v>798</v>
      </c>
      <c r="I164" s="1398"/>
    </row>
    <row r="165" spans="1:9" ht="15" hidden="1" customHeight="1" thickTop="1" thickBot="1" x14ac:dyDescent="0.25">
      <c r="A165" s="1297">
        <v>1</v>
      </c>
      <c r="B165" s="1296">
        <v>2</v>
      </c>
      <c r="C165" s="1296">
        <v>3</v>
      </c>
      <c r="D165" s="1296">
        <v>5</v>
      </c>
      <c r="E165" s="1295">
        <v>6</v>
      </c>
      <c r="F165" s="1295">
        <v>7</v>
      </c>
      <c r="G165" s="1446">
        <v>8</v>
      </c>
      <c r="H165" s="1383" t="s">
        <v>689</v>
      </c>
      <c r="I165" s="1398"/>
    </row>
    <row r="166" spans="1:9" ht="42.75" hidden="1" customHeight="1" thickTop="1" x14ac:dyDescent="0.2">
      <c r="A166" s="1463">
        <v>3299</v>
      </c>
      <c r="B166" s="1469">
        <v>5213</v>
      </c>
      <c r="C166" s="1469">
        <v>32133006</v>
      </c>
      <c r="D166" s="1405" t="s">
        <v>903</v>
      </c>
      <c r="E166" s="1401">
        <v>0</v>
      </c>
      <c r="F166" s="1401"/>
      <c r="G166" s="1456"/>
      <c r="H166" s="1388" t="e">
        <f>G166/F166*100</f>
        <v>#DIV/0!</v>
      </c>
      <c r="I166" s="1398"/>
    </row>
    <row r="167" spans="1:9" ht="47.25" hidden="1" customHeight="1" thickBot="1" x14ac:dyDescent="0.25">
      <c r="A167" s="1463">
        <v>3299</v>
      </c>
      <c r="B167" s="1469">
        <v>5213</v>
      </c>
      <c r="C167" s="1469">
        <v>32533006</v>
      </c>
      <c r="D167" s="1405" t="s">
        <v>903</v>
      </c>
      <c r="E167" s="1414">
        <v>0</v>
      </c>
      <c r="F167" s="1414"/>
      <c r="G167" s="1453"/>
      <c r="H167" s="1390" t="e">
        <f>G167/F167*100</f>
        <v>#DIV/0!</v>
      </c>
      <c r="I167" s="1398"/>
    </row>
    <row r="168" spans="1:9" ht="47.25" hidden="1" customHeight="1" x14ac:dyDescent="0.2">
      <c r="A168" s="1517">
        <v>3299</v>
      </c>
      <c r="B168" s="1518">
        <v>6313</v>
      </c>
      <c r="C168" s="1469">
        <v>32133006</v>
      </c>
      <c r="D168" s="1481" t="s">
        <v>905</v>
      </c>
      <c r="E168" s="1414">
        <v>0</v>
      </c>
      <c r="F168" s="1414">
        <v>0</v>
      </c>
      <c r="G168" s="1453">
        <v>0</v>
      </c>
      <c r="H168" s="1390" t="e">
        <f>G168/F168*100</f>
        <v>#DIV/0!</v>
      </c>
      <c r="I168" s="1398"/>
    </row>
    <row r="169" spans="1:9" ht="47.25" hidden="1" customHeight="1" thickBot="1" x14ac:dyDescent="0.25">
      <c r="A169" s="1517">
        <v>3299</v>
      </c>
      <c r="B169" s="1483">
        <v>6313</v>
      </c>
      <c r="C169" s="1519">
        <v>32533006</v>
      </c>
      <c r="D169" s="1410" t="s">
        <v>905</v>
      </c>
      <c r="E169" s="1414">
        <v>0</v>
      </c>
      <c r="F169" s="1414">
        <v>0</v>
      </c>
      <c r="G169" s="1453">
        <v>0</v>
      </c>
      <c r="H169" s="1390" t="e">
        <f>G169/F169*100</f>
        <v>#DIV/0!</v>
      </c>
      <c r="I169" s="1398"/>
    </row>
    <row r="170" spans="1:9" ht="16.5" hidden="1" customHeight="1" thickTop="1" thickBot="1" x14ac:dyDescent="0.3">
      <c r="A170" s="1406" t="s">
        <v>690</v>
      </c>
      <c r="B170" s="1407"/>
      <c r="C170" s="1407"/>
      <c r="D170" s="1408"/>
      <c r="E170" s="1387">
        <f>SUM(E166:E167)</f>
        <v>0</v>
      </c>
      <c r="F170" s="1387">
        <f>SUM(F166:F169)</f>
        <v>0</v>
      </c>
      <c r="G170" s="1387">
        <f>SUM(G166:G169)</f>
        <v>0</v>
      </c>
      <c r="H170" s="1391" t="e">
        <f>G170/F170*100</f>
        <v>#DIV/0!</v>
      </c>
      <c r="I170" s="1398"/>
    </row>
    <row r="171" spans="1:9" ht="15" hidden="1" customHeight="1" thickTop="1" x14ac:dyDescent="0.2">
      <c r="I171" s="1398"/>
    </row>
    <row r="172" spans="1:9" ht="15" hidden="1" customHeight="1" x14ac:dyDescent="0.25">
      <c r="A172" s="1377" t="s">
        <v>1429</v>
      </c>
      <c r="D172" s="1371"/>
      <c r="E172" s="1372"/>
      <c r="H172" s="1398"/>
      <c r="I172" s="1398"/>
    </row>
    <row r="173" spans="1:9" ht="15" hidden="1" customHeight="1" thickBot="1" x14ac:dyDescent="0.3">
      <c r="A173" s="1377" t="s">
        <v>906</v>
      </c>
      <c r="D173" s="1371"/>
      <c r="E173" s="1372"/>
      <c r="H173" s="1459" t="s">
        <v>148</v>
      </c>
      <c r="I173" s="1398"/>
    </row>
    <row r="174" spans="1:9" ht="25.5" hidden="1" customHeight="1" thickTop="1" thickBot="1" x14ac:dyDescent="0.25">
      <c r="A174" s="1378" t="s">
        <v>149</v>
      </c>
      <c r="B174" s="1379" t="s">
        <v>688</v>
      </c>
      <c r="C174" s="1379" t="s">
        <v>345</v>
      </c>
      <c r="D174" s="1380" t="s">
        <v>151</v>
      </c>
      <c r="E174" s="1402" t="s">
        <v>569</v>
      </c>
      <c r="F174" s="1402" t="s">
        <v>570</v>
      </c>
      <c r="G174" s="1403" t="s">
        <v>797</v>
      </c>
      <c r="H174" s="1404" t="s">
        <v>798</v>
      </c>
      <c r="I174" s="1398"/>
    </row>
    <row r="175" spans="1:9" ht="15" hidden="1" customHeight="1" thickTop="1" thickBot="1" x14ac:dyDescent="0.25">
      <c r="A175" s="1297">
        <v>1</v>
      </c>
      <c r="B175" s="1296">
        <v>2</v>
      </c>
      <c r="C175" s="1296">
        <v>3</v>
      </c>
      <c r="D175" s="1296">
        <v>5</v>
      </c>
      <c r="E175" s="1295">
        <v>6</v>
      </c>
      <c r="F175" s="1295">
        <v>7</v>
      </c>
      <c r="G175" s="1446">
        <v>8</v>
      </c>
      <c r="H175" s="1383" t="s">
        <v>689</v>
      </c>
      <c r="I175" s="1398"/>
    </row>
    <row r="176" spans="1:9" ht="30.75" hidden="1" customHeight="1" thickTop="1" x14ac:dyDescent="0.2">
      <c r="A176" s="1463">
        <v>3299</v>
      </c>
      <c r="B176" s="1469">
        <v>5221</v>
      </c>
      <c r="C176" s="1469">
        <v>32133006</v>
      </c>
      <c r="D176" s="1405" t="s">
        <v>1183</v>
      </c>
      <c r="E176" s="1401">
        <v>0</v>
      </c>
      <c r="F176" s="1401"/>
      <c r="G176" s="1456"/>
      <c r="H176" s="1388" t="e">
        <f>G176/F176*100</f>
        <v>#DIV/0!</v>
      </c>
      <c r="I176" s="1398"/>
    </row>
    <row r="177" spans="1:9" ht="30.75" hidden="1" customHeight="1" thickBot="1" x14ac:dyDescent="0.25">
      <c r="A177" s="1463">
        <v>3299</v>
      </c>
      <c r="B177" s="1469">
        <v>5221</v>
      </c>
      <c r="C177" s="1469">
        <v>32533006</v>
      </c>
      <c r="D177" s="1405" t="s">
        <v>1183</v>
      </c>
      <c r="E177" s="1414">
        <v>0</v>
      </c>
      <c r="F177" s="1414"/>
      <c r="G177" s="1453"/>
      <c r="H177" s="1390" t="e">
        <f>G177/F177*100</f>
        <v>#DIV/0!</v>
      </c>
      <c r="I177" s="1398"/>
    </row>
    <row r="178" spans="1:9" ht="15" hidden="1" customHeight="1" thickTop="1" thickBot="1" x14ac:dyDescent="0.3">
      <c r="A178" s="1406" t="s">
        <v>690</v>
      </c>
      <c r="B178" s="1407"/>
      <c r="C178" s="1407"/>
      <c r="D178" s="1408"/>
      <c r="E178" s="1387">
        <f>SUM(E176:E177)</f>
        <v>0</v>
      </c>
      <c r="F178" s="1387">
        <f>SUM(F176:F177)</f>
        <v>0</v>
      </c>
      <c r="G178" s="1387">
        <f>SUM(G176:G177)</f>
        <v>0</v>
      </c>
      <c r="H178" s="1391" t="e">
        <f>G178/F178*100</f>
        <v>#DIV/0!</v>
      </c>
      <c r="I178" s="1398"/>
    </row>
    <row r="179" spans="1:9" ht="15" hidden="1" customHeight="1" thickTop="1" x14ac:dyDescent="0.2">
      <c r="I179" s="1398"/>
    </row>
    <row r="180" spans="1:9" ht="15" hidden="1" customHeight="1" x14ac:dyDescent="0.25">
      <c r="A180" s="1377" t="s">
        <v>1430</v>
      </c>
      <c r="D180" s="1371"/>
      <c r="E180" s="1372"/>
      <c r="H180" s="1398"/>
      <c r="I180" s="1398"/>
    </row>
    <row r="181" spans="1:9" ht="15" hidden="1" customHeight="1" thickBot="1" x14ac:dyDescent="0.3">
      <c r="A181" s="1377" t="s">
        <v>907</v>
      </c>
      <c r="D181" s="1371"/>
      <c r="E181" s="1372"/>
      <c r="H181" s="1459" t="s">
        <v>148</v>
      </c>
      <c r="I181" s="1398"/>
    </row>
    <row r="182" spans="1:9" ht="25.5" hidden="1" customHeight="1" thickTop="1" thickBot="1" x14ac:dyDescent="0.25">
      <c r="A182" s="1378" t="s">
        <v>149</v>
      </c>
      <c r="B182" s="1379" t="s">
        <v>688</v>
      </c>
      <c r="C182" s="1379" t="s">
        <v>345</v>
      </c>
      <c r="D182" s="1380" t="s">
        <v>151</v>
      </c>
      <c r="E182" s="1402" t="s">
        <v>569</v>
      </c>
      <c r="F182" s="1402" t="s">
        <v>570</v>
      </c>
      <c r="G182" s="1403" t="s">
        <v>797</v>
      </c>
      <c r="H182" s="1404" t="s">
        <v>798</v>
      </c>
      <c r="I182" s="1398"/>
    </row>
    <row r="183" spans="1:9" ht="15" hidden="1" customHeight="1" thickTop="1" thickBot="1" x14ac:dyDescent="0.25">
      <c r="A183" s="1297">
        <v>1</v>
      </c>
      <c r="B183" s="1296">
        <v>2</v>
      </c>
      <c r="C183" s="1296">
        <v>3</v>
      </c>
      <c r="D183" s="1296">
        <v>5</v>
      </c>
      <c r="E183" s="1295">
        <v>6</v>
      </c>
      <c r="F183" s="1295">
        <v>7</v>
      </c>
      <c r="G183" s="1446">
        <v>8</v>
      </c>
      <c r="H183" s="1383" t="s">
        <v>689</v>
      </c>
      <c r="I183" s="1398"/>
    </row>
    <row r="184" spans="1:9" ht="30.75" hidden="1" customHeight="1" thickTop="1" x14ac:dyDescent="0.2">
      <c r="A184" s="1463">
        <v>3299</v>
      </c>
      <c r="B184" s="1469">
        <v>5222</v>
      </c>
      <c r="C184" s="1469">
        <v>32133006</v>
      </c>
      <c r="D184" s="1405" t="s">
        <v>202</v>
      </c>
      <c r="E184" s="1401">
        <v>0</v>
      </c>
      <c r="F184" s="1401"/>
      <c r="G184" s="1456"/>
      <c r="H184" s="1388" t="e">
        <f>G184/F184*100</f>
        <v>#DIV/0!</v>
      </c>
      <c r="I184" s="1398"/>
    </row>
    <row r="185" spans="1:9" ht="30.75" hidden="1" customHeight="1" thickBot="1" x14ac:dyDescent="0.25">
      <c r="A185" s="1463">
        <v>3299</v>
      </c>
      <c r="B185" s="1469">
        <v>5222</v>
      </c>
      <c r="C185" s="1469">
        <v>32533006</v>
      </c>
      <c r="D185" s="1405" t="s">
        <v>202</v>
      </c>
      <c r="E185" s="1414">
        <v>0</v>
      </c>
      <c r="F185" s="1414"/>
      <c r="G185" s="1453"/>
      <c r="H185" s="1390" t="e">
        <f>G185/F185*100</f>
        <v>#DIV/0!</v>
      </c>
      <c r="I185" s="1398"/>
    </row>
    <row r="186" spans="1:9" ht="15" hidden="1" customHeight="1" thickTop="1" thickBot="1" x14ac:dyDescent="0.3">
      <c r="A186" s="1406" t="s">
        <v>690</v>
      </c>
      <c r="B186" s="1407"/>
      <c r="C186" s="1407"/>
      <c r="D186" s="1408"/>
      <c r="E186" s="1387">
        <f>SUM(E184:E185)</f>
        <v>0</v>
      </c>
      <c r="F186" s="1387">
        <f>SUM(F184:F185)</f>
        <v>0</v>
      </c>
      <c r="G186" s="1387">
        <f>SUM(G184:G185)</f>
        <v>0</v>
      </c>
      <c r="H186" s="1391" t="e">
        <f>G186/F186*100</f>
        <v>#DIV/0!</v>
      </c>
      <c r="I186" s="1398"/>
    </row>
    <row r="187" spans="1:9" ht="15" hidden="1" customHeight="1" thickTop="1" x14ac:dyDescent="0.2">
      <c r="I187" s="1398"/>
    </row>
    <row r="188" spans="1:9" ht="15" hidden="1" customHeight="1" x14ac:dyDescent="0.25">
      <c r="A188" s="1377" t="s">
        <v>208</v>
      </c>
      <c r="D188" s="1371"/>
      <c r="E188" s="1372"/>
      <c r="H188" s="1398"/>
      <c r="I188" s="1398"/>
    </row>
    <row r="189" spans="1:9" ht="15" hidden="1" customHeight="1" thickBot="1" x14ac:dyDescent="0.3">
      <c r="A189" s="1377" t="s">
        <v>209</v>
      </c>
      <c r="D189" s="1371"/>
      <c r="E189" s="1372"/>
      <c r="H189" s="1398" t="s">
        <v>148</v>
      </c>
      <c r="I189" s="1398"/>
    </row>
    <row r="190" spans="1:9" ht="25.5" hidden="1" customHeight="1" thickTop="1" thickBot="1" x14ac:dyDescent="0.25">
      <c r="A190" s="1378" t="s">
        <v>149</v>
      </c>
      <c r="B190" s="1379" t="s">
        <v>688</v>
      </c>
      <c r="C190" s="1379" t="s">
        <v>345</v>
      </c>
      <c r="D190" s="1380" t="s">
        <v>151</v>
      </c>
      <c r="E190" s="1402" t="s">
        <v>569</v>
      </c>
      <c r="F190" s="1402" t="s">
        <v>570</v>
      </c>
      <c r="G190" s="1403" t="s">
        <v>797</v>
      </c>
      <c r="H190" s="1404" t="s">
        <v>798</v>
      </c>
      <c r="I190" s="1398"/>
    </row>
    <row r="191" spans="1:9" ht="15" hidden="1" customHeight="1" thickTop="1" thickBot="1" x14ac:dyDescent="0.25">
      <c r="A191" s="1297">
        <v>1</v>
      </c>
      <c r="B191" s="1296">
        <v>2</v>
      </c>
      <c r="C191" s="1296">
        <v>3</v>
      </c>
      <c r="D191" s="1296">
        <v>5</v>
      </c>
      <c r="E191" s="1295">
        <v>6</v>
      </c>
      <c r="F191" s="1295">
        <v>7</v>
      </c>
      <c r="G191" s="1446">
        <v>8</v>
      </c>
      <c r="H191" s="1383" t="s">
        <v>689</v>
      </c>
      <c r="I191" s="1398"/>
    </row>
    <row r="192" spans="1:9" ht="15" hidden="1" customHeight="1" thickTop="1" x14ac:dyDescent="0.25">
      <c r="A192" s="1384">
        <v>3299</v>
      </c>
      <c r="B192" s="1385">
        <v>5321</v>
      </c>
      <c r="C192" s="1385">
        <v>32133006</v>
      </c>
      <c r="D192" s="1454" t="s">
        <v>1078</v>
      </c>
      <c r="E192" s="1401">
        <v>0</v>
      </c>
      <c r="F192" s="1401">
        <v>0</v>
      </c>
      <c r="G192" s="1456">
        <v>0</v>
      </c>
      <c r="H192" s="1388" t="e">
        <f>G192/F192*100</f>
        <v>#DIV/0!</v>
      </c>
      <c r="I192" s="1398"/>
    </row>
    <row r="193" spans="1:9" ht="15" hidden="1" customHeight="1" thickBot="1" x14ac:dyDescent="0.3">
      <c r="A193" s="1384">
        <v>3299</v>
      </c>
      <c r="B193" s="1385">
        <v>5321</v>
      </c>
      <c r="C193" s="1385">
        <v>32533006</v>
      </c>
      <c r="D193" s="1454" t="s">
        <v>1078</v>
      </c>
      <c r="E193" s="1414">
        <v>0</v>
      </c>
      <c r="F193" s="1414">
        <v>0</v>
      </c>
      <c r="G193" s="1453">
        <v>0</v>
      </c>
      <c r="H193" s="1390" t="e">
        <f>G193/F193*100</f>
        <v>#DIV/0!</v>
      </c>
      <c r="I193" s="1398"/>
    </row>
    <row r="194" spans="1:9" ht="15" hidden="1" customHeight="1" thickTop="1" thickBot="1" x14ac:dyDescent="0.3">
      <c r="A194" s="1406" t="s">
        <v>690</v>
      </c>
      <c r="B194" s="1407"/>
      <c r="C194" s="1407"/>
      <c r="D194" s="1408"/>
      <c r="E194" s="1387">
        <f>SUM(E192:E193)</f>
        <v>0</v>
      </c>
      <c r="F194" s="1387">
        <f>SUM(F192:F193)</f>
        <v>0</v>
      </c>
      <c r="G194" s="1387">
        <f>SUM(G192:G193)</f>
        <v>0</v>
      </c>
      <c r="H194" s="1391" t="e">
        <f>G194/F194*100</f>
        <v>#DIV/0!</v>
      </c>
      <c r="I194" s="1398"/>
    </row>
    <row r="195" spans="1:9" ht="15" hidden="1" customHeight="1" thickTop="1" x14ac:dyDescent="0.2">
      <c r="I195" s="1398"/>
    </row>
    <row r="196" spans="1:9" ht="15" hidden="1" customHeight="1" x14ac:dyDescent="0.25">
      <c r="A196" s="1377" t="s">
        <v>884</v>
      </c>
      <c r="D196" s="1371"/>
      <c r="E196" s="1372"/>
      <c r="H196" s="1398"/>
      <c r="I196" s="1398"/>
    </row>
    <row r="197" spans="1:9" ht="15" hidden="1" customHeight="1" thickBot="1" x14ac:dyDescent="0.3">
      <c r="A197" s="1377" t="s">
        <v>885</v>
      </c>
      <c r="D197" s="1371"/>
      <c r="E197" s="1372"/>
      <c r="H197" s="1459" t="s">
        <v>148</v>
      </c>
      <c r="I197" s="1398"/>
    </row>
    <row r="198" spans="1:9" ht="25.5" hidden="1" customHeight="1" thickTop="1" thickBot="1" x14ac:dyDescent="0.25">
      <c r="A198" s="1378" t="s">
        <v>149</v>
      </c>
      <c r="B198" s="1379" t="s">
        <v>688</v>
      </c>
      <c r="C198" s="1379" t="s">
        <v>345</v>
      </c>
      <c r="D198" s="1380" t="s">
        <v>151</v>
      </c>
      <c r="E198" s="1402" t="s">
        <v>569</v>
      </c>
      <c r="F198" s="1402" t="s">
        <v>570</v>
      </c>
      <c r="G198" s="1403" t="s">
        <v>797</v>
      </c>
      <c r="H198" s="1404" t="s">
        <v>798</v>
      </c>
      <c r="I198" s="1398"/>
    </row>
    <row r="199" spans="1:9" ht="15" hidden="1" customHeight="1" thickTop="1" thickBot="1" x14ac:dyDescent="0.25">
      <c r="A199" s="1297">
        <v>1</v>
      </c>
      <c r="B199" s="1296">
        <v>2</v>
      </c>
      <c r="C199" s="1296">
        <v>3</v>
      </c>
      <c r="D199" s="1296">
        <v>5</v>
      </c>
      <c r="E199" s="1295">
        <v>6</v>
      </c>
      <c r="F199" s="1295">
        <v>7</v>
      </c>
      <c r="G199" s="1446">
        <v>8</v>
      </c>
      <c r="H199" s="1383" t="s">
        <v>689</v>
      </c>
      <c r="I199" s="1398"/>
    </row>
    <row r="200" spans="1:9" ht="15" hidden="1" customHeight="1" thickTop="1" x14ac:dyDescent="0.25">
      <c r="A200" s="1384">
        <v>3299</v>
      </c>
      <c r="B200" s="1385">
        <v>5321</v>
      </c>
      <c r="C200" s="1385">
        <v>32133006</v>
      </c>
      <c r="D200" s="1454" t="s">
        <v>1078</v>
      </c>
      <c r="E200" s="1401">
        <v>0</v>
      </c>
      <c r="F200" s="1401"/>
      <c r="G200" s="1456"/>
      <c r="H200" s="1388" t="e">
        <f>G200/F200*100</f>
        <v>#DIV/0!</v>
      </c>
      <c r="I200" s="1398"/>
    </row>
    <row r="201" spans="1:9" ht="15" hidden="1" customHeight="1" thickBot="1" x14ac:dyDescent="0.3">
      <c r="A201" s="1384">
        <v>3299</v>
      </c>
      <c r="B201" s="1385">
        <v>5321</v>
      </c>
      <c r="C201" s="1385">
        <v>32533006</v>
      </c>
      <c r="D201" s="1454" t="s">
        <v>1078</v>
      </c>
      <c r="E201" s="1414">
        <v>0</v>
      </c>
      <c r="F201" s="1414"/>
      <c r="G201" s="1453"/>
      <c r="H201" s="1390" t="e">
        <f>G201/F201*100</f>
        <v>#DIV/0!</v>
      </c>
      <c r="I201" s="1398"/>
    </row>
    <row r="202" spans="1:9" ht="15" hidden="1" customHeight="1" x14ac:dyDescent="0.25">
      <c r="A202" s="1384">
        <v>3299</v>
      </c>
      <c r="B202" s="1427">
        <v>6341</v>
      </c>
      <c r="C202" s="1385">
        <v>32133006</v>
      </c>
      <c r="D202" s="1520" t="s">
        <v>227</v>
      </c>
      <c r="E202" s="1414">
        <v>0</v>
      </c>
      <c r="F202" s="1414">
        <v>0</v>
      </c>
      <c r="G202" s="1453">
        <v>0</v>
      </c>
      <c r="H202" s="1390" t="e">
        <f>G202/F202*100</f>
        <v>#DIV/0!</v>
      </c>
      <c r="I202" s="1398"/>
    </row>
    <row r="203" spans="1:9" ht="15" hidden="1" customHeight="1" thickBot="1" x14ac:dyDescent="0.3">
      <c r="A203" s="1416">
        <v>3299</v>
      </c>
      <c r="B203" s="1395">
        <v>6341</v>
      </c>
      <c r="C203" s="1395">
        <v>32533006</v>
      </c>
      <c r="D203" s="1520" t="s">
        <v>227</v>
      </c>
      <c r="E203" s="1414">
        <v>0</v>
      </c>
      <c r="F203" s="1414">
        <v>0</v>
      </c>
      <c r="G203" s="1453">
        <v>0</v>
      </c>
      <c r="H203" s="1390" t="e">
        <f>G203/F203*100</f>
        <v>#DIV/0!</v>
      </c>
      <c r="I203" s="1398"/>
    </row>
    <row r="204" spans="1:9" ht="15" hidden="1" customHeight="1" thickTop="1" thickBot="1" x14ac:dyDescent="0.3">
      <c r="A204" s="1406" t="s">
        <v>690</v>
      </c>
      <c r="B204" s="1407"/>
      <c r="C204" s="1407"/>
      <c r="D204" s="1408"/>
      <c r="E204" s="1387">
        <f>SUM(E200:E201)</f>
        <v>0</v>
      </c>
      <c r="F204" s="1387">
        <f>SUM(F200:F203)</f>
        <v>0</v>
      </c>
      <c r="G204" s="1387">
        <f>SUM(G200:G203)</f>
        <v>0</v>
      </c>
      <c r="H204" s="1391" t="e">
        <f>G204/F204*100</f>
        <v>#DIV/0!</v>
      </c>
      <c r="I204" s="1398"/>
    </row>
    <row r="205" spans="1:9" ht="15" hidden="1" customHeight="1" thickTop="1" x14ac:dyDescent="0.2">
      <c r="I205" s="1398"/>
    </row>
    <row r="206" spans="1:9" ht="15" hidden="1" x14ac:dyDescent="0.25">
      <c r="A206" s="1377" t="s">
        <v>908</v>
      </c>
      <c r="D206" s="1371"/>
      <c r="E206" s="1372"/>
      <c r="H206" s="1398"/>
      <c r="I206" s="1398"/>
    </row>
    <row r="207" spans="1:9" ht="15" hidden="1" x14ac:dyDescent="0.25">
      <c r="A207" s="1377" t="s">
        <v>909</v>
      </c>
      <c r="D207" s="1371"/>
      <c r="E207" s="1372"/>
      <c r="H207" s="1459" t="s">
        <v>148</v>
      </c>
      <c r="I207" s="1398"/>
    </row>
    <row r="208" spans="1:9" ht="25.5" hidden="1" thickTop="1" thickBot="1" x14ac:dyDescent="0.25">
      <c r="A208" s="1378" t="s">
        <v>149</v>
      </c>
      <c r="B208" s="1379" t="s">
        <v>688</v>
      </c>
      <c r="C208" s="1379" t="s">
        <v>345</v>
      </c>
      <c r="D208" s="1380" t="s">
        <v>151</v>
      </c>
      <c r="E208" s="1402" t="s">
        <v>569</v>
      </c>
      <c r="F208" s="1402" t="s">
        <v>570</v>
      </c>
      <c r="G208" s="1403" t="s">
        <v>797</v>
      </c>
      <c r="H208" s="1404" t="s">
        <v>798</v>
      </c>
      <c r="I208" s="1398"/>
    </row>
    <row r="209" spans="1:9" ht="14.25" hidden="1" thickTop="1" thickBot="1" x14ac:dyDescent="0.25">
      <c r="A209" s="1297">
        <v>1</v>
      </c>
      <c r="B209" s="1296">
        <v>2</v>
      </c>
      <c r="C209" s="1296">
        <v>3</v>
      </c>
      <c r="D209" s="1296">
        <v>5</v>
      </c>
      <c r="E209" s="1295">
        <v>6</v>
      </c>
      <c r="F209" s="1295">
        <v>7</v>
      </c>
      <c r="G209" s="1446">
        <v>8</v>
      </c>
      <c r="H209" s="1383" t="s">
        <v>689</v>
      </c>
      <c r="I209" s="1398"/>
    </row>
    <row r="210" spans="1:9" ht="15.75" hidden="1" thickTop="1" x14ac:dyDescent="0.25">
      <c r="A210" s="1384">
        <v>3299</v>
      </c>
      <c r="B210" s="1385">
        <v>5321</v>
      </c>
      <c r="C210" s="1385">
        <v>32133006</v>
      </c>
      <c r="D210" s="1454" t="s">
        <v>1078</v>
      </c>
      <c r="E210" s="1401">
        <v>0</v>
      </c>
      <c r="F210" s="1401"/>
      <c r="G210" s="1456"/>
      <c r="H210" s="1388" t="e">
        <f>G210/F210*100</f>
        <v>#DIV/0!</v>
      </c>
      <c r="I210" s="1398"/>
    </row>
    <row r="211" spans="1:9" ht="15" hidden="1" x14ac:dyDescent="0.25">
      <c r="A211" s="1384">
        <v>3299</v>
      </c>
      <c r="B211" s="1385">
        <v>5321</v>
      </c>
      <c r="C211" s="1385">
        <v>32533006</v>
      </c>
      <c r="D211" s="1454" t="s">
        <v>1078</v>
      </c>
      <c r="E211" s="1414">
        <v>0</v>
      </c>
      <c r="F211" s="1414"/>
      <c r="G211" s="1453"/>
      <c r="H211" s="1390" t="e">
        <f>G211/F211*100</f>
        <v>#DIV/0!</v>
      </c>
      <c r="I211" s="1398"/>
    </row>
    <row r="212" spans="1:9" ht="16.5" hidden="1" thickTop="1" thickBot="1" x14ac:dyDescent="0.3">
      <c r="A212" s="1406" t="s">
        <v>690</v>
      </c>
      <c r="B212" s="1407"/>
      <c r="C212" s="1407"/>
      <c r="D212" s="1408"/>
      <c r="E212" s="1387">
        <f>SUM(E210:E211)</f>
        <v>0</v>
      </c>
      <c r="F212" s="1387">
        <f>SUM(F210:F211)</f>
        <v>0</v>
      </c>
      <c r="G212" s="1387">
        <f>SUM(G210:G211)</f>
        <v>0</v>
      </c>
      <c r="H212" s="1391" t="e">
        <f>G212/F212*100</f>
        <v>#DIV/0!</v>
      </c>
      <c r="I212" s="1398"/>
    </row>
    <row r="213" spans="1:9" ht="15" hidden="1" customHeight="1" thickTop="1" x14ac:dyDescent="0.2">
      <c r="I213" s="1398"/>
    </row>
    <row r="214" spans="1:9" ht="15" hidden="1" x14ac:dyDescent="0.25">
      <c r="A214" s="1377" t="s">
        <v>910</v>
      </c>
      <c r="D214" s="1371"/>
      <c r="E214" s="1372"/>
      <c r="H214" s="1398"/>
      <c r="I214" s="1398"/>
    </row>
    <row r="215" spans="1:9" ht="15" hidden="1" x14ac:dyDescent="0.25">
      <c r="A215" s="1377" t="s">
        <v>1032</v>
      </c>
      <c r="D215" s="1371"/>
      <c r="E215" s="1372"/>
      <c r="H215" s="1459" t="s">
        <v>148</v>
      </c>
      <c r="I215" s="1398"/>
    </row>
    <row r="216" spans="1:9" ht="25.5" hidden="1" thickTop="1" thickBot="1" x14ac:dyDescent="0.25">
      <c r="A216" s="1378" t="s">
        <v>149</v>
      </c>
      <c r="B216" s="1379" t="s">
        <v>688</v>
      </c>
      <c r="C216" s="1379" t="s">
        <v>345</v>
      </c>
      <c r="D216" s="1380" t="s">
        <v>151</v>
      </c>
      <c r="E216" s="1402" t="s">
        <v>569</v>
      </c>
      <c r="F216" s="1402" t="s">
        <v>570</v>
      </c>
      <c r="G216" s="1403" t="s">
        <v>797</v>
      </c>
      <c r="H216" s="1404" t="s">
        <v>798</v>
      </c>
      <c r="I216" s="1398"/>
    </row>
    <row r="217" spans="1:9" ht="14.25" hidden="1" thickTop="1" thickBot="1" x14ac:dyDescent="0.25">
      <c r="A217" s="1297">
        <v>1</v>
      </c>
      <c r="B217" s="1296">
        <v>2</v>
      </c>
      <c r="C217" s="1296">
        <v>3</v>
      </c>
      <c r="D217" s="1296">
        <v>5</v>
      </c>
      <c r="E217" s="1295">
        <v>6</v>
      </c>
      <c r="F217" s="1295">
        <v>7</v>
      </c>
      <c r="G217" s="1446">
        <v>8</v>
      </c>
      <c r="H217" s="1383" t="s">
        <v>689</v>
      </c>
      <c r="I217" s="1398"/>
    </row>
    <row r="218" spans="1:9" ht="15.75" hidden="1" thickTop="1" x14ac:dyDescent="0.25">
      <c r="A218" s="1384">
        <v>3299</v>
      </c>
      <c r="B218" s="1385">
        <v>5321</v>
      </c>
      <c r="C218" s="1385">
        <v>32133006</v>
      </c>
      <c r="D218" s="1454" t="s">
        <v>1078</v>
      </c>
      <c r="E218" s="1401">
        <v>0</v>
      </c>
      <c r="F218" s="1401"/>
      <c r="G218" s="1456"/>
      <c r="H218" s="1388" t="e">
        <f>G218/F218*100</f>
        <v>#DIV/0!</v>
      </c>
      <c r="I218" s="1398"/>
    </row>
    <row r="219" spans="1:9" ht="15" hidden="1" x14ac:dyDescent="0.25">
      <c r="A219" s="1384">
        <v>3299</v>
      </c>
      <c r="B219" s="1385">
        <v>5321</v>
      </c>
      <c r="C219" s="1385">
        <v>32533006</v>
      </c>
      <c r="D219" s="1454" t="s">
        <v>1078</v>
      </c>
      <c r="E219" s="1414">
        <v>0</v>
      </c>
      <c r="F219" s="1414"/>
      <c r="G219" s="1453"/>
      <c r="H219" s="1390" t="e">
        <f>G219/F219*100</f>
        <v>#DIV/0!</v>
      </c>
      <c r="I219" s="1398"/>
    </row>
    <row r="220" spans="1:9" ht="15" hidden="1" x14ac:dyDescent="0.25">
      <c r="A220" s="1457">
        <v>3299</v>
      </c>
      <c r="B220" s="1521">
        <v>6341</v>
      </c>
      <c r="C220" s="1521">
        <v>32133006</v>
      </c>
      <c r="D220" s="1454" t="s">
        <v>227</v>
      </c>
      <c r="E220" s="1414">
        <v>0</v>
      </c>
      <c r="F220" s="1414">
        <v>0</v>
      </c>
      <c r="G220" s="1453">
        <v>0</v>
      </c>
      <c r="H220" s="1390" t="e">
        <f>G220/F220*100</f>
        <v>#DIV/0!</v>
      </c>
      <c r="I220" s="1398"/>
    </row>
    <row r="221" spans="1:9" ht="15.75" hidden="1" thickBot="1" x14ac:dyDescent="0.3">
      <c r="A221" s="1457">
        <v>3299</v>
      </c>
      <c r="B221" s="1428">
        <v>6341</v>
      </c>
      <c r="C221" s="1395">
        <v>32533006</v>
      </c>
      <c r="D221" s="1520" t="s">
        <v>227</v>
      </c>
      <c r="E221" s="1414">
        <v>0</v>
      </c>
      <c r="F221" s="1414">
        <v>0</v>
      </c>
      <c r="G221" s="1453">
        <v>0</v>
      </c>
      <c r="H221" s="1390" t="e">
        <f>G221/F221*100</f>
        <v>#DIV/0!</v>
      </c>
      <c r="I221" s="1398"/>
    </row>
    <row r="222" spans="1:9" ht="16.5" hidden="1" thickTop="1" thickBot="1" x14ac:dyDescent="0.3">
      <c r="A222" s="1406" t="s">
        <v>690</v>
      </c>
      <c r="B222" s="1407"/>
      <c r="C222" s="1407"/>
      <c r="D222" s="1408"/>
      <c r="E222" s="1387">
        <f>SUM(E218:E219)</f>
        <v>0</v>
      </c>
      <c r="F222" s="1387">
        <f>SUM(F218:F221)</f>
        <v>0</v>
      </c>
      <c r="G222" s="1387">
        <f>SUM(G218:G221)</f>
        <v>0</v>
      </c>
      <c r="H222" s="1391" t="e">
        <f>G222/F222*100</f>
        <v>#DIV/0!</v>
      </c>
      <c r="I222" s="1398"/>
    </row>
    <row r="223" spans="1:9" hidden="1" x14ac:dyDescent="0.2">
      <c r="I223" s="1398"/>
    </row>
    <row r="224" spans="1:9" hidden="1" x14ac:dyDescent="0.2">
      <c r="I224" s="1398"/>
    </row>
    <row r="225" spans="1:12" hidden="1" x14ac:dyDescent="0.2">
      <c r="I225" s="1398"/>
    </row>
    <row r="226" spans="1:12" hidden="1" x14ac:dyDescent="0.2">
      <c r="I226" s="1398"/>
    </row>
    <row r="227" spans="1:12" hidden="1" x14ac:dyDescent="0.2">
      <c r="I227" s="1398"/>
    </row>
    <row r="228" spans="1:12" hidden="1" x14ac:dyDescent="0.2">
      <c r="I228" s="1398"/>
    </row>
    <row r="229" spans="1:12" hidden="1" x14ac:dyDescent="0.2">
      <c r="I229" s="1398"/>
    </row>
    <row r="230" spans="1:12" x14ac:dyDescent="0.2">
      <c r="I230" s="1398"/>
    </row>
    <row r="231" spans="1:12" x14ac:dyDescent="0.2">
      <c r="I231" s="1398"/>
    </row>
    <row r="232" spans="1:12" ht="16.5" x14ac:dyDescent="0.25">
      <c r="A232" s="1429" t="s">
        <v>423</v>
      </c>
      <c r="B232" s="1430"/>
      <c r="C232" s="1431"/>
      <c r="D232" s="1432"/>
      <c r="E232" s="1433">
        <f>SUM(E233:E235)</f>
        <v>0</v>
      </c>
      <c r="F232" s="1433">
        <f>F233+F234+F235+F236</f>
        <v>6952</v>
      </c>
      <c r="G232" s="1433">
        <f>G233+G234+G235+G236</f>
        <v>6941</v>
      </c>
      <c r="H232" s="1452">
        <f>G232/F232*100</f>
        <v>99.841772151898738</v>
      </c>
      <c r="J232" s="1435">
        <f>J233+J234+J235</f>
        <v>0</v>
      </c>
      <c r="K232" s="1435">
        <f>K233+K234+K235</f>
        <v>6951986.96</v>
      </c>
      <c r="L232" s="1435">
        <f>L233+L234+L235</f>
        <v>6940908.3600000003</v>
      </c>
    </row>
    <row r="233" spans="1:12" ht="15" x14ac:dyDescent="0.2">
      <c r="A233" s="1263" t="s">
        <v>242</v>
      </c>
      <c r="B233" s="1265"/>
      <c r="C233" s="1261"/>
      <c r="D233" s="1436"/>
      <c r="E233" s="1264">
        <f>E10+E11+E16+E17+E25+E22</f>
        <v>0</v>
      </c>
      <c r="F233" s="1264">
        <f>F10+F11+F16+F17+F25+F22</f>
        <v>6952</v>
      </c>
      <c r="G233" s="1264">
        <f>G10+G11+G16+G17+G25+G22</f>
        <v>6941</v>
      </c>
      <c r="H233" s="1451">
        <f>G233/F233*100</f>
        <v>99.841772151898738</v>
      </c>
      <c r="J233" s="1437">
        <v>0</v>
      </c>
      <c r="K233" s="1437">
        <v>6951986.96</v>
      </c>
      <c r="L233" s="1437">
        <v>6940908.3600000003</v>
      </c>
    </row>
    <row r="234" spans="1:12" ht="15" x14ac:dyDescent="0.2">
      <c r="A234" s="1263" t="s">
        <v>243</v>
      </c>
      <c r="B234" s="1262"/>
      <c r="C234" s="1261"/>
      <c r="D234" s="1438"/>
      <c r="E234" s="1264">
        <f>E23+E24</f>
        <v>0</v>
      </c>
      <c r="F234" s="1264">
        <f>F23+F24</f>
        <v>0</v>
      </c>
      <c r="G234" s="1264">
        <f>G23+G24</f>
        <v>0</v>
      </c>
      <c r="H234" s="1451">
        <v>0</v>
      </c>
      <c r="J234" s="1437">
        <v>0</v>
      </c>
      <c r="K234" s="1437">
        <v>0</v>
      </c>
      <c r="L234" s="1437">
        <v>0</v>
      </c>
    </row>
    <row r="235" spans="1:12" ht="15" x14ac:dyDescent="0.2">
      <c r="A235" s="1263" t="s">
        <v>424</v>
      </c>
      <c r="B235" s="1262"/>
      <c r="C235" s="1261"/>
      <c r="D235" s="1438"/>
      <c r="E235" s="1264">
        <v>0</v>
      </c>
      <c r="F235" s="1264">
        <v>0</v>
      </c>
      <c r="G235" s="1264">
        <v>0</v>
      </c>
      <c r="H235" s="1451">
        <v>0</v>
      </c>
      <c r="J235" s="1437">
        <v>0</v>
      </c>
      <c r="K235" s="1437">
        <v>0</v>
      </c>
      <c r="L235" s="1437">
        <v>0</v>
      </c>
    </row>
    <row r="236" spans="1:12" ht="15" x14ac:dyDescent="0.2">
      <c r="A236" s="1263"/>
      <c r="B236" s="1262"/>
      <c r="C236" s="1261"/>
      <c r="D236" s="1438"/>
      <c r="E236" s="1264"/>
      <c r="F236" s="1264"/>
      <c r="G236" s="1264"/>
      <c r="H236" s="1260"/>
    </row>
    <row r="237" spans="1:12" ht="91.5" customHeight="1" thickBot="1" x14ac:dyDescent="0.4">
      <c r="A237" s="3148" t="s">
        <v>851</v>
      </c>
      <c r="B237" s="3224"/>
      <c r="C237" s="3224"/>
      <c r="D237" s="3224"/>
      <c r="E237" s="1258">
        <f>SUM(E232)</f>
        <v>0</v>
      </c>
      <c r="F237" s="1258">
        <f>SUM(F232)</f>
        <v>6952</v>
      </c>
      <c r="G237" s="1258">
        <f>SUM(G232)</f>
        <v>6941</v>
      </c>
      <c r="H237" s="1257">
        <f>(G237/F237)*100</f>
        <v>99.841772151898738</v>
      </c>
    </row>
    <row r="238" spans="1:12" ht="13.5" thickTop="1" x14ac:dyDescent="0.2"/>
    <row r="359" spans="1:5" ht="13.5" thickBot="1" x14ac:dyDescent="0.25">
      <c r="A359" s="1409"/>
      <c r="B359" s="1409"/>
      <c r="C359" s="1409"/>
      <c r="D359" s="1477"/>
      <c r="E359" s="1478"/>
    </row>
    <row r="360" spans="1:5" ht="13.5" thickTop="1" x14ac:dyDescent="0.2">
      <c r="A360" s="1427"/>
      <c r="B360" s="1427"/>
      <c r="C360" s="1427"/>
      <c r="D360" s="1419"/>
      <c r="E360" s="1479"/>
    </row>
    <row r="361" spans="1:5" x14ac:dyDescent="0.2">
      <c r="D361" s="1372" t="e">
        <f>#REF!+#REF!</f>
        <v>#REF!</v>
      </c>
    </row>
  </sheetData>
  <mergeCells count="3">
    <mergeCell ref="A1:H1"/>
    <mergeCell ref="A26:D26"/>
    <mergeCell ref="A237:D237"/>
  </mergeCells>
  <pageMargins left="0.98425196850393704" right="0.78740157480314965" top="0.98425196850393704" bottom="0.98425196850393704" header="0.51181102362204722" footer="0.51181102362204722"/>
  <pageSetup paperSize="9" scale="65" firstPageNumber="140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50"/>
  <sheetViews>
    <sheetView showGridLines="0"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5" style="1371" customWidth="1"/>
    <col min="2" max="2" width="6.140625" style="1371" customWidth="1"/>
    <col min="3" max="3" width="10.28515625" style="1371" customWidth="1"/>
    <col min="4" max="4" width="40.42578125" style="1372" customWidth="1"/>
    <col min="5" max="5" width="15.42578125" style="1398" customWidth="1"/>
    <col min="6" max="6" width="15.85546875" style="1398" customWidth="1"/>
    <col min="7" max="7" width="13.85546875" style="1398" customWidth="1"/>
    <col min="8" max="8" width="8" style="1372" customWidth="1"/>
    <col min="9" max="9" width="14.28515625" style="1372" bestFit="1" customWidth="1"/>
    <col min="10" max="10" width="9.28515625" style="1372" bestFit="1" customWidth="1"/>
    <col min="11" max="11" width="16.140625" style="1372" bestFit="1" customWidth="1"/>
    <col min="12" max="12" width="16" style="1372" bestFit="1" customWidth="1"/>
    <col min="13" max="256" width="9.140625" style="1372"/>
    <col min="257" max="257" width="4.7109375" style="1372" customWidth="1"/>
    <col min="258" max="258" width="6.140625" style="1372" customWidth="1"/>
    <col min="259" max="259" width="10.28515625" style="1372" customWidth="1"/>
    <col min="260" max="260" width="40.42578125" style="1372" customWidth="1"/>
    <col min="261" max="261" width="10.42578125" style="1372" customWidth="1"/>
    <col min="262" max="262" width="15.85546875" style="1372" customWidth="1"/>
    <col min="263" max="263" width="13.85546875" style="1372" customWidth="1"/>
    <col min="264" max="264" width="6.42578125" style="1372" customWidth="1"/>
    <col min="265" max="265" width="14.28515625" style="1372" bestFit="1" customWidth="1"/>
    <col min="266" max="266" width="9.28515625" style="1372" bestFit="1" customWidth="1"/>
    <col min="267" max="267" width="16.140625" style="1372" bestFit="1" customWidth="1"/>
    <col min="268" max="268" width="16" style="1372" bestFit="1" customWidth="1"/>
    <col min="269" max="512" width="9.140625" style="1372"/>
    <col min="513" max="513" width="4.7109375" style="1372" customWidth="1"/>
    <col min="514" max="514" width="6.140625" style="1372" customWidth="1"/>
    <col min="515" max="515" width="10.28515625" style="1372" customWidth="1"/>
    <col min="516" max="516" width="40.42578125" style="1372" customWidth="1"/>
    <col min="517" max="517" width="10.42578125" style="1372" customWidth="1"/>
    <col min="518" max="518" width="15.85546875" style="1372" customWidth="1"/>
    <col min="519" max="519" width="13.85546875" style="1372" customWidth="1"/>
    <col min="520" max="520" width="6.42578125" style="1372" customWidth="1"/>
    <col min="521" max="521" width="14.28515625" style="1372" bestFit="1" customWidth="1"/>
    <col min="522" max="522" width="9.28515625" style="1372" bestFit="1" customWidth="1"/>
    <col min="523" max="523" width="16.140625" style="1372" bestFit="1" customWidth="1"/>
    <col min="524" max="524" width="16" style="1372" bestFit="1" customWidth="1"/>
    <col min="525" max="768" width="9.140625" style="1372"/>
    <col min="769" max="769" width="4.7109375" style="1372" customWidth="1"/>
    <col min="770" max="770" width="6.140625" style="1372" customWidth="1"/>
    <col min="771" max="771" width="10.28515625" style="1372" customWidth="1"/>
    <col min="772" max="772" width="40.42578125" style="1372" customWidth="1"/>
    <col min="773" max="773" width="10.42578125" style="1372" customWidth="1"/>
    <col min="774" max="774" width="15.85546875" style="1372" customWidth="1"/>
    <col min="775" max="775" width="13.85546875" style="1372" customWidth="1"/>
    <col min="776" max="776" width="6.42578125" style="1372" customWidth="1"/>
    <col min="777" max="777" width="14.28515625" style="1372" bestFit="1" customWidth="1"/>
    <col min="778" max="778" width="9.28515625" style="1372" bestFit="1" customWidth="1"/>
    <col min="779" max="779" width="16.140625" style="1372" bestFit="1" customWidth="1"/>
    <col min="780" max="780" width="16" style="1372" bestFit="1" customWidth="1"/>
    <col min="781" max="1024" width="9.140625" style="1372"/>
    <col min="1025" max="1025" width="4.7109375" style="1372" customWidth="1"/>
    <col min="1026" max="1026" width="6.140625" style="1372" customWidth="1"/>
    <col min="1027" max="1027" width="10.28515625" style="1372" customWidth="1"/>
    <col min="1028" max="1028" width="40.42578125" style="1372" customWidth="1"/>
    <col min="1029" max="1029" width="10.42578125" style="1372" customWidth="1"/>
    <col min="1030" max="1030" width="15.85546875" style="1372" customWidth="1"/>
    <col min="1031" max="1031" width="13.85546875" style="1372" customWidth="1"/>
    <col min="1032" max="1032" width="6.42578125" style="1372" customWidth="1"/>
    <col min="1033" max="1033" width="14.28515625" style="1372" bestFit="1" customWidth="1"/>
    <col min="1034" max="1034" width="9.28515625" style="1372" bestFit="1" customWidth="1"/>
    <col min="1035" max="1035" width="16.140625" style="1372" bestFit="1" customWidth="1"/>
    <col min="1036" max="1036" width="16" style="1372" bestFit="1" customWidth="1"/>
    <col min="1037" max="1280" width="9.140625" style="1372"/>
    <col min="1281" max="1281" width="4.7109375" style="1372" customWidth="1"/>
    <col min="1282" max="1282" width="6.140625" style="1372" customWidth="1"/>
    <col min="1283" max="1283" width="10.28515625" style="1372" customWidth="1"/>
    <col min="1284" max="1284" width="40.42578125" style="1372" customWidth="1"/>
    <col min="1285" max="1285" width="10.42578125" style="1372" customWidth="1"/>
    <col min="1286" max="1286" width="15.85546875" style="1372" customWidth="1"/>
    <col min="1287" max="1287" width="13.85546875" style="1372" customWidth="1"/>
    <col min="1288" max="1288" width="6.42578125" style="1372" customWidth="1"/>
    <col min="1289" max="1289" width="14.28515625" style="1372" bestFit="1" customWidth="1"/>
    <col min="1290" max="1290" width="9.28515625" style="1372" bestFit="1" customWidth="1"/>
    <col min="1291" max="1291" width="16.140625" style="1372" bestFit="1" customWidth="1"/>
    <col min="1292" max="1292" width="16" style="1372" bestFit="1" customWidth="1"/>
    <col min="1293" max="1536" width="9.140625" style="1372"/>
    <col min="1537" max="1537" width="4.7109375" style="1372" customWidth="1"/>
    <col min="1538" max="1538" width="6.140625" style="1372" customWidth="1"/>
    <col min="1539" max="1539" width="10.28515625" style="1372" customWidth="1"/>
    <col min="1540" max="1540" width="40.42578125" style="1372" customWidth="1"/>
    <col min="1541" max="1541" width="10.42578125" style="1372" customWidth="1"/>
    <col min="1542" max="1542" width="15.85546875" style="1372" customWidth="1"/>
    <col min="1543" max="1543" width="13.85546875" style="1372" customWidth="1"/>
    <col min="1544" max="1544" width="6.42578125" style="1372" customWidth="1"/>
    <col min="1545" max="1545" width="14.28515625" style="1372" bestFit="1" customWidth="1"/>
    <col min="1546" max="1546" width="9.28515625" style="1372" bestFit="1" customWidth="1"/>
    <col min="1547" max="1547" width="16.140625" style="1372" bestFit="1" customWidth="1"/>
    <col min="1548" max="1548" width="16" style="1372" bestFit="1" customWidth="1"/>
    <col min="1549" max="1792" width="9.140625" style="1372"/>
    <col min="1793" max="1793" width="4.7109375" style="1372" customWidth="1"/>
    <col min="1794" max="1794" width="6.140625" style="1372" customWidth="1"/>
    <col min="1795" max="1795" width="10.28515625" style="1372" customWidth="1"/>
    <col min="1796" max="1796" width="40.42578125" style="1372" customWidth="1"/>
    <col min="1797" max="1797" width="10.42578125" style="1372" customWidth="1"/>
    <col min="1798" max="1798" width="15.85546875" style="1372" customWidth="1"/>
    <col min="1799" max="1799" width="13.85546875" style="1372" customWidth="1"/>
    <col min="1800" max="1800" width="6.42578125" style="1372" customWidth="1"/>
    <col min="1801" max="1801" width="14.28515625" style="1372" bestFit="1" customWidth="1"/>
    <col min="1802" max="1802" width="9.28515625" style="1372" bestFit="1" customWidth="1"/>
    <col min="1803" max="1803" width="16.140625" style="1372" bestFit="1" customWidth="1"/>
    <col min="1804" max="1804" width="16" style="1372" bestFit="1" customWidth="1"/>
    <col min="1805" max="2048" width="9.140625" style="1372"/>
    <col min="2049" max="2049" width="4.7109375" style="1372" customWidth="1"/>
    <col min="2050" max="2050" width="6.140625" style="1372" customWidth="1"/>
    <col min="2051" max="2051" width="10.28515625" style="1372" customWidth="1"/>
    <col min="2052" max="2052" width="40.42578125" style="1372" customWidth="1"/>
    <col min="2053" max="2053" width="10.42578125" style="1372" customWidth="1"/>
    <col min="2054" max="2054" width="15.85546875" style="1372" customWidth="1"/>
    <col min="2055" max="2055" width="13.85546875" style="1372" customWidth="1"/>
    <col min="2056" max="2056" width="6.42578125" style="1372" customWidth="1"/>
    <col min="2057" max="2057" width="14.28515625" style="1372" bestFit="1" customWidth="1"/>
    <col min="2058" max="2058" width="9.28515625" style="1372" bestFit="1" customWidth="1"/>
    <col min="2059" max="2059" width="16.140625" style="1372" bestFit="1" customWidth="1"/>
    <col min="2060" max="2060" width="16" style="1372" bestFit="1" customWidth="1"/>
    <col min="2061" max="2304" width="9.140625" style="1372"/>
    <col min="2305" max="2305" width="4.7109375" style="1372" customWidth="1"/>
    <col min="2306" max="2306" width="6.140625" style="1372" customWidth="1"/>
    <col min="2307" max="2307" width="10.28515625" style="1372" customWidth="1"/>
    <col min="2308" max="2308" width="40.42578125" style="1372" customWidth="1"/>
    <col min="2309" max="2309" width="10.42578125" style="1372" customWidth="1"/>
    <col min="2310" max="2310" width="15.85546875" style="1372" customWidth="1"/>
    <col min="2311" max="2311" width="13.85546875" style="1372" customWidth="1"/>
    <col min="2312" max="2312" width="6.42578125" style="1372" customWidth="1"/>
    <col min="2313" max="2313" width="14.28515625" style="1372" bestFit="1" customWidth="1"/>
    <col min="2314" max="2314" width="9.28515625" style="1372" bestFit="1" customWidth="1"/>
    <col min="2315" max="2315" width="16.140625" style="1372" bestFit="1" customWidth="1"/>
    <col min="2316" max="2316" width="16" style="1372" bestFit="1" customWidth="1"/>
    <col min="2317" max="2560" width="9.140625" style="1372"/>
    <col min="2561" max="2561" width="4.7109375" style="1372" customWidth="1"/>
    <col min="2562" max="2562" width="6.140625" style="1372" customWidth="1"/>
    <col min="2563" max="2563" width="10.28515625" style="1372" customWidth="1"/>
    <col min="2564" max="2564" width="40.42578125" style="1372" customWidth="1"/>
    <col min="2565" max="2565" width="10.42578125" style="1372" customWidth="1"/>
    <col min="2566" max="2566" width="15.85546875" style="1372" customWidth="1"/>
    <col min="2567" max="2567" width="13.85546875" style="1372" customWidth="1"/>
    <col min="2568" max="2568" width="6.42578125" style="1372" customWidth="1"/>
    <col min="2569" max="2569" width="14.28515625" style="1372" bestFit="1" customWidth="1"/>
    <col min="2570" max="2570" width="9.28515625" style="1372" bestFit="1" customWidth="1"/>
    <col min="2571" max="2571" width="16.140625" style="1372" bestFit="1" customWidth="1"/>
    <col min="2572" max="2572" width="16" style="1372" bestFit="1" customWidth="1"/>
    <col min="2573" max="2816" width="9.140625" style="1372"/>
    <col min="2817" max="2817" width="4.7109375" style="1372" customWidth="1"/>
    <col min="2818" max="2818" width="6.140625" style="1372" customWidth="1"/>
    <col min="2819" max="2819" width="10.28515625" style="1372" customWidth="1"/>
    <col min="2820" max="2820" width="40.42578125" style="1372" customWidth="1"/>
    <col min="2821" max="2821" width="10.42578125" style="1372" customWidth="1"/>
    <col min="2822" max="2822" width="15.85546875" style="1372" customWidth="1"/>
    <col min="2823" max="2823" width="13.85546875" style="1372" customWidth="1"/>
    <col min="2824" max="2824" width="6.42578125" style="1372" customWidth="1"/>
    <col min="2825" max="2825" width="14.28515625" style="1372" bestFit="1" customWidth="1"/>
    <col min="2826" max="2826" width="9.28515625" style="1372" bestFit="1" customWidth="1"/>
    <col min="2827" max="2827" width="16.140625" style="1372" bestFit="1" customWidth="1"/>
    <col min="2828" max="2828" width="16" style="1372" bestFit="1" customWidth="1"/>
    <col min="2829" max="3072" width="9.140625" style="1372"/>
    <col min="3073" max="3073" width="4.7109375" style="1372" customWidth="1"/>
    <col min="3074" max="3074" width="6.140625" style="1372" customWidth="1"/>
    <col min="3075" max="3075" width="10.28515625" style="1372" customWidth="1"/>
    <col min="3076" max="3076" width="40.42578125" style="1372" customWidth="1"/>
    <col min="3077" max="3077" width="10.42578125" style="1372" customWidth="1"/>
    <col min="3078" max="3078" width="15.85546875" style="1372" customWidth="1"/>
    <col min="3079" max="3079" width="13.85546875" style="1372" customWidth="1"/>
    <col min="3080" max="3080" width="6.42578125" style="1372" customWidth="1"/>
    <col min="3081" max="3081" width="14.28515625" style="1372" bestFit="1" customWidth="1"/>
    <col min="3082" max="3082" width="9.28515625" style="1372" bestFit="1" customWidth="1"/>
    <col min="3083" max="3083" width="16.140625" style="1372" bestFit="1" customWidth="1"/>
    <col min="3084" max="3084" width="16" style="1372" bestFit="1" customWidth="1"/>
    <col min="3085" max="3328" width="9.140625" style="1372"/>
    <col min="3329" max="3329" width="4.7109375" style="1372" customWidth="1"/>
    <col min="3330" max="3330" width="6.140625" style="1372" customWidth="1"/>
    <col min="3331" max="3331" width="10.28515625" style="1372" customWidth="1"/>
    <col min="3332" max="3332" width="40.42578125" style="1372" customWidth="1"/>
    <col min="3333" max="3333" width="10.42578125" style="1372" customWidth="1"/>
    <col min="3334" max="3334" width="15.85546875" style="1372" customWidth="1"/>
    <col min="3335" max="3335" width="13.85546875" style="1372" customWidth="1"/>
    <col min="3336" max="3336" width="6.42578125" style="1372" customWidth="1"/>
    <col min="3337" max="3337" width="14.28515625" style="1372" bestFit="1" customWidth="1"/>
    <col min="3338" max="3338" width="9.28515625" style="1372" bestFit="1" customWidth="1"/>
    <col min="3339" max="3339" width="16.140625" style="1372" bestFit="1" customWidth="1"/>
    <col min="3340" max="3340" width="16" style="1372" bestFit="1" customWidth="1"/>
    <col min="3341" max="3584" width="9.140625" style="1372"/>
    <col min="3585" max="3585" width="4.7109375" style="1372" customWidth="1"/>
    <col min="3586" max="3586" width="6.140625" style="1372" customWidth="1"/>
    <col min="3587" max="3587" width="10.28515625" style="1372" customWidth="1"/>
    <col min="3588" max="3588" width="40.42578125" style="1372" customWidth="1"/>
    <col min="3589" max="3589" width="10.42578125" style="1372" customWidth="1"/>
    <col min="3590" max="3590" width="15.85546875" style="1372" customWidth="1"/>
    <col min="3591" max="3591" width="13.85546875" style="1372" customWidth="1"/>
    <col min="3592" max="3592" width="6.42578125" style="1372" customWidth="1"/>
    <col min="3593" max="3593" width="14.28515625" style="1372" bestFit="1" customWidth="1"/>
    <col min="3594" max="3594" width="9.28515625" style="1372" bestFit="1" customWidth="1"/>
    <col min="3595" max="3595" width="16.140625" style="1372" bestFit="1" customWidth="1"/>
    <col min="3596" max="3596" width="16" style="1372" bestFit="1" customWidth="1"/>
    <col min="3597" max="3840" width="9.140625" style="1372"/>
    <col min="3841" max="3841" width="4.7109375" style="1372" customWidth="1"/>
    <col min="3842" max="3842" width="6.140625" style="1372" customWidth="1"/>
    <col min="3843" max="3843" width="10.28515625" style="1372" customWidth="1"/>
    <col min="3844" max="3844" width="40.42578125" style="1372" customWidth="1"/>
    <col min="3845" max="3845" width="10.42578125" style="1372" customWidth="1"/>
    <col min="3846" max="3846" width="15.85546875" style="1372" customWidth="1"/>
    <col min="3847" max="3847" width="13.85546875" style="1372" customWidth="1"/>
    <col min="3848" max="3848" width="6.42578125" style="1372" customWidth="1"/>
    <col min="3849" max="3849" width="14.28515625" style="1372" bestFit="1" customWidth="1"/>
    <col min="3850" max="3850" width="9.28515625" style="1372" bestFit="1" customWidth="1"/>
    <col min="3851" max="3851" width="16.140625" style="1372" bestFit="1" customWidth="1"/>
    <col min="3852" max="3852" width="16" style="1372" bestFit="1" customWidth="1"/>
    <col min="3853" max="4096" width="9.140625" style="1372"/>
    <col min="4097" max="4097" width="4.7109375" style="1372" customWidth="1"/>
    <col min="4098" max="4098" width="6.140625" style="1372" customWidth="1"/>
    <col min="4099" max="4099" width="10.28515625" style="1372" customWidth="1"/>
    <col min="4100" max="4100" width="40.42578125" style="1372" customWidth="1"/>
    <col min="4101" max="4101" width="10.42578125" style="1372" customWidth="1"/>
    <col min="4102" max="4102" width="15.85546875" style="1372" customWidth="1"/>
    <col min="4103" max="4103" width="13.85546875" style="1372" customWidth="1"/>
    <col min="4104" max="4104" width="6.42578125" style="1372" customWidth="1"/>
    <col min="4105" max="4105" width="14.28515625" style="1372" bestFit="1" customWidth="1"/>
    <col min="4106" max="4106" width="9.28515625" style="1372" bestFit="1" customWidth="1"/>
    <col min="4107" max="4107" width="16.140625" style="1372" bestFit="1" customWidth="1"/>
    <col min="4108" max="4108" width="16" style="1372" bestFit="1" customWidth="1"/>
    <col min="4109" max="4352" width="9.140625" style="1372"/>
    <col min="4353" max="4353" width="4.7109375" style="1372" customWidth="1"/>
    <col min="4354" max="4354" width="6.140625" style="1372" customWidth="1"/>
    <col min="4355" max="4355" width="10.28515625" style="1372" customWidth="1"/>
    <col min="4356" max="4356" width="40.42578125" style="1372" customWidth="1"/>
    <col min="4357" max="4357" width="10.42578125" style="1372" customWidth="1"/>
    <col min="4358" max="4358" width="15.85546875" style="1372" customWidth="1"/>
    <col min="4359" max="4359" width="13.85546875" style="1372" customWidth="1"/>
    <col min="4360" max="4360" width="6.42578125" style="1372" customWidth="1"/>
    <col min="4361" max="4361" width="14.28515625" style="1372" bestFit="1" customWidth="1"/>
    <col min="4362" max="4362" width="9.28515625" style="1372" bestFit="1" customWidth="1"/>
    <col min="4363" max="4363" width="16.140625" style="1372" bestFit="1" customWidth="1"/>
    <col min="4364" max="4364" width="16" style="1372" bestFit="1" customWidth="1"/>
    <col min="4365" max="4608" width="9.140625" style="1372"/>
    <col min="4609" max="4609" width="4.7109375" style="1372" customWidth="1"/>
    <col min="4610" max="4610" width="6.140625" style="1372" customWidth="1"/>
    <col min="4611" max="4611" width="10.28515625" style="1372" customWidth="1"/>
    <col min="4612" max="4612" width="40.42578125" style="1372" customWidth="1"/>
    <col min="4613" max="4613" width="10.42578125" style="1372" customWidth="1"/>
    <col min="4614" max="4614" width="15.85546875" style="1372" customWidth="1"/>
    <col min="4615" max="4615" width="13.85546875" style="1372" customWidth="1"/>
    <col min="4616" max="4616" width="6.42578125" style="1372" customWidth="1"/>
    <col min="4617" max="4617" width="14.28515625" style="1372" bestFit="1" customWidth="1"/>
    <col min="4618" max="4618" width="9.28515625" style="1372" bestFit="1" customWidth="1"/>
    <col min="4619" max="4619" width="16.140625" style="1372" bestFit="1" customWidth="1"/>
    <col min="4620" max="4620" width="16" style="1372" bestFit="1" customWidth="1"/>
    <col min="4621" max="4864" width="9.140625" style="1372"/>
    <col min="4865" max="4865" width="4.7109375" style="1372" customWidth="1"/>
    <col min="4866" max="4866" width="6.140625" style="1372" customWidth="1"/>
    <col min="4867" max="4867" width="10.28515625" style="1372" customWidth="1"/>
    <col min="4868" max="4868" width="40.42578125" style="1372" customWidth="1"/>
    <col min="4869" max="4869" width="10.42578125" style="1372" customWidth="1"/>
    <col min="4870" max="4870" width="15.85546875" style="1372" customWidth="1"/>
    <col min="4871" max="4871" width="13.85546875" style="1372" customWidth="1"/>
    <col min="4872" max="4872" width="6.42578125" style="1372" customWidth="1"/>
    <col min="4873" max="4873" width="14.28515625" style="1372" bestFit="1" customWidth="1"/>
    <col min="4874" max="4874" width="9.28515625" style="1372" bestFit="1" customWidth="1"/>
    <col min="4875" max="4875" width="16.140625" style="1372" bestFit="1" customWidth="1"/>
    <col min="4876" max="4876" width="16" style="1372" bestFit="1" customWidth="1"/>
    <col min="4877" max="5120" width="9.140625" style="1372"/>
    <col min="5121" max="5121" width="4.7109375" style="1372" customWidth="1"/>
    <col min="5122" max="5122" width="6.140625" style="1372" customWidth="1"/>
    <col min="5123" max="5123" width="10.28515625" style="1372" customWidth="1"/>
    <col min="5124" max="5124" width="40.42578125" style="1372" customWidth="1"/>
    <col min="5125" max="5125" width="10.42578125" style="1372" customWidth="1"/>
    <col min="5126" max="5126" width="15.85546875" style="1372" customWidth="1"/>
    <col min="5127" max="5127" width="13.85546875" style="1372" customWidth="1"/>
    <col min="5128" max="5128" width="6.42578125" style="1372" customWidth="1"/>
    <col min="5129" max="5129" width="14.28515625" style="1372" bestFit="1" customWidth="1"/>
    <col min="5130" max="5130" width="9.28515625" style="1372" bestFit="1" customWidth="1"/>
    <col min="5131" max="5131" width="16.140625" style="1372" bestFit="1" customWidth="1"/>
    <col min="5132" max="5132" width="16" style="1372" bestFit="1" customWidth="1"/>
    <col min="5133" max="5376" width="9.140625" style="1372"/>
    <col min="5377" max="5377" width="4.7109375" style="1372" customWidth="1"/>
    <col min="5378" max="5378" width="6.140625" style="1372" customWidth="1"/>
    <col min="5379" max="5379" width="10.28515625" style="1372" customWidth="1"/>
    <col min="5380" max="5380" width="40.42578125" style="1372" customWidth="1"/>
    <col min="5381" max="5381" width="10.42578125" style="1372" customWidth="1"/>
    <col min="5382" max="5382" width="15.85546875" style="1372" customWidth="1"/>
    <col min="5383" max="5383" width="13.85546875" style="1372" customWidth="1"/>
    <col min="5384" max="5384" width="6.42578125" style="1372" customWidth="1"/>
    <col min="5385" max="5385" width="14.28515625" style="1372" bestFit="1" customWidth="1"/>
    <col min="5386" max="5386" width="9.28515625" style="1372" bestFit="1" customWidth="1"/>
    <col min="5387" max="5387" width="16.140625" style="1372" bestFit="1" customWidth="1"/>
    <col min="5388" max="5388" width="16" style="1372" bestFit="1" customWidth="1"/>
    <col min="5389" max="5632" width="9.140625" style="1372"/>
    <col min="5633" max="5633" width="4.7109375" style="1372" customWidth="1"/>
    <col min="5634" max="5634" width="6.140625" style="1372" customWidth="1"/>
    <col min="5635" max="5635" width="10.28515625" style="1372" customWidth="1"/>
    <col min="5636" max="5636" width="40.42578125" style="1372" customWidth="1"/>
    <col min="5637" max="5637" width="10.42578125" style="1372" customWidth="1"/>
    <col min="5638" max="5638" width="15.85546875" style="1372" customWidth="1"/>
    <col min="5639" max="5639" width="13.85546875" style="1372" customWidth="1"/>
    <col min="5640" max="5640" width="6.42578125" style="1372" customWidth="1"/>
    <col min="5641" max="5641" width="14.28515625" style="1372" bestFit="1" customWidth="1"/>
    <col min="5642" max="5642" width="9.28515625" style="1372" bestFit="1" customWidth="1"/>
    <col min="5643" max="5643" width="16.140625" style="1372" bestFit="1" customWidth="1"/>
    <col min="5644" max="5644" width="16" style="1372" bestFit="1" customWidth="1"/>
    <col min="5645" max="5888" width="9.140625" style="1372"/>
    <col min="5889" max="5889" width="4.7109375" style="1372" customWidth="1"/>
    <col min="5890" max="5890" width="6.140625" style="1372" customWidth="1"/>
    <col min="5891" max="5891" width="10.28515625" style="1372" customWidth="1"/>
    <col min="5892" max="5892" width="40.42578125" style="1372" customWidth="1"/>
    <col min="5893" max="5893" width="10.42578125" style="1372" customWidth="1"/>
    <col min="5894" max="5894" width="15.85546875" style="1372" customWidth="1"/>
    <col min="5895" max="5895" width="13.85546875" style="1372" customWidth="1"/>
    <col min="5896" max="5896" width="6.42578125" style="1372" customWidth="1"/>
    <col min="5897" max="5897" width="14.28515625" style="1372" bestFit="1" customWidth="1"/>
    <col min="5898" max="5898" width="9.28515625" style="1372" bestFit="1" customWidth="1"/>
    <col min="5899" max="5899" width="16.140625" style="1372" bestFit="1" customWidth="1"/>
    <col min="5900" max="5900" width="16" style="1372" bestFit="1" customWidth="1"/>
    <col min="5901" max="6144" width="9.140625" style="1372"/>
    <col min="6145" max="6145" width="4.7109375" style="1372" customWidth="1"/>
    <col min="6146" max="6146" width="6.140625" style="1372" customWidth="1"/>
    <col min="6147" max="6147" width="10.28515625" style="1372" customWidth="1"/>
    <col min="6148" max="6148" width="40.42578125" style="1372" customWidth="1"/>
    <col min="6149" max="6149" width="10.42578125" style="1372" customWidth="1"/>
    <col min="6150" max="6150" width="15.85546875" style="1372" customWidth="1"/>
    <col min="6151" max="6151" width="13.85546875" style="1372" customWidth="1"/>
    <col min="6152" max="6152" width="6.42578125" style="1372" customWidth="1"/>
    <col min="6153" max="6153" width="14.28515625" style="1372" bestFit="1" customWidth="1"/>
    <col min="6154" max="6154" width="9.28515625" style="1372" bestFit="1" customWidth="1"/>
    <col min="6155" max="6155" width="16.140625" style="1372" bestFit="1" customWidth="1"/>
    <col min="6156" max="6156" width="16" style="1372" bestFit="1" customWidth="1"/>
    <col min="6157" max="6400" width="9.140625" style="1372"/>
    <col min="6401" max="6401" width="4.7109375" style="1372" customWidth="1"/>
    <col min="6402" max="6402" width="6.140625" style="1372" customWidth="1"/>
    <col min="6403" max="6403" width="10.28515625" style="1372" customWidth="1"/>
    <col min="6404" max="6404" width="40.42578125" style="1372" customWidth="1"/>
    <col min="6405" max="6405" width="10.42578125" style="1372" customWidth="1"/>
    <col min="6406" max="6406" width="15.85546875" style="1372" customWidth="1"/>
    <col min="6407" max="6407" width="13.85546875" style="1372" customWidth="1"/>
    <col min="6408" max="6408" width="6.42578125" style="1372" customWidth="1"/>
    <col min="6409" max="6409" width="14.28515625" style="1372" bestFit="1" customWidth="1"/>
    <col min="6410" max="6410" width="9.28515625" style="1372" bestFit="1" customWidth="1"/>
    <col min="6411" max="6411" width="16.140625" style="1372" bestFit="1" customWidth="1"/>
    <col min="6412" max="6412" width="16" style="1372" bestFit="1" customWidth="1"/>
    <col min="6413" max="6656" width="9.140625" style="1372"/>
    <col min="6657" max="6657" width="4.7109375" style="1372" customWidth="1"/>
    <col min="6658" max="6658" width="6.140625" style="1372" customWidth="1"/>
    <col min="6659" max="6659" width="10.28515625" style="1372" customWidth="1"/>
    <col min="6660" max="6660" width="40.42578125" style="1372" customWidth="1"/>
    <col min="6661" max="6661" width="10.42578125" style="1372" customWidth="1"/>
    <col min="6662" max="6662" width="15.85546875" style="1372" customWidth="1"/>
    <col min="6663" max="6663" width="13.85546875" style="1372" customWidth="1"/>
    <col min="6664" max="6664" width="6.42578125" style="1372" customWidth="1"/>
    <col min="6665" max="6665" width="14.28515625" style="1372" bestFit="1" customWidth="1"/>
    <col min="6666" max="6666" width="9.28515625" style="1372" bestFit="1" customWidth="1"/>
    <col min="6667" max="6667" width="16.140625" style="1372" bestFit="1" customWidth="1"/>
    <col min="6668" max="6668" width="16" style="1372" bestFit="1" customWidth="1"/>
    <col min="6669" max="6912" width="9.140625" style="1372"/>
    <col min="6913" max="6913" width="4.7109375" style="1372" customWidth="1"/>
    <col min="6914" max="6914" width="6.140625" style="1372" customWidth="1"/>
    <col min="6915" max="6915" width="10.28515625" style="1372" customWidth="1"/>
    <col min="6916" max="6916" width="40.42578125" style="1372" customWidth="1"/>
    <col min="6917" max="6917" width="10.42578125" style="1372" customWidth="1"/>
    <col min="6918" max="6918" width="15.85546875" style="1372" customWidth="1"/>
    <col min="6919" max="6919" width="13.85546875" style="1372" customWidth="1"/>
    <col min="6920" max="6920" width="6.42578125" style="1372" customWidth="1"/>
    <col min="6921" max="6921" width="14.28515625" style="1372" bestFit="1" customWidth="1"/>
    <col min="6922" max="6922" width="9.28515625" style="1372" bestFit="1" customWidth="1"/>
    <col min="6923" max="6923" width="16.140625" style="1372" bestFit="1" customWidth="1"/>
    <col min="6924" max="6924" width="16" style="1372" bestFit="1" customWidth="1"/>
    <col min="6925" max="7168" width="9.140625" style="1372"/>
    <col min="7169" max="7169" width="4.7109375" style="1372" customWidth="1"/>
    <col min="7170" max="7170" width="6.140625" style="1372" customWidth="1"/>
    <col min="7171" max="7171" width="10.28515625" style="1372" customWidth="1"/>
    <col min="7172" max="7172" width="40.42578125" style="1372" customWidth="1"/>
    <col min="7173" max="7173" width="10.42578125" style="1372" customWidth="1"/>
    <col min="7174" max="7174" width="15.85546875" style="1372" customWidth="1"/>
    <col min="7175" max="7175" width="13.85546875" style="1372" customWidth="1"/>
    <col min="7176" max="7176" width="6.42578125" style="1372" customWidth="1"/>
    <col min="7177" max="7177" width="14.28515625" style="1372" bestFit="1" customWidth="1"/>
    <col min="7178" max="7178" width="9.28515625" style="1372" bestFit="1" customWidth="1"/>
    <col min="7179" max="7179" width="16.140625" style="1372" bestFit="1" customWidth="1"/>
    <col min="7180" max="7180" width="16" style="1372" bestFit="1" customWidth="1"/>
    <col min="7181" max="7424" width="9.140625" style="1372"/>
    <col min="7425" max="7425" width="4.7109375" style="1372" customWidth="1"/>
    <col min="7426" max="7426" width="6.140625" style="1372" customWidth="1"/>
    <col min="7427" max="7427" width="10.28515625" style="1372" customWidth="1"/>
    <col min="7428" max="7428" width="40.42578125" style="1372" customWidth="1"/>
    <col min="7429" max="7429" width="10.42578125" style="1372" customWidth="1"/>
    <col min="7430" max="7430" width="15.85546875" style="1372" customWidth="1"/>
    <col min="7431" max="7431" width="13.85546875" style="1372" customWidth="1"/>
    <col min="7432" max="7432" width="6.42578125" style="1372" customWidth="1"/>
    <col min="7433" max="7433" width="14.28515625" style="1372" bestFit="1" customWidth="1"/>
    <col min="7434" max="7434" width="9.28515625" style="1372" bestFit="1" customWidth="1"/>
    <col min="7435" max="7435" width="16.140625" style="1372" bestFit="1" customWidth="1"/>
    <col min="7436" max="7436" width="16" style="1372" bestFit="1" customWidth="1"/>
    <col min="7437" max="7680" width="9.140625" style="1372"/>
    <col min="7681" max="7681" width="4.7109375" style="1372" customWidth="1"/>
    <col min="7682" max="7682" width="6.140625" style="1372" customWidth="1"/>
    <col min="7683" max="7683" width="10.28515625" style="1372" customWidth="1"/>
    <col min="7684" max="7684" width="40.42578125" style="1372" customWidth="1"/>
    <col min="7685" max="7685" width="10.42578125" style="1372" customWidth="1"/>
    <col min="7686" max="7686" width="15.85546875" style="1372" customWidth="1"/>
    <col min="7687" max="7687" width="13.85546875" style="1372" customWidth="1"/>
    <col min="7688" max="7688" width="6.42578125" style="1372" customWidth="1"/>
    <col min="7689" max="7689" width="14.28515625" style="1372" bestFit="1" customWidth="1"/>
    <col min="7690" max="7690" width="9.28515625" style="1372" bestFit="1" customWidth="1"/>
    <col min="7691" max="7691" width="16.140625" style="1372" bestFit="1" customWidth="1"/>
    <col min="7692" max="7692" width="16" style="1372" bestFit="1" customWidth="1"/>
    <col min="7693" max="7936" width="9.140625" style="1372"/>
    <col min="7937" max="7937" width="4.7109375" style="1372" customWidth="1"/>
    <col min="7938" max="7938" width="6.140625" style="1372" customWidth="1"/>
    <col min="7939" max="7939" width="10.28515625" style="1372" customWidth="1"/>
    <col min="7940" max="7940" width="40.42578125" style="1372" customWidth="1"/>
    <col min="7941" max="7941" width="10.42578125" style="1372" customWidth="1"/>
    <col min="7942" max="7942" width="15.85546875" style="1372" customWidth="1"/>
    <col min="7943" max="7943" width="13.85546875" style="1372" customWidth="1"/>
    <col min="7944" max="7944" width="6.42578125" style="1372" customWidth="1"/>
    <col min="7945" max="7945" width="14.28515625" style="1372" bestFit="1" customWidth="1"/>
    <col min="7946" max="7946" width="9.28515625" style="1372" bestFit="1" customWidth="1"/>
    <col min="7947" max="7947" width="16.140625" style="1372" bestFit="1" customWidth="1"/>
    <col min="7948" max="7948" width="16" style="1372" bestFit="1" customWidth="1"/>
    <col min="7949" max="8192" width="9.140625" style="1372"/>
    <col min="8193" max="8193" width="4.7109375" style="1372" customWidth="1"/>
    <col min="8194" max="8194" width="6.140625" style="1372" customWidth="1"/>
    <col min="8195" max="8195" width="10.28515625" style="1372" customWidth="1"/>
    <col min="8196" max="8196" width="40.42578125" style="1372" customWidth="1"/>
    <col min="8197" max="8197" width="10.42578125" style="1372" customWidth="1"/>
    <col min="8198" max="8198" width="15.85546875" style="1372" customWidth="1"/>
    <col min="8199" max="8199" width="13.85546875" style="1372" customWidth="1"/>
    <col min="8200" max="8200" width="6.42578125" style="1372" customWidth="1"/>
    <col min="8201" max="8201" width="14.28515625" style="1372" bestFit="1" customWidth="1"/>
    <col min="8202" max="8202" width="9.28515625" style="1372" bestFit="1" customWidth="1"/>
    <col min="8203" max="8203" width="16.140625" style="1372" bestFit="1" customWidth="1"/>
    <col min="8204" max="8204" width="16" style="1372" bestFit="1" customWidth="1"/>
    <col min="8205" max="8448" width="9.140625" style="1372"/>
    <col min="8449" max="8449" width="4.7109375" style="1372" customWidth="1"/>
    <col min="8450" max="8450" width="6.140625" style="1372" customWidth="1"/>
    <col min="8451" max="8451" width="10.28515625" style="1372" customWidth="1"/>
    <col min="8452" max="8452" width="40.42578125" style="1372" customWidth="1"/>
    <col min="8453" max="8453" width="10.42578125" style="1372" customWidth="1"/>
    <col min="8454" max="8454" width="15.85546875" style="1372" customWidth="1"/>
    <col min="8455" max="8455" width="13.85546875" style="1372" customWidth="1"/>
    <col min="8456" max="8456" width="6.42578125" style="1372" customWidth="1"/>
    <col min="8457" max="8457" width="14.28515625" style="1372" bestFit="1" customWidth="1"/>
    <col min="8458" max="8458" width="9.28515625" style="1372" bestFit="1" customWidth="1"/>
    <col min="8459" max="8459" width="16.140625" style="1372" bestFit="1" customWidth="1"/>
    <col min="8460" max="8460" width="16" style="1372" bestFit="1" customWidth="1"/>
    <col min="8461" max="8704" width="9.140625" style="1372"/>
    <col min="8705" max="8705" width="4.7109375" style="1372" customWidth="1"/>
    <col min="8706" max="8706" width="6.140625" style="1372" customWidth="1"/>
    <col min="8707" max="8707" width="10.28515625" style="1372" customWidth="1"/>
    <col min="8708" max="8708" width="40.42578125" style="1372" customWidth="1"/>
    <col min="8709" max="8709" width="10.42578125" style="1372" customWidth="1"/>
    <col min="8710" max="8710" width="15.85546875" style="1372" customWidth="1"/>
    <col min="8711" max="8711" width="13.85546875" style="1372" customWidth="1"/>
    <col min="8712" max="8712" width="6.42578125" style="1372" customWidth="1"/>
    <col min="8713" max="8713" width="14.28515625" style="1372" bestFit="1" customWidth="1"/>
    <col min="8714" max="8714" width="9.28515625" style="1372" bestFit="1" customWidth="1"/>
    <col min="8715" max="8715" width="16.140625" style="1372" bestFit="1" customWidth="1"/>
    <col min="8716" max="8716" width="16" style="1372" bestFit="1" customWidth="1"/>
    <col min="8717" max="8960" width="9.140625" style="1372"/>
    <col min="8961" max="8961" width="4.7109375" style="1372" customWidth="1"/>
    <col min="8962" max="8962" width="6.140625" style="1372" customWidth="1"/>
    <col min="8963" max="8963" width="10.28515625" style="1372" customWidth="1"/>
    <col min="8964" max="8964" width="40.42578125" style="1372" customWidth="1"/>
    <col min="8965" max="8965" width="10.42578125" style="1372" customWidth="1"/>
    <col min="8966" max="8966" width="15.85546875" style="1372" customWidth="1"/>
    <col min="8967" max="8967" width="13.85546875" style="1372" customWidth="1"/>
    <col min="8968" max="8968" width="6.42578125" style="1372" customWidth="1"/>
    <col min="8969" max="8969" width="14.28515625" style="1372" bestFit="1" customWidth="1"/>
    <col min="8970" max="8970" width="9.28515625" style="1372" bestFit="1" customWidth="1"/>
    <col min="8971" max="8971" width="16.140625" style="1372" bestFit="1" customWidth="1"/>
    <col min="8972" max="8972" width="16" style="1372" bestFit="1" customWidth="1"/>
    <col min="8973" max="9216" width="9.140625" style="1372"/>
    <col min="9217" max="9217" width="4.7109375" style="1372" customWidth="1"/>
    <col min="9218" max="9218" width="6.140625" style="1372" customWidth="1"/>
    <col min="9219" max="9219" width="10.28515625" style="1372" customWidth="1"/>
    <col min="9220" max="9220" width="40.42578125" style="1372" customWidth="1"/>
    <col min="9221" max="9221" width="10.42578125" style="1372" customWidth="1"/>
    <col min="9222" max="9222" width="15.85546875" style="1372" customWidth="1"/>
    <col min="9223" max="9223" width="13.85546875" style="1372" customWidth="1"/>
    <col min="9224" max="9224" width="6.42578125" style="1372" customWidth="1"/>
    <col min="9225" max="9225" width="14.28515625" style="1372" bestFit="1" customWidth="1"/>
    <col min="9226" max="9226" width="9.28515625" style="1372" bestFit="1" customWidth="1"/>
    <col min="9227" max="9227" width="16.140625" style="1372" bestFit="1" customWidth="1"/>
    <col min="9228" max="9228" width="16" style="1372" bestFit="1" customWidth="1"/>
    <col min="9229" max="9472" width="9.140625" style="1372"/>
    <col min="9473" max="9473" width="4.7109375" style="1372" customWidth="1"/>
    <col min="9474" max="9474" width="6.140625" style="1372" customWidth="1"/>
    <col min="9475" max="9475" width="10.28515625" style="1372" customWidth="1"/>
    <col min="9476" max="9476" width="40.42578125" style="1372" customWidth="1"/>
    <col min="9477" max="9477" width="10.42578125" style="1372" customWidth="1"/>
    <col min="9478" max="9478" width="15.85546875" style="1372" customWidth="1"/>
    <col min="9479" max="9479" width="13.85546875" style="1372" customWidth="1"/>
    <col min="9480" max="9480" width="6.42578125" style="1372" customWidth="1"/>
    <col min="9481" max="9481" width="14.28515625" style="1372" bestFit="1" customWidth="1"/>
    <col min="9482" max="9482" width="9.28515625" style="1372" bestFit="1" customWidth="1"/>
    <col min="9483" max="9483" width="16.140625" style="1372" bestFit="1" customWidth="1"/>
    <col min="9484" max="9484" width="16" style="1372" bestFit="1" customWidth="1"/>
    <col min="9485" max="9728" width="9.140625" style="1372"/>
    <col min="9729" max="9729" width="4.7109375" style="1372" customWidth="1"/>
    <col min="9730" max="9730" width="6.140625" style="1372" customWidth="1"/>
    <col min="9731" max="9731" width="10.28515625" style="1372" customWidth="1"/>
    <col min="9732" max="9732" width="40.42578125" style="1372" customWidth="1"/>
    <col min="9733" max="9733" width="10.42578125" style="1372" customWidth="1"/>
    <col min="9734" max="9734" width="15.85546875" style="1372" customWidth="1"/>
    <col min="9735" max="9735" width="13.85546875" style="1372" customWidth="1"/>
    <col min="9736" max="9736" width="6.42578125" style="1372" customWidth="1"/>
    <col min="9737" max="9737" width="14.28515625" style="1372" bestFit="1" customWidth="1"/>
    <col min="9738" max="9738" width="9.28515625" style="1372" bestFit="1" customWidth="1"/>
    <col min="9739" max="9739" width="16.140625" style="1372" bestFit="1" customWidth="1"/>
    <col min="9740" max="9740" width="16" style="1372" bestFit="1" customWidth="1"/>
    <col min="9741" max="9984" width="9.140625" style="1372"/>
    <col min="9985" max="9985" width="4.7109375" style="1372" customWidth="1"/>
    <col min="9986" max="9986" width="6.140625" style="1372" customWidth="1"/>
    <col min="9987" max="9987" width="10.28515625" style="1372" customWidth="1"/>
    <col min="9988" max="9988" width="40.42578125" style="1372" customWidth="1"/>
    <col min="9989" max="9989" width="10.42578125" style="1372" customWidth="1"/>
    <col min="9990" max="9990" width="15.85546875" style="1372" customWidth="1"/>
    <col min="9991" max="9991" width="13.85546875" style="1372" customWidth="1"/>
    <col min="9992" max="9992" width="6.42578125" style="1372" customWidth="1"/>
    <col min="9993" max="9993" width="14.28515625" style="1372" bestFit="1" customWidth="1"/>
    <col min="9994" max="9994" width="9.28515625" style="1372" bestFit="1" customWidth="1"/>
    <col min="9995" max="9995" width="16.140625" style="1372" bestFit="1" customWidth="1"/>
    <col min="9996" max="9996" width="16" style="1372" bestFit="1" customWidth="1"/>
    <col min="9997" max="10240" width="9.140625" style="1372"/>
    <col min="10241" max="10241" width="4.7109375" style="1372" customWidth="1"/>
    <col min="10242" max="10242" width="6.140625" style="1372" customWidth="1"/>
    <col min="10243" max="10243" width="10.28515625" style="1372" customWidth="1"/>
    <col min="10244" max="10244" width="40.42578125" style="1372" customWidth="1"/>
    <col min="10245" max="10245" width="10.42578125" style="1372" customWidth="1"/>
    <col min="10246" max="10246" width="15.85546875" style="1372" customWidth="1"/>
    <col min="10247" max="10247" width="13.85546875" style="1372" customWidth="1"/>
    <col min="10248" max="10248" width="6.42578125" style="1372" customWidth="1"/>
    <col min="10249" max="10249" width="14.28515625" style="1372" bestFit="1" customWidth="1"/>
    <col min="10250" max="10250" width="9.28515625" style="1372" bestFit="1" customWidth="1"/>
    <col min="10251" max="10251" width="16.140625" style="1372" bestFit="1" customWidth="1"/>
    <col min="10252" max="10252" width="16" style="1372" bestFit="1" customWidth="1"/>
    <col min="10253" max="10496" width="9.140625" style="1372"/>
    <col min="10497" max="10497" width="4.7109375" style="1372" customWidth="1"/>
    <col min="10498" max="10498" width="6.140625" style="1372" customWidth="1"/>
    <col min="10499" max="10499" width="10.28515625" style="1372" customWidth="1"/>
    <col min="10500" max="10500" width="40.42578125" style="1372" customWidth="1"/>
    <col min="10501" max="10501" width="10.42578125" style="1372" customWidth="1"/>
    <col min="10502" max="10502" width="15.85546875" style="1372" customWidth="1"/>
    <col min="10503" max="10503" width="13.85546875" style="1372" customWidth="1"/>
    <col min="10504" max="10504" width="6.42578125" style="1372" customWidth="1"/>
    <col min="10505" max="10505" width="14.28515625" style="1372" bestFit="1" customWidth="1"/>
    <col min="10506" max="10506" width="9.28515625" style="1372" bestFit="1" customWidth="1"/>
    <col min="10507" max="10507" width="16.140625" style="1372" bestFit="1" customWidth="1"/>
    <col min="10508" max="10508" width="16" style="1372" bestFit="1" customWidth="1"/>
    <col min="10509" max="10752" width="9.140625" style="1372"/>
    <col min="10753" max="10753" width="4.7109375" style="1372" customWidth="1"/>
    <col min="10754" max="10754" width="6.140625" style="1372" customWidth="1"/>
    <col min="10755" max="10755" width="10.28515625" style="1372" customWidth="1"/>
    <col min="10756" max="10756" width="40.42578125" style="1372" customWidth="1"/>
    <col min="10757" max="10757" width="10.42578125" style="1372" customWidth="1"/>
    <col min="10758" max="10758" width="15.85546875" style="1372" customWidth="1"/>
    <col min="10759" max="10759" width="13.85546875" style="1372" customWidth="1"/>
    <col min="10760" max="10760" width="6.42578125" style="1372" customWidth="1"/>
    <col min="10761" max="10761" width="14.28515625" style="1372" bestFit="1" customWidth="1"/>
    <col min="10762" max="10762" width="9.28515625" style="1372" bestFit="1" customWidth="1"/>
    <col min="10763" max="10763" width="16.140625" style="1372" bestFit="1" customWidth="1"/>
    <col min="10764" max="10764" width="16" style="1372" bestFit="1" customWidth="1"/>
    <col min="10765" max="11008" width="9.140625" style="1372"/>
    <col min="11009" max="11009" width="4.7109375" style="1372" customWidth="1"/>
    <col min="11010" max="11010" width="6.140625" style="1372" customWidth="1"/>
    <col min="11011" max="11011" width="10.28515625" style="1372" customWidth="1"/>
    <col min="11012" max="11012" width="40.42578125" style="1372" customWidth="1"/>
    <col min="11013" max="11013" width="10.42578125" style="1372" customWidth="1"/>
    <col min="11014" max="11014" width="15.85546875" style="1372" customWidth="1"/>
    <col min="11015" max="11015" width="13.85546875" style="1372" customWidth="1"/>
    <col min="11016" max="11016" width="6.42578125" style="1372" customWidth="1"/>
    <col min="11017" max="11017" width="14.28515625" style="1372" bestFit="1" customWidth="1"/>
    <col min="11018" max="11018" width="9.28515625" style="1372" bestFit="1" customWidth="1"/>
    <col min="11019" max="11019" width="16.140625" style="1372" bestFit="1" customWidth="1"/>
    <col min="11020" max="11020" width="16" style="1372" bestFit="1" customWidth="1"/>
    <col min="11021" max="11264" width="9.140625" style="1372"/>
    <col min="11265" max="11265" width="4.7109375" style="1372" customWidth="1"/>
    <col min="11266" max="11266" width="6.140625" style="1372" customWidth="1"/>
    <col min="11267" max="11267" width="10.28515625" style="1372" customWidth="1"/>
    <col min="11268" max="11268" width="40.42578125" style="1372" customWidth="1"/>
    <col min="11269" max="11269" width="10.42578125" style="1372" customWidth="1"/>
    <col min="11270" max="11270" width="15.85546875" style="1372" customWidth="1"/>
    <col min="11271" max="11271" width="13.85546875" style="1372" customWidth="1"/>
    <col min="11272" max="11272" width="6.42578125" style="1372" customWidth="1"/>
    <col min="11273" max="11273" width="14.28515625" style="1372" bestFit="1" customWidth="1"/>
    <col min="11274" max="11274" width="9.28515625" style="1372" bestFit="1" customWidth="1"/>
    <col min="11275" max="11275" width="16.140625" style="1372" bestFit="1" customWidth="1"/>
    <col min="11276" max="11276" width="16" style="1372" bestFit="1" customWidth="1"/>
    <col min="11277" max="11520" width="9.140625" style="1372"/>
    <col min="11521" max="11521" width="4.7109375" style="1372" customWidth="1"/>
    <col min="11522" max="11522" width="6.140625" style="1372" customWidth="1"/>
    <col min="11523" max="11523" width="10.28515625" style="1372" customWidth="1"/>
    <col min="11524" max="11524" width="40.42578125" style="1372" customWidth="1"/>
    <col min="11525" max="11525" width="10.42578125" style="1372" customWidth="1"/>
    <col min="11526" max="11526" width="15.85546875" style="1372" customWidth="1"/>
    <col min="11527" max="11527" width="13.85546875" style="1372" customWidth="1"/>
    <col min="11528" max="11528" width="6.42578125" style="1372" customWidth="1"/>
    <col min="11529" max="11529" width="14.28515625" style="1372" bestFit="1" customWidth="1"/>
    <col min="11530" max="11530" width="9.28515625" style="1372" bestFit="1" customWidth="1"/>
    <col min="11531" max="11531" width="16.140625" style="1372" bestFit="1" customWidth="1"/>
    <col min="11532" max="11532" width="16" style="1372" bestFit="1" customWidth="1"/>
    <col min="11533" max="11776" width="9.140625" style="1372"/>
    <col min="11777" max="11777" width="4.7109375" style="1372" customWidth="1"/>
    <col min="11778" max="11778" width="6.140625" style="1372" customWidth="1"/>
    <col min="11779" max="11779" width="10.28515625" style="1372" customWidth="1"/>
    <col min="11780" max="11780" width="40.42578125" style="1372" customWidth="1"/>
    <col min="11781" max="11781" width="10.42578125" style="1372" customWidth="1"/>
    <col min="11782" max="11782" width="15.85546875" style="1372" customWidth="1"/>
    <col min="11783" max="11783" width="13.85546875" style="1372" customWidth="1"/>
    <col min="11784" max="11784" width="6.42578125" style="1372" customWidth="1"/>
    <col min="11785" max="11785" width="14.28515625" style="1372" bestFit="1" customWidth="1"/>
    <col min="11786" max="11786" width="9.28515625" style="1372" bestFit="1" customWidth="1"/>
    <col min="11787" max="11787" width="16.140625" style="1372" bestFit="1" customWidth="1"/>
    <col min="11788" max="11788" width="16" style="1372" bestFit="1" customWidth="1"/>
    <col min="11789" max="12032" width="9.140625" style="1372"/>
    <col min="12033" max="12033" width="4.7109375" style="1372" customWidth="1"/>
    <col min="12034" max="12034" width="6.140625" style="1372" customWidth="1"/>
    <col min="12035" max="12035" width="10.28515625" style="1372" customWidth="1"/>
    <col min="12036" max="12036" width="40.42578125" style="1372" customWidth="1"/>
    <col min="12037" max="12037" width="10.42578125" style="1372" customWidth="1"/>
    <col min="12038" max="12038" width="15.85546875" style="1372" customWidth="1"/>
    <col min="12039" max="12039" width="13.85546875" style="1372" customWidth="1"/>
    <col min="12040" max="12040" width="6.42578125" style="1372" customWidth="1"/>
    <col min="12041" max="12041" width="14.28515625" style="1372" bestFit="1" customWidth="1"/>
    <col min="12042" max="12042" width="9.28515625" style="1372" bestFit="1" customWidth="1"/>
    <col min="12043" max="12043" width="16.140625" style="1372" bestFit="1" customWidth="1"/>
    <col min="12044" max="12044" width="16" style="1372" bestFit="1" customWidth="1"/>
    <col min="12045" max="12288" width="9.140625" style="1372"/>
    <col min="12289" max="12289" width="4.7109375" style="1372" customWidth="1"/>
    <col min="12290" max="12290" width="6.140625" style="1372" customWidth="1"/>
    <col min="12291" max="12291" width="10.28515625" style="1372" customWidth="1"/>
    <col min="12292" max="12292" width="40.42578125" style="1372" customWidth="1"/>
    <col min="12293" max="12293" width="10.42578125" style="1372" customWidth="1"/>
    <col min="12294" max="12294" width="15.85546875" style="1372" customWidth="1"/>
    <col min="12295" max="12295" width="13.85546875" style="1372" customWidth="1"/>
    <col min="12296" max="12296" width="6.42578125" style="1372" customWidth="1"/>
    <col min="12297" max="12297" width="14.28515625" style="1372" bestFit="1" customWidth="1"/>
    <col min="12298" max="12298" width="9.28515625" style="1372" bestFit="1" customWidth="1"/>
    <col min="12299" max="12299" width="16.140625" style="1372" bestFit="1" customWidth="1"/>
    <col min="12300" max="12300" width="16" style="1372" bestFit="1" customWidth="1"/>
    <col min="12301" max="12544" width="9.140625" style="1372"/>
    <col min="12545" max="12545" width="4.7109375" style="1372" customWidth="1"/>
    <col min="12546" max="12546" width="6.140625" style="1372" customWidth="1"/>
    <col min="12547" max="12547" width="10.28515625" style="1372" customWidth="1"/>
    <col min="12548" max="12548" width="40.42578125" style="1372" customWidth="1"/>
    <col min="12549" max="12549" width="10.42578125" style="1372" customWidth="1"/>
    <col min="12550" max="12550" width="15.85546875" style="1372" customWidth="1"/>
    <col min="12551" max="12551" width="13.85546875" style="1372" customWidth="1"/>
    <col min="12552" max="12552" width="6.42578125" style="1372" customWidth="1"/>
    <col min="12553" max="12553" width="14.28515625" style="1372" bestFit="1" customWidth="1"/>
    <col min="12554" max="12554" width="9.28515625" style="1372" bestFit="1" customWidth="1"/>
    <col min="12555" max="12555" width="16.140625" style="1372" bestFit="1" customWidth="1"/>
    <col min="12556" max="12556" width="16" style="1372" bestFit="1" customWidth="1"/>
    <col min="12557" max="12800" width="9.140625" style="1372"/>
    <col min="12801" max="12801" width="4.7109375" style="1372" customWidth="1"/>
    <col min="12802" max="12802" width="6.140625" style="1372" customWidth="1"/>
    <col min="12803" max="12803" width="10.28515625" style="1372" customWidth="1"/>
    <col min="12804" max="12804" width="40.42578125" style="1372" customWidth="1"/>
    <col min="12805" max="12805" width="10.42578125" style="1372" customWidth="1"/>
    <col min="12806" max="12806" width="15.85546875" style="1372" customWidth="1"/>
    <col min="12807" max="12807" width="13.85546875" style="1372" customWidth="1"/>
    <col min="12808" max="12808" width="6.42578125" style="1372" customWidth="1"/>
    <col min="12809" max="12809" width="14.28515625" style="1372" bestFit="1" customWidth="1"/>
    <col min="12810" max="12810" width="9.28515625" style="1372" bestFit="1" customWidth="1"/>
    <col min="12811" max="12811" width="16.140625" style="1372" bestFit="1" customWidth="1"/>
    <col min="12812" max="12812" width="16" style="1372" bestFit="1" customWidth="1"/>
    <col min="12813" max="13056" width="9.140625" style="1372"/>
    <col min="13057" max="13057" width="4.7109375" style="1372" customWidth="1"/>
    <col min="13058" max="13058" width="6.140625" style="1372" customWidth="1"/>
    <col min="13059" max="13059" width="10.28515625" style="1372" customWidth="1"/>
    <col min="13060" max="13060" width="40.42578125" style="1372" customWidth="1"/>
    <col min="13061" max="13061" width="10.42578125" style="1372" customWidth="1"/>
    <col min="13062" max="13062" width="15.85546875" style="1372" customWidth="1"/>
    <col min="13063" max="13063" width="13.85546875" style="1372" customWidth="1"/>
    <col min="13064" max="13064" width="6.42578125" style="1372" customWidth="1"/>
    <col min="13065" max="13065" width="14.28515625" style="1372" bestFit="1" customWidth="1"/>
    <col min="13066" max="13066" width="9.28515625" style="1372" bestFit="1" customWidth="1"/>
    <col min="13067" max="13067" width="16.140625" style="1372" bestFit="1" customWidth="1"/>
    <col min="13068" max="13068" width="16" style="1372" bestFit="1" customWidth="1"/>
    <col min="13069" max="13312" width="9.140625" style="1372"/>
    <col min="13313" max="13313" width="4.7109375" style="1372" customWidth="1"/>
    <col min="13314" max="13314" width="6.140625" style="1372" customWidth="1"/>
    <col min="13315" max="13315" width="10.28515625" style="1372" customWidth="1"/>
    <col min="13316" max="13316" width="40.42578125" style="1372" customWidth="1"/>
    <col min="13317" max="13317" width="10.42578125" style="1372" customWidth="1"/>
    <col min="13318" max="13318" width="15.85546875" style="1372" customWidth="1"/>
    <col min="13319" max="13319" width="13.85546875" style="1372" customWidth="1"/>
    <col min="13320" max="13320" width="6.42578125" style="1372" customWidth="1"/>
    <col min="13321" max="13321" width="14.28515625" style="1372" bestFit="1" customWidth="1"/>
    <col min="13322" max="13322" width="9.28515625" style="1372" bestFit="1" customWidth="1"/>
    <col min="13323" max="13323" width="16.140625" style="1372" bestFit="1" customWidth="1"/>
    <col min="13324" max="13324" width="16" style="1372" bestFit="1" customWidth="1"/>
    <col min="13325" max="13568" width="9.140625" style="1372"/>
    <col min="13569" max="13569" width="4.7109375" style="1372" customWidth="1"/>
    <col min="13570" max="13570" width="6.140625" style="1372" customWidth="1"/>
    <col min="13571" max="13571" width="10.28515625" style="1372" customWidth="1"/>
    <col min="13572" max="13572" width="40.42578125" style="1372" customWidth="1"/>
    <col min="13573" max="13573" width="10.42578125" style="1372" customWidth="1"/>
    <col min="13574" max="13574" width="15.85546875" style="1372" customWidth="1"/>
    <col min="13575" max="13575" width="13.85546875" style="1372" customWidth="1"/>
    <col min="13576" max="13576" width="6.42578125" style="1372" customWidth="1"/>
    <col min="13577" max="13577" width="14.28515625" style="1372" bestFit="1" customWidth="1"/>
    <col min="13578" max="13578" width="9.28515625" style="1372" bestFit="1" customWidth="1"/>
    <col min="13579" max="13579" width="16.140625" style="1372" bestFit="1" customWidth="1"/>
    <col min="13580" max="13580" width="16" style="1372" bestFit="1" customWidth="1"/>
    <col min="13581" max="13824" width="9.140625" style="1372"/>
    <col min="13825" max="13825" width="4.7109375" style="1372" customWidth="1"/>
    <col min="13826" max="13826" width="6.140625" style="1372" customWidth="1"/>
    <col min="13827" max="13827" width="10.28515625" style="1372" customWidth="1"/>
    <col min="13828" max="13828" width="40.42578125" style="1372" customWidth="1"/>
    <col min="13829" max="13829" width="10.42578125" style="1372" customWidth="1"/>
    <col min="13830" max="13830" width="15.85546875" style="1372" customWidth="1"/>
    <col min="13831" max="13831" width="13.85546875" style="1372" customWidth="1"/>
    <col min="13832" max="13832" width="6.42578125" style="1372" customWidth="1"/>
    <col min="13833" max="13833" width="14.28515625" style="1372" bestFit="1" customWidth="1"/>
    <col min="13834" max="13834" width="9.28515625" style="1372" bestFit="1" customWidth="1"/>
    <col min="13835" max="13835" width="16.140625" style="1372" bestFit="1" customWidth="1"/>
    <col min="13836" max="13836" width="16" style="1372" bestFit="1" customWidth="1"/>
    <col min="13837" max="14080" width="9.140625" style="1372"/>
    <col min="14081" max="14081" width="4.7109375" style="1372" customWidth="1"/>
    <col min="14082" max="14082" width="6.140625" style="1372" customWidth="1"/>
    <col min="14083" max="14083" width="10.28515625" style="1372" customWidth="1"/>
    <col min="14084" max="14084" width="40.42578125" style="1372" customWidth="1"/>
    <col min="14085" max="14085" width="10.42578125" style="1372" customWidth="1"/>
    <col min="14086" max="14086" width="15.85546875" style="1372" customWidth="1"/>
    <col min="14087" max="14087" width="13.85546875" style="1372" customWidth="1"/>
    <col min="14088" max="14088" width="6.42578125" style="1372" customWidth="1"/>
    <col min="14089" max="14089" width="14.28515625" style="1372" bestFit="1" customWidth="1"/>
    <col min="14090" max="14090" width="9.28515625" style="1372" bestFit="1" customWidth="1"/>
    <col min="14091" max="14091" width="16.140625" style="1372" bestFit="1" customWidth="1"/>
    <col min="14092" max="14092" width="16" style="1372" bestFit="1" customWidth="1"/>
    <col min="14093" max="14336" width="9.140625" style="1372"/>
    <col min="14337" max="14337" width="4.7109375" style="1372" customWidth="1"/>
    <col min="14338" max="14338" width="6.140625" style="1372" customWidth="1"/>
    <col min="14339" max="14339" width="10.28515625" style="1372" customWidth="1"/>
    <col min="14340" max="14340" width="40.42578125" style="1372" customWidth="1"/>
    <col min="14341" max="14341" width="10.42578125" style="1372" customWidth="1"/>
    <col min="14342" max="14342" width="15.85546875" style="1372" customWidth="1"/>
    <col min="14343" max="14343" width="13.85546875" style="1372" customWidth="1"/>
    <col min="14344" max="14344" width="6.42578125" style="1372" customWidth="1"/>
    <col min="14345" max="14345" width="14.28515625" style="1372" bestFit="1" customWidth="1"/>
    <col min="14346" max="14346" width="9.28515625" style="1372" bestFit="1" customWidth="1"/>
    <col min="14347" max="14347" width="16.140625" style="1372" bestFit="1" customWidth="1"/>
    <col min="14348" max="14348" width="16" style="1372" bestFit="1" customWidth="1"/>
    <col min="14349" max="14592" width="9.140625" style="1372"/>
    <col min="14593" max="14593" width="4.7109375" style="1372" customWidth="1"/>
    <col min="14594" max="14594" width="6.140625" style="1372" customWidth="1"/>
    <col min="14595" max="14595" width="10.28515625" style="1372" customWidth="1"/>
    <col min="14596" max="14596" width="40.42578125" style="1372" customWidth="1"/>
    <col min="14597" max="14597" width="10.42578125" style="1372" customWidth="1"/>
    <col min="14598" max="14598" width="15.85546875" style="1372" customWidth="1"/>
    <col min="14599" max="14599" width="13.85546875" style="1372" customWidth="1"/>
    <col min="14600" max="14600" width="6.42578125" style="1372" customWidth="1"/>
    <col min="14601" max="14601" width="14.28515625" style="1372" bestFit="1" customWidth="1"/>
    <col min="14602" max="14602" width="9.28515625" style="1372" bestFit="1" customWidth="1"/>
    <col min="14603" max="14603" width="16.140625" style="1372" bestFit="1" customWidth="1"/>
    <col min="14604" max="14604" width="16" style="1372" bestFit="1" customWidth="1"/>
    <col min="14605" max="14848" width="9.140625" style="1372"/>
    <col min="14849" max="14849" width="4.7109375" style="1372" customWidth="1"/>
    <col min="14850" max="14850" width="6.140625" style="1372" customWidth="1"/>
    <col min="14851" max="14851" width="10.28515625" style="1372" customWidth="1"/>
    <col min="14852" max="14852" width="40.42578125" style="1372" customWidth="1"/>
    <col min="14853" max="14853" width="10.42578125" style="1372" customWidth="1"/>
    <col min="14854" max="14854" width="15.85546875" style="1372" customWidth="1"/>
    <col min="14855" max="14855" width="13.85546875" style="1372" customWidth="1"/>
    <col min="14856" max="14856" width="6.42578125" style="1372" customWidth="1"/>
    <col min="14857" max="14857" width="14.28515625" style="1372" bestFit="1" customWidth="1"/>
    <col min="14858" max="14858" width="9.28515625" style="1372" bestFit="1" customWidth="1"/>
    <col min="14859" max="14859" width="16.140625" style="1372" bestFit="1" customWidth="1"/>
    <col min="14860" max="14860" width="16" style="1372" bestFit="1" customWidth="1"/>
    <col min="14861" max="15104" width="9.140625" style="1372"/>
    <col min="15105" max="15105" width="4.7109375" style="1372" customWidth="1"/>
    <col min="15106" max="15106" width="6.140625" style="1372" customWidth="1"/>
    <col min="15107" max="15107" width="10.28515625" style="1372" customWidth="1"/>
    <col min="15108" max="15108" width="40.42578125" style="1372" customWidth="1"/>
    <col min="15109" max="15109" width="10.42578125" style="1372" customWidth="1"/>
    <col min="15110" max="15110" width="15.85546875" style="1372" customWidth="1"/>
    <col min="15111" max="15111" width="13.85546875" style="1372" customWidth="1"/>
    <col min="15112" max="15112" width="6.42578125" style="1372" customWidth="1"/>
    <col min="15113" max="15113" width="14.28515625" style="1372" bestFit="1" customWidth="1"/>
    <col min="15114" max="15114" width="9.28515625" style="1372" bestFit="1" customWidth="1"/>
    <col min="15115" max="15115" width="16.140625" style="1372" bestFit="1" customWidth="1"/>
    <col min="15116" max="15116" width="16" style="1372" bestFit="1" customWidth="1"/>
    <col min="15117" max="15360" width="9.140625" style="1372"/>
    <col min="15361" max="15361" width="4.7109375" style="1372" customWidth="1"/>
    <col min="15362" max="15362" width="6.140625" style="1372" customWidth="1"/>
    <col min="15363" max="15363" width="10.28515625" style="1372" customWidth="1"/>
    <col min="15364" max="15364" width="40.42578125" style="1372" customWidth="1"/>
    <col min="15365" max="15365" width="10.42578125" style="1372" customWidth="1"/>
    <col min="15366" max="15366" width="15.85546875" style="1372" customWidth="1"/>
    <col min="15367" max="15367" width="13.85546875" style="1372" customWidth="1"/>
    <col min="15368" max="15368" width="6.42578125" style="1372" customWidth="1"/>
    <col min="15369" max="15369" width="14.28515625" style="1372" bestFit="1" customWidth="1"/>
    <col min="15370" max="15370" width="9.28515625" style="1372" bestFit="1" customWidth="1"/>
    <col min="15371" max="15371" width="16.140625" style="1372" bestFit="1" customWidth="1"/>
    <col min="15372" max="15372" width="16" style="1372" bestFit="1" customWidth="1"/>
    <col min="15373" max="15616" width="9.140625" style="1372"/>
    <col min="15617" max="15617" width="4.7109375" style="1372" customWidth="1"/>
    <col min="15618" max="15618" width="6.140625" style="1372" customWidth="1"/>
    <col min="15619" max="15619" width="10.28515625" style="1372" customWidth="1"/>
    <col min="15620" max="15620" width="40.42578125" style="1372" customWidth="1"/>
    <col min="15621" max="15621" width="10.42578125" style="1372" customWidth="1"/>
    <col min="15622" max="15622" width="15.85546875" style="1372" customWidth="1"/>
    <col min="15623" max="15623" width="13.85546875" style="1372" customWidth="1"/>
    <col min="15624" max="15624" width="6.42578125" style="1372" customWidth="1"/>
    <col min="15625" max="15625" width="14.28515625" style="1372" bestFit="1" customWidth="1"/>
    <col min="15626" max="15626" width="9.28515625" style="1372" bestFit="1" customWidth="1"/>
    <col min="15627" max="15627" width="16.140625" style="1372" bestFit="1" customWidth="1"/>
    <col min="15628" max="15628" width="16" style="1372" bestFit="1" customWidth="1"/>
    <col min="15629" max="15872" width="9.140625" style="1372"/>
    <col min="15873" max="15873" width="4.7109375" style="1372" customWidth="1"/>
    <col min="15874" max="15874" width="6.140625" style="1372" customWidth="1"/>
    <col min="15875" max="15875" width="10.28515625" style="1372" customWidth="1"/>
    <col min="15876" max="15876" width="40.42578125" style="1372" customWidth="1"/>
    <col min="15877" max="15877" width="10.42578125" style="1372" customWidth="1"/>
    <col min="15878" max="15878" width="15.85546875" style="1372" customWidth="1"/>
    <col min="15879" max="15879" width="13.85546875" style="1372" customWidth="1"/>
    <col min="15880" max="15880" width="6.42578125" style="1372" customWidth="1"/>
    <col min="15881" max="15881" width="14.28515625" style="1372" bestFit="1" customWidth="1"/>
    <col min="15882" max="15882" width="9.28515625" style="1372" bestFit="1" customWidth="1"/>
    <col min="15883" max="15883" width="16.140625" style="1372" bestFit="1" customWidth="1"/>
    <col min="15884" max="15884" width="16" style="1372" bestFit="1" customWidth="1"/>
    <col min="15885" max="16128" width="9.140625" style="1372"/>
    <col min="16129" max="16129" width="4.7109375" style="1372" customWidth="1"/>
    <col min="16130" max="16130" width="6.140625" style="1372" customWidth="1"/>
    <col min="16131" max="16131" width="10.28515625" style="1372" customWidth="1"/>
    <col min="16132" max="16132" width="40.42578125" style="1372" customWidth="1"/>
    <col min="16133" max="16133" width="10.42578125" style="1372" customWidth="1"/>
    <col min="16134" max="16134" width="15.85546875" style="1372" customWidth="1"/>
    <col min="16135" max="16135" width="13.85546875" style="1372" customWidth="1"/>
    <col min="16136" max="16136" width="6.42578125" style="1372" customWidth="1"/>
    <col min="16137" max="16137" width="14.28515625" style="1372" bestFit="1" customWidth="1"/>
    <col min="16138" max="16138" width="9.28515625" style="1372" bestFit="1" customWidth="1"/>
    <col min="16139" max="16139" width="16.140625" style="1372" bestFit="1" customWidth="1"/>
    <col min="16140" max="16140" width="16" style="1372" bestFit="1" customWidth="1"/>
    <col min="16141" max="16384" width="9.140625" style="1372"/>
  </cols>
  <sheetData>
    <row r="1" spans="1:8" ht="38.25" customHeight="1" thickBot="1" x14ac:dyDescent="0.25">
      <c r="A1" s="3221" t="s">
        <v>676</v>
      </c>
      <c r="B1" s="3221"/>
      <c r="C1" s="3221"/>
      <c r="D1" s="3221"/>
      <c r="E1" s="3221"/>
      <c r="F1" s="3221"/>
      <c r="G1" s="3221"/>
      <c r="H1" s="3221"/>
    </row>
    <row r="2" spans="1:8" ht="18" x14ac:dyDescent="0.25">
      <c r="A2" s="1376"/>
      <c r="B2" s="1400"/>
      <c r="C2" s="1400"/>
      <c r="D2" s="1400"/>
      <c r="E2" s="1400"/>
      <c r="F2" s="1400"/>
      <c r="G2" s="1400"/>
      <c r="H2" s="1445" t="s">
        <v>677</v>
      </c>
    </row>
    <row r="3" spans="1:8" ht="18" x14ac:dyDescent="0.25">
      <c r="A3" s="1337" t="s">
        <v>336</v>
      </c>
      <c r="B3" s="1400"/>
      <c r="C3" s="1370" t="s">
        <v>2009</v>
      </c>
      <c r="D3" s="1336"/>
      <c r="E3" s="1400"/>
      <c r="F3" s="1400"/>
      <c r="G3" s="1400"/>
      <c r="H3" s="1445"/>
    </row>
    <row r="4" spans="1:8" ht="18" x14ac:dyDescent="0.25">
      <c r="A4" s="1376"/>
      <c r="B4" s="1400"/>
      <c r="C4" s="1370" t="s">
        <v>1450</v>
      </c>
      <c r="D4" s="1254"/>
      <c r="E4" s="1400"/>
      <c r="F4" s="1400"/>
      <c r="G4" s="1400"/>
      <c r="H4" s="1445"/>
    </row>
    <row r="5" spans="1:8" ht="18" x14ac:dyDescent="0.25">
      <c r="A5" s="1375" t="s">
        <v>678</v>
      </c>
      <c r="B5" s="1400"/>
      <c r="C5" s="1400"/>
      <c r="D5" s="1400"/>
      <c r="E5" s="1400"/>
      <c r="F5" s="1400"/>
      <c r="G5" s="1400"/>
      <c r="H5" s="1445"/>
    </row>
    <row r="7" spans="1:8" ht="15.75" thickBot="1" x14ac:dyDescent="0.3">
      <c r="A7" s="1377" t="s">
        <v>229</v>
      </c>
      <c r="H7" s="1459" t="s">
        <v>148</v>
      </c>
    </row>
    <row r="8" spans="1:8" s="1292" customFormat="1" ht="25.5" thickTop="1" thickBot="1" x14ac:dyDescent="0.25">
      <c r="A8" s="1378" t="s">
        <v>149</v>
      </c>
      <c r="B8" s="1379" t="s">
        <v>688</v>
      </c>
      <c r="C8" s="1379" t="s">
        <v>345</v>
      </c>
      <c r="D8" s="1380" t="s">
        <v>151</v>
      </c>
      <c r="E8" s="1402" t="s">
        <v>569</v>
      </c>
      <c r="F8" s="1402" t="s">
        <v>570</v>
      </c>
      <c r="G8" s="1403" t="s">
        <v>797</v>
      </c>
      <c r="H8" s="1404" t="s">
        <v>798</v>
      </c>
    </row>
    <row r="9" spans="1:8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5">
        <v>5</v>
      </c>
      <c r="F9" s="1295">
        <v>6</v>
      </c>
      <c r="G9" s="1446">
        <v>7</v>
      </c>
      <c r="H9" s="1468" t="s">
        <v>54</v>
      </c>
    </row>
    <row r="10" spans="1:8" ht="45.75" hidden="1" thickTop="1" x14ac:dyDescent="0.2">
      <c r="A10" s="1463">
        <v>3299</v>
      </c>
      <c r="B10" s="1469">
        <v>5213</v>
      </c>
      <c r="C10" s="1472">
        <v>32133006</v>
      </c>
      <c r="D10" s="1424" t="s">
        <v>1129</v>
      </c>
      <c r="E10" s="1401">
        <v>0</v>
      </c>
      <c r="F10" s="1401"/>
      <c r="G10" s="1401"/>
      <c r="H10" s="1388" t="e">
        <f t="shared" ref="H10:H34" si="0">G10/F10*100</f>
        <v>#DIV/0!</v>
      </c>
    </row>
    <row r="11" spans="1:8" ht="45.75" hidden="1" thickTop="1" x14ac:dyDescent="0.2">
      <c r="A11" s="1463">
        <v>3299</v>
      </c>
      <c r="B11" s="1469">
        <v>5213</v>
      </c>
      <c r="C11" s="1472">
        <v>32533006</v>
      </c>
      <c r="D11" s="1405" t="s">
        <v>1129</v>
      </c>
      <c r="E11" s="1414">
        <v>0</v>
      </c>
      <c r="F11" s="1414"/>
      <c r="G11" s="1414"/>
      <c r="H11" s="1390" t="e">
        <f t="shared" si="0"/>
        <v>#DIV/0!</v>
      </c>
    </row>
    <row r="12" spans="1:8" ht="30.75" hidden="1" thickTop="1" x14ac:dyDescent="0.2">
      <c r="A12" s="1463">
        <v>3299</v>
      </c>
      <c r="B12" s="1469">
        <v>5221</v>
      </c>
      <c r="C12" s="1472">
        <v>32133006</v>
      </c>
      <c r="D12" s="1405" t="s">
        <v>1183</v>
      </c>
      <c r="E12" s="1414">
        <v>0</v>
      </c>
      <c r="F12" s="1414"/>
      <c r="G12" s="1414"/>
      <c r="H12" s="1390" t="e">
        <f t="shared" si="0"/>
        <v>#DIV/0!</v>
      </c>
    </row>
    <row r="13" spans="1:8" ht="30.75" hidden="1" thickTop="1" x14ac:dyDescent="0.2">
      <c r="A13" s="1463">
        <v>3299</v>
      </c>
      <c r="B13" s="1469">
        <v>5221</v>
      </c>
      <c r="C13" s="1472">
        <v>32533006</v>
      </c>
      <c r="D13" s="1405" t="s">
        <v>1183</v>
      </c>
      <c r="E13" s="1414">
        <v>0</v>
      </c>
      <c r="F13" s="1414"/>
      <c r="G13" s="1414"/>
      <c r="H13" s="1390" t="e">
        <f t="shared" si="0"/>
        <v>#DIV/0!</v>
      </c>
    </row>
    <row r="14" spans="1:8" ht="30.75" hidden="1" thickTop="1" x14ac:dyDescent="0.2">
      <c r="A14" s="1463">
        <v>3299</v>
      </c>
      <c r="B14" s="1469">
        <v>5222</v>
      </c>
      <c r="C14" s="1472">
        <v>32133006</v>
      </c>
      <c r="D14" s="1405" t="s">
        <v>202</v>
      </c>
      <c r="E14" s="1414">
        <v>0</v>
      </c>
      <c r="F14" s="1414"/>
      <c r="G14" s="1414"/>
      <c r="H14" s="1390" t="e">
        <f t="shared" si="0"/>
        <v>#DIV/0!</v>
      </c>
    </row>
    <row r="15" spans="1:8" ht="30.75" hidden="1" thickTop="1" x14ac:dyDescent="0.2">
      <c r="A15" s="1463">
        <v>3299</v>
      </c>
      <c r="B15" s="1469">
        <v>5222</v>
      </c>
      <c r="C15" s="1472">
        <v>32533006</v>
      </c>
      <c r="D15" s="1405" t="s">
        <v>202</v>
      </c>
      <c r="E15" s="1414">
        <v>0</v>
      </c>
      <c r="F15" s="1414"/>
      <c r="G15" s="1414"/>
      <c r="H15" s="1390" t="e">
        <f t="shared" si="0"/>
        <v>#DIV/0!</v>
      </c>
    </row>
    <row r="16" spans="1:8" ht="30.75" hidden="1" thickTop="1" x14ac:dyDescent="0.2">
      <c r="A16" s="1463">
        <v>3299</v>
      </c>
      <c r="B16" s="1469">
        <v>5223</v>
      </c>
      <c r="C16" s="1472">
        <v>32133006</v>
      </c>
      <c r="D16" s="1405" t="s">
        <v>749</v>
      </c>
      <c r="E16" s="1414">
        <v>0</v>
      </c>
      <c r="F16" s="1414"/>
      <c r="G16" s="1414"/>
      <c r="H16" s="1390" t="e">
        <f t="shared" si="0"/>
        <v>#DIV/0!</v>
      </c>
    </row>
    <row r="17" spans="1:8" ht="30.75" hidden="1" thickTop="1" x14ac:dyDescent="0.2">
      <c r="A17" s="1463">
        <v>3299</v>
      </c>
      <c r="B17" s="1469">
        <v>5223</v>
      </c>
      <c r="C17" s="1472">
        <v>32533006</v>
      </c>
      <c r="D17" s="1405" t="s">
        <v>749</v>
      </c>
      <c r="E17" s="1414">
        <v>0</v>
      </c>
      <c r="F17" s="1414"/>
      <c r="G17" s="1414"/>
      <c r="H17" s="1390" t="e">
        <f t="shared" si="0"/>
        <v>#DIV/0!</v>
      </c>
    </row>
    <row r="18" spans="1:8" ht="15.95" hidden="1" customHeight="1" x14ac:dyDescent="0.2">
      <c r="A18" s="1463">
        <v>3299</v>
      </c>
      <c r="B18" s="1469">
        <v>5332</v>
      </c>
      <c r="C18" s="1472">
        <v>32133006</v>
      </c>
      <c r="D18" s="1405" t="s">
        <v>560</v>
      </c>
      <c r="E18" s="1414">
        <v>0</v>
      </c>
      <c r="F18" s="1414"/>
      <c r="G18" s="1414"/>
      <c r="H18" s="1390" t="e">
        <f t="shared" si="0"/>
        <v>#DIV/0!</v>
      </c>
    </row>
    <row r="19" spans="1:8" ht="15.95" hidden="1" customHeight="1" x14ac:dyDescent="0.2">
      <c r="A19" s="1463">
        <v>3299</v>
      </c>
      <c r="B19" s="1469">
        <v>5332</v>
      </c>
      <c r="C19" s="1472">
        <v>32533006</v>
      </c>
      <c r="D19" s="1405" t="s">
        <v>560</v>
      </c>
      <c r="E19" s="1414">
        <v>0</v>
      </c>
      <c r="F19" s="1414"/>
      <c r="G19" s="1414"/>
      <c r="H19" s="1390" t="e">
        <f t="shared" si="0"/>
        <v>#DIV/0!</v>
      </c>
    </row>
    <row r="20" spans="1:8" ht="15.75" hidden="1" thickTop="1" x14ac:dyDescent="0.2">
      <c r="A20" s="1463">
        <v>3299</v>
      </c>
      <c r="B20" s="1469">
        <v>5901</v>
      </c>
      <c r="C20" s="1472">
        <v>32133006</v>
      </c>
      <c r="D20" s="1405" t="s">
        <v>547</v>
      </c>
      <c r="E20" s="1414"/>
      <c r="F20" s="1414"/>
      <c r="G20" s="1414"/>
      <c r="H20" s="1390" t="e">
        <f t="shared" si="0"/>
        <v>#DIV/0!</v>
      </c>
    </row>
    <row r="21" spans="1:8" ht="15.75" hidden="1" thickTop="1" x14ac:dyDescent="0.2">
      <c r="A21" s="1463">
        <v>3299</v>
      </c>
      <c r="B21" s="1469">
        <v>5901</v>
      </c>
      <c r="C21" s="1472">
        <v>32533006</v>
      </c>
      <c r="D21" s="1405" t="s">
        <v>547</v>
      </c>
      <c r="E21" s="1414"/>
      <c r="F21" s="1414"/>
      <c r="G21" s="1414"/>
      <c r="H21" s="1390" t="e">
        <f t="shared" si="0"/>
        <v>#DIV/0!</v>
      </c>
    </row>
    <row r="22" spans="1:8" ht="45.75" hidden="1" thickTop="1" x14ac:dyDescent="0.2">
      <c r="A22" s="1463">
        <v>3299</v>
      </c>
      <c r="B22" s="1469">
        <v>6313</v>
      </c>
      <c r="C22" s="1472">
        <v>32133006</v>
      </c>
      <c r="D22" s="1405" t="s">
        <v>79</v>
      </c>
      <c r="E22" s="1414"/>
      <c r="F22" s="1414"/>
      <c r="G22" s="1414"/>
      <c r="H22" s="1390" t="e">
        <f t="shared" si="0"/>
        <v>#DIV/0!</v>
      </c>
    </row>
    <row r="23" spans="1:8" ht="45.75" hidden="1" thickTop="1" x14ac:dyDescent="0.2">
      <c r="A23" s="1463">
        <v>3299</v>
      </c>
      <c r="B23" s="1469">
        <v>6313</v>
      </c>
      <c r="C23" s="1472">
        <v>32533006</v>
      </c>
      <c r="D23" s="1405" t="s">
        <v>79</v>
      </c>
      <c r="E23" s="1414"/>
      <c r="F23" s="1414"/>
      <c r="G23" s="1414"/>
      <c r="H23" s="1390" t="e">
        <f t="shared" si="0"/>
        <v>#DIV/0!</v>
      </c>
    </row>
    <row r="24" spans="1:8" ht="30.75" hidden="1" thickTop="1" x14ac:dyDescent="0.2">
      <c r="A24" s="1463">
        <v>3299</v>
      </c>
      <c r="B24" s="1469">
        <v>6321</v>
      </c>
      <c r="C24" s="1472">
        <v>32133006</v>
      </c>
      <c r="D24" s="1405" t="s">
        <v>1027</v>
      </c>
      <c r="E24" s="1414"/>
      <c r="F24" s="1414"/>
      <c r="G24" s="1414"/>
      <c r="H24" s="1390" t="e">
        <f t="shared" si="0"/>
        <v>#DIV/0!</v>
      </c>
    </row>
    <row r="25" spans="1:8" ht="30.75" hidden="1" thickTop="1" x14ac:dyDescent="0.2">
      <c r="A25" s="1463">
        <v>3299</v>
      </c>
      <c r="B25" s="1469">
        <v>6321</v>
      </c>
      <c r="C25" s="1472">
        <v>32533006</v>
      </c>
      <c r="D25" s="1405" t="s">
        <v>1027</v>
      </c>
      <c r="E25" s="1414"/>
      <c r="F25" s="1414"/>
      <c r="G25" s="1414"/>
      <c r="H25" s="1390" t="e">
        <f t="shared" si="0"/>
        <v>#DIV/0!</v>
      </c>
    </row>
    <row r="26" spans="1:8" ht="30.75" hidden="1" thickTop="1" x14ac:dyDescent="0.2">
      <c r="A26" s="1463">
        <v>3299</v>
      </c>
      <c r="B26" s="1469">
        <v>6322</v>
      </c>
      <c r="C26" s="1472">
        <v>32133006</v>
      </c>
      <c r="D26" s="1405" t="s">
        <v>1033</v>
      </c>
      <c r="E26" s="1414"/>
      <c r="F26" s="1414"/>
      <c r="G26" s="1414"/>
      <c r="H26" s="1390" t="e">
        <f t="shared" si="0"/>
        <v>#DIV/0!</v>
      </c>
    </row>
    <row r="27" spans="1:8" ht="30.75" hidden="1" thickTop="1" x14ac:dyDescent="0.2">
      <c r="A27" s="1463">
        <v>3299</v>
      </c>
      <c r="B27" s="1469">
        <v>6322</v>
      </c>
      <c r="C27" s="1472">
        <v>32533006</v>
      </c>
      <c r="D27" s="1405" t="s">
        <v>1033</v>
      </c>
      <c r="E27" s="1414"/>
      <c r="F27" s="1414"/>
      <c r="G27" s="1414"/>
      <c r="H27" s="1390" t="e">
        <f t="shared" si="0"/>
        <v>#DIV/0!</v>
      </c>
    </row>
    <row r="28" spans="1:8" ht="15.75" hidden="1" thickTop="1" x14ac:dyDescent="0.2">
      <c r="A28" s="1463">
        <v>3299</v>
      </c>
      <c r="B28" s="1469">
        <v>6352</v>
      </c>
      <c r="C28" s="1472">
        <v>32133006</v>
      </c>
      <c r="D28" s="1405" t="s">
        <v>170</v>
      </c>
      <c r="E28" s="1414"/>
      <c r="F28" s="1414"/>
      <c r="G28" s="1414"/>
      <c r="H28" s="1390" t="e">
        <f t="shared" si="0"/>
        <v>#DIV/0!</v>
      </c>
    </row>
    <row r="29" spans="1:8" ht="15.75" hidden="1" thickTop="1" x14ac:dyDescent="0.2">
      <c r="A29" s="1463">
        <v>3299</v>
      </c>
      <c r="B29" s="1469">
        <v>6352</v>
      </c>
      <c r="C29" s="1472">
        <v>32533006</v>
      </c>
      <c r="D29" s="1405" t="s">
        <v>170</v>
      </c>
      <c r="E29" s="1414"/>
      <c r="F29" s="1414"/>
      <c r="G29" s="1414"/>
      <c r="H29" s="1390" t="e">
        <f t="shared" si="0"/>
        <v>#DIV/0!</v>
      </c>
    </row>
    <row r="30" spans="1:8" ht="15.75" hidden="1" thickTop="1" x14ac:dyDescent="0.2">
      <c r="A30" s="1463">
        <v>3299</v>
      </c>
      <c r="B30" s="1469">
        <v>5909</v>
      </c>
      <c r="C30" s="1472">
        <v>0</v>
      </c>
      <c r="D30" s="1405" t="s">
        <v>588</v>
      </c>
      <c r="E30" s="1414"/>
      <c r="F30" s="1414"/>
      <c r="G30" s="1414"/>
      <c r="H30" s="1390" t="e">
        <f t="shared" si="0"/>
        <v>#DIV/0!</v>
      </c>
    </row>
    <row r="31" spans="1:8" ht="15.75" hidden="1" thickTop="1" x14ac:dyDescent="0.2">
      <c r="A31" s="1463">
        <v>3299</v>
      </c>
      <c r="B31" s="1469">
        <v>6901</v>
      </c>
      <c r="C31" s="1472">
        <v>32133006</v>
      </c>
      <c r="D31" s="1405" t="s">
        <v>391</v>
      </c>
      <c r="E31" s="1414"/>
      <c r="F31" s="1414"/>
      <c r="G31" s="1414"/>
      <c r="H31" s="1390" t="e">
        <f t="shared" si="0"/>
        <v>#DIV/0!</v>
      </c>
    </row>
    <row r="32" spans="1:8" ht="15.75" hidden="1" thickTop="1" x14ac:dyDescent="0.2">
      <c r="A32" s="1463">
        <v>3299</v>
      </c>
      <c r="B32" s="1469">
        <v>6901</v>
      </c>
      <c r="C32" s="1472">
        <v>32533006</v>
      </c>
      <c r="D32" s="1405" t="s">
        <v>391</v>
      </c>
      <c r="E32" s="1414"/>
      <c r="F32" s="1414"/>
      <c r="G32" s="1414"/>
      <c r="H32" s="1390" t="e">
        <f t="shared" si="0"/>
        <v>#DIV/0!</v>
      </c>
    </row>
    <row r="33" spans="1:9" ht="31.5" thickTop="1" thickBot="1" x14ac:dyDescent="0.25">
      <c r="A33" s="1463">
        <v>6402</v>
      </c>
      <c r="B33" s="1469">
        <v>5364</v>
      </c>
      <c r="C33" s="2832" t="s">
        <v>1786</v>
      </c>
      <c r="D33" s="1405" t="s">
        <v>2041</v>
      </c>
      <c r="E33" s="1414">
        <v>0</v>
      </c>
      <c r="F33" s="1414">
        <v>12728</v>
      </c>
      <c r="G33" s="1414">
        <v>12706</v>
      </c>
      <c r="H33" s="1396">
        <f t="shared" si="0"/>
        <v>99.82715273412947</v>
      </c>
    </row>
    <row r="34" spans="1:9" s="1397" customFormat="1" ht="16.5" thickTop="1" thickBot="1" x14ac:dyDescent="0.3">
      <c r="A34" s="3219" t="s">
        <v>690</v>
      </c>
      <c r="B34" s="3220"/>
      <c r="C34" s="3220"/>
      <c r="D34" s="3220"/>
      <c r="E34" s="1387">
        <f>SUM(E10:E32)</f>
        <v>0</v>
      </c>
      <c r="F34" s="1387">
        <f>SUM(F10:F33)</f>
        <v>12728</v>
      </c>
      <c r="G34" s="1387">
        <f>SUM(G10:G33)</f>
        <v>12706</v>
      </c>
      <c r="H34" s="1396">
        <f t="shared" si="0"/>
        <v>99.82715273412947</v>
      </c>
      <c r="I34" s="1476"/>
    </row>
    <row r="35" spans="1:9" ht="13.5" thickTop="1" x14ac:dyDescent="0.2">
      <c r="I35" s="1398"/>
    </row>
    <row r="36" spans="1:9" hidden="1" x14ac:dyDescent="0.2">
      <c r="I36" s="1398"/>
    </row>
    <row r="37" spans="1:9" ht="15" hidden="1" x14ac:dyDescent="0.25">
      <c r="A37" s="1377" t="s">
        <v>911</v>
      </c>
      <c r="D37" s="1371"/>
      <c r="E37" s="1372"/>
      <c r="H37" s="1398"/>
      <c r="I37" s="1398"/>
    </row>
    <row r="38" spans="1:9" ht="15" hidden="1" x14ac:dyDescent="0.25">
      <c r="A38" s="1377" t="s">
        <v>171</v>
      </c>
      <c r="D38" s="1371"/>
      <c r="E38" s="1372"/>
      <c r="H38" s="1459" t="s">
        <v>148</v>
      </c>
      <c r="I38" s="1398"/>
    </row>
    <row r="39" spans="1:9" ht="25.5" hidden="1" thickTop="1" thickBot="1" x14ac:dyDescent="0.25">
      <c r="A39" s="1378" t="s">
        <v>149</v>
      </c>
      <c r="B39" s="1379" t="s">
        <v>688</v>
      </c>
      <c r="C39" s="1379" t="s">
        <v>345</v>
      </c>
      <c r="D39" s="1380" t="s">
        <v>151</v>
      </c>
      <c r="E39" s="1402" t="s">
        <v>569</v>
      </c>
      <c r="F39" s="1402" t="s">
        <v>570</v>
      </c>
      <c r="G39" s="1403" t="s">
        <v>797</v>
      </c>
      <c r="H39" s="1404" t="s">
        <v>798</v>
      </c>
      <c r="I39" s="1398"/>
    </row>
    <row r="40" spans="1:9" ht="14.25" hidden="1" thickTop="1" thickBot="1" x14ac:dyDescent="0.25">
      <c r="A40" s="1297">
        <v>1</v>
      </c>
      <c r="B40" s="1296">
        <v>2</v>
      </c>
      <c r="C40" s="1296">
        <v>3</v>
      </c>
      <c r="D40" s="1296">
        <v>5</v>
      </c>
      <c r="E40" s="1295">
        <v>6</v>
      </c>
      <c r="F40" s="1295">
        <v>7</v>
      </c>
      <c r="G40" s="1446">
        <v>8</v>
      </c>
      <c r="H40" s="1383" t="s">
        <v>689</v>
      </c>
      <c r="I40" s="1398"/>
    </row>
    <row r="41" spans="1:9" ht="30.75" hidden="1" thickTop="1" x14ac:dyDescent="0.2">
      <c r="A41" s="1463">
        <v>3299</v>
      </c>
      <c r="B41" s="1469">
        <v>5336</v>
      </c>
      <c r="C41" s="1469">
        <v>32133006</v>
      </c>
      <c r="D41" s="1405" t="s">
        <v>1131</v>
      </c>
      <c r="E41" s="1401">
        <v>0</v>
      </c>
      <c r="F41" s="1401"/>
      <c r="G41" s="1456"/>
      <c r="H41" s="1388" t="e">
        <f>G41/F41*100</f>
        <v>#DIV/0!</v>
      </c>
      <c r="I41" s="1398"/>
    </row>
    <row r="42" spans="1:9" ht="30" hidden="1" x14ac:dyDescent="0.2">
      <c r="A42" s="1463">
        <v>3299</v>
      </c>
      <c r="B42" s="1489">
        <v>5336</v>
      </c>
      <c r="C42" s="1469">
        <v>32533006</v>
      </c>
      <c r="D42" s="1405" t="s">
        <v>1131</v>
      </c>
      <c r="E42" s="1414">
        <v>0</v>
      </c>
      <c r="F42" s="1414"/>
      <c r="G42" s="1453"/>
      <c r="H42" s="1390" t="e">
        <f>G42/F42*100</f>
        <v>#DIV/0!</v>
      </c>
      <c r="I42" s="1398"/>
    </row>
    <row r="43" spans="1:9" ht="30" hidden="1" x14ac:dyDescent="0.2">
      <c r="A43" s="1463">
        <v>3299</v>
      </c>
      <c r="B43" s="1469">
        <v>6351</v>
      </c>
      <c r="C43" s="1469">
        <v>32133006</v>
      </c>
      <c r="D43" s="1405" t="s">
        <v>1145</v>
      </c>
      <c r="E43" s="1414">
        <v>0</v>
      </c>
      <c r="F43" s="1414">
        <v>0</v>
      </c>
      <c r="G43" s="1453">
        <v>0</v>
      </c>
      <c r="H43" s="1390" t="e">
        <f>G43/F43*100</f>
        <v>#DIV/0!</v>
      </c>
      <c r="I43" s="1398"/>
    </row>
    <row r="44" spans="1:9" ht="30" hidden="1" x14ac:dyDescent="0.2">
      <c r="A44" s="1463">
        <v>3299</v>
      </c>
      <c r="B44" s="1469">
        <v>6351</v>
      </c>
      <c r="C44" s="1469">
        <v>32533006</v>
      </c>
      <c r="D44" s="1405" t="s">
        <v>1145</v>
      </c>
      <c r="E44" s="1414">
        <v>0</v>
      </c>
      <c r="F44" s="1414">
        <v>0</v>
      </c>
      <c r="G44" s="1453">
        <v>0</v>
      </c>
      <c r="H44" s="1390" t="e">
        <f>G44/F44*100</f>
        <v>#DIV/0!</v>
      </c>
      <c r="I44" s="1398"/>
    </row>
    <row r="45" spans="1:9" ht="16.5" hidden="1" thickTop="1" thickBot="1" x14ac:dyDescent="0.3">
      <c r="A45" s="1406" t="s">
        <v>690</v>
      </c>
      <c r="B45" s="1407"/>
      <c r="C45" s="1407"/>
      <c r="D45" s="1408"/>
      <c r="E45" s="1387">
        <f>SUM(E41:E44)</f>
        <v>0</v>
      </c>
      <c r="F45" s="1387">
        <f>SUM(F41:F44)</f>
        <v>0</v>
      </c>
      <c r="G45" s="1387">
        <f>SUM(G41:G44)</f>
        <v>0</v>
      </c>
      <c r="H45" s="1391" t="e">
        <f>G45/F45*100</f>
        <v>#DIV/0!</v>
      </c>
      <c r="I45" s="1398"/>
    </row>
    <row r="46" spans="1:9" hidden="1" x14ac:dyDescent="0.2">
      <c r="I46" s="1398"/>
    </row>
    <row r="47" spans="1:9" ht="15" hidden="1" x14ac:dyDescent="0.25">
      <c r="A47" s="1377" t="s">
        <v>1170</v>
      </c>
      <c r="D47" s="1371"/>
      <c r="E47" s="1372"/>
      <c r="H47" s="1398"/>
      <c r="I47" s="1398"/>
    </row>
    <row r="48" spans="1:9" ht="15" hidden="1" x14ac:dyDescent="0.25">
      <c r="A48" s="1377" t="s">
        <v>1223</v>
      </c>
      <c r="D48" s="1371"/>
      <c r="E48" s="1372"/>
      <c r="H48" s="1459" t="s">
        <v>148</v>
      </c>
      <c r="I48" s="1398"/>
    </row>
    <row r="49" spans="1:9" ht="25.5" hidden="1" thickTop="1" thickBot="1" x14ac:dyDescent="0.25">
      <c r="A49" s="1378" t="s">
        <v>149</v>
      </c>
      <c r="B49" s="1379" t="s">
        <v>688</v>
      </c>
      <c r="C49" s="1379" t="s">
        <v>345</v>
      </c>
      <c r="D49" s="1380" t="s">
        <v>151</v>
      </c>
      <c r="E49" s="1402" t="s">
        <v>569</v>
      </c>
      <c r="F49" s="1402" t="s">
        <v>570</v>
      </c>
      <c r="G49" s="1403" t="s">
        <v>797</v>
      </c>
      <c r="H49" s="1404" t="s">
        <v>798</v>
      </c>
      <c r="I49" s="1398"/>
    </row>
    <row r="50" spans="1:9" ht="14.25" hidden="1" thickTop="1" thickBot="1" x14ac:dyDescent="0.25">
      <c r="A50" s="1297">
        <v>1</v>
      </c>
      <c r="B50" s="1296">
        <v>2</v>
      </c>
      <c r="C50" s="1296">
        <v>3</v>
      </c>
      <c r="D50" s="1296">
        <v>5</v>
      </c>
      <c r="E50" s="1295">
        <v>6</v>
      </c>
      <c r="F50" s="1295">
        <v>7</v>
      </c>
      <c r="G50" s="1446">
        <v>8</v>
      </c>
      <c r="H50" s="1383" t="s">
        <v>689</v>
      </c>
      <c r="I50" s="1398"/>
    </row>
    <row r="51" spans="1:9" ht="30.75" hidden="1" thickTop="1" x14ac:dyDescent="0.2">
      <c r="A51" s="1463">
        <v>3299</v>
      </c>
      <c r="B51" s="1469">
        <v>5336</v>
      </c>
      <c r="C51" s="1469">
        <v>32133006</v>
      </c>
      <c r="D51" s="1405" t="s">
        <v>1131</v>
      </c>
      <c r="E51" s="1401">
        <v>0</v>
      </c>
      <c r="F51" s="1401"/>
      <c r="G51" s="1456"/>
      <c r="H51" s="1388" t="e">
        <f>G51/F51*100</f>
        <v>#DIV/0!</v>
      </c>
      <c r="I51" s="1398"/>
    </row>
    <row r="52" spans="1:9" ht="30" hidden="1" x14ac:dyDescent="0.2">
      <c r="A52" s="1463">
        <v>3299</v>
      </c>
      <c r="B52" s="1489">
        <v>5336</v>
      </c>
      <c r="C52" s="1469">
        <v>32533006</v>
      </c>
      <c r="D52" s="1405" t="s">
        <v>1131</v>
      </c>
      <c r="E52" s="1414">
        <v>0</v>
      </c>
      <c r="F52" s="1414"/>
      <c r="G52" s="1453"/>
      <c r="H52" s="1390" t="e">
        <f>G52/F52*100</f>
        <v>#DIV/0!</v>
      </c>
      <c r="I52" s="1398"/>
    </row>
    <row r="53" spans="1:9" ht="30" hidden="1" x14ac:dyDescent="0.2">
      <c r="A53" s="1463">
        <v>3299</v>
      </c>
      <c r="B53" s="1469">
        <v>6351</v>
      </c>
      <c r="C53" s="1469">
        <v>32133006</v>
      </c>
      <c r="D53" s="1405" t="s">
        <v>1145</v>
      </c>
      <c r="E53" s="1414">
        <v>0</v>
      </c>
      <c r="F53" s="1414">
        <v>0</v>
      </c>
      <c r="G53" s="1453">
        <v>0</v>
      </c>
      <c r="H53" s="1390" t="e">
        <f>G53/F53*100</f>
        <v>#DIV/0!</v>
      </c>
      <c r="I53" s="1398"/>
    </row>
    <row r="54" spans="1:9" ht="30" hidden="1" x14ac:dyDescent="0.2">
      <c r="A54" s="1463">
        <v>3299</v>
      </c>
      <c r="B54" s="1469">
        <v>6351</v>
      </c>
      <c r="C54" s="1469">
        <v>32533006</v>
      </c>
      <c r="D54" s="1405" t="s">
        <v>1145</v>
      </c>
      <c r="E54" s="1414">
        <v>0</v>
      </c>
      <c r="F54" s="1414">
        <v>0</v>
      </c>
      <c r="G54" s="1453">
        <v>0</v>
      </c>
      <c r="H54" s="1390" t="e">
        <f>G54/F54*100</f>
        <v>#DIV/0!</v>
      </c>
      <c r="I54" s="1398"/>
    </row>
    <row r="55" spans="1:9" ht="16.5" hidden="1" thickTop="1" thickBot="1" x14ac:dyDescent="0.3">
      <c r="A55" s="1406" t="s">
        <v>690</v>
      </c>
      <c r="B55" s="1407"/>
      <c r="C55" s="1407"/>
      <c r="D55" s="1408"/>
      <c r="E55" s="1387">
        <f>SUM(E51:E54)</f>
        <v>0</v>
      </c>
      <c r="F55" s="1387">
        <f>SUM(F51:F54)</f>
        <v>0</v>
      </c>
      <c r="G55" s="1387">
        <f>SUM(G51:G54)</f>
        <v>0</v>
      </c>
      <c r="H55" s="1391" t="e">
        <f>G55/F55*100</f>
        <v>#DIV/0!</v>
      </c>
      <c r="I55" s="1398"/>
    </row>
    <row r="56" spans="1:9" hidden="1" x14ac:dyDescent="0.2">
      <c r="I56" s="1398"/>
    </row>
    <row r="57" spans="1:9" ht="15" hidden="1" x14ac:dyDescent="0.25">
      <c r="A57" s="1377" t="s">
        <v>1416</v>
      </c>
      <c r="D57" s="1371"/>
      <c r="E57" s="1372"/>
      <c r="H57" s="1398"/>
      <c r="I57" s="1398"/>
    </row>
    <row r="58" spans="1:9" ht="15" hidden="1" x14ac:dyDescent="0.25">
      <c r="A58" s="1377" t="s">
        <v>1130</v>
      </c>
      <c r="D58" s="1371"/>
      <c r="E58" s="1372"/>
      <c r="H58" s="1459" t="s">
        <v>148</v>
      </c>
      <c r="I58" s="1398"/>
    </row>
    <row r="59" spans="1:9" ht="25.5" hidden="1" thickTop="1" thickBot="1" x14ac:dyDescent="0.25">
      <c r="A59" s="1378" t="s">
        <v>149</v>
      </c>
      <c r="B59" s="1379" t="s">
        <v>688</v>
      </c>
      <c r="C59" s="1379" t="s">
        <v>345</v>
      </c>
      <c r="D59" s="1380" t="s">
        <v>151</v>
      </c>
      <c r="E59" s="1402" t="s">
        <v>569</v>
      </c>
      <c r="F59" s="1402" t="s">
        <v>570</v>
      </c>
      <c r="G59" s="1403" t="s">
        <v>797</v>
      </c>
      <c r="H59" s="1404" t="s">
        <v>798</v>
      </c>
      <c r="I59" s="1398"/>
    </row>
    <row r="60" spans="1:9" ht="14.25" hidden="1" thickTop="1" thickBot="1" x14ac:dyDescent="0.25">
      <c r="A60" s="1297">
        <v>1</v>
      </c>
      <c r="B60" s="1296">
        <v>2</v>
      </c>
      <c r="C60" s="1296">
        <v>3</v>
      </c>
      <c r="D60" s="1296">
        <v>5</v>
      </c>
      <c r="E60" s="1295">
        <v>6</v>
      </c>
      <c r="F60" s="1295">
        <v>7</v>
      </c>
      <c r="G60" s="1446">
        <v>8</v>
      </c>
      <c r="H60" s="1383" t="s">
        <v>689</v>
      </c>
      <c r="I60" s="1398"/>
    </row>
    <row r="61" spans="1:9" ht="30.75" hidden="1" thickTop="1" x14ac:dyDescent="0.2">
      <c r="A61" s="1463">
        <v>3299</v>
      </c>
      <c r="B61" s="1489">
        <v>5336</v>
      </c>
      <c r="C61" s="1469">
        <v>32133006</v>
      </c>
      <c r="D61" s="1405" t="s">
        <v>1131</v>
      </c>
      <c r="E61" s="1401">
        <v>0</v>
      </c>
      <c r="F61" s="1401"/>
      <c r="G61" s="1456"/>
      <c r="H61" s="1388" t="e">
        <f>G61/F61*100</f>
        <v>#DIV/0!</v>
      </c>
      <c r="I61" s="1398"/>
    </row>
    <row r="62" spans="1:9" ht="30" hidden="1" x14ac:dyDescent="0.2">
      <c r="A62" s="1463">
        <v>3299</v>
      </c>
      <c r="B62" s="1489">
        <v>5336</v>
      </c>
      <c r="C62" s="1469">
        <v>32533006</v>
      </c>
      <c r="D62" s="1405" t="s">
        <v>1131</v>
      </c>
      <c r="E62" s="1414">
        <v>0</v>
      </c>
      <c r="F62" s="1414"/>
      <c r="G62" s="1453"/>
      <c r="H62" s="1390" t="e">
        <f>G62/F62*100</f>
        <v>#DIV/0!</v>
      </c>
      <c r="I62" s="1398"/>
    </row>
    <row r="63" spans="1:9" ht="30" hidden="1" x14ac:dyDescent="0.2">
      <c r="A63" s="1463">
        <v>3299</v>
      </c>
      <c r="B63" s="1469">
        <v>6351</v>
      </c>
      <c r="C63" s="1469">
        <v>32133006</v>
      </c>
      <c r="D63" s="1405" t="s">
        <v>1145</v>
      </c>
      <c r="E63" s="1414">
        <v>0</v>
      </c>
      <c r="F63" s="1414">
        <v>0</v>
      </c>
      <c r="G63" s="1453">
        <v>0</v>
      </c>
      <c r="H63" s="1390" t="e">
        <f>G63/F63*100</f>
        <v>#DIV/0!</v>
      </c>
      <c r="I63" s="1398"/>
    </row>
    <row r="64" spans="1:9" ht="30" hidden="1" x14ac:dyDescent="0.2">
      <c r="A64" s="1463">
        <v>3299</v>
      </c>
      <c r="B64" s="1469">
        <v>6351</v>
      </c>
      <c r="C64" s="1469">
        <v>32533006</v>
      </c>
      <c r="D64" s="1405" t="s">
        <v>1145</v>
      </c>
      <c r="E64" s="1414">
        <v>0</v>
      </c>
      <c r="F64" s="1414">
        <v>0</v>
      </c>
      <c r="G64" s="1453">
        <v>0</v>
      </c>
      <c r="H64" s="1390" t="e">
        <f>G64/F64*100</f>
        <v>#DIV/0!</v>
      </c>
      <c r="I64" s="1398"/>
    </row>
    <row r="65" spans="1:9" ht="16.5" hidden="1" thickTop="1" thickBot="1" x14ac:dyDescent="0.3">
      <c r="A65" s="1406" t="s">
        <v>690</v>
      </c>
      <c r="B65" s="1407"/>
      <c r="C65" s="1407"/>
      <c r="D65" s="1408"/>
      <c r="E65" s="1387">
        <f>SUM(E61:E64)</f>
        <v>0</v>
      </c>
      <c r="F65" s="1387">
        <f>SUM(F61:F64)</f>
        <v>0</v>
      </c>
      <c r="G65" s="1387">
        <f>SUM(G61:G64)</f>
        <v>0</v>
      </c>
      <c r="H65" s="1391" t="e">
        <f>G65/F65*100</f>
        <v>#DIV/0!</v>
      </c>
      <c r="I65" s="1398"/>
    </row>
    <row r="66" spans="1:9" hidden="1" x14ac:dyDescent="0.2">
      <c r="I66" s="1398"/>
    </row>
    <row r="67" spans="1:9" ht="15" hidden="1" x14ac:dyDescent="0.25">
      <c r="A67" s="1377" t="s">
        <v>1431</v>
      </c>
      <c r="D67" s="1371"/>
      <c r="E67" s="1372"/>
      <c r="H67" s="1398"/>
      <c r="I67" s="1398"/>
    </row>
    <row r="68" spans="1:9" ht="15" hidden="1" x14ac:dyDescent="0.25">
      <c r="A68" s="1377" t="s">
        <v>1133</v>
      </c>
      <c r="D68" s="1371"/>
      <c r="E68" s="1372"/>
      <c r="H68" s="1459" t="s">
        <v>148</v>
      </c>
      <c r="I68" s="1398"/>
    </row>
    <row r="69" spans="1:9" ht="25.5" hidden="1" thickTop="1" thickBot="1" x14ac:dyDescent="0.25">
      <c r="A69" s="1378" t="s">
        <v>149</v>
      </c>
      <c r="B69" s="1379" t="s">
        <v>688</v>
      </c>
      <c r="C69" s="1379" t="s">
        <v>345</v>
      </c>
      <c r="D69" s="1380" t="s">
        <v>151</v>
      </c>
      <c r="E69" s="1402" t="s">
        <v>569</v>
      </c>
      <c r="F69" s="1402" t="s">
        <v>570</v>
      </c>
      <c r="G69" s="1403" t="s">
        <v>797</v>
      </c>
      <c r="H69" s="1404" t="s">
        <v>798</v>
      </c>
      <c r="I69" s="1398"/>
    </row>
    <row r="70" spans="1:9" ht="14.25" hidden="1" thickTop="1" thickBot="1" x14ac:dyDescent="0.25">
      <c r="A70" s="1297">
        <v>1</v>
      </c>
      <c r="B70" s="1296">
        <v>2</v>
      </c>
      <c r="C70" s="1296">
        <v>3</v>
      </c>
      <c r="D70" s="1296">
        <v>5</v>
      </c>
      <c r="E70" s="1295">
        <v>6</v>
      </c>
      <c r="F70" s="1295">
        <v>7</v>
      </c>
      <c r="G70" s="1446">
        <v>8</v>
      </c>
      <c r="H70" s="1383" t="s">
        <v>689</v>
      </c>
      <c r="I70" s="1398"/>
    </row>
    <row r="71" spans="1:9" ht="30.75" hidden="1" thickTop="1" x14ac:dyDescent="0.2">
      <c r="A71" s="1463">
        <v>3299</v>
      </c>
      <c r="B71" s="1489">
        <v>5336</v>
      </c>
      <c r="C71" s="1469">
        <v>32133006</v>
      </c>
      <c r="D71" s="1405" t="s">
        <v>1131</v>
      </c>
      <c r="E71" s="1401">
        <v>0</v>
      </c>
      <c r="F71" s="1401"/>
      <c r="G71" s="1456"/>
      <c r="H71" s="1388" t="e">
        <f>G71/F71*100</f>
        <v>#DIV/0!</v>
      </c>
      <c r="I71" s="1398"/>
    </row>
    <row r="72" spans="1:9" ht="30" hidden="1" x14ac:dyDescent="0.2">
      <c r="A72" s="1463">
        <v>3299</v>
      </c>
      <c r="B72" s="1489">
        <v>5336</v>
      </c>
      <c r="C72" s="1469">
        <v>32533006</v>
      </c>
      <c r="D72" s="1405" t="s">
        <v>1131</v>
      </c>
      <c r="E72" s="1414">
        <v>0</v>
      </c>
      <c r="F72" s="1414"/>
      <c r="G72" s="1453"/>
      <c r="H72" s="1390" t="e">
        <f>G72/F72*100</f>
        <v>#DIV/0!</v>
      </c>
      <c r="I72" s="1398"/>
    </row>
    <row r="73" spans="1:9" ht="30" hidden="1" x14ac:dyDescent="0.2">
      <c r="A73" s="1463">
        <v>3299</v>
      </c>
      <c r="B73" s="1469">
        <v>6351</v>
      </c>
      <c r="C73" s="1469">
        <v>32133006</v>
      </c>
      <c r="D73" s="1405" t="s">
        <v>1145</v>
      </c>
      <c r="E73" s="1414">
        <v>0</v>
      </c>
      <c r="F73" s="1414">
        <v>0</v>
      </c>
      <c r="G73" s="1453">
        <v>0</v>
      </c>
      <c r="H73" s="1390" t="e">
        <f>G73/F73*100</f>
        <v>#DIV/0!</v>
      </c>
      <c r="I73" s="1398"/>
    </row>
    <row r="74" spans="1:9" ht="30" hidden="1" x14ac:dyDescent="0.2">
      <c r="A74" s="1463">
        <v>3299</v>
      </c>
      <c r="B74" s="1469">
        <v>6351</v>
      </c>
      <c r="C74" s="1469">
        <v>32533006</v>
      </c>
      <c r="D74" s="1405" t="s">
        <v>1145</v>
      </c>
      <c r="E74" s="1414">
        <v>0</v>
      </c>
      <c r="F74" s="1414">
        <v>0</v>
      </c>
      <c r="G74" s="1453">
        <v>0</v>
      </c>
      <c r="H74" s="1390" t="e">
        <f>G74/F74*100</f>
        <v>#DIV/0!</v>
      </c>
      <c r="I74" s="1398"/>
    </row>
    <row r="75" spans="1:9" ht="16.5" hidden="1" thickTop="1" thickBot="1" x14ac:dyDescent="0.3">
      <c r="A75" s="1406" t="s">
        <v>690</v>
      </c>
      <c r="B75" s="1407"/>
      <c r="C75" s="1407"/>
      <c r="D75" s="1408"/>
      <c r="E75" s="1387">
        <f>SUM(E71:E74)</f>
        <v>0</v>
      </c>
      <c r="F75" s="1387">
        <f>SUM(F71:F74)</f>
        <v>0</v>
      </c>
      <c r="G75" s="1387">
        <f>SUM(G71:G74)</f>
        <v>0</v>
      </c>
      <c r="H75" s="1391" t="e">
        <f>G75/F75*100</f>
        <v>#DIV/0!</v>
      </c>
      <c r="I75" s="1398"/>
    </row>
    <row r="76" spans="1:9" hidden="1" x14ac:dyDescent="0.2">
      <c r="I76" s="1398"/>
    </row>
    <row r="77" spans="1:9" ht="15" hidden="1" x14ac:dyDescent="0.25">
      <c r="A77" s="1377" t="s">
        <v>1360</v>
      </c>
      <c r="D77" s="1371"/>
      <c r="E77" s="1372"/>
      <c r="H77" s="1398"/>
      <c r="I77" s="1398"/>
    </row>
    <row r="78" spans="1:9" ht="15" hidden="1" x14ac:dyDescent="0.25">
      <c r="A78" s="1377" t="s">
        <v>1134</v>
      </c>
      <c r="D78" s="1371"/>
      <c r="E78" s="1372"/>
      <c r="H78" s="1459" t="s">
        <v>148</v>
      </c>
      <c r="I78" s="1398"/>
    </row>
    <row r="79" spans="1:9" ht="25.5" hidden="1" thickTop="1" thickBot="1" x14ac:dyDescent="0.25">
      <c r="A79" s="1378" t="s">
        <v>149</v>
      </c>
      <c r="B79" s="1379" t="s">
        <v>688</v>
      </c>
      <c r="C79" s="1379" t="s">
        <v>345</v>
      </c>
      <c r="D79" s="1380" t="s">
        <v>151</v>
      </c>
      <c r="E79" s="1402" t="s">
        <v>569</v>
      </c>
      <c r="F79" s="1402" t="s">
        <v>570</v>
      </c>
      <c r="G79" s="1403" t="s">
        <v>797</v>
      </c>
      <c r="H79" s="1404" t="s">
        <v>798</v>
      </c>
      <c r="I79" s="1398"/>
    </row>
    <row r="80" spans="1:9" ht="14.25" hidden="1" thickTop="1" thickBot="1" x14ac:dyDescent="0.25">
      <c r="A80" s="1297">
        <v>1</v>
      </c>
      <c r="B80" s="1296">
        <v>2</v>
      </c>
      <c r="C80" s="1296">
        <v>3</v>
      </c>
      <c r="D80" s="1296">
        <v>5</v>
      </c>
      <c r="E80" s="1295">
        <v>6</v>
      </c>
      <c r="F80" s="1295">
        <v>7</v>
      </c>
      <c r="G80" s="1446">
        <v>8</v>
      </c>
      <c r="H80" s="1383" t="s">
        <v>689</v>
      </c>
      <c r="I80" s="1398"/>
    </row>
    <row r="81" spans="1:9" ht="30.75" hidden="1" thickTop="1" x14ac:dyDescent="0.2">
      <c r="A81" s="1463">
        <v>3299</v>
      </c>
      <c r="B81" s="1489">
        <v>5336</v>
      </c>
      <c r="C81" s="1469">
        <v>32133006</v>
      </c>
      <c r="D81" s="1405" t="s">
        <v>1131</v>
      </c>
      <c r="E81" s="1401">
        <v>0</v>
      </c>
      <c r="F81" s="1401"/>
      <c r="G81" s="1456"/>
      <c r="H81" s="1388" t="e">
        <f>G81/F81*100</f>
        <v>#DIV/0!</v>
      </c>
      <c r="I81" s="1398"/>
    </row>
    <row r="82" spans="1:9" ht="30" hidden="1" x14ac:dyDescent="0.2">
      <c r="A82" s="1463">
        <v>3299</v>
      </c>
      <c r="B82" s="1489">
        <v>5336</v>
      </c>
      <c r="C82" s="1469">
        <v>32533006</v>
      </c>
      <c r="D82" s="1405" t="s">
        <v>1131</v>
      </c>
      <c r="E82" s="1414">
        <v>0</v>
      </c>
      <c r="F82" s="1414"/>
      <c r="G82" s="1453"/>
      <c r="H82" s="1390" t="e">
        <f>G82/F82*100</f>
        <v>#DIV/0!</v>
      </c>
      <c r="I82" s="1398"/>
    </row>
    <row r="83" spans="1:9" ht="30" hidden="1" x14ac:dyDescent="0.2">
      <c r="A83" s="1463">
        <v>3299</v>
      </c>
      <c r="B83" s="1469">
        <v>6351</v>
      </c>
      <c r="C83" s="1469">
        <v>32133006</v>
      </c>
      <c r="D83" s="1405" t="s">
        <v>1145</v>
      </c>
      <c r="E83" s="1414">
        <v>0</v>
      </c>
      <c r="F83" s="1414">
        <v>0</v>
      </c>
      <c r="G83" s="1453">
        <v>0</v>
      </c>
      <c r="H83" s="1390" t="e">
        <f>G83/F83*100</f>
        <v>#DIV/0!</v>
      </c>
      <c r="I83" s="1398"/>
    </row>
    <row r="84" spans="1:9" ht="30" hidden="1" x14ac:dyDescent="0.2">
      <c r="A84" s="1463">
        <v>3299</v>
      </c>
      <c r="B84" s="1469">
        <v>6351</v>
      </c>
      <c r="C84" s="1469">
        <v>32533006</v>
      </c>
      <c r="D84" s="1405" t="s">
        <v>1145</v>
      </c>
      <c r="E84" s="1414">
        <v>0</v>
      </c>
      <c r="F84" s="1414">
        <v>0</v>
      </c>
      <c r="G84" s="1453">
        <v>0</v>
      </c>
      <c r="H84" s="1390" t="e">
        <f>G84/F84*100</f>
        <v>#DIV/0!</v>
      </c>
      <c r="I84" s="1398"/>
    </row>
    <row r="85" spans="1:9" ht="16.5" hidden="1" thickTop="1" thickBot="1" x14ac:dyDescent="0.3">
      <c r="A85" s="1406" t="s">
        <v>690</v>
      </c>
      <c r="B85" s="1407"/>
      <c r="C85" s="1407"/>
      <c r="D85" s="1408"/>
      <c r="E85" s="1387">
        <f>SUM(E81:E84)</f>
        <v>0</v>
      </c>
      <c r="F85" s="1387">
        <f>SUM(F81:F84)</f>
        <v>0</v>
      </c>
      <c r="G85" s="1387">
        <f>SUM(G81:G84)</f>
        <v>0</v>
      </c>
      <c r="H85" s="1391" t="e">
        <f>G85/F85*100</f>
        <v>#DIV/0!</v>
      </c>
      <c r="I85" s="1398"/>
    </row>
    <row r="86" spans="1:9" hidden="1" x14ac:dyDescent="0.2">
      <c r="I86" s="1398"/>
    </row>
    <row r="87" spans="1:9" hidden="1" x14ac:dyDescent="0.2">
      <c r="I87" s="1398"/>
    </row>
    <row r="88" spans="1:9" ht="15" hidden="1" x14ac:dyDescent="0.25">
      <c r="A88" s="1377" t="s">
        <v>1137</v>
      </c>
      <c r="D88" s="1371"/>
      <c r="E88" s="1372"/>
      <c r="H88" s="1398"/>
      <c r="I88" s="1398"/>
    </row>
    <row r="89" spans="1:9" ht="15" hidden="1" x14ac:dyDescent="0.25">
      <c r="A89" s="1377" t="s">
        <v>1138</v>
      </c>
      <c r="D89" s="1371"/>
      <c r="E89" s="1372"/>
      <c r="H89" s="1398" t="s">
        <v>148</v>
      </c>
      <c r="I89" s="1398"/>
    </row>
    <row r="90" spans="1:9" ht="25.5" hidden="1" thickTop="1" thickBot="1" x14ac:dyDescent="0.25">
      <c r="A90" s="1378" t="s">
        <v>149</v>
      </c>
      <c r="B90" s="1379" t="s">
        <v>688</v>
      </c>
      <c r="C90" s="1379" t="s">
        <v>345</v>
      </c>
      <c r="D90" s="1380" t="s">
        <v>151</v>
      </c>
      <c r="E90" s="1402" t="s">
        <v>569</v>
      </c>
      <c r="F90" s="1402" t="s">
        <v>570</v>
      </c>
      <c r="G90" s="1403" t="s">
        <v>797</v>
      </c>
      <c r="H90" s="1404" t="s">
        <v>798</v>
      </c>
      <c r="I90" s="1398"/>
    </row>
    <row r="91" spans="1:9" ht="14.25" hidden="1" thickTop="1" thickBot="1" x14ac:dyDescent="0.25">
      <c r="A91" s="1297">
        <v>1</v>
      </c>
      <c r="B91" s="1296">
        <v>2</v>
      </c>
      <c r="C91" s="1296">
        <v>3</v>
      </c>
      <c r="D91" s="1296">
        <v>5</v>
      </c>
      <c r="E91" s="1295">
        <v>6</v>
      </c>
      <c r="F91" s="1295">
        <v>7</v>
      </c>
      <c r="G91" s="1446">
        <v>8</v>
      </c>
      <c r="H91" s="1383" t="s">
        <v>689</v>
      </c>
      <c r="I91" s="1398"/>
    </row>
    <row r="92" spans="1:9" ht="30.75" hidden="1" thickTop="1" x14ac:dyDescent="0.2">
      <c r="A92" s="1463">
        <v>3299</v>
      </c>
      <c r="B92" s="1489">
        <v>5336</v>
      </c>
      <c r="C92" s="1469">
        <v>32133006</v>
      </c>
      <c r="D92" s="1485" t="s">
        <v>1222</v>
      </c>
      <c r="E92" s="1401">
        <v>0</v>
      </c>
      <c r="F92" s="1401">
        <v>0</v>
      </c>
      <c r="G92" s="1456">
        <v>0</v>
      </c>
      <c r="H92" s="1388" t="e">
        <f>G92/F92*100</f>
        <v>#DIV/0!</v>
      </c>
      <c r="I92" s="1398"/>
    </row>
    <row r="93" spans="1:9" ht="30" hidden="1" x14ac:dyDescent="0.2">
      <c r="A93" s="1463">
        <v>3299</v>
      </c>
      <c r="B93" s="1489">
        <v>5336</v>
      </c>
      <c r="C93" s="1469">
        <v>32533006</v>
      </c>
      <c r="D93" s="1485" t="s">
        <v>1222</v>
      </c>
      <c r="E93" s="1414">
        <v>0</v>
      </c>
      <c r="F93" s="1414">
        <v>0</v>
      </c>
      <c r="G93" s="1453">
        <v>0</v>
      </c>
      <c r="H93" s="1390" t="e">
        <f>G93/F93*100</f>
        <v>#DIV/0!</v>
      </c>
      <c r="I93" s="1398"/>
    </row>
    <row r="94" spans="1:9" ht="30" hidden="1" x14ac:dyDescent="0.2">
      <c r="A94" s="1463">
        <v>3299</v>
      </c>
      <c r="B94" s="1469">
        <v>6351</v>
      </c>
      <c r="C94" s="1469">
        <v>32133006</v>
      </c>
      <c r="D94" s="1405" t="s">
        <v>1145</v>
      </c>
      <c r="E94" s="1414">
        <v>0</v>
      </c>
      <c r="F94" s="1414">
        <v>0</v>
      </c>
      <c r="G94" s="1453">
        <v>0</v>
      </c>
      <c r="H94" s="1390" t="e">
        <f>G94/F94*100</f>
        <v>#DIV/0!</v>
      </c>
      <c r="I94" s="1398"/>
    </row>
    <row r="95" spans="1:9" ht="30" hidden="1" x14ac:dyDescent="0.2">
      <c r="A95" s="1463">
        <v>3299</v>
      </c>
      <c r="B95" s="1469">
        <v>6351</v>
      </c>
      <c r="C95" s="1469">
        <v>32533006</v>
      </c>
      <c r="D95" s="1405" t="s">
        <v>1145</v>
      </c>
      <c r="E95" s="1414">
        <v>0</v>
      </c>
      <c r="F95" s="1414">
        <v>0</v>
      </c>
      <c r="G95" s="1453">
        <v>0</v>
      </c>
      <c r="H95" s="1390" t="e">
        <f>G95/F95*100</f>
        <v>#DIV/0!</v>
      </c>
      <c r="I95" s="1398"/>
    </row>
    <row r="96" spans="1:9" ht="16.5" hidden="1" thickTop="1" thickBot="1" x14ac:dyDescent="0.3">
      <c r="A96" s="1406" t="s">
        <v>690</v>
      </c>
      <c r="B96" s="1407"/>
      <c r="C96" s="1407"/>
      <c r="D96" s="1408"/>
      <c r="E96" s="1387">
        <f>SUM(E92:E95)</f>
        <v>0</v>
      </c>
      <c r="F96" s="1387">
        <f>SUM(F92:F95)</f>
        <v>0</v>
      </c>
      <c r="G96" s="1387">
        <f>SUM(G92:G95)</f>
        <v>0</v>
      </c>
      <c r="H96" s="1391" t="e">
        <f>G96/F96*100</f>
        <v>#DIV/0!</v>
      </c>
      <c r="I96" s="1398"/>
    </row>
    <row r="97" spans="1:9" hidden="1" x14ac:dyDescent="0.2">
      <c r="I97" s="1398"/>
    </row>
    <row r="98" spans="1:9" ht="15" hidden="1" x14ac:dyDescent="0.25">
      <c r="A98" s="1377" t="s">
        <v>912</v>
      </c>
      <c r="D98" s="1371"/>
      <c r="E98" s="1372"/>
      <c r="H98" s="1398"/>
      <c r="I98" s="1398"/>
    </row>
    <row r="99" spans="1:9" ht="15" hidden="1" x14ac:dyDescent="0.25">
      <c r="A99" s="1377" t="s">
        <v>1140</v>
      </c>
      <c r="D99" s="1371"/>
      <c r="E99" s="1372"/>
      <c r="H99" s="1459" t="s">
        <v>148</v>
      </c>
      <c r="I99" s="1398"/>
    </row>
    <row r="100" spans="1:9" ht="25.5" hidden="1" thickTop="1" thickBot="1" x14ac:dyDescent="0.25">
      <c r="A100" s="1378" t="s">
        <v>149</v>
      </c>
      <c r="B100" s="1379" t="s">
        <v>688</v>
      </c>
      <c r="C100" s="1379" t="s">
        <v>345</v>
      </c>
      <c r="D100" s="1380" t="s">
        <v>151</v>
      </c>
      <c r="E100" s="1402" t="s">
        <v>569</v>
      </c>
      <c r="F100" s="1402" t="s">
        <v>570</v>
      </c>
      <c r="G100" s="1403" t="s">
        <v>797</v>
      </c>
      <c r="H100" s="1404" t="s">
        <v>798</v>
      </c>
      <c r="I100" s="1398"/>
    </row>
    <row r="101" spans="1:9" ht="14.25" hidden="1" thickTop="1" thickBot="1" x14ac:dyDescent="0.25">
      <c r="A101" s="1297">
        <v>1</v>
      </c>
      <c r="B101" s="1296">
        <v>2</v>
      </c>
      <c r="C101" s="1296">
        <v>3</v>
      </c>
      <c r="D101" s="1296">
        <v>5</v>
      </c>
      <c r="E101" s="1295">
        <v>6</v>
      </c>
      <c r="F101" s="1295">
        <v>7</v>
      </c>
      <c r="G101" s="1446">
        <v>8</v>
      </c>
      <c r="H101" s="1383" t="s">
        <v>689</v>
      </c>
      <c r="I101" s="1398"/>
    </row>
    <row r="102" spans="1:9" ht="30.75" hidden="1" thickTop="1" x14ac:dyDescent="0.2">
      <c r="A102" s="1463">
        <v>3299</v>
      </c>
      <c r="B102" s="1489">
        <v>5336</v>
      </c>
      <c r="C102" s="1469">
        <v>32133006</v>
      </c>
      <c r="D102" s="1405" t="s">
        <v>1131</v>
      </c>
      <c r="E102" s="1401">
        <v>0</v>
      </c>
      <c r="F102" s="1401"/>
      <c r="G102" s="1456"/>
      <c r="H102" s="1388" t="e">
        <f>G102/F102*100</f>
        <v>#DIV/0!</v>
      </c>
      <c r="I102" s="1398"/>
    </row>
    <row r="103" spans="1:9" ht="30" hidden="1" x14ac:dyDescent="0.2">
      <c r="A103" s="1463">
        <v>3299</v>
      </c>
      <c r="B103" s="1489">
        <v>5336</v>
      </c>
      <c r="C103" s="1469">
        <v>32533006</v>
      </c>
      <c r="D103" s="1405" t="s">
        <v>1131</v>
      </c>
      <c r="E103" s="1414">
        <v>0</v>
      </c>
      <c r="F103" s="1414"/>
      <c r="G103" s="1453"/>
      <c r="H103" s="1390" t="e">
        <f>G103/F103*100</f>
        <v>#DIV/0!</v>
      </c>
      <c r="I103" s="1398"/>
    </row>
    <row r="104" spans="1:9" ht="30" hidden="1" x14ac:dyDescent="0.2">
      <c r="A104" s="1463">
        <v>3299</v>
      </c>
      <c r="B104" s="1469">
        <v>6351</v>
      </c>
      <c r="C104" s="1469">
        <v>32133006</v>
      </c>
      <c r="D104" s="1405" t="s">
        <v>1145</v>
      </c>
      <c r="E104" s="1414">
        <v>0</v>
      </c>
      <c r="F104" s="1414">
        <v>0</v>
      </c>
      <c r="G104" s="1453">
        <v>0</v>
      </c>
      <c r="H104" s="1390" t="e">
        <f>G104/F104*100</f>
        <v>#DIV/0!</v>
      </c>
      <c r="I104" s="1398"/>
    </row>
    <row r="105" spans="1:9" ht="30" hidden="1" x14ac:dyDescent="0.2">
      <c r="A105" s="1463">
        <v>3299</v>
      </c>
      <c r="B105" s="1469">
        <v>6351</v>
      </c>
      <c r="C105" s="1469">
        <v>32533006</v>
      </c>
      <c r="D105" s="1405" t="s">
        <v>1145</v>
      </c>
      <c r="E105" s="1414">
        <v>0</v>
      </c>
      <c r="F105" s="1414">
        <v>0</v>
      </c>
      <c r="G105" s="1453">
        <v>0</v>
      </c>
      <c r="H105" s="1390" t="e">
        <f>G105/F105*100</f>
        <v>#DIV/0!</v>
      </c>
      <c r="I105" s="1398"/>
    </row>
    <row r="106" spans="1:9" ht="16.5" hidden="1" thickTop="1" thickBot="1" x14ac:dyDescent="0.3">
      <c r="A106" s="1406" t="s">
        <v>690</v>
      </c>
      <c r="B106" s="1407"/>
      <c r="C106" s="1407"/>
      <c r="D106" s="1408"/>
      <c r="E106" s="1387">
        <f>SUM(E102:E105)</f>
        <v>0</v>
      </c>
      <c r="F106" s="1387">
        <f>SUM(F102:F105)</f>
        <v>0</v>
      </c>
      <c r="G106" s="1387">
        <f>SUM(G102:G105)</f>
        <v>0</v>
      </c>
      <c r="H106" s="1391" t="e">
        <f>G106/F106*100</f>
        <v>#DIV/0!</v>
      </c>
      <c r="I106" s="1398"/>
    </row>
    <row r="107" spans="1:9" hidden="1" x14ac:dyDescent="0.2">
      <c r="I107" s="1398"/>
    </row>
    <row r="108" spans="1:9" ht="15" hidden="1" x14ac:dyDescent="0.25">
      <c r="A108" s="1490" t="s">
        <v>1231</v>
      </c>
      <c r="B108" s="1490"/>
      <c r="C108" s="1490"/>
      <c r="D108" s="1490"/>
      <c r="E108" s="1493"/>
      <c r="F108" s="1491"/>
      <c r="G108" s="1491"/>
      <c r="H108" s="1491"/>
      <c r="I108" s="1491"/>
    </row>
    <row r="109" spans="1:9" ht="15" hidden="1" x14ac:dyDescent="0.25">
      <c r="A109" s="1490" t="s">
        <v>1230</v>
      </c>
      <c r="B109" s="1490"/>
      <c r="C109" s="1492"/>
      <c r="D109" s="1492"/>
      <c r="E109" s="1493"/>
      <c r="F109" s="1491"/>
      <c r="G109" s="1491"/>
      <c r="H109" s="1494" t="s">
        <v>148</v>
      </c>
      <c r="I109" s="1491"/>
    </row>
    <row r="110" spans="1:9" ht="25.5" hidden="1" thickTop="1" thickBot="1" x14ac:dyDescent="0.25">
      <c r="A110" s="1495" t="s">
        <v>149</v>
      </c>
      <c r="B110" s="1496" t="s">
        <v>688</v>
      </c>
      <c r="C110" s="1496" t="s">
        <v>345</v>
      </c>
      <c r="D110" s="1497" t="s">
        <v>151</v>
      </c>
      <c r="E110" s="1498" t="s">
        <v>569</v>
      </c>
      <c r="F110" s="1498" t="s">
        <v>570</v>
      </c>
      <c r="G110" s="1499" t="s">
        <v>797</v>
      </c>
      <c r="H110" s="1500" t="s">
        <v>798</v>
      </c>
      <c r="I110" s="1491"/>
    </row>
    <row r="111" spans="1:9" ht="13.5" hidden="1" thickBot="1" x14ac:dyDescent="0.25">
      <c r="A111" s="1501">
        <v>1</v>
      </c>
      <c r="B111" s="1502">
        <v>2</v>
      </c>
      <c r="C111" s="1502">
        <v>3</v>
      </c>
      <c r="D111" s="1502">
        <v>5</v>
      </c>
      <c r="E111" s="1503">
        <v>6</v>
      </c>
      <c r="F111" s="1503">
        <v>7</v>
      </c>
      <c r="G111" s="1504">
        <v>8</v>
      </c>
      <c r="H111" s="1505" t="s">
        <v>689</v>
      </c>
      <c r="I111" s="1491"/>
    </row>
    <row r="112" spans="1:9" ht="30" hidden="1" x14ac:dyDescent="0.2">
      <c r="A112" s="1506">
        <v>3299</v>
      </c>
      <c r="B112" s="1507">
        <v>5336</v>
      </c>
      <c r="C112" s="1507">
        <v>32133006</v>
      </c>
      <c r="D112" s="1405" t="s">
        <v>1131</v>
      </c>
      <c r="E112" s="1508">
        <v>0</v>
      </c>
      <c r="F112" s="1508"/>
      <c r="G112" s="1509"/>
      <c r="H112" s="1510">
        <v>100</v>
      </c>
      <c r="I112" s="1491"/>
    </row>
    <row r="113" spans="1:9" ht="30" hidden="1" x14ac:dyDescent="0.2">
      <c r="A113" s="1506">
        <v>3299</v>
      </c>
      <c r="B113" s="1489">
        <v>5336</v>
      </c>
      <c r="C113" s="1507">
        <v>32533006</v>
      </c>
      <c r="D113" s="1405" t="s">
        <v>1131</v>
      </c>
      <c r="E113" s="1508">
        <v>0</v>
      </c>
      <c r="F113" s="1508"/>
      <c r="G113" s="1509"/>
      <c r="H113" s="1510">
        <v>99.8</v>
      </c>
      <c r="I113" s="1491"/>
    </row>
    <row r="114" spans="1:9" ht="30" hidden="1" x14ac:dyDescent="0.2">
      <c r="A114" s="1506">
        <v>3299</v>
      </c>
      <c r="B114" s="1489">
        <v>6351</v>
      </c>
      <c r="C114" s="1522">
        <v>32133006</v>
      </c>
      <c r="D114" s="1485" t="s">
        <v>1145</v>
      </c>
      <c r="E114" s="1508">
        <v>0</v>
      </c>
      <c r="F114" s="1508"/>
      <c r="G114" s="1523"/>
      <c r="H114" s="1510">
        <v>99.8</v>
      </c>
      <c r="I114" s="1491"/>
    </row>
    <row r="115" spans="1:9" ht="30.75" hidden="1" thickBot="1" x14ac:dyDescent="0.25">
      <c r="A115" s="1524">
        <v>3299</v>
      </c>
      <c r="B115" s="1525">
        <v>6351</v>
      </c>
      <c r="C115" s="1522">
        <v>32533006</v>
      </c>
      <c r="D115" s="1485" t="s">
        <v>1145</v>
      </c>
      <c r="E115" s="1508">
        <v>0</v>
      </c>
      <c r="F115" s="1508"/>
      <c r="G115" s="1526"/>
      <c r="H115" s="1510">
        <v>99.8</v>
      </c>
      <c r="I115" s="1491"/>
    </row>
    <row r="116" spans="1:9" ht="16.5" hidden="1" thickTop="1" thickBot="1" x14ac:dyDescent="0.3">
      <c r="A116" s="1511" t="s">
        <v>690</v>
      </c>
      <c r="B116" s="1512"/>
      <c r="C116" s="1512"/>
      <c r="D116" s="1513"/>
      <c r="E116" s="1514">
        <v>0</v>
      </c>
      <c r="F116" s="1514">
        <f>SUM(F112:F115)</f>
        <v>0</v>
      </c>
      <c r="G116" s="1514">
        <f>SUM(G112:G115)</f>
        <v>0</v>
      </c>
      <c r="H116" s="1515">
        <v>99.9</v>
      </c>
      <c r="I116" s="1491"/>
    </row>
    <row r="117" spans="1:9" hidden="1" x14ac:dyDescent="0.2">
      <c r="I117" s="1398"/>
    </row>
    <row r="118" spans="1:9" ht="15" hidden="1" x14ac:dyDescent="0.25">
      <c r="A118" s="1377" t="s">
        <v>1417</v>
      </c>
      <c r="D118" s="1371"/>
      <c r="E118" s="1372"/>
      <c r="H118" s="1398"/>
      <c r="I118" s="1398"/>
    </row>
    <row r="119" spans="1:9" ht="15" hidden="1" x14ac:dyDescent="0.25">
      <c r="A119" s="1377" t="s">
        <v>172</v>
      </c>
      <c r="D119" s="1371"/>
      <c r="E119" s="1372"/>
      <c r="H119" s="1459" t="s">
        <v>148</v>
      </c>
      <c r="I119" s="1398"/>
    </row>
    <row r="120" spans="1:9" ht="25.5" hidden="1" thickTop="1" thickBot="1" x14ac:dyDescent="0.25">
      <c r="A120" s="1378" t="s">
        <v>149</v>
      </c>
      <c r="B120" s="1379" t="s">
        <v>688</v>
      </c>
      <c r="C120" s="1379" t="s">
        <v>345</v>
      </c>
      <c r="D120" s="1380" t="s">
        <v>151</v>
      </c>
      <c r="E120" s="1402" t="s">
        <v>569</v>
      </c>
      <c r="F120" s="1402" t="s">
        <v>570</v>
      </c>
      <c r="G120" s="1403" t="s">
        <v>797</v>
      </c>
      <c r="H120" s="1404" t="s">
        <v>798</v>
      </c>
      <c r="I120" s="1398"/>
    </row>
    <row r="121" spans="1:9" ht="14.25" hidden="1" thickTop="1" thickBot="1" x14ac:dyDescent="0.25">
      <c r="A121" s="1297">
        <v>1</v>
      </c>
      <c r="B121" s="1296">
        <v>2</v>
      </c>
      <c r="C121" s="1296">
        <v>3</v>
      </c>
      <c r="D121" s="1296">
        <v>5</v>
      </c>
      <c r="E121" s="1295">
        <v>6</v>
      </c>
      <c r="F121" s="1295">
        <v>7</v>
      </c>
      <c r="G121" s="1446">
        <v>8</v>
      </c>
      <c r="H121" s="1383" t="s">
        <v>689</v>
      </c>
      <c r="I121" s="1398"/>
    </row>
    <row r="122" spans="1:9" ht="30.75" hidden="1" thickTop="1" x14ac:dyDescent="0.2">
      <c r="A122" s="1463">
        <v>3299</v>
      </c>
      <c r="B122" s="1489">
        <v>5336</v>
      </c>
      <c r="C122" s="1469">
        <v>32133006</v>
      </c>
      <c r="D122" s="1405" t="s">
        <v>1131</v>
      </c>
      <c r="E122" s="1401">
        <v>0</v>
      </c>
      <c r="F122" s="1401"/>
      <c r="G122" s="1456"/>
      <c r="H122" s="1388" t="e">
        <f>G122/F122*100</f>
        <v>#DIV/0!</v>
      </c>
      <c r="I122" s="1398"/>
    </row>
    <row r="123" spans="1:9" ht="30" hidden="1" x14ac:dyDescent="0.2">
      <c r="A123" s="1463">
        <v>3299</v>
      </c>
      <c r="B123" s="1489">
        <v>5336</v>
      </c>
      <c r="C123" s="1469">
        <v>32533006</v>
      </c>
      <c r="D123" s="1405" t="s">
        <v>1131</v>
      </c>
      <c r="E123" s="1414">
        <v>0</v>
      </c>
      <c r="F123" s="1414"/>
      <c r="G123" s="1453"/>
      <c r="H123" s="1390" t="e">
        <f>G123/F123*100</f>
        <v>#DIV/0!</v>
      </c>
      <c r="I123" s="1398"/>
    </row>
    <row r="124" spans="1:9" ht="30" hidden="1" x14ac:dyDescent="0.2">
      <c r="A124" s="1463">
        <v>3299</v>
      </c>
      <c r="B124" s="1469">
        <v>6351</v>
      </c>
      <c r="C124" s="1469">
        <v>32133006</v>
      </c>
      <c r="D124" s="1405" t="s">
        <v>1145</v>
      </c>
      <c r="E124" s="1414">
        <v>0</v>
      </c>
      <c r="F124" s="1414">
        <v>0</v>
      </c>
      <c r="G124" s="1453">
        <v>0</v>
      </c>
      <c r="H124" s="1390" t="e">
        <f>G124/F124*100</f>
        <v>#DIV/0!</v>
      </c>
      <c r="I124" s="1398"/>
    </row>
    <row r="125" spans="1:9" ht="30" hidden="1" x14ac:dyDescent="0.2">
      <c r="A125" s="1463">
        <v>3299</v>
      </c>
      <c r="B125" s="1469">
        <v>6351</v>
      </c>
      <c r="C125" s="1469">
        <v>32533006</v>
      </c>
      <c r="D125" s="1405" t="s">
        <v>1145</v>
      </c>
      <c r="E125" s="1414">
        <v>0</v>
      </c>
      <c r="F125" s="1414">
        <v>0</v>
      </c>
      <c r="G125" s="1453">
        <v>0</v>
      </c>
      <c r="H125" s="1390" t="e">
        <f>G125/F125*100</f>
        <v>#DIV/0!</v>
      </c>
      <c r="I125" s="1398"/>
    </row>
    <row r="126" spans="1:9" ht="16.5" hidden="1" thickTop="1" thickBot="1" x14ac:dyDescent="0.3">
      <c r="A126" s="1406" t="s">
        <v>690</v>
      </c>
      <c r="B126" s="1407"/>
      <c r="C126" s="1407"/>
      <c r="D126" s="1408"/>
      <c r="E126" s="1387">
        <f>SUM(E122:E125)</f>
        <v>0</v>
      </c>
      <c r="F126" s="1387">
        <f>SUM(F122:F125)</f>
        <v>0</v>
      </c>
      <c r="G126" s="1387">
        <f>SUM(G122:G125)</f>
        <v>0</v>
      </c>
      <c r="H126" s="1391" t="e">
        <f>G126/F126*100</f>
        <v>#DIV/0!</v>
      </c>
      <c r="I126" s="1398"/>
    </row>
    <row r="127" spans="1:9" hidden="1" x14ac:dyDescent="0.2">
      <c r="I127" s="1398"/>
    </row>
    <row r="128" spans="1:9" ht="15" hidden="1" x14ac:dyDescent="0.25">
      <c r="A128" s="1377" t="s">
        <v>173</v>
      </c>
      <c r="D128" s="1371"/>
      <c r="E128" s="1372"/>
      <c r="H128" s="1398"/>
      <c r="I128" s="1398"/>
    </row>
    <row r="129" spans="1:9" ht="15" hidden="1" x14ac:dyDescent="0.25">
      <c r="A129" s="1377" t="s">
        <v>174</v>
      </c>
      <c r="D129" s="1371"/>
      <c r="E129" s="1372"/>
      <c r="H129" s="1398" t="s">
        <v>148</v>
      </c>
      <c r="I129" s="1398"/>
    </row>
    <row r="130" spans="1:9" ht="25.5" hidden="1" thickTop="1" thickBot="1" x14ac:dyDescent="0.25">
      <c r="A130" s="1378" t="s">
        <v>149</v>
      </c>
      <c r="B130" s="1379" t="s">
        <v>688</v>
      </c>
      <c r="C130" s="1379" t="s">
        <v>345</v>
      </c>
      <c r="D130" s="1380" t="s">
        <v>151</v>
      </c>
      <c r="E130" s="1402" t="s">
        <v>569</v>
      </c>
      <c r="F130" s="1402" t="s">
        <v>570</v>
      </c>
      <c r="G130" s="1403" t="s">
        <v>797</v>
      </c>
      <c r="H130" s="1404" t="s">
        <v>798</v>
      </c>
      <c r="I130" s="1398"/>
    </row>
    <row r="131" spans="1:9" ht="14.25" hidden="1" thickTop="1" thickBot="1" x14ac:dyDescent="0.25">
      <c r="A131" s="1297">
        <v>1</v>
      </c>
      <c r="B131" s="1296">
        <v>2</v>
      </c>
      <c r="C131" s="1296">
        <v>3</v>
      </c>
      <c r="D131" s="1296">
        <v>5</v>
      </c>
      <c r="E131" s="1295">
        <v>6</v>
      </c>
      <c r="F131" s="1295">
        <v>7</v>
      </c>
      <c r="G131" s="1446">
        <v>8</v>
      </c>
      <c r="H131" s="1383" t="s">
        <v>689</v>
      </c>
      <c r="I131" s="1398"/>
    </row>
    <row r="132" spans="1:9" ht="30.75" hidden="1" thickTop="1" x14ac:dyDescent="0.2">
      <c r="A132" s="1463">
        <v>3299</v>
      </c>
      <c r="B132" s="1489">
        <v>5336</v>
      </c>
      <c r="C132" s="1469">
        <v>32133006</v>
      </c>
      <c r="D132" s="1485" t="s">
        <v>1222</v>
      </c>
      <c r="E132" s="1401">
        <v>0</v>
      </c>
      <c r="F132" s="1401">
        <v>0</v>
      </c>
      <c r="G132" s="1456">
        <v>0</v>
      </c>
      <c r="H132" s="1388" t="e">
        <f>G132/F132*100</f>
        <v>#DIV/0!</v>
      </c>
      <c r="I132" s="1398"/>
    </row>
    <row r="133" spans="1:9" ht="30" hidden="1" x14ac:dyDescent="0.2">
      <c r="A133" s="1463">
        <v>3299</v>
      </c>
      <c r="B133" s="1489">
        <v>5336</v>
      </c>
      <c r="C133" s="1469">
        <v>32533006</v>
      </c>
      <c r="D133" s="1485" t="s">
        <v>1222</v>
      </c>
      <c r="E133" s="1414">
        <v>0</v>
      </c>
      <c r="F133" s="1414">
        <v>0</v>
      </c>
      <c r="G133" s="1453">
        <v>0</v>
      </c>
      <c r="H133" s="1390" t="e">
        <f>G133/F133*100</f>
        <v>#DIV/0!</v>
      </c>
      <c r="I133" s="1398"/>
    </row>
    <row r="134" spans="1:9" ht="30" hidden="1" x14ac:dyDescent="0.2">
      <c r="A134" s="1463">
        <v>3299</v>
      </c>
      <c r="B134" s="1469">
        <v>6351</v>
      </c>
      <c r="C134" s="1469">
        <v>32133006</v>
      </c>
      <c r="D134" s="1405" t="s">
        <v>1145</v>
      </c>
      <c r="E134" s="1414">
        <v>0</v>
      </c>
      <c r="F134" s="1414">
        <v>0</v>
      </c>
      <c r="G134" s="1453">
        <v>0</v>
      </c>
      <c r="H134" s="1390" t="e">
        <f>G134/F134*100</f>
        <v>#DIV/0!</v>
      </c>
      <c r="I134" s="1398"/>
    </row>
    <row r="135" spans="1:9" ht="30" hidden="1" x14ac:dyDescent="0.2">
      <c r="A135" s="1463">
        <v>3299</v>
      </c>
      <c r="B135" s="1469">
        <v>6351</v>
      </c>
      <c r="C135" s="1469">
        <v>32533006</v>
      </c>
      <c r="D135" s="1405" t="s">
        <v>1145</v>
      </c>
      <c r="E135" s="1414">
        <v>0</v>
      </c>
      <c r="F135" s="1414">
        <v>0</v>
      </c>
      <c r="G135" s="1453">
        <v>0</v>
      </c>
      <c r="H135" s="1390" t="e">
        <f>G135/F135*100</f>
        <v>#DIV/0!</v>
      </c>
      <c r="I135" s="1398"/>
    </row>
    <row r="136" spans="1:9" ht="16.5" hidden="1" thickTop="1" thickBot="1" x14ac:dyDescent="0.3">
      <c r="A136" s="1406" t="s">
        <v>690</v>
      </c>
      <c r="B136" s="1407"/>
      <c r="C136" s="1407"/>
      <c r="D136" s="1408"/>
      <c r="E136" s="1387">
        <f>SUM(E132:E135)</f>
        <v>0</v>
      </c>
      <c r="F136" s="1387">
        <f>SUM(F132:F135)</f>
        <v>0</v>
      </c>
      <c r="G136" s="1387">
        <f>SUM(G132:G135)</f>
        <v>0</v>
      </c>
      <c r="H136" s="1391" t="e">
        <f>G136/F136*100</f>
        <v>#DIV/0!</v>
      </c>
      <c r="I136" s="1398"/>
    </row>
    <row r="137" spans="1:9" hidden="1" x14ac:dyDescent="0.2">
      <c r="I137" s="1398"/>
    </row>
    <row r="138" spans="1:9" ht="15" hidden="1" x14ac:dyDescent="0.25">
      <c r="A138" s="1377" t="s">
        <v>175</v>
      </c>
      <c r="D138" s="1371"/>
      <c r="E138" s="1372"/>
      <c r="H138" s="1398"/>
      <c r="I138" s="1398"/>
    </row>
    <row r="139" spans="1:9" ht="15" hidden="1" x14ac:dyDescent="0.25">
      <c r="A139" s="1377" t="s">
        <v>176</v>
      </c>
      <c r="D139" s="1371"/>
      <c r="E139" s="1372"/>
      <c r="H139" s="1398" t="s">
        <v>148</v>
      </c>
      <c r="I139" s="1398"/>
    </row>
    <row r="140" spans="1:9" ht="25.5" hidden="1" thickTop="1" thickBot="1" x14ac:dyDescent="0.25">
      <c r="A140" s="1378" t="s">
        <v>149</v>
      </c>
      <c r="B140" s="1379" t="s">
        <v>688</v>
      </c>
      <c r="C140" s="1379" t="s">
        <v>345</v>
      </c>
      <c r="D140" s="1380" t="s">
        <v>151</v>
      </c>
      <c r="E140" s="1402" t="s">
        <v>569</v>
      </c>
      <c r="F140" s="1402" t="s">
        <v>570</v>
      </c>
      <c r="G140" s="1403" t="s">
        <v>797</v>
      </c>
      <c r="H140" s="1404" t="s">
        <v>798</v>
      </c>
      <c r="I140" s="1398"/>
    </row>
    <row r="141" spans="1:9" ht="14.25" hidden="1" thickTop="1" thickBot="1" x14ac:dyDescent="0.25">
      <c r="A141" s="1297">
        <v>1</v>
      </c>
      <c r="B141" s="1296">
        <v>2</v>
      </c>
      <c r="C141" s="1296">
        <v>3</v>
      </c>
      <c r="D141" s="1296">
        <v>5</v>
      </c>
      <c r="E141" s="1295">
        <v>6</v>
      </c>
      <c r="F141" s="1295">
        <v>7</v>
      </c>
      <c r="G141" s="1446">
        <v>8</v>
      </c>
      <c r="H141" s="1383" t="s">
        <v>689</v>
      </c>
      <c r="I141" s="1398"/>
    </row>
    <row r="142" spans="1:9" ht="30.75" hidden="1" thickTop="1" x14ac:dyDescent="0.2">
      <c r="A142" s="1463">
        <v>3299</v>
      </c>
      <c r="B142" s="1489">
        <v>5336</v>
      </c>
      <c r="C142" s="1469">
        <v>32133006</v>
      </c>
      <c r="D142" s="1485" t="s">
        <v>1222</v>
      </c>
      <c r="E142" s="1401">
        <v>0</v>
      </c>
      <c r="F142" s="1401">
        <v>0</v>
      </c>
      <c r="G142" s="1456">
        <v>0</v>
      </c>
      <c r="H142" s="1388" t="e">
        <f>G142/F142*100</f>
        <v>#DIV/0!</v>
      </c>
      <c r="I142" s="1398"/>
    </row>
    <row r="143" spans="1:9" ht="30" hidden="1" x14ac:dyDescent="0.2">
      <c r="A143" s="1463">
        <v>3299</v>
      </c>
      <c r="B143" s="1489">
        <v>5336</v>
      </c>
      <c r="C143" s="1469">
        <v>32533006</v>
      </c>
      <c r="D143" s="1485" t="s">
        <v>1222</v>
      </c>
      <c r="E143" s="1414">
        <v>0</v>
      </c>
      <c r="F143" s="1414">
        <v>0</v>
      </c>
      <c r="G143" s="1453">
        <v>0</v>
      </c>
      <c r="H143" s="1390" t="e">
        <f>G143/F143*100</f>
        <v>#DIV/0!</v>
      </c>
      <c r="I143" s="1398"/>
    </row>
    <row r="144" spans="1:9" ht="30" hidden="1" x14ac:dyDescent="0.2">
      <c r="A144" s="1463">
        <v>3299</v>
      </c>
      <c r="B144" s="1469">
        <v>6351</v>
      </c>
      <c r="C144" s="1469">
        <v>32133006</v>
      </c>
      <c r="D144" s="1405" t="s">
        <v>1145</v>
      </c>
      <c r="E144" s="1414">
        <v>0</v>
      </c>
      <c r="F144" s="1414">
        <v>0</v>
      </c>
      <c r="G144" s="1453">
        <v>0</v>
      </c>
      <c r="H144" s="1390" t="e">
        <f>G144/F144*100</f>
        <v>#DIV/0!</v>
      </c>
      <c r="I144" s="1398"/>
    </row>
    <row r="145" spans="1:9" ht="30" hidden="1" x14ac:dyDescent="0.2">
      <c r="A145" s="1463">
        <v>3299</v>
      </c>
      <c r="B145" s="1469">
        <v>6351</v>
      </c>
      <c r="C145" s="1469">
        <v>32533006</v>
      </c>
      <c r="D145" s="1405" t="s">
        <v>1145</v>
      </c>
      <c r="E145" s="1414">
        <v>0</v>
      </c>
      <c r="F145" s="1414">
        <v>0</v>
      </c>
      <c r="G145" s="1453">
        <v>0</v>
      </c>
      <c r="H145" s="1390" t="e">
        <f>G145/F145*100</f>
        <v>#DIV/0!</v>
      </c>
      <c r="I145" s="1398"/>
    </row>
    <row r="146" spans="1:9" ht="16.5" hidden="1" thickTop="1" thickBot="1" x14ac:dyDescent="0.3">
      <c r="A146" s="1406" t="s">
        <v>690</v>
      </c>
      <c r="B146" s="1407"/>
      <c r="C146" s="1407"/>
      <c r="D146" s="1408"/>
      <c r="E146" s="1387">
        <f>SUM(E142:E145)</f>
        <v>0</v>
      </c>
      <c r="F146" s="1387">
        <f>SUM(F142:F145)</f>
        <v>0</v>
      </c>
      <c r="G146" s="1387">
        <f>SUM(G142:G145)</f>
        <v>0</v>
      </c>
      <c r="H146" s="1391" t="e">
        <f>G146/F146*100</f>
        <v>#DIV/0!</v>
      </c>
      <c r="I146" s="1398"/>
    </row>
    <row r="147" spans="1:9" hidden="1" x14ac:dyDescent="0.2">
      <c r="I147" s="1398"/>
    </row>
    <row r="148" spans="1:9" ht="15" hidden="1" x14ac:dyDescent="0.25">
      <c r="A148" s="1377" t="s">
        <v>271</v>
      </c>
      <c r="D148" s="1371"/>
      <c r="E148" s="1372"/>
      <c r="H148" s="1398"/>
      <c r="I148" s="1398"/>
    </row>
    <row r="149" spans="1:9" ht="15" hidden="1" x14ac:dyDescent="0.25">
      <c r="A149" s="1377" t="s">
        <v>913</v>
      </c>
      <c r="D149" s="1371"/>
      <c r="E149" s="1372"/>
      <c r="H149" s="1398" t="s">
        <v>148</v>
      </c>
      <c r="I149" s="1398"/>
    </row>
    <row r="150" spans="1:9" ht="25.5" hidden="1" thickTop="1" thickBot="1" x14ac:dyDescent="0.25">
      <c r="A150" s="1378" t="s">
        <v>149</v>
      </c>
      <c r="B150" s="1379" t="s">
        <v>688</v>
      </c>
      <c r="C150" s="1379" t="s">
        <v>345</v>
      </c>
      <c r="D150" s="1380" t="s">
        <v>151</v>
      </c>
      <c r="E150" s="1402" t="s">
        <v>569</v>
      </c>
      <c r="F150" s="1402" t="s">
        <v>570</v>
      </c>
      <c r="G150" s="1403" t="s">
        <v>797</v>
      </c>
      <c r="H150" s="1404" t="s">
        <v>798</v>
      </c>
      <c r="I150" s="1398"/>
    </row>
    <row r="151" spans="1:9" ht="14.25" hidden="1" thickTop="1" thickBot="1" x14ac:dyDescent="0.25">
      <c r="A151" s="1297">
        <v>1</v>
      </c>
      <c r="B151" s="1296">
        <v>2</v>
      </c>
      <c r="C151" s="1296">
        <v>3</v>
      </c>
      <c r="D151" s="1296">
        <v>5</v>
      </c>
      <c r="E151" s="1295">
        <v>6</v>
      </c>
      <c r="F151" s="1295">
        <v>7</v>
      </c>
      <c r="G151" s="1446">
        <v>8</v>
      </c>
      <c r="H151" s="1383" t="s">
        <v>689</v>
      </c>
      <c r="I151" s="1398"/>
    </row>
    <row r="152" spans="1:9" ht="30.75" hidden="1" thickTop="1" x14ac:dyDescent="0.2">
      <c r="A152" s="1463">
        <v>3299</v>
      </c>
      <c r="B152" s="1489">
        <v>5336</v>
      </c>
      <c r="C152" s="1469">
        <v>32133006</v>
      </c>
      <c r="D152" s="1405" t="s">
        <v>1131</v>
      </c>
      <c r="E152" s="1401">
        <v>0</v>
      </c>
      <c r="F152" s="1401"/>
      <c r="G152" s="1456"/>
      <c r="H152" s="1388" t="e">
        <f>G152/F152*100</f>
        <v>#DIV/0!</v>
      </c>
      <c r="I152" s="1398"/>
    </row>
    <row r="153" spans="1:9" ht="30" hidden="1" x14ac:dyDescent="0.2">
      <c r="A153" s="1463">
        <v>3299</v>
      </c>
      <c r="B153" s="1489">
        <v>5336</v>
      </c>
      <c r="C153" s="1469">
        <v>32533006</v>
      </c>
      <c r="D153" s="1405" t="s">
        <v>1131</v>
      </c>
      <c r="E153" s="1414">
        <v>0</v>
      </c>
      <c r="F153" s="1414"/>
      <c r="G153" s="1453"/>
      <c r="H153" s="1390" t="e">
        <f>G153/F153*100</f>
        <v>#DIV/0!</v>
      </c>
      <c r="I153" s="1398"/>
    </row>
    <row r="154" spans="1:9" ht="30" hidden="1" x14ac:dyDescent="0.2">
      <c r="A154" s="1463">
        <v>3299</v>
      </c>
      <c r="B154" s="1469">
        <v>6351</v>
      </c>
      <c r="C154" s="1469">
        <v>32133006</v>
      </c>
      <c r="D154" s="1405" t="s">
        <v>1145</v>
      </c>
      <c r="E154" s="1414">
        <v>0</v>
      </c>
      <c r="F154" s="1414">
        <v>0</v>
      </c>
      <c r="G154" s="1453">
        <v>0</v>
      </c>
      <c r="H154" s="1390" t="e">
        <f>G154/F154*100</f>
        <v>#DIV/0!</v>
      </c>
      <c r="I154" s="1398"/>
    </row>
    <row r="155" spans="1:9" ht="30" hidden="1" x14ac:dyDescent="0.2">
      <c r="A155" s="1463">
        <v>3299</v>
      </c>
      <c r="B155" s="1469">
        <v>6351</v>
      </c>
      <c r="C155" s="1469">
        <v>32533006</v>
      </c>
      <c r="D155" s="1405" t="s">
        <v>1145</v>
      </c>
      <c r="E155" s="1414">
        <v>0</v>
      </c>
      <c r="F155" s="1414">
        <v>0</v>
      </c>
      <c r="G155" s="1453">
        <v>0</v>
      </c>
      <c r="H155" s="1390" t="e">
        <f>G155/F155*100</f>
        <v>#DIV/0!</v>
      </c>
      <c r="I155" s="1398"/>
    </row>
    <row r="156" spans="1:9" ht="16.5" hidden="1" thickTop="1" thickBot="1" x14ac:dyDescent="0.3">
      <c r="A156" s="1406" t="s">
        <v>690</v>
      </c>
      <c r="B156" s="1407"/>
      <c r="C156" s="1407"/>
      <c r="D156" s="1408"/>
      <c r="E156" s="1387">
        <f>SUM(E152:E155)</f>
        <v>0</v>
      </c>
      <c r="F156" s="1387">
        <f>SUM(F152:F155)</f>
        <v>0</v>
      </c>
      <c r="G156" s="1387">
        <f>SUM(G152:G155)</f>
        <v>0</v>
      </c>
      <c r="H156" s="1391" t="e">
        <f>G156/F156*100</f>
        <v>#DIV/0!</v>
      </c>
      <c r="I156" s="1398"/>
    </row>
    <row r="157" spans="1:9" hidden="1" x14ac:dyDescent="0.2">
      <c r="I157" s="1398"/>
    </row>
    <row r="158" spans="1:9" ht="15" hidden="1" x14ac:dyDescent="0.25">
      <c r="A158" s="1377" t="s">
        <v>1420</v>
      </c>
      <c r="D158" s="1371"/>
      <c r="E158" s="1372"/>
      <c r="H158" s="1398"/>
      <c r="I158" s="1398"/>
    </row>
    <row r="159" spans="1:9" ht="15" hidden="1" x14ac:dyDescent="0.25">
      <c r="A159" s="1377" t="s">
        <v>1144</v>
      </c>
      <c r="D159" s="1371"/>
      <c r="E159" s="1372"/>
      <c r="H159" s="1459" t="s">
        <v>148</v>
      </c>
      <c r="I159" s="1398"/>
    </row>
    <row r="160" spans="1:9" ht="25.5" hidden="1" thickTop="1" thickBot="1" x14ac:dyDescent="0.25">
      <c r="A160" s="1378" t="s">
        <v>149</v>
      </c>
      <c r="B160" s="1379" t="s">
        <v>688</v>
      </c>
      <c r="C160" s="1379" t="s">
        <v>345</v>
      </c>
      <c r="D160" s="1380" t="s">
        <v>151</v>
      </c>
      <c r="E160" s="1402" t="s">
        <v>569</v>
      </c>
      <c r="F160" s="1402" t="s">
        <v>570</v>
      </c>
      <c r="G160" s="1403" t="s">
        <v>797</v>
      </c>
      <c r="H160" s="1404" t="s">
        <v>798</v>
      </c>
      <c r="I160" s="1398"/>
    </row>
    <row r="161" spans="1:9" ht="14.25" hidden="1" thickTop="1" thickBot="1" x14ac:dyDescent="0.25">
      <c r="A161" s="1297">
        <v>1</v>
      </c>
      <c r="B161" s="1296">
        <v>2</v>
      </c>
      <c r="C161" s="1296">
        <v>3</v>
      </c>
      <c r="D161" s="1296">
        <v>5</v>
      </c>
      <c r="E161" s="1295">
        <v>6</v>
      </c>
      <c r="F161" s="1295">
        <v>7</v>
      </c>
      <c r="G161" s="1446">
        <v>8</v>
      </c>
      <c r="H161" s="1383" t="s">
        <v>689</v>
      </c>
      <c r="I161" s="1398"/>
    </row>
    <row r="162" spans="1:9" ht="30.75" hidden="1" thickTop="1" x14ac:dyDescent="0.2">
      <c r="A162" s="1463">
        <v>3299</v>
      </c>
      <c r="B162" s="1489">
        <v>5336</v>
      </c>
      <c r="C162" s="1469">
        <v>32133006</v>
      </c>
      <c r="D162" s="1405" t="s">
        <v>1131</v>
      </c>
      <c r="E162" s="1401">
        <v>0</v>
      </c>
      <c r="F162" s="1401"/>
      <c r="G162" s="1456"/>
      <c r="H162" s="1388" t="e">
        <f>G162/F162*100</f>
        <v>#DIV/0!</v>
      </c>
      <c r="I162" s="1398"/>
    </row>
    <row r="163" spans="1:9" ht="30" hidden="1" x14ac:dyDescent="0.2">
      <c r="A163" s="1463">
        <v>3299</v>
      </c>
      <c r="B163" s="1489">
        <v>5336</v>
      </c>
      <c r="C163" s="1469">
        <v>32533006</v>
      </c>
      <c r="D163" s="1405" t="s">
        <v>1131</v>
      </c>
      <c r="E163" s="1414">
        <v>0</v>
      </c>
      <c r="F163" s="1414"/>
      <c r="G163" s="1453"/>
      <c r="H163" s="1390" t="e">
        <f>G163/F163*100</f>
        <v>#DIV/0!</v>
      </c>
      <c r="I163" s="1398"/>
    </row>
    <row r="164" spans="1:9" ht="30" hidden="1" x14ac:dyDescent="0.2">
      <c r="A164" s="1463">
        <v>3299</v>
      </c>
      <c r="B164" s="1469">
        <v>6351</v>
      </c>
      <c r="C164" s="1469">
        <v>32133006</v>
      </c>
      <c r="D164" s="1405" t="s">
        <v>1145</v>
      </c>
      <c r="E164" s="1414">
        <v>0</v>
      </c>
      <c r="F164" s="1414">
        <v>0</v>
      </c>
      <c r="G164" s="1453">
        <v>0</v>
      </c>
      <c r="H164" s="1390" t="e">
        <f>G164/F164*100</f>
        <v>#DIV/0!</v>
      </c>
      <c r="I164" s="1398"/>
    </row>
    <row r="165" spans="1:9" ht="30" hidden="1" x14ac:dyDescent="0.2">
      <c r="A165" s="1463">
        <v>3299</v>
      </c>
      <c r="B165" s="1469">
        <v>6351</v>
      </c>
      <c r="C165" s="1469">
        <v>32533006</v>
      </c>
      <c r="D165" s="1405" t="s">
        <v>1145</v>
      </c>
      <c r="E165" s="1414">
        <v>0</v>
      </c>
      <c r="F165" s="1414">
        <v>0</v>
      </c>
      <c r="G165" s="1453">
        <v>0</v>
      </c>
      <c r="H165" s="1390" t="e">
        <f>G165/F165*100</f>
        <v>#DIV/0!</v>
      </c>
      <c r="I165" s="1398"/>
    </row>
    <row r="166" spans="1:9" ht="16.5" hidden="1" thickTop="1" thickBot="1" x14ac:dyDescent="0.3">
      <c r="A166" s="1406" t="s">
        <v>690</v>
      </c>
      <c r="B166" s="1407"/>
      <c r="C166" s="1407"/>
      <c r="D166" s="1408"/>
      <c r="E166" s="1387">
        <f>SUM(E162:E165)</f>
        <v>0</v>
      </c>
      <c r="F166" s="1387">
        <f>SUM(F162:F165)</f>
        <v>0</v>
      </c>
      <c r="G166" s="1387">
        <f>SUM(G162:G165)</f>
        <v>0</v>
      </c>
      <c r="H166" s="1391" t="e">
        <f>G166/F166*100</f>
        <v>#DIV/0!</v>
      </c>
      <c r="I166" s="1398"/>
    </row>
    <row r="167" spans="1:9" hidden="1" x14ac:dyDescent="0.2">
      <c r="I167" s="1398"/>
    </row>
    <row r="168" spans="1:9" ht="15" hidden="1" x14ac:dyDescent="0.25">
      <c r="A168" s="1377" t="s">
        <v>508</v>
      </c>
      <c r="D168" s="1371"/>
      <c r="E168" s="1372"/>
      <c r="H168" s="1398"/>
      <c r="I168" s="1398"/>
    </row>
    <row r="169" spans="1:9" ht="15" hidden="1" x14ac:dyDescent="0.25">
      <c r="A169" s="1377" t="s">
        <v>509</v>
      </c>
      <c r="D169" s="1371"/>
      <c r="E169" s="1372"/>
      <c r="H169" s="1459" t="s">
        <v>148</v>
      </c>
      <c r="I169" s="1398"/>
    </row>
    <row r="170" spans="1:9" ht="25.5" hidden="1" thickTop="1" thickBot="1" x14ac:dyDescent="0.25">
      <c r="A170" s="1378" t="s">
        <v>149</v>
      </c>
      <c r="B170" s="1379" t="s">
        <v>688</v>
      </c>
      <c r="C170" s="1379" t="s">
        <v>345</v>
      </c>
      <c r="D170" s="1380" t="s">
        <v>151</v>
      </c>
      <c r="E170" s="1402" t="s">
        <v>569</v>
      </c>
      <c r="F170" s="1402" t="s">
        <v>570</v>
      </c>
      <c r="G170" s="1403" t="s">
        <v>797</v>
      </c>
      <c r="H170" s="1404" t="s">
        <v>798</v>
      </c>
      <c r="I170" s="1398"/>
    </row>
    <row r="171" spans="1:9" ht="14.25" hidden="1" thickTop="1" thickBot="1" x14ac:dyDescent="0.25">
      <c r="A171" s="1297">
        <v>1</v>
      </c>
      <c r="B171" s="1296">
        <v>2</v>
      </c>
      <c r="C171" s="1296">
        <v>3</v>
      </c>
      <c r="D171" s="1296">
        <v>5</v>
      </c>
      <c r="E171" s="1295">
        <v>6</v>
      </c>
      <c r="F171" s="1295">
        <v>7</v>
      </c>
      <c r="G171" s="1446">
        <v>8</v>
      </c>
      <c r="H171" s="1383" t="s">
        <v>689</v>
      </c>
      <c r="I171" s="1398"/>
    </row>
    <row r="172" spans="1:9" ht="30.75" hidden="1" thickTop="1" x14ac:dyDescent="0.2">
      <c r="A172" s="1463">
        <v>3299</v>
      </c>
      <c r="B172" s="1489">
        <v>5336</v>
      </c>
      <c r="C172" s="1469">
        <v>32133006</v>
      </c>
      <c r="D172" s="1405" t="s">
        <v>1131</v>
      </c>
      <c r="E172" s="1401">
        <v>0</v>
      </c>
      <c r="F172" s="1401"/>
      <c r="G172" s="1456"/>
      <c r="H172" s="1388" t="e">
        <f>G172/F172*100</f>
        <v>#DIV/0!</v>
      </c>
      <c r="I172" s="1398"/>
    </row>
    <row r="173" spans="1:9" ht="30" hidden="1" x14ac:dyDescent="0.2">
      <c r="A173" s="1463">
        <v>3299</v>
      </c>
      <c r="B173" s="1489">
        <v>5336</v>
      </c>
      <c r="C173" s="1469">
        <v>32533006</v>
      </c>
      <c r="D173" s="1405" t="s">
        <v>1131</v>
      </c>
      <c r="E173" s="1414">
        <v>0</v>
      </c>
      <c r="F173" s="1414"/>
      <c r="G173" s="1453"/>
      <c r="H173" s="1390" t="e">
        <f>G173/F173*100</f>
        <v>#DIV/0!</v>
      </c>
      <c r="I173" s="1398"/>
    </row>
    <row r="174" spans="1:9" ht="30" hidden="1" x14ac:dyDescent="0.2">
      <c r="A174" s="1463">
        <v>3299</v>
      </c>
      <c r="B174" s="1469">
        <v>6351</v>
      </c>
      <c r="C174" s="1469">
        <v>32133006</v>
      </c>
      <c r="D174" s="1405" t="s">
        <v>1145</v>
      </c>
      <c r="E174" s="1414">
        <v>0</v>
      </c>
      <c r="F174" s="1414">
        <v>0</v>
      </c>
      <c r="G174" s="1453">
        <v>0</v>
      </c>
      <c r="H174" s="1390" t="e">
        <f>G174/F174*100</f>
        <v>#DIV/0!</v>
      </c>
      <c r="I174" s="1398"/>
    </row>
    <row r="175" spans="1:9" ht="30" hidden="1" x14ac:dyDescent="0.2">
      <c r="A175" s="1463">
        <v>3299</v>
      </c>
      <c r="B175" s="1469">
        <v>6351</v>
      </c>
      <c r="C175" s="1469">
        <v>32533006</v>
      </c>
      <c r="D175" s="1405" t="s">
        <v>1145</v>
      </c>
      <c r="E175" s="1414">
        <v>0</v>
      </c>
      <c r="F175" s="1414">
        <v>0</v>
      </c>
      <c r="G175" s="1453">
        <v>0</v>
      </c>
      <c r="H175" s="1390" t="e">
        <f>G175/F175*100</f>
        <v>#DIV/0!</v>
      </c>
      <c r="I175" s="1398"/>
    </row>
    <row r="176" spans="1:9" ht="16.5" hidden="1" thickTop="1" thickBot="1" x14ac:dyDescent="0.3">
      <c r="A176" s="1406" t="s">
        <v>690</v>
      </c>
      <c r="B176" s="1407"/>
      <c r="C176" s="1407"/>
      <c r="D176" s="1408"/>
      <c r="E176" s="1387">
        <f>SUM(E172:E175)</f>
        <v>0</v>
      </c>
      <c r="F176" s="1387">
        <f>SUM(F172:F175)</f>
        <v>0</v>
      </c>
      <c r="G176" s="1387">
        <f>SUM(G172:G175)</f>
        <v>0</v>
      </c>
      <c r="H176" s="1391" t="e">
        <f>G176/F176*100</f>
        <v>#DIV/0!</v>
      </c>
      <c r="I176" s="1398"/>
    </row>
    <row r="177" spans="1:9" hidden="1" x14ac:dyDescent="0.2">
      <c r="I177" s="1398"/>
    </row>
    <row r="178" spans="1:9" ht="15" hidden="1" x14ac:dyDescent="0.25">
      <c r="A178" s="1377" t="s">
        <v>1432</v>
      </c>
      <c r="D178" s="1371"/>
      <c r="E178" s="1372"/>
      <c r="H178" s="1398"/>
      <c r="I178" s="1398"/>
    </row>
    <row r="179" spans="1:9" ht="15" hidden="1" x14ac:dyDescent="0.25">
      <c r="A179" s="1377" t="s">
        <v>784</v>
      </c>
      <c r="D179" s="1371"/>
      <c r="E179" s="1372"/>
      <c r="H179" s="1459" t="s">
        <v>148</v>
      </c>
      <c r="I179" s="1398"/>
    </row>
    <row r="180" spans="1:9" ht="25.5" hidden="1" thickTop="1" thickBot="1" x14ac:dyDescent="0.25">
      <c r="A180" s="1378" t="s">
        <v>149</v>
      </c>
      <c r="B180" s="1379" t="s">
        <v>688</v>
      </c>
      <c r="C180" s="1379" t="s">
        <v>345</v>
      </c>
      <c r="D180" s="1380" t="s">
        <v>151</v>
      </c>
      <c r="E180" s="1402" t="s">
        <v>569</v>
      </c>
      <c r="F180" s="1402" t="s">
        <v>570</v>
      </c>
      <c r="G180" s="1403" t="s">
        <v>797</v>
      </c>
      <c r="H180" s="1404" t="s">
        <v>798</v>
      </c>
      <c r="I180" s="1398"/>
    </row>
    <row r="181" spans="1:9" ht="14.25" hidden="1" thickTop="1" thickBot="1" x14ac:dyDescent="0.25">
      <c r="A181" s="1297">
        <v>1</v>
      </c>
      <c r="B181" s="1296">
        <v>2</v>
      </c>
      <c r="C181" s="1296">
        <v>3</v>
      </c>
      <c r="D181" s="1296">
        <v>5</v>
      </c>
      <c r="E181" s="1295">
        <v>6</v>
      </c>
      <c r="F181" s="1295">
        <v>7</v>
      </c>
      <c r="G181" s="1446">
        <v>8</v>
      </c>
      <c r="H181" s="1383" t="s">
        <v>689</v>
      </c>
      <c r="I181" s="1398"/>
    </row>
    <row r="182" spans="1:9" ht="30.75" hidden="1" thickTop="1" x14ac:dyDescent="0.2">
      <c r="A182" s="1463">
        <v>3299</v>
      </c>
      <c r="B182" s="1489">
        <v>5336</v>
      </c>
      <c r="C182" s="1469">
        <v>32133006</v>
      </c>
      <c r="D182" s="1405" t="s">
        <v>1131</v>
      </c>
      <c r="E182" s="1401">
        <v>0</v>
      </c>
      <c r="F182" s="1401"/>
      <c r="G182" s="1456"/>
      <c r="H182" s="1388" t="e">
        <f>G182/F182*100</f>
        <v>#DIV/0!</v>
      </c>
      <c r="I182" s="1398"/>
    </row>
    <row r="183" spans="1:9" ht="30" hidden="1" x14ac:dyDescent="0.2">
      <c r="A183" s="1463">
        <v>3299</v>
      </c>
      <c r="B183" s="1489">
        <v>5336</v>
      </c>
      <c r="C183" s="1469">
        <v>32533006</v>
      </c>
      <c r="D183" s="1405" t="s">
        <v>1131</v>
      </c>
      <c r="E183" s="1414">
        <v>0</v>
      </c>
      <c r="F183" s="1414"/>
      <c r="G183" s="1453"/>
      <c r="H183" s="1390" t="e">
        <f>G183/F183*100</f>
        <v>#DIV/0!</v>
      </c>
      <c r="I183" s="1398"/>
    </row>
    <row r="184" spans="1:9" ht="30" hidden="1" x14ac:dyDescent="0.2">
      <c r="A184" s="1463">
        <v>3299</v>
      </c>
      <c r="B184" s="1469">
        <v>6351</v>
      </c>
      <c r="C184" s="1469">
        <v>32133006</v>
      </c>
      <c r="D184" s="1405" t="s">
        <v>1145</v>
      </c>
      <c r="E184" s="1414">
        <v>0</v>
      </c>
      <c r="F184" s="1414">
        <v>0</v>
      </c>
      <c r="G184" s="1453">
        <v>0</v>
      </c>
      <c r="H184" s="1390" t="e">
        <f>G184/F184*100</f>
        <v>#DIV/0!</v>
      </c>
      <c r="I184" s="1398"/>
    </row>
    <row r="185" spans="1:9" ht="30" hidden="1" x14ac:dyDescent="0.2">
      <c r="A185" s="1463">
        <v>3299</v>
      </c>
      <c r="B185" s="1469">
        <v>6351</v>
      </c>
      <c r="C185" s="1469">
        <v>32533006</v>
      </c>
      <c r="D185" s="1405" t="s">
        <v>1145</v>
      </c>
      <c r="E185" s="1414">
        <v>0</v>
      </c>
      <c r="F185" s="1414">
        <v>0</v>
      </c>
      <c r="G185" s="1453">
        <v>0</v>
      </c>
      <c r="H185" s="1390" t="e">
        <f>G185/F185*100</f>
        <v>#DIV/0!</v>
      </c>
      <c r="I185" s="1398"/>
    </row>
    <row r="186" spans="1:9" ht="16.5" hidden="1" thickTop="1" thickBot="1" x14ac:dyDescent="0.3">
      <c r="A186" s="1406" t="s">
        <v>690</v>
      </c>
      <c r="B186" s="1407"/>
      <c r="C186" s="1407"/>
      <c r="D186" s="1408"/>
      <c r="E186" s="1387">
        <f>SUM(E182:E185)</f>
        <v>0</v>
      </c>
      <c r="F186" s="1387">
        <f>SUM(F182:F185)</f>
        <v>0</v>
      </c>
      <c r="G186" s="1387">
        <f>SUM(G182:G185)</f>
        <v>0</v>
      </c>
      <c r="H186" s="1391" t="e">
        <f>G186/F186*100</f>
        <v>#DIV/0!</v>
      </c>
      <c r="I186" s="1398"/>
    </row>
    <row r="187" spans="1:9" hidden="1" x14ac:dyDescent="0.2">
      <c r="I187" s="1398"/>
    </row>
    <row r="188" spans="1:9" ht="15" hidden="1" x14ac:dyDescent="0.25">
      <c r="A188" s="1377" t="s">
        <v>915</v>
      </c>
      <c r="D188" s="1371"/>
      <c r="E188" s="1372"/>
      <c r="H188" s="1398"/>
      <c r="I188" s="1398"/>
    </row>
    <row r="189" spans="1:9" ht="15" hidden="1" x14ac:dyDescent="0.25">
      <c r="A189" s="1377" t="s">
        <v>916</v>
      </c>
      <c r="D189" s="1371"/>
      <c r="E189" s="1372"/>
      <c r="H189" s="1459" t="s">
        <v>148</v>
      </c>
      <c r="I189" s="1398"/>
    </row>
    <row r="190" spans="1:9" ht="25.5" hidden="1" thickTop="1" thickBot="1" x14ac:dyDescent="0.25">
      <c r="A190" s="1378" t="s">
        <v>149</v>
      </c>
      <c r="B190" s="1379" t="s">
        <v>688</v>
      </c>
      <c r="C190" s="1379" t="s">
        <v>345</v>
      </c>
      <c r="D190" s="1380" t="s">
        <v>151</v>
      </c>
      <c r="E190" s="1402" t="s">
        <v>569</v>
      </c>
      <c r="F190" s="1402" t="s">
        <v>570</v>
      </c>
      <c r="G190" s="1403" t="s">
        <v>797</v>
      </c>
      <c r="H190" s="1404" t="s">
        <v>798</v>
      </c>
      <c r="I190" s="1398"/>
    </row>
    <row r="191" spans="1:9" ht="14.25" hidden="1" thickTop="1" thickBot="1" x14ac:dyDescent="0.25">
      <c r="A191" s="1297">
        <v>1</v>
      </c>
      <c r="B191" s="1296">
        <v>2</v>
      </c>
      <c r="C191" s="1296">
        <v>3</v>
      </c>
      <c r="D191" s="1296">
        <v>5</v>
      </c>
      <c r="E191" s="1295">
        <v>6</v>
      </c>
      <c r="F191" s="1295">
        <v>7</v>
      </c>
      <c r="G191" s="1446">
        <v>8</v>
      </c>
      <c r="H191" s="1383" t="s">
        <v>689</v>
      </c>
      <c r="I191" s="1398"/>
    </row>
    <row r="192" spans="1:9" ht="30.75" hidden="1" thickTop="1" x14ac:dyDescent="0.2">
      <c r="A192" s="1463">
        <v>3299</v>
      </c>
      <c r="B192" s="1489">
        <v>5336</v>
      </c>
      <c r="C192" s="1469">
        <v>32133006</v>
      </c>
      <c r="D192" s="1405" t="s">
        <v>1131</v>
      </c>
      <c r="E192" s="1401">
        <v>0</v>
      </c>
      <c r="F192" s="1401"/>
      <c r="G192" s="1456"/>
      <c r="H192" s="1388" t="e">
        <f>G192/F192*100</f>
        <v>#DIV/0!</v>
      </c>
      <c r="I192" s="1398"/>
    </row>
    <row r="193" spans="1:9" ht="30" hidden="1" x14ac:dyDescent="0.2">
      <c r="A193" s="1463">
        <v>3299</v>
      </c>
      <c r="B193" s="1489">
        <v>5336</v>
      </c>
      <c r="C193" s="1469">
        <v>32533006</v>
      </c>
      <c r="D193" s="1405" t="s">
        <v>1131</v>
      </c>
      <c r="E193" s="1414">
        <v>0</v>
      </c>
      <c r="F193" s="1414"/>
      <c r="G193" s="1453"/>
      <c r="H193" s="1390" t="e">
        <f>G193/F193*100</f>
        <v>#DIV/0!</v>
      </c>
      <c r="I193" s="1398"/>
    </row>
    <row r="194" spans="1:9" ht="30" hidden="1" x14ac:dyDescent="0.2">
      <c r="A194" s="1463">
        <v>3299</v>
      </c>
      <c r="B194" s="1469">
        <v>6351</v>
      </c>
      <c r="C194" s="1469">
        <v>32133006</v>
      </c>
      <c r="D194" s="1405" t="s">
        <v>1145</v>
      </c>
      <c r="E194" s="1414">
        <v>0</v>
      </c>
      <c r="F194" s="1414">
        <v>0</v>
      </c>
      <c r="G194" s="1453">
        <v>0</v>
      </c>
      <c r="H194" s="1390" t="e">
        <f>G194/F194*100</f>
        <v>#DIV/0!</v>
      </c>
      <c r="I194" s="1398"/>
    </row>
    <row r="195" spans="1:9" ht="30" hidden="1" x14ac:dyDescent="0.2">
      <c r="A195" s="1463">
        <v>3299</v>
      </c>
      <c r="B195" s="1469">
        <v>6351</v>
      </c>
      <c r="C195" s="1469">
        <v>32533006</v>
      </c>
      <c r="D195" s="1405" t="s">
        <v>1145</v>
      </c>
      <c r="E195" s="1414">
        <v>0</v>
      </c>
      <c r="F195" s="1414">
        <v>0</v>
      </c>
      <c r="G195" s="1453">
        <v>0</v>
      </c>
      <c r="H195" s="1390" t="e">
        <f>G195/F195*100</f>
        <v>#DIV/0!</v>
      </c>
      <c r="I195" s="1398"/>
    </row>
    <row r="196" spans="1:9" ht="16.5" hidden="1" thickTop="1" thickBot="1" x14ac:dyDescent="0.3">
      <c r="A196" s="1406" t="s">
        <v>690</v>
      </c>
      <c r="B196" s="1407"/>
      <c r="C196" s="1407"/>
      <c r="D196" s="1408"/>
      <c r="E196" s="1387">
        <f>SUM(E192:E195)</f>
        <v>0</v>
      </c>
      <c r="F196" s="1387">
        <f>SUM(F192:F195)</f>
        <v>0</v>
      </c>
      <c r="G196" s="1387">
        <f>SUM(G192:G195)</f>
        <v>0</v>
      </c>
      <c r="H196" s="1391" t="e">
        <f>G196/F196*100</f>
        <v>#DIV/0!</v>
      </c>
      <c r="I196" s="1398"/>
    </row>
    <row r="197" spans="1:9" hidden="1" x14ac:dyDescent="0.2">
      <c r="I197" s="1398"/>
    </row>
    <row r="198" spans="1:9" ht="15" hidden="1" x14ac:dyDescent="0.25">
      <c r="A198" s="1377" t="s">
        <v>1421</v>
      </c>
      <c r="D198" s="1371"/>
      <c r="E198" s="1372"/>
      <c r="H198" s="1398"/>
      <c r="I198" s="1398"/>
    </row>
    <row r="199" spans="1:9" ht="15" hidden="1" x14ac:dyDescent="0.25">
      <c r="A199" s="1377" t="s">
        <v>785</v>
      </c>
      <c r="D199" s="1371"/>
      <c r="E199" s="1372"/>
      <c r="H199" s="1459" t="s">
        <v>148</v>
      </c>
      <c r="I199" s="1398"/>
    </row>
    <row r="200" spans="1:9" ht="25.5" hidden="1" thickTop="1" thickBot="1" x14ac:dyDescent="0.25">
      <c r="A200" s="1378" t="s">
        <v>149</v>
      </c>
      <c r="B200" s="1379" t="s">
        <v>688</v>
      </c>
      <c r="C200" s="1379" t="s">
        <v>345</v>
      </c>
      <c r="D200" s="1380" t="s">
        <v>151</v>
      </c>
      <c r="E200" s="1402" t="s">
        <v>569</v>
      </c>
      <c r="F200" s="1402" t="s">
        <v>570</v>
      </c>
      <c r="G200" s="1403" t="s">
        <v>797</v>
      </c>
      <c r="H200" s="1404" t="s">
        <v>798</v>
      </c>
      <c r="I200" s="1398"/>
    </row>
    <row r="201" spans="1:9" ht="14.25" hidden="1" thickTop="1" thickBot="1" x14ac:dyDescent="0.25">
      <c r="A201" s="1297">
        <v>1</v>
      </c>
      <c r="B201" s="1296">
        <v>2</v>
      </c>
      <c r="C201" s="1296">
        <v>3</v>
      </c>
      <c r="D201" s="1296">
        <v>5</v>
      </c>
      <c r="E201" s="1295">
        <v>6</v>
      </c>
      <c r="F201" s="1295">
        <v>7</v>
      </c>
      <c r="G201" s="1446">
        <v>8</v>
      </c>
      <c r="H201" s="1383" t="s">
        <v>689</v>
      </c>
      <c r="I201" s="1398"/>
    </row>
    <row r="202" spans="1:9" ht="30.75" hidden="1" thickTop="1" x14ac:dyDescent="0.2">
      <c r="A202" s="1463">
        <v>3299</v>
      </c>
      <c r="B202" s="1489">
        <v>5336</v>
      </c>
      <c r="C202" s="1469">
        <v>32133006</v>
      </c>
      <c r="D202" s="1405" t="s">
        <v>1131</v>
      </c>
      <c r="E202" s="1401">
        <v>0</v>
      </c>
      <c r="F202" s="1401"/>
      <c r="G202" s="1456"/>
      <c r="H202" s="1388" t="e">
        <f>G202/F202*100</f>
        <v>#DIV/0!</v>
      </c>
      <c r="I202" s="1398"/>
    </row>
    <row r="203" spans="1:9" ht="30" hidden="1" x14ac:dyDescent="0.2">
      <c r="A203" s="1463">
        <v>3299</v>
      </c>
      <c r="B203" s="1489">
        <v>5336</v>
      </c>
      <c r="C203" s="1469">
        <v>32533006</v>
      </c>
      <c r="D203" s="1405" t="s">
        <v>1131</v>
      </c>
      <c r="E203" s="1414">
        <v>0</v>
      </c>
      <c r="F203" s="1414"/>
      <c r="G203" s="1453"/>
      <c r="H203" s="1390" t="e">
        <f>G203/F203*100</f>
        <v>#DIV/0!</v>
      </c>
      <c r="I203" s="1398"/>
    </row>
    <row r="204" spans="1:9" ht="30" hidden="1" x14ac:dyDescent="0.2">
      <c r="A204" s="1463">
        <v>3299</v>
      </c>
      <c r="B204" s="1469">
        <v>6351</v>
      </c>
      <c r="C204" s="1469">
        <v>32133006</v>
      </c>
      <c r="D204" s="1405" t="s">
        <v>1145</v>
      </c>
      <c r="E204" s="1414">
        <v>0</v>
      </c>
      <c r="F204" s="1414">
        <v>0</v>
      </c>
      <c r="G204" s="1453">
        <v>0</v>
      </c>
      <c r="H204" s="1390" t="e">
        <f>G204/F204*100</f>
        <v>#DIV/0!</v>
      </c>
      <c r="I204" s="1398"/>
    </row>
    <row r="205" spans="1:9" ht="30" hidden="1" x14ac:dyDescent="0.2">
      <c r="A205" s="1463">
        <v>3299</v>
      </c>
      <c r="B205" s="1469">
        <v>6351</v>
      </c>
      <c r="C205" s="1469">
        <v>32533006</v>
      </c>
      <c r="D205" s="1405" t="s">
        <v>1145</v>
      </c>
      <c r="E205" s="1414">
        <v>0</v>
      </c>
      <c r="F205" s="1414">
        <v>0</v>
      </c>
      <c r="G205" s="1453">
        <v>0</v>
      </c>
      <c r="H205" s="1390" t="e">
        <f>G205/F205*100</f>
        <v>#DIV/0!</v>
      </c>
      <c r="I205" s="1398"/>
    </row>
    <row r="206" spans="1:9" ht="16.5" hidden="1" thickTop="1" thickBot="1" x14ac:dyDescent="0.3">
      <c r="A206" s="1406" t="s">
        <v>690</v>
      </c>
      <c r="B206" s="1407"/>
      <c r="C206" s="1407"/>
      <c r="D206" s="1408"/>
      <c r="E206" s="1387">
        <f>SUM(E202:E205)</f>
        <v>0</v>
      </c>
      <c r="F206" s="1387">
        <f>SUM(F202:F205)</f>
        <v>0</v>
      </c>
      <c r="G206" s="1387">
        <f>SUM(G202:G205)</f>
        <v>0</v>
      </c>
      <c r="H206" s="1391" t="e">
        <f>G206/F206*100</f>
        <v>#DIV/0!</v>
      </c>
      <c r="I206" s="1398"/>
    </row>
    <row r="207" spans="1:9" x14ac:dyDescent="0.2">
      <c r="I207" s="1398"/>
    </row>
    <row r="208" spans="1:9" ht="15" hidden="1" x14ac:dyDescent="0.25">
      <c r="A208" s="1377" t="s">
        <v>246</v>
      </c>
      <c r="D208" s="1371"/>
      <c r="E208" s="1372"/>
      <c r="H208" s="1398"/>
      <c r="I208" s="1398"/>
    </row>
    <row r="209" spans="1:12" ht="15" hidden="1" x14ac:dyDescent="0.25">
      <c r="A209" s="1377" t="s">
        <v>247</v>
      </c>
      <c r="D209" s="1371"/>
      <c r="E209" s="1372"/>
      <c r="H209" s="1398" t="s">
        <v>148</v>
      </c>
      <c r="I209" s="1398"/>
    </row>
    <row r="210" spans="1:12" ht="25.5" hidden="1" thickTop="1" thickBot="1" x14ac:dyDescent="0.25">
      <c r="A210" s="1378" t="s">
        <v>149</v>
      </c>
      <c r="B210" s="1379" t="s">
        <v>688</v>
      </c>
      <c r="C210" s="1379" t="s">
        <v>345</v>
      </c>
      <c r="D210" s="1380" t="s">
        <v>151</v>
      </c>
      <c r="E210" s="1402" t="s">
        <v>569</v>
      </c>
      <c r="F210" s="1402" t="s">
        <v>570</v>
      </c>
      <c r="G210" s="1403" t="s">
        <v>797</v>
      </c>
      <c r="H210" s="1404" t="s">
        <v>798</v>
      </c>
      <c r="I210" s="1398"/>
    </row>
    <row r="211" spans="1:12" ht="14.25" hidden="1" thickTop="1" thickBot="1" x14ac:dyDescent="0.25">
      <c r="A211" s="1297">
        <v>1</v>
      </c>
      <c r="B211" s="1296">
        <v>2</v>
      </c>
      <c r="C211" s="1296">
        <v>3</v>
      </c>
      <c r="D211" s="1296">
        <v>5</v>
      </c>
      <c r="E211" s="1295">
        <v>6</v>
      </c>
      <c r="F211" s="1295">
        <v>7</v>
      </c>
      <c r="G211" s="1446">
        <v>8</v>
      </c>
      <c r="H211" s="1383" t="s">
        <v>689</v>
      </c>
      <c r="I211" s="1398"/>
    </row>
    <row r="212" spans="1:12" ht="30.75" hidden="1" thickTop="1" x14ac:dyDescent="0.2">
      <c r="A212" s="1463">
        <v>3299</v>
      </c>
      <c r="B212" s="1469">
        <v>5222</v>
      </c>
      <c r="C212" s="1469">
        <v>32133006</v>
      </c>
      <c r="D212" s="1405" t="s">
        <v>202</v>
      </c>
      <c r="E212" s="1401">
        <v>0</v>
      </c>
      <c r="F212" s="1401">
        <v>0</v>
      </c>
      <c r="G212" s="1456">
        <v>0</v>
      </c>
      <c r="H212" s="1388" t="e">
        <f>G212/F212*100</f>
        <v>#DIV/0!</v>
      </c>
      <c r="I212" s="1398"/>
    </row>
    <row r="213" spans="1:12" ht="30" hidden="1" x14ac:dyDescent="0.2">
      <c r="A213" s="1463">
        <v>3299</v>
      </c>
      <c r="B213" s="1469">
        <v>5222</v>
      </c>
      <c r="C213" s="1469">
        <v>32533006</v>
      </c>
      <c r="D213" s="1405" t="s">
        <v>202</v>
      </c>
      <c r="E213" s="1414">
        <v>0</v>
      </c>
      <c r="F213" s="1414">
        <v>0</v>
      </c>
      <c r="G213" s="1453">
        <v>0</v>
      </c>
      <c r="H213" s="1390" t="e">
        <f>G213/F213*100</f>
        <v>#DIV/0!</v>
      </c>
      <c r="I213" s="1398"/>
    </row>
    <row r="214" spans="1:12" ht="30" hidden="1" x14ac:dyDescent="0.2">
      <c r="A214" s="1463">
        <v>3299</v>
      </c>
      <c r="B214" s="1469">
        <v>6351</v>
      </c>
      <c r="C214" s="1469">
        <v>32133006</v>
      </c>
      <c r="D214" s="1405" t="s">
        <v>1145</v>
      </c>
      <c r="E214" s="1414">
        <v>0</v>
      </c>
      <c r="F214" s="1414">
        <v>0</v>
      </c>
      <c r="G214" s="1453">
        <v>0</v>
      </c>
      <c r="H214" s="1390" t="e">
        <f>G214/F214*100</f>
        <v>#DIV/0!</v>
      </c>
      <c r="I214" s="1398"/>
    </row>
    <row r="215" spans="1:12" ht="30" hidden="1" x14ac:dyDescent="0.2">
      <c r="A215" s="1463">
        <v>3299</v>
      </c>
      <c r="B215" s="1469">
        <v>6351</v>
      </c>
      <c r="C215" s="1469">
        <v>32533006</v>
      </c>
      <c r="D215" s="1405" t="s">
        <v>1145</v>
      </c>
      <c r="E215" s="1414">
        <v>0</v>
      </c>
      <c r="F215" s="1414">
        <v>0</v>
      </c>
      <c r="G215" s="1453">
        <v>0</v>
      </c>
      <c r="H215" s="1390" t="e">
        <f>G215/F215*100</f>
        <v>#DIV/0!</v>
      </c>
      <c r="I215" s="1398"/>
    </row>
    <row r="216" spans="1:12" ht="16.5" hidden="1" thickTop="1" thickBot="1" x14ac:dyDescent="0.3">
      <c r="A216" s="1406" t="s">
        <v>690</v>
      </c>
      <c r="B216" s="1407"/>
      <c r="C216" s="1407"/>
      <c r="D216" s="1408"/>
      <c r="E216" s="1387">
        <f>SUM(E212:E215)</f>
        <v>0</v>
      </c>
      <c r="F216" s="1387">
        <f>SUM(F212:F215)</f>
        <v>0</v>
      </c>
      <c r="G216" s="1387">
        <f>SUM(G212:G215)</f>
        <v>0</v>
      </c>
      <c r="H216" s="1391" t="e">
        <f>G216/F216*100</f>
        <v>#DIV/0!</v>
      </c>
      <c r="I216" s="1398"/>
    </row>
    <row r="217" spans="1:12" hidden="1" x14ac:dyDescent="0.2">
      <c r="I217" s="1398"/>
    </row>
    <row r="218" spans="1:12" ht="4.5" customHeight="1" x14ac:dyDescent="0.2">
      <c r="I218" s="1398"/>
    </row>
    <row r="219" spans="1:12" hidden="1" x14ac:dyDescent="0.2">
      <c r="I219" s="1398"/>
    </row>
    <row r="220" spans="1:12" hidden="1" x14ac:dyDescent="0.2">
      <c r="I220" s="1398"/>
    </row>
    <row r="222" spans="1:12" ht="16.5" x14ac:dyDescent="0.25">
      <c r="A222" s="1429" t="s">
        <v>423</v>
      </c>
      <c r="B222" s="1430"/>
      <c r="C222" s="1431"/>
      <c r="D222" s="1432"/>
      <c r="E222" s="1433">
        <f>SUM(E223:E225)</f>
        <v>0</v>
      </c>
      <c r="F222" s="1433">
        <f>F223+F224+F225+F226</f>
        <v>12728</v>
      </c>
      <c r="G222" s="1433">
        <f>G223+G224+G225+G226</f>
        <v>12706</v>
      </c>
      <c r="H222" s="1452">
        <f>G222/F222*100</f>
        <v>99.82715273412947</v>
      </c>
      <c r="J222" s="1435">
        <f>J223+J224+J225</f>
        <v>0</v>
      </c>
      <c r="K222" s="1435">
        <f>K223+K224+K225</f>
        <v>12728224.74</v>
      </c>
      <c r="L222" s="1435">
        <f>L223+L224+L225</f>
        <v>12705545.960000001</v>
      </c>
    </row>
    <row r="223" spans="1:12" ht="15" x14ac:dyDescent="0.2">
      <c r="A223" s="1263" t="s">
        <v>242</v>
      </c>
      <c r="B223" s="1265"/>
      <c r="C223" s="1261"/>
      <c r="D223" s="1436"/>
      <c r="E223" s="1264">
        <f>E10+E11+E12+E13+E14+E15+E16+E17+E18+E19+E20+E21+E33+E51+E52+E61+E62+E102+E103+E112+E113+E122+E123+E182+E183+E192+E193+E202+E203</f>
        <v>0</v>
      </c>
      <c r="F223" s="1264">
        <f>F10+F11+F12+F13+F14+F15+F16+F17+F18+F19+F20+F21+F33+F51+F52+F61+F62+F102+F103+F112+F113+F122+F123+F182+F183+F192+F193+F202+F203+F30</f>
        <v>12728</v>
      </c>
      <c r="G223" s="1264">
        <f>G10+G11+G12+G13+G14+G15+G16+G17+G18+G19+G20+G21+G33+G51+G52+G61+G62+G102+G103+G112+G113+G122+G123+G182+G183+G192+G193+G202+G203+G30</f>
        <v>12706</v>
      </c>
      <c r="H223" s="1451">
        <f>G223/F223*100</f>
        <v>99.82715273412947</v>
      </c>
      <c r="J223" s="1437">
        <v>0</v>
      </c>
      <c r="K223" s="1437">
        <v>12728224.74</v>
      </c>
      <c r="L223" s="1437">
        <v>12705545.960000001</v>
      </c>
    </row>
    <row r="224" spans="1:12" ht="15" x14ac:dyDescent="0.2">
      <c r="A224" s="1263" t="s">
        <v>243</v>
      </c>
      <c r="B224" s="1262"/>
      <c r="C224" s="1261"/>
      <c r="D224" s="1438"/>
      <c r="E224" s="1264">
        <f>E31+E32</f>
        <v>0</v>
      </c>
      <c r="F224" s="1264">
        <f>F31+F32</f>
        <v>0</v>
      </c>
      <c r="G224" s="1264">
        <f>G31+G32</f>
        <v>0</v>
      </c>
      <c r="H224" s="1451">
        <v>0</v>
      </c>
      <c r="J224" s="1437">
        <v>0</v>
      </c>
      <c r="K224" s="1437">
        <v>0</v>
      </c>
      <c r="L224" s="1437">
        <v>0</v>
      </c>
    </row>
    <row r="225" spans="1:12" ht="15" x14ac:dyDescent="0.2">
      <c r="A225" s="1263" t="s">
        <v>424</v>
      </c>
      <c r="B225" s="1262"/>
      <c r="C225" s="1261"/>
      <c r="D225" s="1438"/>
      <c r="E225" s="1264">
        <v>0</v>
      </c>
      <c r="F225" s="1264">
        <v>0</v>
      </c>
      <c r="G225" s="1264">
        <v>0</v>
      </c>
      <c r="H225" s="1451">
        <v>0</v>
      </c>
      <c r="J225" s="1437">
        <v>0</v>
      </c>
      <c r="K225" s="1437">
        <v>0</v>
      </c>
      <c r="L225" s="1437">
        <v>0</v>
      </c>
    </row>
    <row r="226" spans="1:12" ht="15" x14ac:dyDescent="0.2">
      <c r="A226" s="1263"/>
      <c r="B226" s="1262"/>
      <c r="C226" s="1261"/>
      <c r="D226" s="1438"/>
      <c r="E226" s="1264"/>
      <c r="F226" s="1264"/>
      <c r="G226" s="1264"/>
      <c r="H226" s="1260"/>
    </row>
    <row r="227" spans="1:12" ht="70.5" customHeight="1" thickBot="1" x14ac:dyDescent="0.4">
      <c r="A227" s="3148" t="s">
        <v>278</v>
      </c>
      <c r="B227" s="3224"/>
      <c r="C227" s="3224"/>
      <c r="D227" s="3224"/>
      <c r="E227" s="1258">
        <f>SUM(E222)</f>
        <v>0</v>
      </c>
      <c r="F227" s="1258">
        <f>SUM(F222)</f>
        <v>12728</v>
      </c>
      <c r="G227" s="1258">
        <f>SUM(G222)</f>
        <v>12706</v>
      </c>
      <c r="H227" s="1257">
        <f>(G227/F227)*100</f>
        <v>99.82715273412947</v>
      </c>
    </row>
    <row r="228" spans="1:12" ht="13.5" thickTop="1" x14ac:dyDescent="0.2"/>
    <row r="348" spans="1:5" ht="13.5" thickBot="1" x14ac:dyDescent="0.25">
      <c r="A348" s="1409"/>
      <c r="B348" s="1409"/>
      <c r="C348" s="1409"/>
      <c r="D348" s="1477"/>
      <c r="E348" s="1478"/>
    </row>
    <row r="349" spans="1:5" ht="13.5" thickTop="1" x14ac:dyDescent="0.2">
      <c r="A349" s="1427"/>
      <c r="B349" s="1427"/>
      <c r="C349" s="1427"/>
      <c r="D349" s="1419"/>
      <c r="E349" s="1479"/>
    </row>
    <row r="350" spans="1:5" x14ac:dyDescent="0.2">
      <c r="D350" s="1372" t="e">
        <f>#REF!+#REF!</f>
        <v>#REF!</v>
      </c>
    </row>
  </sheetData>
  <mergeCells count="3">
    <mergeCell ref="A1:H1"/>
    <mergeCell ref="A34:D34"/>
    <mergeCell ref="A227:D227"/>
  </mergeCells>
  <pageMargins left="0.98425196850393704" right="0.98425196850393704" top="0.98425196850393704" bottom="0.98425196850393704" header="0.51181102362204722" footer="0.51181102362204722"/>
  <pageSetup paperSize="9" scale="68" firstPageNumber="141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715"/>
  <sheetViews>
    <sheetView showGridLines="0" view="pageBreakPreview" topLeftCell="A102" zoomScaleNormal="100" zoomScaleSheetLayoutView="100" workbookViewId="0">
      <selection activeCell="F29" sqref="F29"/>
    </sheetView>
  </sheetViews>
  <sheetFormatPr defaultRowHeight="12.75" x14ac:dyDescent="0.2"/>
  <cols>
    <col min="1" max="1" width="5" style="1371" customWidth="1"/>
    <col min="2" max="2" width="6.140625" style="1371" customWidth="1"/>
    <col min="3" max="3" width="9.85546875" style="1371" customWidth="1"/>
    <col min="4" max="4" width="42.140625" style="1372" customWidth="1"/>
    <col min="5" max="5" width="15.42578125" style="1398" customWidth="1"/>
    <col min="6" max="6" width="15.85546875" style="1398" customWidth="1"/>
    <col min="7" max="7" width="14.5703125" style="1398" customWidth="1"/>
    <col min="8" max="8" width="10" style="1372" customWidth="1"/>
    <col min="9" max="9" width="12.7109375" style="1372" bestFit="1" customWidth="1"/>
    <col min="10" max="10" width="20.7109375" style="1372" customWidth="1"/>
    <col min="11" max="11" width="20.140625" style="1372" customWidth="1"/>
    <col min="12" max="12" width="20.85546875" style="1372" customWidth="1"/>
    <col min="13" max="256" width="9.140625" style="1372"/>
    <col min="257" max="257" width="4.7109375" style="1372" customWidth="1"/>
    <col min="258" max="258" width="6.140625" style="1372" customWidth="1"/>
    <col min="259" max="259" width="8.7109375" style="1372" customWidth="1"/>
    <col min="260" max="260" width="42.140625" style="1372" customWidth="1"/>
    <col min="261" max="261" width="12.85546875" style="1372" customWidth="1"/>
    <col min="262" max="262" width="15.85546875" style="1372" customWidth="1"/>
    <col min="263" max="263" width="14.5703125" style="1372" customWidth="1"/>
    <col min="264" max="264" width="8.28515625" style="1372" customWidth="1"/>
    <col min="265" max="265" width="12.7109375" style="1372" bestFit="1" customWidth="1"/>
    <col min="266" max="266" width="20.7109375" style="1372" customWidth="1"/>
    <col min="267" max="267" width="20.140625" style="1372" customWidth="1"/>
    <col min="268" max="268" width="20.85546875" style="1372" customWidth="1"/>
    <col min="269" max="512" width="9.140625" style="1372"/>
    <col min="513" max="513" width="4.7109375" style="1372" customWidth="1"/>
    <col min="514" max="514" width="6.140625" style="1372" customWidth="1"/>
    <col min="515" max="515" width="8.7109375" style="1372" customWidth="1"/>
    <col min="516" max="516" width="42.140625" style="1372" customWidth="1"/>
    <col min="517" max="517" width="12.85546875" style="1372" customWidth="1"/>
    <col min="518" max="518" width="15.85546875" style="1372" customWidth="1"/>
    <col min="519" max="519" width="14.5703125" style="1372" customWidth="1"/>
    <col min="520" max="520" width="8.28515625" style="1372" customWidth="1"/>
    <col min="521" max="521" width="12.7109375" style="1372" bestFit="1" customWidth="1"/>
    <col min="522" max="522" width="20.7109375" style="1372" customWidth="1"/>
    <col min="523" max="523" width="20.140625" style="1372" customWidth="1"/>
    <col min="524" max="524" width="20.85546875" style="1372" customWidth="1"/>
    <col min="525" max="768" width="9.140625" style="1372"/>
    <col min="769" max="769" width="4.7109375" style="1372" customWidth="1"/>
    <col min="770" max="770" width="6.140625" style="1372" customWidth="1"/>
    <col min="771" max="771" width="8.7109375" style="1372" customWidth="1"/>
    <col min="772" max="772" width="42.140625" style="1372" customWidth="1"/>
    <col min="773" max="773" width="12.85546875" style="1372" customWidth="1"/>
    <col min="774" max="774" width="15.85546875" style="1372" customWidth="1"/>
    <col min="775" max="775" width="14.5703125" style="1372" customWidth="1"/>
    <col min="776" max="776" width="8.28515625" style="1372" customWidth="1"/>
    <col min="777" max="777" width="12.7109375" style="1372" bestFit="1" customWidth="1"/>
    <col min="778" max="778" width="20.7109375" style="1372" customWidth="1"/>
    <col min="779" max="779" width="20.140625" style="1372" customWidth="1"/>
    <col min="780" max="780" width="20.85546875" style="1372" customWidth="1"/>
    <col min="781" max="1024" width="9.140625" style="1372"/>
    <col min="1025" max="1025" width="4.7109375" style="1372" customWidth="1"/>
    <col min="1026" max="1026" width="6.140625" style="1372" customWidth="1"/>
    <col min="1027" max="1027" width="8.7109375" style="1372" customWidth="1"/>
    <col min="1028" max="1028" width="42.140625" style="1372" customWidth="1"/>
    <col min="1029" max="1029" width="12.85546875" style="1372" customWidth="1"/>
    <col min="1030" max="1030" width="15.85546875" style="1372" customWidth="1"/>
    <col min="1031" max="1031" width="14.5703125" style="1372" customWidth="1"/>
    <col min="1032" max="1032" width="8.28515625" style="1372" customWidth="1"/>
    <col min="1033" max="1033" width="12.7109375" style="1372" bestFit="1" customWidth="1"/>
    <col min="1034" max="1034" width="20.7109375" style="1372" customWidth="1"/>
    <col min="1035" max="1035" width="20.140625" style="1372" customWidth="1"/>
    <col min="1036" max="1036" width="20.85546875" style="1372" customWidth="1"/>
    <col min="1037" max="1280" width="9.140625" style="1372"/>
    <col min="1281" max="1281" width="4.7109375" style="1372" customWidth="1"/>
    <col min="1282" max="1282" width="6.140625" style="1372" customWidth="1"/>
    <col min="1283" max="1283" width="8.7109375" style="1372" customWidth="1"/>
    <col min="1284" max="1284" width="42.140625" style="1372" customWidth="1"/>
    <col min="1285" max="1285" width="12.85546875" style="1372" customWidth="1"/>
    <col min="1286" max="1286" width="15.85546875" style="1372" customWidth="1"/>
    <col min="1287" max="1287" width="14.5703125" style="1372" customWidth="1"/>
    <col min="1288" max="1288" width="8.28515625" style="1372" customWidth="1"/>
    <col min="1289" max="1289" width="12.7109375" style="1372" bestFit="1" customWidth="1"/>
    <col min="1290" max="1290" width="20.7109375" style="1372" customWidth="1"/>
    <col min="1291" max="1291" width="20.140625" style="1372" customWidth="1"/>
    <col min="1292" max="1292" width="20.85546875" style="1372" customWidth="1"/>
    <col min="1293" max="1536" width="9.140625" style="1372"/>
    <col min="1537" max="1537" width="4.7109375" style="1372" customWidth="1"/>
    <col min="1538" max="1538" width="6.140625" style="1372" customWidth="1"/>
    <col min="1539" max="1539" width="8.7109375" style="1372" customWidth="1"/>
    <col min="1540" max="1540" width="42.140625" style="1372" customWidth="1"/>
    <col min="1541" max="1541" width="12.85546875" style="1372" customWidth="1"/>
    <col min="1542" max="1542" width="15.85546875" style="1372" customWidth="1"/>
    <col min="1543" max="1543" width="14.5703125" style="1372" customWidth="1"/>
    <col min="1544" max="1544" width="8.28515625" style="1372" customWidth="1"/>
    <col min="1545" max="1545" width="12.7109375" style="1372" bestFit="1" customWidth="1"/>
    <col min="1546" max="1546" width="20.7109375" style="1372" customWidth="1"/>
    <col min="1547" max="1547" width="20.140625" style="1372" customWidth="1"/>
    <col min="1548" max="1548" width="20.85546875" style="1372" customWidth="1"/>
    <col min="1549" max="1792" width="9.140625" style="1372"/>
    <col min="1793" max="1793" width="4.7109375" style="1372" customWidth="1"/>
    <col min="1794" max="1794" width="6.140625" style="1372" customWidth="1"/>
    <col min="1795" max="1795" width="8.7109375" style="1372" customWidth="1"/>
    <col min="1796" max="1796" width="42.140625" style="1372" customWidth="1"/>
    <col min="1797" max="1797" width="12.85546875" style="1372" customWidth="1"/>
    <col min="1798" max="1798" width="15.85546875" style="1372" customWidth="1"/>
    <col min="1799" max="1799" width="14.5703125" style="1372" customWidth="1"/>
    <col min="1800" max="1800" width="8.28515625" style="1372" customWidth="1"/>
    <col min="1801" max="1801" width="12.7109375" style="1372" bestFit="1" customWidth="1"/>
    <col min="1802" max="1802" width="20.7109375" style="1372" customWidth="1"/>
    <col min="1803" max="1803" width="20.140625" style="1372" customWidth="1"/>
    <col min="1804" max="1804" width="20.85546875" style="1372" customWidth="1"/>
    <col min="1805" max="2048" width="9.140625" style="1372"/>
    <col min="2049" max="2049" width="4.7109375" style="1372" customWidth="1"/>
    <col min="2050" max="2050" width="6.140625" style="1372" customWidth="1"/>
    <col min="2051" max="2051" width="8.7109375" style="1372" customWidth="1"/>
    <col min="2052" max="2052" width="42.140625" style="1372" customWidth="1"/>
    <col min="2053" max="2053" width="12.85546875" style="1372" customWidth="1"/>
    <col min="2054" max="2054" width="15.85546875" style="1372" customWidth="1"/>
    <col min="2055" max="2055" width="14.5703125" style="1372" customWidth="1"/>
    <col min="2056" max="2056" width="8.28515625" style="1372" customWidth="1"/>
    <col min="2057" max="2057" width="12.7109375" style="1372" bestFit="1" customWidth="1"/>
    <col min="2058" max="2058" width="20.7109375" style="1372" customWidth="1"/>
    <col min="2059" max="2059" width="20.140625" style="1372" customWidth="1"/>
    <col min="2060" max="2060" width="20.85546875" style="1372" customWidth="1"/>
    <col min="2061" max="2304" width="9.140625" style="1372"/>
    <col min="2305" max="2305" width="4.7109375" style="1372" customWidth="1"/>
    <col min="2306" max="2306" width="6.140625" style="1372" customWidth="1"/>
    <col min="2307" max="2307" width="8.7109375" style="1372" customWidth="1"/>
    <col min="2308" max="2308" width="42.140625" style="1372" customWidth="1"/>
    <col min="2309" max="2309" width="12.85546875" style="1372" customWidth="1"/>
    <col min="2310" max="2310" width="15.85546875" style="1372" customWidth="1"/>
    <col min="2311" max="2311" width="14.5703125" style="1372" customWidth="1"/>
    <col min="2312" max="2312" width="8.28515625" style="1372" customWidth="1"/>
    <col min="2313" max="2313" width="12.7109375" style="1372" bestFit="1" customWidth="1"/>
    <col min="2314" max="2314" width="20.7109375" style="1372" customWidth="1"/>
    <col min="2315" max="2315" width="20.140625" style="1372" customWidth="1"/>
    <col min="2316" max="2316" width="20.85546875" style="1372" customWidth="1"/>
    <col min="2317" max="2560" width="9.140625" style="1372"/>
    <col min="2561" max="2561" width="4.7109375" style="1372" customWidth="1"/>
    <col min="2562" max="2562" width="6.140625" style="1372" customWidth="1"/>
    <col min="2563" max="2563" width="8.7109375" style="1372" customWidth="1"/>
    <col min="2564" max="2564" width="42.140625" style="1372" customWidth="1"/>
    <col min="2565" max="2565" width="12.85546875" style="1372" customWidth="1"/>
    <col min="2566" max="2566" width="15.85546875" style="1372" customWidth="1"/>
    <col min="2567" max="2567" width="14.5703125" style="1372" customWidth="1"/>
    <col min="2568" max="2568" width="8.28515625" style="1372" customWidth="1"/>
    <col min="2569" max="2569" width="12.7109375" style="1372" bestFit="1" customWidth="1"/>
    <col min="2570" max="2570" width="20.7109375" style="1372" customWidth="1"/>
    <col min="2571" max="2571" width="20.140625" style="1372" customWidth="1"/>
    <col min="2572" max="2572" width="20.85546875" style="1372" customWidth="1"/>
    <col min="2573" max="2816" width="9.140625" style="1372"/>
    <col min="2817" max="2817" width="4.7109375" style="1372" customWidth="1"/>
    <col min="2818" max="2818" width="6.140625" style="1372" customWidth="1"/>
    <col min="2819" max="2819" width="8.7109375" style="1372" customWidth="1"/>
    <col min="2820" max="2820" width="42.140625" style="1372" customWidth="1"/>
    <col min="2821" max="2821" width="12.85546875" style="1372" customWidth="1"/>
    <col min="2822" max="2822" width="15.85546875" style="1372" customWidth="1"/>
    <col min="2823" max="2823" width="14.5703125" style="1372" customWidth="1"/>
    <col min="2824" max="2824" width="8.28515625" style="1372" customWidth="1"/>
    <col min="2825" max="2825" width="12.7109375" style="1372" bestFit="1" customWidth="1"/>
    <col min="2826" max="2826" width="20.7109375" style="1372" customWidth="1"/>
    <col min="2827" max="2827" width="20.140625" style="1372" customWidth="1"/>
    <col min="2828" max="2828" width="20.85546875" style="1372" customWidth="1"/>
    <col min="2829" max="3072" width="9.140625" style="1372"/>
    <col min="3073" max="3073" width="4.7109375" style="1372" customWidth="1"/>
    <col min="3074" max="3074" width="6.140625" style="1372" customWidth="1"/>
    <col min="3075" max="3075" width="8.7109375" style="1372" customWidth="1"/>
    <col min="3076" max="3076" width="42.140625" style="1372" customWidth="1"/>
    <col min="3077" max="3077" width="12.85546875" style="1372" customWidth="1"/>
    <col min="3078" max="3078" width="15.85546875" style="1372" customWidth="1"/>
    <col min="3079" max="3079" width="14.5703125" style="1372" customWidth="1"/>
    <col min="3080" max="3080" width="8.28515625" style="1372" customWidth="1"/>
    <col min="3081" max="3081" width="12.7109375" style="1372" bestFit="1" customWidth="1"/>
    <col min="3082" max="3082" width="20.7109375" style="1372" customWidth="1"/>
    <col min="3083" max="3083" width="20.140625" style="1372" customWidth="1"/>
    <col min="3084" max="3084" width="20.85546875" style="1372" customWidth="1"/>
    <col min="3085" max="3328" width="9.140625" style="1372"/>
    <col min="3329" max="3329" width="4.7109375" style="1372" customWidth="1"/>
    <col min="3330" max="3330" width="6.140625" style="1372" customWidth="1"/>
    <col min="3331" max="3331" width="8.7109375" style="1372" customWidth="1"/>
    <col min="3332" max="3332" width="42.140625" style="1372" customWidth="1"/>
    <col min="3333" max="3333" width="12.85546875" style="1372" customWidth="1"/>
    <col min="3334" max="3334" width="15.85546875" style="1372" customWidth="1"/>
    <col min="3335" max="3335" width="14.5703125" style="1372" customWidth="1"/>
    <col min="3336" max="3336" width="8.28515625" style="1372" customWidth="1"/>
    <col min="3337" max="3337" width="12.7109375" style="1372" bestFit="1" customWidth="1"/>
    <col min="3338" max="3338" width="20.7109375" style="1372" customWidth="1"/>
    <col min="3339" max="3339" width="20.140625" style="1372" customWidth="1"/>
    <col min="3340" max="3340" width="20.85546875" style="1372" customWidth="1"/>
    <col min="3341" max="3584" width="9.140625" style="1372"/>
    <col min="3585" max="3585" width="4.7109375" style="1372" customWidth="1"/>
    <col min="3586" max="3586" width="6.140625" style="1372" customWidth="1"/>
    <col min="3587" max="3587" width="8.7109375" style="1372" customWidth="1"/>
    <col min="3588" max="3588" width="42.140625" style="1372" customWidth="1"/>
    <col min="3589" max="3589" width="12.85546875" style="1372" customWidth="1"/>
    <col min="3590" max="3590" width="15.85546875" style="1372" customWidth="1"/>
    <col min="3591" max="3591" width="14.5703125" style="1372" customWidth="1"/>
    <col min="3592" max="3592" width="8.28515625" style="1372" customWidth="1"/>
    <col min="3593" max="3593" width="12.7109375" style="1372" bestFit="1" customWidth="1"/>
    <col min="3594" max="3594" width="20.7109375" style="1372" customWidth="1"/>
    <col min="3595" max="3595" width="20.140625" style="1372" customWidth="1"/>
    <col min="3596" max="3596" width="20.85546875" style="1372" customWidth="1"/>
    <col min="3597" max="3840" width="9.140625" style="1372"/>
    <col min="3841" max="3841" width="4.7109375" style="1372" customWidth="1"/>
    <col min="3842" max="3842" width="6.140625" style="1372" customWidth="1"/>
    <col min="3843" max="3843" width="8.7109375" style="1372" customWidth="1"/>
    <col min="3844" max="3844" width="42.140625" style="1372" customWidth="1"/>
    <col min="3845" max="3845" width="12.85546875" style="1372" customWidth="1"/>
    <col min="3846" max="3846" width="15.85546875" style="1372" customWidth="1"/>
    <col min="3847" max="3847" width="14.5703125" style="1372" customWidth="1"/>
    <col min="3848" max="3848" width="8.28515625" style="1372" customWidth="1"/>
    <col min="3849" max="3849" width="12.7109375" style="1372" bestFit="1" customWidth="1"/>
    <col min="3850" max="3850" width="20.7109375" style="1372" customWidth="1"/>
    <col min="3851" max="3851" width="20.140625" style="1372" customWidth="1"/>
    <col min="3852" max="3852" width="20.85546875" style="1372" customWidth="1"/>
    <col min="3853" max="4096" width="9.140625" style="1372"/>
    <col min="4097" max="4097" width="4.7109375" style="1372" customWidth="1"/>
    <col min="4098" max="4098" width="6.140625" style="1372" customWidth="1"/>
    <col min="4099" max="4099" width="8.7109375" style="1372" customWidth="1"/>
    <col min="4100" max="4100" width="42.140625" style="1372" customWidth="1"/>
    <col min="4101" max="4101" width="12.85546875" style="1372" customWidth="1"/>
    <col min="4102" max="4102" width="15.85546875" style="1372" customWidth="1"/>
    <col min="4103" max="4103" width="14.5703125" style="1372" customWidth="1"/>
    <col min="4104" max="4104" width="8.28515625" style="1372" customWidth="1"/>
    <col min="4105" max="4105" width="12.7109375" style="1372" bestFit="1" customWidth="1"/>
    <col min="4106" max="4106" width="20.7109375" style="1372" customWidth="1"/>
    <col min="4107" max="4107" width="20.140625" style="1372" customWidth="1"/>
    <col min="4108" max="4108" width="20.85546875" style="1372" customWidth="1"/>
    <col min="4109" max="4352" width="9.140625" style="1372"/>
    <col min="4353" max="4353" width="4.7109375" style="1372" customWidth="1"/>
    <col min="4354" max="4354" width="6.140625" style="1372" customWidth="1"/>
    <col min="4355" max="4355" width="8.7109375" style="1372" customWidth="1"/>
    <col min="4356" max="4356" width="42.140625" style="1372" customWidth="1"/>
    <col min="4357" max="4357" width="12.85546875" style="1372" customWidth="1"/>
    <col min="4358" max="4358" width="15.85546875" style="1372" customWidth="1"/>
    <col min="4359" max="4359" width="14.5703125" style="1372" customWidth="1"/>
    <col min="4360" max="4360" width="8.28515625" style="1372" customWidth="1"/>
    <col min="4361" max="4361" width="12.7109375" style="1372" bestFit="1" customWidth="1"/>
    <col min="4362" max="4362" width="20.7109375" style="1372" customWidth="1"/>
    <col min="4363" max="4363" width="20.140625" style="1372" customWidth="1"/>
    <col min="4364" max="4364" width="20.85546875" style="1372" customWidth="1"/>
    <col min="4365" max="4608" width="9.140625" style="1372"/>
    <col min="4609" max="4609" width="4.7109375" style="1372" customWidth="1"/>
    <col min="4610" max="4610" width="6.140625" style="1372" customWidth="1"/>
    <col min="4611" max="4611" width="8.7109375" style="1372" customWidth="1"/>
    <col min="4612" max="4612" width="42.140625" style="1372" customWidth="1"/>
    <col min="4613" max="4613" width="12.85546875" style="1372" customWidth="1"/>
    <col min="4614" max="4614" width="15.85546875" style="1372" customWidth="1"/>
    <col min="4615" max="4615" width="14.5703125" style="1372" customWidth="1"/>
    <col min="4616" max="4616" width="8.28515625" style="1372" customWidth="1"/>
    <col min="4617" max="4617" width="12.7109375" style="1372" bestFit="1" customWidth="1"/>
    <col min="4618" max="4618" width="20.7109375" style="1372" customWidth="1"/>
    <col min="4619" max="4619" width="20.140625" style="1372" customWidth="1"/>
    <col min="4620" max="4620" width="20.85546875" style="1372" customWidth="1"/>
    <col min="4621" max="4864" width="9.140625" style="1372"/>
    <col min="4865" max="4865" width="4.7109375" style="1372" customWidth="1"/>
    <col min="4866" max="4866" width="6.140625" style="1372" customWidth="1"/>
    <col min="4867" max="4867" width="8.7109375" style="1372" customWidth="1"/>
    <col min="4868" max="4868" width="42.140625" style="1372" customWidth="1"/>
    <col min="4869" max="4869" width="12.85546875" style="1372" customWidth="1"/>
    <col min="4870" max="4870" width="15.85546875" style="1372" customWidth="1"/>
    <col min="4871" max="4871" width="14.5703125" style="1372" customWidth="1"/>
    <col min="4872" max="4872" width="8.28515625" style="1372" customWidth="1"/>
    <col min="4873" max="4873" width="12.7109375" style="1372" bestFit="1" customWidth="1"/>
    <col min="4874" max="4874" width="20.7109375" style="1372" customWidth="1"/>
    <col min="4875" max="4875" width="20.140625" style="1372" customWidth="1"/>
    <col min="4876" max="4876" width="20.85546875" style="1372" customWidth="1"/>
    <col min="4877" max="5120" width="9.140625" style="1372"/>
    <col min="5121" max="5121" width="4.7109375" style="1372" customWidth="1"/>
    <col min="5122" max="5122" width="6.140625" style="1372" customWidth="1"/>
    <col min="5123" max="5123" width="8.7109375" style="1372" customWidth="1"/>
    <col min="5124" max="5124" width="42.140625" style="1372" customWidth="1"/>
    <col min="5125" max="5125" width="12.85546875" style="1372" customWidth="1"/>
    <col min="5126" max="5126" width="15.85546875" style="1372" customWidth="1"/>
    <col min="5127" max="5127" width="14.5703125" style="1372" customWidth="1"/>
    <col min="5128" max="5128" width="8.28515625" style="1372" customWidth="1"/>
    <col min="5129" max="5129" width="12.7109375" style="1372" bestFit="1" customWidth="1"/>
    <col min="5130" max="5130" width="20.7109375" style="1372" customWidth="1"/>
    <col min="5131" max="5131" width="20.140625" style="1372" customWidth="1"/>
    <col min="5132" max="5132" width="20.85546875" style="1372" customWidth="1"/>
    <col min="5133" max="5376" width="9.140625" style="1372"/>
    <col min="5377" max="5377" width="4.7109375" style="1372" customWidth="1"/>
    <col min="5378" max="5378" width="6.140625" style="1372" customWidth="1"/>
    <col min="5379" max="5379" width="8.7109375" style="1372" customWidth="1"/>
    <col min="5380" max="5380" width="42.140625" style="1372" customWidth="1"/>
    <col min="5381" max="5381" width="12.85546875" style="1372" customWidth="1"/>
    <col min="5382" max="5382" width="15.85546875" style="1372" customWidth="1"/>
    <col min="5383" max="5383" width="14.5703125" style="1372" customWidth="1"/>
    <col min="5384" max="5384" width="8.28515625" style="1372" customWidth="1"/>
    <col min="5385" max="5385" width="12.7109375" style="1372" bestFit="1" customWidth="1"/>
    <col min="5386" max="5386" width="20.7109375" style="1372" customWidth="1"/>
    <col min="5387" max="5387" width="20.140625" style="1372" customWidth="1"/>
    <col min="5388" max="5388" width="20.85546875" style="1372" customWidth="1"/>
    <col min="5389" max="5632" width="9.140625" style="1372"/>
    <col min="5633" max="5633" width="4.7109375" style="1372" customWidth="1"/>
    <col min="5634" max="5634" width="6.140625" style="1372" customWidth="1"/>
    <col min="5635" max="5635" width="8.7109375" style="1372" customWidth="1"/>
    <col min="5636" max="5636" width="42.140625" style="1372" customWidth="1"/>
    <col min="5637" max="5637" width="12.85546875" style="1372" customWidth="1"/>
    <col min="5638" max="5638" width="15.85546875" style="1372" customWidth="1"/>
    <col min="5639" max="5639" width="14.5703125" style="1372" customWidth="1"/>
    <col min="5640" max="5640" width="8.28515625" style="1372" customWidth="1"/>
    <col min="5641" max="5641" width="12.7109375" style="1372" bestFit="1" customWidth="1"/>
    <col min="5642" max="5642" width="20.7109375" style="1372" customWidth="1"/>
    <col min="5643" max="5643" width="20.140625" style="1372" customWidth="1"/>
    <col min="5644" max="5644" width="20.85546875" style="1372" customWidth="1"/>
    <col min="5645" max="5888" width="9.140625" style="1372"/>
    <col min="5889" max="5889" width="4.7109375" style="1372" customWidth="1"/>
    <col min="5890" max="5890" width="6.140625" style="1372" customWidth="1"/>
    <col min="5891" max="5891" width="8.7109375" style="1372" customWidth="1"/>
    <col min="5892" max="5892" width="42.140625" style="1372" customWidth="1"/>
    <col min="5893" max="5893" width="12.85546875" style="1372" customWidth="1"/>
    <col min="5894" max="5894" width="15.85546875" style="1372" customWidth="1"/>
    <col min="5895" max="5895" width="14.5703125" style="1372" customWidth="1"/>
    <col min="5896" max="5896" width="8.28515625" style="1372" customWidth="1"/>
    <col min="5897" max="5897" width="12.7109375" style="1372" bestFit="1" customWidth="1"/>
    <col min="5898" max="5898" width="20.7109375" style="1372" customWidth="1"/>
    <col min="5899" max="5899" width="20.140625" style="1372" customWidth="1"/>
    <col min="5900" max="5900" width="20.85546875" style="1372" customWidth="1"/>
    <col min="5901" max="6144" width="9.140625" style="1372"/>
    <col min="6145" max="6145" width="4.7109375" style="1372" customWidth="1"/>
    <col min="6146" max="6146" width="6.140625" style="1372" customWidth="1"/>
    <col min="6147" max="6147" width="8.7109375" style="1372" customWidth="1"/>
    <col min="6148" max="6148" width="42.140625" style="1372" customWidth="1"/>
    <col min="6149" max="6149" width="12.85546875" style="1372" customWidth="1"/>
    <col min="6150" max="6150" width="15.85546875" style="1372" customWidth="1"/>
    <col min="6151" max="6151" width="14.5703125" style="1372" customWidth="1"/>
    <col min="6152" max="6152" width="8.28515625" style="1372" customWidth="1"/>
    <col min="6153" max="6153" width="12.7109375" style="1372" bestFit="1" customWidth="1"/>
    <col min="6154" max="6154" width="20.7109375" style="1372" customWidth="1"/>
    <col min="6155" max="6155" width="20.140625" style="1372" customWidth="1"/>
    <col min="6156" max="6156" width="20.85546875" style="1372" customWidth="1"/>
    <col min="6157" max="6400" width="9.140625" style="1372"/>
    <col min="6401" max="6401" width="4.7109375" style="1372" customWidth="1"/>
    <col min="6402" max="6402" width="6.140625" style="1372" customWidth="1"/>
    <col min="6403" max="6403" width="8.7109375" style="1372" customWidth="1"/>
    <col min="6404" max="6404" width="42.140625" style="1372" customWidth="1"/>
    <col min="6405" max="6405" width="12.85546875" style="1372" customWidth="1"/>
    <col min="6406" max="6406" width="15.85546875" style="1372" customWidth="1"/>
    <col min="6407" max="6407" width="14.5703125" style="1372" customWidth="1"/>
    <col min="6408" max="6408" width="8.28515625" style="1372" customWidth="1"/>
    <col min="6409" max="6409" width="12.7109375" style="1372" bestFit="1" customWidth="1"/>
    <col min="6410" max="6410" width="20.7109375" style="1372" customWidth="1"/>
    <col min="6411" max="6411" width="20.140625" style="1372" customWidth="1"/>
    <col min="6412" max="6412" width="20.85546875" style="1372" customWidth="1"/>
    <col min="6413" max="6656" width="9.140625" style="1372"/>
    <col min="6657" max="6657" width="4.7109375" style="1372" customWidth="1"/>
    <col min="6658" max="6658" width="6.140625" style="1372" customWidth="1"/>
    <col min="6659" max="6659" width="8.7109375" style="1372" customWidth="1"/>
    <col min="6660" max="6660" width="42.140625" style="1372" customWidth="1"/>
    <col min="6661" max="6661" width="12.85546875" style="1372" customWidth="1"/>
    <col min="6662" max="6662" width="15.85546875" style="1372" customWidth="1"/>
    <col min="6663" max="6663" width="14.5703125" style="1372" customWidth="1"/>
    <col min="6664" max="6664" width="8.28515625" style="1372" customWidth="1"/>
    <col min="6665" max="6665" width="12.7109375" style="1372" bestFit="1" customWidth="1"/>
    <col min="6666" max="6666" width="20.7109375" style="1372" customWidth="1"/>
    <col min="6667" max="6667" width="20.140625" style="1372" customWidth="1"/>
    <col min="6668" max="6668" width="20.85546875" style="1372" customWidth="1"/>
    <col min="6669" max="6912" width="9.140625" style="1372"/>
    <col min="6913" max="6913" width="4.7109375" style="1372" customWidth="1"/>
    <col min="6914" max="6914" width="6.140625" style="1372" customWidth="1"/>
    <col min="6915" max="6915" width="8.7109375" style="1372" customWidth="1"/>
    <col min="6916" max="6916" width="42.140625" style="1372" customWidth="1"/>
    <col min="6917" max="6917" width="12.85546875" style="1372" customWidth="1"/>
    <col min="6918" max="6918" width="15.85546875" style="1372" customWidth="1"/>
    <col min="6919" max="6919" width="14.5703125" style="1372" customWidth="1"/>
    <col min="6920" max="6920" width="8.28515625" style="1372" customWidth="1"/>
    <col min="6921" max="6921" width="12.7109375" style="1372" bestFit="1" customWidth="1"/>
    <col min="6922" max="6922" width="20.7109375" style="1372" customWidth="1"/>
    <col min="6923" max="6923" width="20.140625" style="1372" customWidth="1"/>
    <col min="6924" max="6924" width="20.85546875" style="1372" customWidth="1"/>
    <col min="6925" max="7168" width="9.140625" style="1372"/>
    <col min="7169" max="7169" width="4.7109375" style="1372" customWidth="1"/>
    <col min="7170" max="7170" width="6.140625" style="1372" customWidth="1"/>
    <col min="7171" max="7171" width="8.7109375" style="1372" customWidth="1"/>
    <col min="7172" max="7172" width="42.140625" style="1372" customWidth="1"/>
    <col min="7173" max="7173" width="12.85546875" style="1372" customWidth="1"/>
    <col min="7174" max="7174" width="15.85546875" style="1372" customWidth="1"/>
    <col min="7175" max="7175" width="14.5703125" style="1372" customWidth="1"/>
    <col min="7176" max="7176" width="8.28515625" style="1372" customWidth="1"/>
    <col min="7177" max="7177" width="12.7109375" style="1372" bestFit="1" customWidth="1"/>
    <col min="7178" max="7178" width="20.7109375" style="1372" customWidth="1"/>
    <col min="7179" max="7179" width="20.140625" style="1372" customWidth="1"/>
    <col min="7180" max="7180" width="20.85546875" style="1372" customWidth="1"/>
    <col min="7181" max="7424" width="9.140625" style="1372"/>
    <col min="7425" max="7425" width="4.7109375" style="1372" customWidth="1"/>
    <col min="7426" max="7426" width="6.140625" style="1372" customWidth="1"/>
    <col min="7427" max="7427" width="8.7109375" style="1372" customWidth="1"/>
    <col min="7428" max="7428" width="42.140625" style="1372" customWidth="1"/>
    <col min="7429" max="7429" width="12.85546875" style="1372" customWidth="1"/>
    <col min="7430" max="7430" width="15.85546875" style="1372" customWidth="1"/>
    <col min="7431" max="7431" width="14.5703125" style="1372" customWidth="1"/>
    <col min="7432" max="7432" width="8.28515625" style="1372" customWidth="1"/>
    <col min="7433" max="7433" width="12.7109375" style="1372" bestFit="1" customWidth="1"/>
    <col min="7434" max="7434" width="20.7109375" style="1372" customWidth="1"/>
    <col min="7435" max="7435" width="20.140625" style="1372" customWidth="1"/>
    <col min="7436" max="7436" width="20.85546875" style="1372" customWidth="1"/>
    <col min="7437" max="7680" width="9.140625" style="1372"/>
    <col min="7681" max="7681" width="4.7109375" style="1372" customWidth="1"/>
    <col min="7682" max="7682" width="6.140625" style="1372" customWidth="1"/>
    <col min="7683" max="7683" width="8.7109375" style="1372" customWidth="1"/>
    <col min="7684" max="7684" width="42.140625" style="1372" customWidth="1"/>
    <col min="7685" max="7685" width="12.85546875" style="1372" customWidth="1"/>
    <col min="7686" max="7686" width="15.85546875" style="1372" customWidth="1"/>
    <col min="7687" max="7687" width="14.5703125" style="1372" customWidth="1"/>
    <col min="7688" max="7688" width="8.28515625" style="1372" customWidth="1"/>
    <col min="7689" max="7689" width="12.7109375" style="1372" bestFit="1" customWidth="1"/>
    <col min="7690" max="7690" width="20.7109375" style="1372" customWidth="1"/>
    <col min="7691" max="7691" width="20.140625" style="1372" customWidth="1"/>
    <col min="7692" max="7692" width="20.85546875" style="1372" customWidth="1"/>
    <col min="7693" max="7936" width="9.140625" style="1372"/>
    <col min="7937" max="7937" width="4.7109375" style="1372" customWidth="1"/>
    <col min="7938" max="7938" width="6.140625" style="1372" customWidth="1"/>
    <col min="7939" max="7939" width="8.7109375" style="1372" customWidth="1"/>
    <col min="7940" max="7940" width="42.140625" style="1372" customWidth="1"/>
    <col min="7941" max="7941" width="12.85546875" style="1372" customWidth="1"/>
    <col min="7942" max="7942" width="15.85546875" style="1372" customWidth="1"/>
    <col min="7943" max="7943" width="14.5703125" style="1372" customWidth="1"/>
    <col min="7944" max="7944" width="8.28515625" style="1372" customWidth="1"/>
    <col min="7945" max="7945" width="12.7109375" style="1372" bestFit="1" customWidth="1"/>
    <col min="7946" max="7946" width="20.7109375" style="1372" customWidth="1"/>
    <col min="7947" max="7947" width="20.140625" style="1372" customWidth="1"/>
    <col min="7948" max="7948" width="20.85546875" style="1372" customWidth="1"/>
    <col min="7949" max="8192" width="9.140625" style="1372"/>
    <col min="8193" max="8193" width="4.7109375" style="1372" customWidth="1"/>
    <col min="8194" max="8194" width="6.140625" style="1372" customWidth="1"/>
    <col min="8195" max="8195" width="8.7109375" style="1372" customWidth="1"/>
    <col min="8196" max="8196" width="42.140625" style="1372" customWidth="1"/>
    <col min="8197" max="8197" width="12.85546875" style="1372" customWidth="1"/>
    <col min="8198" max="8198" width="15.85546875" style="1372" customWidth="1"/>
    <col min="8199" max="8199" width="14.5703125" style="1372" customWidth="1"/>
    <col min="8200" max="8200" width="8.28515625" style="1372" customWidth="1"/>
    <col min="8201" max="8201" width="12.7109375" style="1372" bestFit="1" customWidth="1"/>
    <col min="8202" max="8202" width="20.7109375" style="1372" customWidth="1"/>
    <col min="8203" max="8203" width="20.140625" style="1372" customWidth="1"/>
    <col min="8204" max="8204" width="20.85546875" style="1372" customWidth="1"/>
    <col min="8205" max="8448" width="9.140625" style="1372"/>
    <col min="8449" max="8449" width="4.7109375" style="1372" customWidth="1"/>
    <col min="8450" max="8450" width="6.140625" style="1372" customWidth="1"/>
    <col min="8451" max="8451" width="8.7109375" style="1372" customWidth="1"/>
    <col min="8452" max="8452" width="42.140625" style="1372" customWidth="1"/>
    <col min="8453" max="8453" width="12.85546875" style="1372" customWidth="1"/>
    <col min="8454" max="8454" width="15.85546875" style="1372" customWidth="1"/>
    <col min="8455" max="8455" width="14.5703125" style="1372" customWidth="1"/>
    <col min="8456" max="8456" width="8.28515625" style="1372" customWidth="1"/>
    <col min="8457" max="8457" width="12.7109375" style="1372" bestFit="1" customWidth="1"/>
    <col min="8458" max="8458" width="20.7109375" style="1372" customWidth="1"/>
    <col min="8459" max="8459" width="20.140625" style="1372" customWidth="1"/>
    <col min="8460" max="8460" width="20.85546875" style="1372" customWidth="1"/>
    <col min="8461" max="8704" width="9.140625" style="1372"/>
    <col min="8705" max="8705" width="4.7109375" style="1372" customWidth="1"/>
    <col min="8706" max="8706" width="6.140625" style="1372" customWidth="1"/>
    <col min="8707" max="8707" width="8.7109375" style="1372" customWidth="1"/>
    <col min="8708" max="8708" width="42.140625" style="1372" customWidth="1"/>
    <col min="8709" max="8709" width="12.85546875" style="1372" customWidth="1"/>
    <col min="8710" max="8710" width="15.85546875" style="1372" customWidth="1"/>
    <col min="8711" max="8711" width="14.5703125" style="1372" customWidth="1"/>
    <col min="8712" max="8712" width="8.28515625" style="1372" customWidth="1"/>
    <col min="8713" max="8713" width="12.7109375" style="1372" bestFit="1" customWidth="1"/>
    <col min="8714" max="8714" width="20.7109375" style="1372" customWidth="1"/>
    <col min="8715" max="8715" width="20.140625" style="1372" customWidth="1"/>
    <col min="8716" max="8716" width="20.85546875" style="1372" customWidth="1"/>
    <col min="8717" max="8960" width="9.140625" style="1372"/>
    <col min="8961" max="8961" width="4.7109375" style="1372" customWidth="1"/>
    <col min="8962" max="8962" width="6.140625" style="1372" customWidth="1"/>
    <col min="8963" max="8963" width="8.7109375" style="1372" customWidth="1"/>
    <col min="8964" max="8964" width="42.140625" style="1372" customWidth="1"/>
    <col min="8965" max="8965" width="12.85546875" style="1372" customWidth="1"/>
    <col min="8966" max="8966" width="15.85546875" style="1372" customWidth="1"/>
    <col min="8967" max="8967" width="14.5703125" style="1372" customWidth="1"/>
    <col min="8968" max="8968" width="8.28515625" style="1372" customWidth="1"/>
    <col min="8969" max="8969" width="12.7109375" style="1372" bestFit="1" customWidth="1"/>
    <col min="8970" max="8970" width="20.7109375" style="1372" customWidth="1"/>
    <col min="8971" max="8971" width="20.140625" style="1372" customWidth="1"/>
    <col min="8972" max="8972" width="20.85546875" style="1372" customWidth="1"/>
    <col min="8973" max="9216" width="9.140625" style="1372"/>
    <col min="9217" max="9217" width="4.7109375" style="1372" customWidth="1"/>
    <col min="9218" max="9218" width="6.140625" style="1372" customWidth="1"/>
    <col min="9219" max="9219" width="8.7109375" style="1372" customWidth="1"/>
    <col min="9220" max="9220" width="42.140625" style="1372" customWidth="1"/>
    <col min="9221" max="9221" width="12.85546875" style="1372" customWidth="1"/>
    <col min="9222" max="9222" width="15.85546875" style="1372" customWidth="1"/>
    <col min="9223" max="9223" width="14.5703125" style="1372" customWidth="1"/>
    <col min="9224" max="9224" width="8.28515625" style="1372" customWidth="1"/>
    <col min="9225" max="9225" width="12.7109375" style="1372" bestFit="1" customWidth="1"/>
    <col min="9226" max="9226" width="20.7109375" style="1372" customWidth="1"/>
    <col min="9227" max="9227" width="20.140625" style="1372" customWidth="1"/>
    <col min="9228" max="9228" width="20.85546875" style="1372" customWidth="1"/>
    <col min="9229" max="9472" width="9.140625" style="1372"/>
    <col min="9473" max="9473" width="4.7109375" style="1372" customWidth="1"/>
    <col min="9474" max="9474" width="6.140625" style="1372" customWidth="1"/>
    <col min="9475" max="9475" width="8.7109375" style="1372" customWidth="1"/>
    <col min="9476" max="9476" width="42.140625" style="1372" customWidth="1"/>
    <col min="9477" max="9477" width="12.85546875" style="1372" customWidth="1"/>
    <col min="9478" max="9478" width="15.85546875" style="1372" customWidth="1"/>
    <col min="9479" max="9479" width="14.5703125" style="1372" customWidth="1"/>
    <col min="9480" max="9480" width="8.28515625" style="1372" customWidth="1"/>
    <col min="9481" max="9481" width="12.7109375" style="1372" bestFit="1" customWidth="1"/>
    <col min="9482" max="9482" width="20.7109375" style="1372" customWidth="1"/>
    <col min="9483" max="9483" width="20.140625" style="1372" customWidth="1"/>
    <col min="9484" max="9484" width="20.85546875" style="1372" customWidth="1"/>
    <col min="9485" max="9728" width="9.140625" style="1372"/>
    <col min="9729" max="9729" width="4.7109375" style="1372" customWidth="1"/>
    <col min="9730" max="9730" width="6.140625" style="1372" customWidth="1"/>
    <col min="9731" max="9731" width="8.7109375" style="1372" customWidth="1"/>
    <col min="9732" max="9732" width="42.140625" style="1372" customWidth="1"/>
    <col min="9733" max="9733" width="12.85546875" style="1372" customWidth="1"/>
    <col min="9734" max="9734" width="15.85546875" style="1372" customWidth="1"/>
    <col min="9735" max="9735" width="14.5703125" style="1372" customWidth="1"/>
    <col min="9736" max="9736" width="8.28515625" style="1372" customWidth="1"/>
    <col min="9737" max="9737" width="12.7109375" style="1372" bestFit="1" customWidth="1"/>
    <col min="9738" max="9738" width="20.7109375" style="1372" customWidth="1"/>
    <col min="9739" max="9739" width="20.140625" style="1372" customWidth="1"/>
    <col min="9740" max="9740" width="20.85546875" style="1372" customWidth="1"/>
    <col min="9741" max="9984" width="9.140625" style="1372"/>
    <col min="9985" max="9985" width="4.7109375" style="1372" customWidth="1"/>
    <col min="9986" max="9986" width="6.140625" style="1372" customWidth="1"/>
    <col min="9987" max="9987" width="8.7109375" style="1372" customWidth="1"/>
    <col min="9988" max="9988" width="42.140625" style="1372" customWidth="1"/>
    <col min="9989" max="9989" width="12.85546875" style="1372" customWidth="1"/>
    <col min="9990" max="9990" width="15.85546875" style="1372" customWidth="1"/>
    <col min="9991" max="9991" width="14.5703125" style="1372" customWidth="1"/>
    <col min="9992" max="9992" width="8.28515625" style="1372" customWidth="1"/>
    <col min="9993" max="9993" width="12.7109375" style="1372" bestFit="1" customWidth="1"/>
    <col min="9994" max="9994" width="20.7109375" style="1372" customWidth="1"/>
    <col min="9995" max="9995" width="20.140625" style="1372" customWidth="1"/>
    <col min="9996" max="9996" width="20.85546875" style="1372" customWidth="1"/>
    <col min="9997" max="10240" width="9.140625" style="1372"/>
    <col min="10241" max="10241" width="4.7109375" style="1372" customWidth="1"/>
    <col min="10242" max="10242" width="6.140625" style="1372" customWidth="1"/>
    <col min="10243" max="10243" width="8.7109375" style="1372" customWidth="1"/>
    <col min="10244" max="10244" width="42.140625" style="1372" customWidth="1"/>
    <col min="10245" max="10245" width="12.85546875" style="1372" customWidth="1"/>
    <col min="10246" max="10246" width="15.85546875" style="1372" customWidth="1"/>
    <col min="10247" max="10247" width="14.5703125" style="1372" customWidth="1"/>
    <col min="10248" max="10248" width="8.28515625" style="1372" customWidth="1"/>
    <col min="10249" max="10249" width="12.7109375" style="1372" bestFit="1" customWidth="1"/>
    <col min="10250" max="10250" width="20.7109375" style="1372" customWidth="1"/>
    <col min="10251" max="10251" width="20.140625" style="1372" customWidth="1"/>
    <col min="10252" max="10252" width="20.85546875" style="1372" customWidth="1"/>
    <col min="10253" max="10496" width="9.140625" style="1372"/>
    <col min="10497" max="10497" width="4.7109375" style="1372" customWidth="1"/>
    <col min="10498" max="10498" width="6.140625" style="1372" customWidth="1"/>
    <col min="10499" max="10499" width="8.7109375" style="1372" customWidth="1"/>
    <col min="10500" max="10500" width="42.140625" style="1372" customWidth="1"/>
    <col min="10501" max="10501" width="12.85546875" style="1372" customWidth="1"/>
    <col min="10502" max="10502" width="15.85546875" style="1372" customWidth="1"/>
    <col min="10503" max="10503" width="14.5703125" style="1372" customWidth="1"/>
    <col min="10504" max="10504" width="8.28515625" style="1372" customWidth="1"/>
    <col min="10505" max="10505" width="12.7109375" style="1372" bestFit="1" customWidth="1"/>
    <col min="10506" max="10506" width="20.7109375" style="1372" customWidth="1"/>
    <col min="10507" max="10507" width="20.140625" style="1372" customWidth="1"/>
    <col min="10508" max="10508" width="20.85546875" style="1372" customWidth="1"/>
    <col min="10509" max="10752" width="9.140625" style="1372"/>
    <col min="10753" max="10753" width="4.7109375" style="1372" customWidth="1"/>
    <col min="10754" max="10754" width="6.140625" style="1372" customWidth="1"/>
    <col min="10755" max="10755" width="8.7109375" style="1372" customWidth="1"/>
    <col min="10756" max="10756" width="42.140625" style="1372" customWidth="1"/>
    <col min="10757" max="10757" width="12.85546875" style="1372" customWidth="1"/>
    <col min="10758" max="10758" width="15.85546875" style="1372" customWidth="1"/>
    <col min="10759" max="10759" width="14.5703125" style="1372" customWidth="1"/>
    <col min="10760" max="10760" width="8.28515625" style="1372" customWidth="1"/>
    <col min="10761" max="10761" width="12.7109375" style="1372" bestFit="1" customWidth="1"/>
    <col min="10762" max="10762" width="20.7109375" style="1372" customWidth="1"/>
    <col min="10763" max="10763" width="20.140625" style="1372" customWidth="1"/>
    <col min="10764" max="10764" width="20.85546875" style="1372" customWidth="1"/>
    <col min="10765" max="11008" width="9.140625" style="1372"/>
    <col min="11009" max="11009" width="4.7109375" style="1372" customWidth="1"/>
    <col min="11010" max="11010" width="6.140625" style="1372" customWidth="1"/>
    <col min="11011" max="11011" width="8.7109375" style="1372" customWidth="1"/>
    <col min="11012" max="11012" width="42.140625" style="1372" customWidth="1"/>
    <col min="11013" max="11013" width="12.85546875" style="1372" customWidth="1"/>
    <col min="11014" max="11014" width="15.85546875" style="1372" customWidth="1"/>
    <col min="11015" max="11015" width="14.5703125" style="1372" customWidth="1"/>
    <col min="11016" max="11016" width="8.28515625" style="1372" customWidth="1"/>
    <col min="11017" max="11017" width="12.7109375" style="1372" bestFit="1" customWidth="1"/>
    <col min="11018" max="11018" width="20.7109375" style="1372" customWidth="1"/>
    <col min="11019" max="11019" width="20.140625" style="1372" customWidth="1"/>
    <col min="11020" max="11020" width="20.85546875" style="1372" customWidth="1"/>
    <col min="11021" max="11264" width="9.140625" style="1372"/>
    <col min="11265" max="11265" width="4.7109375" style="1372" customWidth="1"/>
    <col min="11266" max="11266" width="6.140625" style="1372" customWidth="1"/>
    <col min="11267" max="11267" width="8.7109375" style="1372" customWidth="1"/>
    <col min="11268" max="11268" width="42.140625" style="1372" customWidth="1"/>
    <col min="11269" max="11269" width="12.85546875" style="1372" customWidth="1"/>
    <col min="11270" max="11270" width="15.85546875" style="1372" customWidth="1"/>
    <col min="11271" max="11271" width="14.5703125" style="1372" customWidth="1"/>
    <col min="11272" max="11272" width="8.28515625" style="1372" customWidth="1"/>
    <col min="11273" max="11273" width="12.7109375" style="1372" bestFit="1" customWidth="1"/>
    <col min="11274" max="11274" width="20.7109375" style="1372" customWidth="1"/>
    <col min="11275" max="11275" width="20.140625" style="1372" customWidth="1"/>
    <col min="11276" max="11276" width="20.85546875" style="1372" customWidth="1"/>
    <col min="11277" max="11520" width="9.140625" style="1372"/>
    <col min="11521" max="11521" width="4.7109375" style="1372" customWidth="1"/>
    <col min="11522" max="11522" width="6.140625" style="1372" customWidth="1"/>
    <col min="11523" max="11523" width="8.7109375" style="1372" customWidth="1"/>
    <col min="11524" max="11524" width="42.140625" style="1372" customWidth="1"/>
    <col min="11525" max="11525" width="12.85546875" style="1372" customWidth="1"/>
    <col min="11526" max="11526" width="15.85546875" style="1372" customWidth="1"/>
    <col min="11527" max="11527" width="14.5703125" style="1372" customWidth="1"/>
    <col min="11528" max="11528" width="8.28515625" style="1372" customWidth="1"/>
    <col min="11529" max="11529" width="12.7109375" style="1372" bestFit="1" customWidth="1"/>
    <col min="11530" max="11530" width="20.7109375" style="1372" customWidth="1"/>
    <col min="11531" max="11531" width="20.140625" style="1372" customWidth="1"/>
    <col min="11532" max="11532" width="20.85546875" style="1372" customWidth="1"/>
    <col min="11533" max="11776" width="9.140625" style="1372"/>
    <col min="11777" max="11777" width="4.7109375" style="1372" customWidth="1"/>
    <col min="11778" max="11778" width="6.140625" style="1372" customWidth="1"/>
    <col min="11779" max="11779" width="8.7109375" style="1372" customWidth="1"/>
    <col min="11780" max="11780" width="42.140625" style="1372" customWidth="1"/>
    <col min="11781" max="11781" width="12.85546875" style="1372" customWidth="1"/>
    <col min="11782" max="11782" width="15.85546875" style="1372" customWidth="1"/>
    <col min="11783" max="11783" width="14.5703125" style="1372" customWidth="1"/>
    <col min="11784" max="11784" width="8.28515625" style="1372" customWidth="1"/>
    <col min="11785" max="11785" width="12.7109375" style="1372" bestFit="1" customWidth="1"/>
    <col min="11786" max="11786" width="20.7109375" style="1372" customWidth="1"/>
    <col min="11787" max="11787" width="20.140625" style="1372" customWidth="1"/>
    <col min="11788" max="11788" width="20.85546875" style="1372" customWidth="1"/>
    <col min="11789" max="12032" width="9.140625" style="1372"/>
    <col min="12033" max="12033" width="4.7109375" style="1372" customWidth="1"/>
    <col min="12034" max="12034" width="6.140625" style="1372" customWidth="1"/>
    <col min="12035" max="12035" width="8.7109375" style="1372" customWidth="1"/>
    <col min="12036" max="12036" width="42.140625" style="1372" customWidth="1"/>
    <col min="12037" max="12037" width="12.85546875" style="1372" customWidth="1"/>
    <col min="12038" max="12038" width="15.85546875" style="1372" customWidth="1"/>
    <col min="12039" max="12039" width="14.5703125" style="1372" customWidth="1"/>
    <col min="12040" max="12040" width="8.28515625" style="1372" customWidth="1"/>
    <col min="12041" max="12041" width="12.7109375" style="1372" bestFit="1" customWidth="1"/>
    <col min="12042" max="12042" width="20.7109375" style="1372" customWidth="1"/>
    <col min="12043" max="12043" width="20.140625" style="1372" customWidth="1"/>
    <col min="12044" max="12044" width="20.85546875" style="1372" customWidth="1"/>
    <col min="12045" max="12288" width="9.140625" style="1372"/>
    <col min="12289" max="12289" width="4.7109375" style="1372" customWidth="1"/>
    <col min="12290" max="12290" width="6.140625" style="1372" customWidth="1"/>
    <col min="12291" max="12291" width="8.7109375" style="1372" customWidth="1"/>
    <col min="12292" max="12292" width="42.140625" style="1372" customWidth="1"/>
    <col min="12293" max="12293" width="12.85546875" style="1372" customWidth="1"/>
    <col min="12294" max="12294" width="15.85546875" style="1372" customWidth="1"/>
    <col min="12295" max="12295" width="14.5703125" style="1372" customWidth="1"/>
    <col min="12296" max="12296" width="8.28515625" style="1372" customWidth="1"/>
    <col min="12297" max="12297" width="12.7109375" style="1372" bestFit="1" customWidth="1"/>
    <col min="12298" max="12298" width="20.7109375" style="1372" customWidth="1"/>
    <col min="12299" max="12299" width="20.140625" style="1372" customWidth="1"/>
    <col min="12300" max="12300" width="20.85546875" style="1372" customWidth="1"/>
    <col min="12301" max="12544" width="9.140625" style="1372"/>
    <col min="12545" max="12545" width="4.7109375" style="1372" customWidth="1"/>
    <col min="12546" max="12546" width="6.140625" style="1372" customWidth="1"/>
    <col min="12547" max="12547" width="8.7109375" style="1372" customWidth="1"/>
    <col min="12548" max="12548" width="42.140625" style="1372" customWidth="1"/>
    <col min="12549" max="12549" width="12.85546875" style="1372" customWidth="1"/>
    <col min="12550" max="12550" width="15.85546875" style="1372" customWidth="1"/>
    <col min="12551" max="12551" width="14.5703125" style="1372" customWidth="1"/>
    <col min="12552" max="12552" width="8.28515625" style="1372" customWidth="1"/>
    <col min="12553" max="12553" width="12.7109375" style="1372" bestFit="1" customWidth="1"/>
    <col min="12554" max="12554" width="20.7109375" style="1372" customWidth="1"/>
    <col min="12555" max="12555" width="20.140625" style="1372" customWidth="1"/>
    <col min="12556" max="12556" width="20.85546875" style="1372" customWidth="1"/>
    <col min="12557" max="12800" width="9.140625" style="1372"/>
    <col min="12801" max="12801" width="4.7109375" style="1372" customWidth="1"/>
    <col min="12802" max="12802" width="6.140625" style="1372" customWidth="1"/>
    <col min="12803" max="12803" width="8.7109375" style="1372" customWidth="1"/>
    <col min="12804" max="12804" width="42.140625" style="1372" customWidth="1"/>
    <col min="12805" max="12805" width="12.85546875" style="1372" customWidth="1"/>
    <col min="12806" max="12806" width="15.85546875" style="1372" customWidth="1"/>
    <col min="12807" max="12807" width="14.5703125" style="1372" customWidth="1"/>
    <col min="12808" max="12808" width="8.28515625" style="1372" customWidth="1"/>
    <col min="12809" max="12809" width="12.7109375" style="1372" bestFit="1" customWidth="1"/>
    <col min="12810" max="12810" width="20.7109375" style="1372" customWidth="1"/>
    <col min="12811" max="12811" width="20.140625" style="1372" customWidth="1"/>
    <col min="12812" max="12812" width="20.85546875" style="1372" customWidth="1"/>
    <col min="12813" max="13056" width="9.140625" style="1372"/>
    <col min="13057" max="13057" width="4.7109375" style="1372" customWidth="1"/>
    <col min="13058" max="13058" width="6.140625" style="1372" customWidth="1"/>
    <col min="13059" max="13059" width="8.7109375" style="1372" customWidth="1"/>
    <col min="13060" max="13060" width="42.140625" style="1372" customWidth="1"/>
    <col min="13061" max="13061" width="12.85546875" style="1372" customWidth="1"/>
    <col min="13062" max="13062" width="15.85546875" style="1372" customWidth="1"/>
    <col min="13063" max="13063" width="14.5703125" style="1372" customWidth="1"/>
    <col min="13064" max="13064" width="8.28515625" style="1372" customWidth="1"/>
    <col min="13065" max="13065" width="12.7109375" style="1372" bestFit="1" customWidth="1"/>
    <col min="13066" max="13066" width="20.7109375" style="1372" customWidth="1"/>
    <col min="13067" max="13067" width="20.140625" style="1372" customWidth="1"/>
    <col min="13068" max="13068" width="20.85546875" style="1372" customWidth="1"/>
    <col min="13069" max="13312" width="9.140625" style="1372"/>
    <col min="13313" max="13313" width="4.7109375" style="1372" customWidth="1"/>
    <col min="13314" max="13314" width="6.140625" style="1372" customWidth="1"/>
    <col min="13315" max="13315" width="8.7109375" style="1372" customWidth="1"/>
    <col min="13316" max="13316" width="42.140625" style="1372" customWidth="1"/>
    <col min="13317" max="13317" width="12.85546875" style="1372" customWidth="1"/>
    <col min="13318" max="13318" width="15.85546875" style="1372" customWidth="1"/>
    <col min="13319" max="13319" width="14.5703125" style="1372" customWidth="1"/>
    <col min="13320" max="13320" width="8.28515625" style="1372" customWidth="1"/>
    <col min="13321" max="13321" width="12.7109375" style="1372" bestFit="1" customWidth="1"/>
    <col min="13322" max="13322" width="20.7109375" style="1372" customWidth="1"/>
    <col min="13323" max="13323" width="20.140625" style="1372" customWidth="1"/>
    <col min="13324" max="13324" width="20.85546875" style="1372" customWidth="1"/>
    <col min="13325" max="13568" width="9.140625" style="1372"/>
    <col min="13569" max="13569" width="4.7109375" style="1372" customWidth="1"/>
    <col min="13570" max="13570" width="6.140625" style="1372" customWidth="1"/>
    <col min="13571" max="13571" width="8.7109375" style="1372" customWidth="1"/>
    <col min="13572" max="13572" width="42.140625" style="1372" customWidth="1"/>
    <col min="13573" max="13573" width="12.85546875" style="1372" customWidth="1"/>
    <col min="13574" max="13574" width="15.85546875" style="1372" customWidth="1"/>
    <col min="13575" max="13575" width="14.5703125" style="1372" customWidth="1"/>
    <col min="13576" max="13576" width="8.28515625" style="1372" customWidth="1"/>
    <col min="13577" max="13577" width="12.7109375" style="1372" bestFit="1" customWidth="1"/>
    <col min="13578" max="13578" width="20.7109375" style="1372" customWidth="1"/>
    <col min="13579" max="13579" width="20.140625" style="1372" customWidth="1"/>
    <col min="13580" max="13580" width="20.85546875" style="1372" customWidth="1"/>
    <col min="13581" max="13824" width="9.140625" style="1372"/>
    <col min="13825" max="13825" width="4.7109375" style="1372" customWidth="1"/>
    <col min="13826" max="13826" width="6.140625" style="1372" customWidth="1"/>
    <col min="13827" max="13827" width="8.7109375" style="1372" customWidth="1"/>
    <col min="13828" max="13828" width="42.140625" style="1372" customWidth="1"/>
    <col min="13829" max="13829" width="12.85546875" style="1372" customWidth="1"/>
    <col min="13830" max="13830" width="15.85546875" style="1372" customWidth="1"/>
    <col min="13831" max="13831" width="14.5703125" style="1372" customWidth="1"/>
    <col min="13832" max="13832" width="8.28515625" style="1372" customWidth="1"/>
    <col min="13833" max="13833" width="12.7109375" style="1372" bestFit="1" customWidth="1"/>
    <col min="13834" max="13834" width="20.7109375" style="1372" customWidth="1"/>
    <col min="13835" max="13835" width="20.140625" style="1372" customWidth="1"/>
    <col min="13836" max="13836" width="20.85546875" style="1372" customWidth="1"/>
    <col min="13837" max="14080" width="9.140625" style="1372"/>
    <col min="14081" max="14081" width="4.7109375" style="1372" customWidth="1"/>
    <col min="14082" max="14082" width="6.140625" style="1372" customWidth="1"/>
    <col min="14083" max="14083" width="8.7109375" style="1372" customWidth="1"/>
    <col min="14084" max="14084" width="42.140625" style="1372" customWidth="1"/>
    <col min="14085" max="14085" width="12.85546875" style="1372" customWidth="1"/>
    <col min="14086" max="14086" width="15.85546875" style="1372" customWidth="1"/>
    <col min="14087" max="14087" width="14.5703125" style="1372" customWidth="1"/>
    <col min="14088" max="14088" width="8.28515625" style="1372" customWidth="1"/>
    <col min="14089" max="14089" width="12.7109375" style="1372" bestFit="1" customWidth="1"/>
    <col min="14090" max="14090" width="20.7109375" style="1372" customWidth="1"/>
    <col min="14091" max="14091" width="20.140625" style="1372" customWidth="1"/>
    <col min="14092" max="14092" width="20.85546875" style="1372" customWidth="1"/>
    <col min="14093" max="14336" width="9.140625" style="1372"/>
    <col min="14337" max="14337" width="4.7109375" style="1372" customWidth="1"/>
    <col min="14338" max="14338" width="6.140625" style="1372" customWidth="1"/>
    <col min="14339" max="14339" width="8.7109375" style="1372" customWidth="1"/>
    <col min="14340" max="14340" width="42.140625" style="1372" customWidth="1"/>
    <col min="14341" max="14341" width="12.85546875" style="1372" customWidth="1"/>
    <col min="14342" max="14342" width="15.85546875" style="1372" customWidth="1"/>
    <col min="14343" max="14343" width="14.5703125" style="1372" customWidth="1"/>
    <col min="14344" max="14344" width="8.28515625" style="1372" customWidth="1"/>
    <col min="14345" max="14345" width="12.7109375" style="1372" bestFit="1" customWidth="1"/>
    <col min="14346" max="14346" width="20.7109375" style="1372" customWidth="1"/>
    <col min="14347" max="14347" width="20.140625" style="1372" customWidth="1"/>
    <col min="14348" max="14348" width="20.85546875" style="1372" customWidth="1"/>
    <col min="14349" max="14592" width="9.140625" style="1372"/>
    <col min="14593" max="14593" width="4.7109375" style="1372" customWidth="1"/>
    <col min="14594" max="14594" width="6.140625" style="1372" customWidth="1"/>
    <col min="14595" max="14595" width="8.7109375" style="1372" customWidth="1"/>
    <col min="14596" max="14596" width="42.140625" style="1372" customWidth="1"/>
    <col min="14597" max="14597" width="12.85546875" style="1372" customWidth="1"/>
    <col min="14598" max="14598" width="15.85546875" style="1372" customWidth="1"/>
    <col min="14599" max="14599" width="14.5703125" style="1372" customWidth="1"/>
    <col min="14600" max="14600" width="8.28515625" style="1372" customWidth="1"/>
    <col min="14601" max="14601" width="12.7109375" style="1372" bestFit="1" customWidth="1"/>
    <col min="14602" max="14602" width="20.7109375" style="1372" customWidth="1"/>
    <col min="14603" max="14603" width="20.140625" style="1372" customWidth="1"/>
    <col min="14604" max="14604" width="20.85546875" style="1372" customWidth="1"/>
    <col min="14605" max="14848" width="9.140625" style="1372"/>
    <col min="14849" max="14849" width="4.7109375" style="1372" customWidth="1"/>
    <col min="14850" max="14850" width="6.140625" style="1372" customWidth="1"/>
    <col min="14851" max="14851" width="8.7109375" style="1372" customWidth="1"/>
    <col min="14852" max="14852" width="42.140625" style="1372" customWidth="1"/>
    <col min="14853" max="14853" width="12.85546875" style="1372" customWidth="1"/>
    <col min="14854" max="14854" width="15.85546875" style="1372" customWidth="1"/>
    <col min="14855" max="14855" width="14.5703125" style="1372" customWidth="1"/>
    <col min="14856" max="14856" width="8.28515625" style="1372" customWidth="1"/>
    <col min="14857" max="14857" width="12.7109375" style="1372" bestFit="1" customWidth="1"/>
    <col min="14858" max="14858" width="20.7109375" style="1372" customWidth="1"/>
    <col min="14859" max="14859" width="20.140625" style="1372" customWidth="1"/>
    <col min="14860" max="14860" width="20.85546875" style="1372" customWidth="1"/>
    <col min="14861" max="15104" width="9.140625" style="1372"/>
    <col min="15105" max="15105" width="4.7109375" style="1372" customWidth="1"/>
    <col min="15106" max="15106" width="6.140625" style="1372" customWidth="1"/>
    <col min="15107" max="15107" width="8.7109375" style="1372" customWidth="1"/>
    <col min="15108" max="15108" width="42.140625" style="1372" customWidth="1"/>
    <col min="15109" max="15109" width="12.85546875" style="1372" customWidth="1"/>
    <col min="15110" max="15110" width="15.85546875" style="1372" customWidth="1"/>
    <col min="15111" max="15111" width="14.5703125" style="1372" customWidth="1"/>
    <col min="15112" max="15112" width="8.28515625" style="1372" customWidth="1"/>
    <col min="15113" max="15113" width="12.7109375" style="1372" bestFit="1" customWidth="1"/>
    <col min="15114" max="15114" width="20.7109375" style="1372" customWidth="1"/>
    <col min="15115" max="15115" width="20.140625" style="1372" customWidth="1"/>
    <col min="15116" max="15116" width="20.85546875" style="1372" customWidth="1"/>
    <col min="15117" max="15360" width="9.140625" style="1372"/>
    <col min="15361" max="15361" width="4.7109375" style="1372" customWidth="1"/>
    <col min="15362" max="15362" width="6.140625" style="1372" customWidth="1"/>
    <col min="15363" max="15363" width="8.7109375" style="1372" customWidth="1"/>
    <col min="15364" max="15364" width="42.140625" style="1372" customWidth="1"/>
    <col min="15365" max="15365" width="12.85546875" style="1372" customWidth="1"/>
    <col min="15366" max="15366" width="15.85546875" style="1372" customWidth="1"/>
    <col min="15367" max="15367" width="14.5703125" style="1372" customWidth="1"/>
    <col min="15368" max="15368" width="8.28515625" style="1372" customWidth="1"/>
    <col min="15369" max="15369" width="12.7109375" style="1372" bestFit="1" customWidth="1"/>
    <col min="15370" max="15370" width="20.7109375" style="1372" customWidth="1"/>
    <col min="15371" max="15371" width="20.140625" style="1372" customWidth="1"/>
    <col min="15372" max="15372" width="20.85546875" style="1372" customWidth="1"/>
    <col min="15373" max="15616" width="9.140625" style="1372"/>
    <col min="15617" max="15617" width="4.7109375" style="1372" customWidth="1"/>
    <col min="15618" max="15618" width="6.140625" style="1372" customWidth="1"/>
    <col min="15619" max="15619" width="8.7109375" style="1372" customWidth="1"/>
    <col min="15620" max="15620" width="42.140625" style="1372" customWidth="1"/>
    <col min="15621" max="15621" width="12.85546875" style="1372" customWidth="1"/>
    <col min="15622" max="15622" width="15.85546875" style="1372" customWidth="1"/>
    <col min="15623" max="15623" width="14.5703125" style="1372" customWidth="1"/>
    <col min="15624" max="15624" width="8.28515625" style="1372" customWidth="1"/>
    <col min="15625" max="15625" width="12.7109375" style="1372" bestFit="1" customWidth="1"/>
    <col min="15626" max="15626" width="20.7109375" style="1372" customWidth="1"/>
    <col min="15627" max="15627" width="20.140625" style="1372" customWidth="1"/>
    <col min="15628" max="15628" width="20.85546875" style="1372" customWidth="1"/>
    <col min="15629" max="15872" width="9.140625" style="1372"/>
    <col min="15873" max="15873" width="4.7109375" style="1372" customWidth="1"/>
    <col min="15874" max="15874" width="6.140625" style="1372" customWidth="1"/>
    <col min="15875" max="15875" width="8.7109375" style="1372" customWidth="1"/>
    <col min="15876" max="15876" width="42.140625" style="1372" customWidth="1"/>
    <col min="15877" max="15877" width="12.85546875" style="1372" customWidth="1"/>
    <col min="15878" max="15878" width="15.85546875" style="1372" customWidth="1"/>
    <col min="15879" max="15879" width="14.5703125" style="1372" customWidth="1"/>
    <col min="15880" max="15880" width="8.28515625" style="1372" customWidth="1"/>
    <col min="15881" max="15881" width="12.7109375" style="1372" bestFit="1" customWidth="1"/>
    <col min="15882" max="15882" width="20.7109375" style="1372" customWidth="1"/>
    <col min="15883" max="15883" width="20.140625" style="1372" customWidth="1"/>
    <col min="15884" max="15884" width="20.85546875" style="1372" customWidth="1"/>
    <col min="15885" max="16128" width="9.140625" style="1372"/>
    <col min="16129" max="16129" width="4.7109375" style="1372" customWidth="1"/>
    <col min="16130" max="16130" width="6.140625" style="1372" customWidth="1"/>
    <col min="16131" max="16131" width="8.7109375" style="1372" customWidth="1"/>
    <col min="16132" max="16132" width="42.140625" style="1372" customWidth="1"/>
    <col min="16133" max="16133" width="12.85546875" style="1372" customWidth="1"/>
    <col min="16134" max="16134" width="15.85546875" style="1372" customWidth="1"/>
    <col min="16135" max="16135" width="14.5703125" style="1372" customWidth="1"/>
    <col min="16136" max="16136" width="8.28515625" style="1372" customWidth="1"/>
    <col min="16137" max="16137" width="12.7109375" style="1372" bestFit="1" customWidth="1"/>
    <col min="16138" max="16138" width="20.7109375" style="1372" customWidth="1"/>
    <col min="16139" max="16139" width="20.140625" style="1372" customWidth="1"/>
    <col min="16140" max="16140" width="20.85546875" style="1372" customWidth="1"/>
    <col min="16141" max="16384" width="9.140625" style="1372"/>
  </cols>
  <sheetData>
    <row r="1" spans="1:9" ht="18.75" thickBot="1" x14ac:dyDescent="0.25">
      <c r="A1" s="3221" t="s">
        <v>1181</v>
      </c>
      <c r="B1" s="3221"/>
      <c r="C1" s="3221"/>
      <c r="D1" s="3221"/>
      <c r="E1" s="3221"/>
      <c r="F1" s="3221"/>
      <c r="G1" s="3221"/>
      <c r="H1" s="3221" t="s">
        <v>279</v>
      </c>
    </row>
    <row r="2" spans="1:9" ht="18" x14ac:dyDescent="0.25">
      <c r="A2" s="1466"/>
      <c r="H2" s="1445" t="s">
        <v>279</v>
      </c>
    </row>
    <row r="3" spans="1:9" ht="14.25" x14ac:dyDescent="0.2">
      <c r="A3" s="1337" t="s">
        <v>336</v>
      </c>
      <c r="C3" s="1370" t="s">
        <v>2030</v>
      </c>
    </row>
    <row r="4" spans="1:9" ht="14.25" x14ac:dyDescent="0.2">
      <c r="A4" s="1466"/>
      <c r="C4" s="1370" t="s">
        <v>318</v>
      </c>
    </row>
    <row r="5" spans="1:9" ht="14.25" x14ac:dyDescent="0.2">
      <c r="A5" s="1466"/>
      <c r="C5" s="1370" t="s">
        <v>2009</v>
      </c>
      <c r="D5" s="1336"/>
      <c r="E5" s="1400"/>
      <c r="F5" s="1400"/>
    </row>
    <row r="6" spans="1:9" ht="14.25" x14ac:dyDescent="0.2">
      <c r="A6" s="1466"/>
      <c r="C6" s="1370" t="s">
        <v>1450</v>
      </c>
      <c r="D6" s="1254"/>
      <c r="E6" s="1400"/>
      <c r="F6" s="1400"/>
    </row>
    <row r="7" spans="1:9" ht="18" x14ac:dyDescent="0.25">
      <c r="A7" s="1375" t="s">
        <v>280</v>
      </c>
    </row>
    <row r="8" spans="1:9" ht="18" x14ac:dyDescent="0.25">
      <c r="A8" s="1375"/>
    </row>
    <row r="9" spans="1:9" ht="15.75" thickBot="1" x14ac:dyDescent="0.3">
      <c r="A9" s="1377" t="s">
        <v>229</v>
      </c>
      <c r="H9" s="1459" t="s">
        <v>148</v>
      </c>
    </row>
    <row r="10" spans="1:9" s="1292" customFormat="1" ht="25.5" thickTop="1" thickBot="1" x14ac:dyDescent="0.25">
      <c r="A10" s="1378" t="s">
        <v>149</v>
      </c>
      <c r="B10" s="1379" t="s">
        <v>688</v>
      </c>
      <c r="C10" s="1379" t="s">
        <v>345</v>
      </c>
      <c r="D10" s="1380" t="s">
        <v>151</v>
      </c>
      <c r="E10" s="1402" t="s">
        <v>569</v>
      </c>
      <c r="F10" s="1402" t="s">
        <v>570</v>
      </c>
      <c r="G10" s="1403" t="s">
        <v>797</v>
      </c>
      <c r="H10" s="1404" t="s">
        <v>798</v>
      </c>
    </row>
    <row r="11" spans="1:9" s="1292" customFormat="1" ht="13.5" thickTop="1" thickBot="1" x14ac:dyDescent="0.25">
      <c r="A11" s="1297">
        <v>1</v>
      </c>
      <c r="B11" s="1296">
        <v>2</v>
      </c>
      <c r="C11" s="1296">
        <v>3</v>
      </c>
      <c r="D11" s="1296">
        <v>4</v>
      </c>
      <c r="E11" s="1295">
        <v>5</v>
      </c>
      <c r="F11" s="1295">
        <v>6</v>
      </c>
      <c r="G11" s="1446">
        <v>7</v>
      </c>
      <c r="H11" s="1468" t="s">
        <v>54</v>
      </c>
    </row>
    <row r="12" spans="1:9" ht="26.25" thickTop="1" x14ac:dyDescent="0.2">
      <c r="A12" s="1463">
        <v>2143</v>
      </c>
      <c r="B12" s="1469">
        <v>5142</v>
      </c>
      <c r="C12" s="2832" t="s">
        <v>1760</v>
      </c>
      <c r="D12" s="1405" t="s">
        <v>1605</v>
      </c>
      <c r="E12" s="1414">
        <v>0</v>
      </c>
      <c r="F12" s="1414">
        <v>0</v>
      </c>
      <c r="G12" s="1414">
        <v>1</v>
      </c>
      <c r="H12" s="1390">
        <v>0</v>
      </c>
    </row>
    <row r="13" spans="1:9" ht="30" hidden="1" x14ac:dyDescent="0.2">
      <c r="A13" s="1463">
        <v>6409</v>
      </c>
      <c r="B13" s="1469">
        <v>5909</v>
      </c>
      <c r="C13" s="2832" t="s">
        <v>1760</v>
      </c>
      <c r="D13" s="1475" t="s">
        <v>705</v>
      </c>
      <c r="E13" s="1414">
        <v>0</v>
      </c>
      <c r="F13" s="1414">
        <v>0</v>
      </c>
      <c r="G13" s="1414">
        <v>-1</v>
      </c>
      <c r="H13" s="1390">
        <v>0</v>
      </c>
    </row>
    <row r="14" spans="1:9" ht="26.25" thickBot="1" x14ac:dyDescent="0.25">
      <c r="A14" s="1463">
        <v>6330</v>
      </c>
      <c r="B14" s="1469">
        <v>5345</v>
      </c>
      <c r="C14" s="2832" t="s">
        <v>1760</v>
      </c>
      <c r="D14" s="1405" t="s">
        <v>693</v>
      </c>
      <c r="E14" s="1414">
        <v>0</v>
      </c>
      <c r="F14" s="1414">
        <v>0</v>
      </c>
      <c r="G14" s="1414">
        <v>71281</v>
      </c>
      <c r="H14" s="1390">
        <v>0</v>
      </c>
    </row>
    <row r="15" spans="1:9" s="1397" customFormat="1" ht="16.5" thickTop="1" thickBot="1" x14ac:dyDescent="0.3">
      <c r="A15" s="3219" t="s">
        <v>690</v>
      </c>
      <c r="B15" s="3220"/>
      <c r="C15" s="3220"/>
      <c r="D15" s="3220"/>
      <c r="E15" s="1387">
        <f>SUM(E12:E14)</f>
        <v>0</v>
      </c>
      <c r="F15" s="1387">
        <f>SUM(F12:F14)</f>
        <v>0</v>
      </c>
      <c r="G15" s="1387">
        <f>SUM(G12:G14)</f>
        <v>71281</v>
      </c>
      <c r="H15" s="1391">
        <v>0</v>
      </c>
      <c r="I15" s="1476"/>
    </row>
    <row r="16" spans="1:9" ht="18.75" thickTop="1" x14ac:dyDescent="0.25">
      <c r="A16" s="1375"/>
    </row>
    <row r="17" spans="1:8" s="1292" customFormat="1" ht="15" hidden="1" x14ac:dyDescent="0.25">
      <c r="A17" s="1377" t="s">
        <v>179</v>
      </c>
      <c r="B17" s="1371"/>
      <c r="C17" s="1371"/>
      <c r="D17" s="1372"/>
      <c r="E17" s="1398"/>
      <c r="F17" s="1398"/>
      <c r="G17" s="1398"/>
      <c r="H17" s="1372"/>
    </row>
    <row r="18" spans="1:8" s="1292" customFormat="1" ht="15" hidden="1" x14ac:dyDescent="0.25">
      <c r="A18" s="1377" t="s">
        <v>1042</v>
      </c>
      <c r="B18" s="1371"/>
      <c r="C18" s="1371"/>
      <c r="D18" s="1372"/>
      <c r="E18" s="1398"/>
      <c r="F18" s="1398"/>
      <c r="G18" s="1398"/>
      <c r="H18" s="1459" t="s">
        <v>148</v>
      </c>
    </row>
    <row r="19" spans="1:8" s="1292" customFormat="1" ht="25.5" hidden="1" thickTop="1" thickBot="1" x14ac:dyDescent="0.25">
      <c r="A19" s="1378" t="s">
        <v>149</v>
      </c>
      <c r="B19" s="1379" t="s">
        <v>688</v>
      </c>
      <c r="C19" s="1379" t="s">
        <v>345</v>
      </c>
      <c r="D19" s="1380" t="s">
        <v>151</v>
      </c>
      <c r="E19" s="1402" t="s">
        <v>569</v>
      </c>
      <c r="F19" s="1402" t="s">
        <v>570</v>
      </c>
      <c r="G19" s="1403" t="s">
        <v>797</v>
      </c>
      <c r="H19" s="1404" t="s">
        <v>798</v>
      </c>
    </row>
    <row r="20" spans="1:8" s="1292" customFormat="1" ht="13.5" hidden="1" thickTop="1" thickBot="1" x14ac:dyDescent="0.25">
      <c r="A20" s="1297">
        <v>1</v>
      </c>
      <c r="B20" s="1296">
        <v>2</v>
      </c>
      <c r="C20" s="1296">
        <v>3</v>
      </c>
      <c r="D20" s="1296">
        <v>4</v>
      </c>
      <c r="E20" s="1295">
        <v>5</v>
      </c>
      <c r="F20" s="1295">
        <v>6</v>
      </c>
      <c r="G20" s="1446">
        <v>7</v>
      </c>
      <c r="H20" s="1468" t="s">
        <v>54</v>
      </c>
    </row>
    <row r="21" spans="1:8" s="1292" customFormat="1" ht="15" hidden="1" x14ac:dyDescent="0.2">
      <c r="A21" s="1384">
        <v>3533</v>
      </c>
      <c r="B21" s="1385">
        <v>5139</v>
      </c>
      <c r="C21" s="1385">
        <v>38100870</v>
      </c>
      <c r="D21" s="1405" t="s">
        <v>249</v>
      </c>
      <c r="E21" s="1414">
        <v>0</v>
      </c>
      <c r="F21" s="1414">
        <v>0</v>
      </c>
      <c r="G21" s="1414">
        <v>0</v>
      </c>
      <c r="H21" s="1390" t="e">
        <f>G21/F21*100</f>
        <v>#DIV/0!</v>
      </c>
    </row>
    <row r="22" spans="1:8" s="1292" customFormat="1" ht="15" hidden="1" x14ac:dyDescent="0.2">
      <c r="A22" s="1384">
        <v>3533</v>
      </c>
      <c r="B22" s="1385">
        <v>5139</v>
      </c>
      <c r="C22" s="1385">
        <v>38500871</v>
      </c>
      <c r="D22" s="1405" t="s">
        <v>249</v>
      </c>
      <c r="E22" s="1414">
        <v>0</v>
      </c>
      <c r="F22" s="1414">
        <v>0</v>
      </c>
      <c r="G22" s="1414">
        <v>0</v>
      </c>
      <c r="H22" s="1390" t="e">
        <f>G22/F22*100</f>
        <v>#DIV/0!</v>
      </c>
    </row>
    <row r="23" spans="1:8" s="1292" customFormat="1" ht="15" hidden="1" x14ac:dyDescent="0.2">
      <c r="A23" s="1384">
        <v>3533</v>
      </c>
      <c r="B23" s="1385">
        <v>5169</v>
      </c>
      <c r="C23" s="1385">
        <v>38100874</v>
      </c>
      <c r="D23" s="1405" t="s">
        <v>769</v>
      </c>
      <c r="E23" s="1414">
        <v>0</v>
      </c>
      <c r="F23" s="1414">
        <v>0</v>
      </c>
      <c r="G23" s="1414">
        <v>0</v>
      </c>
      <c r="H23" s="1390" t="e">
        <f>G23/F23*100</f>
        <v>#DIV/0!</v>
      </c>
    </row>
    <row r="24" spans="1:8" s="1292" customFormat="1" ht="16.5" hidden="1" thickTop="1" thickBot="1" x14ac:dyDescent="0.3">
      <c r="A24" s="3219" t="s">
        <v>690</v>
      </c>
      <c r="B24" s="3220"/>
      <c r="C24" s="3220"/>
      <c r="D24" s="3220"/>
      <c r="E24" s="1387">
        <f>SUM(E21:E23)</f>
        <v>0</v>
      </c>
      <c r="F24" s="1387">
        <f>SUM(F21:F23)</f>
        <v>0</v>
      </c>
      <c r="G24" s="1387">
        <f>SUM(G21:G23)</f>
        <v>0</v>
      </c>
      <c r="H24" s="1391" t="e">
        <f>G24/F24*100</f>
        <v>#DIV/0!</v>
      </c>
    </row>
    <row r="25" spans="1:8" s="1292" customFormat="1" ht="15" hidden="1" x14ac:dyDescent="0.25">
      <c r="A25" s="1392"/>
      <c r="B25" s="1392"/>
      <c r="C25" s="1392"/>
      <c r="D25" s="1392"/>
      <c r="E25" s="1527"/>
      <c r="F25" s="1527"/>
      <c r="G25" s="1527"/>
      <c r="H25" s="1418"/>
    </row>
    <row r="26" spans="1:8" s="1292" customFormat="1" ht="15" hidden="1" x14ac:dyDescent="0.25">
      <c r="A26" s="1377" t="s">
        <v>1043</v>
      </c>
      <c r="B26" s="1371"/>
      <c r="C26" s="1371"/>
      <c r="D26" s="1372"/>
      <c r="E26" s="1398"/>
      <c r="F26" s="1398"/>
      <c r="G26" s="1398"/>
      <c r="H26" s="1372"/>
    </row>
    <row r="27" spans="1:8" s="1292" customFormat="1" ht="15" hidden="1" x14ac:dyDescent="0.25">
      <c r="A27" s="1377" t="s">
        <v>1044</v>
      </c>
      <c r="B27" s="1371"/>
      <c r="C27" s="1371"/>
      <c r="D27" s="1372"/>
      <c r="E27" s="1398"/>
      <c r="F27" s="1398"/>
      <c r="G27" s="1398"/>
      <c r="H27" s="1459" t="s">
        <v>148</v>
      </c>
    </row>
    <row r="28" spans="1:8" s="1292" customFormat="1" ht="25.5" hidden="1" thickTop="1" thickBot="1" x14ac:dyDescent="0.25">
      <c r="A28" s="1378" t="s">
        <v>149</v>
      </c>
      <c r="B28" s="1379" t="s">
        <v>688</v>
      </c>
      <c r="C28" s="1379" t="s">
        <v>345</v>
      </c>
      <c r="D28" s="1380" t="s">
        <v>151</v>
      </c>
      <c r="E28" s="1402" t="s">
        <v>569</v>
      </c>
      <c r="F28" s="1402" t="s">
        <v>570</v>
      </c>
      <c r="G28" s="1403" t="s">
        <v>797</v>
      </c>
      <c r="H28" s="1404" t="s">
        <v>798</v>
      </c>
    </row>
    <row r="29" spans="1:8" s="1292" customFormat="1" ht="13.5" hidden="1" thickTop="1" thickBot="1" x14ac:dyDescent="0.25">
      <c r="A29" s="1297">
        <v>1</v>
      </c>
      <c r="B29" s="1296">
        <v>2</v>
      </c>
      <c r="C29" s="1296">
        <v>3</v>
      </c>
      <c r="D29" s="1296">
        <v>4</v>
      </c>
      <c r="E29" s="1295">
        <v>5</v>
      </c>
      <c r="F29" s="1295">
        <v>6</v>
      </c>
      <c r="G29" s="1446">
        <v>7</v>
      </c>
      <c r="H29" s="1468" t="s">
        <v>54</v>
      </c>
    </row>
    <row r="30" spans="1:8" s="1292" customFormat="1" ht="15" hidden="1" x14ac:dyDescent="0.2">
      <c r="A30" s="1384">
        <v>3533</v>
      </c>
      <c r="B30" s="1385">
        <v>5139</v>
      </c>
      <c r="C30" s="1385">
        <v>38100870</v>
      </c>
      <c r="D30" s="1405" t="s">
        <v>249</v>
      </c>
      <c r="E30" s="1414">
        <v>0</v>
      </c>
      <c r="F30" s="1414">
        <v>0</v>
      </c>
      <c r="G30" s="1414">
        <v>0</v>
      </c>
      <c r="H30" s="1390" t="e">
        <f>G30/F30*100</f>
        <v>#DIV/0!</v>
      </c>
    </row>
    <row r="31" spans="1:8" s="1292" customFormat="1" ht="15" hidden="1" x14ac:dyDescent="0.2">
      <c r="A31" s="1384">
        <v>3533</v>
      </c>
      <c r="B31" s="1385">
        <v>5139</v>
      </c>
      <c r="C31" s="1385">
        <v>38500871</v>
      </c>
      <c r="D31" s="1405" t="s">
        <v>249</v>
      </c>
      <c r="E31" s="1414">
        <v>0</v>
      </c>
      <c r="F31" s="1414">
        <v>0</v>
      </c>
      <c r="G31" s="1414">
        <v>0</v>
      </c>
      <c r="H31" s="1390" t="e">
        <f>G31/F31*100</f>
        <v>#DIV/0!</v>
      </c>
    </row>
    <row r="32" spans="1:8" s="1292" customFormat="1" ht="16.5" hidden="1" thickTop="1" thickBot="1" x14ac:dyDescent="0.3">
      <c r="A32" s="3219" t="s">
        <v>690</v>
      </c>
      <c r="B32" s="3220"/>
      <c r="C32" s="3220"/>
      <c r="D32" s="3220"/>
      <c r="E32" s="1387">
        <f>SUM(E30:E31)</f>
        <v>0</v>
      </c>
      <c r="F32" s="1387">
        <f>SUM(F30:F31)</f>
        <v>0</v>
      </c>
      <c r="G32" s="1387">
        <f>SUM(G30:G31)</f>
        <v>0</v>
      </c>
      <c r="H32" s="1391" t="e">
        <f>G32/F32*100</f>
        <v>#DIV/0!</v>
      </c>
    </row>
    <row r="33" spans="1:8" s="1292" customFormat="1" ht="15" hidden="1" x14ac:dyDescent="0.25">
      <c r="A33" s="1392"/>
      <c r="B33" s="1392"/>
      <c r="C33" s="1392"/>
      <c r="D33" s="1392"/>
      <c r="E33" s="1527"/>
      <c r="F33" s="1527"/>
      <c r="G33" s="1527"/>
      <c r="H33" s="1418"/>
    </row>
    <row r="34" spans="1:8" s="1292" customFormat="1" ht="15" hidden="1" x14ac:dyDescent="0.25">
      <c r="A34" s="1377" t="s">
        <v>1238</v>
      </c>
      <c r="B34" s="1371"/>
      <c r="C34" s="1371"/>
      <c r="D34" s="1372"/>
      <c r="E34" s="1398"/>
      <c r="F34" s="1398"/>
      <c r="G34" s="1398"/>
      <c r="H34" s="1372"/>
    </row>
    <row r="35" spans="1:8" s="1292" customFormat="1" ht="15" hidden="1" x14ac:dyDescent="0.25">
      <c r="A35" s="1377" t="s">
        <v>1237</v>
      </c>
      <c r="B35" s="1371"/>
      <c r="C35" s="1371"/>
      <c r="D35" s="1372"/>
      <c r="E35" s="1398"/>
      <c r="F35" s="1398"/>
      <c r="G35" s="1398"/>
      <c r="H35" s="1459" t="s">
        <v>148</v>
      </c>
    </row>
    <row r="36" spans="1:8" s="1292" customFormat="1" ht="25.5" hidden="1" thickTop="1" thickBot="1" x14ac:dyDescent="0.25">
      <c r="A36" s="1378" t="s">
        <v>149</v>
      </c>
      <c r="B36" s="1379" t="s">
        <v>688</v>
      </c>
      <c r="C36" s="1379" t="s">
        <v>345</v>
      </c>
      <c r="D36" s="1380" t="s">
        <v>151</v>
      </c>
      <c r="E36" s="1402" t="s">
        <v>569</v>
      </c>
      <c r="F36" s="1402" t="s">
        <v>570</v>
      </c>
      <c r="G36" s="1403" t="s">
        <v>797</v>
      </c>
      <c r="H36" s="1404" t="s">
        <v>798</v>
      </c>
    </row>
    <row r="37" spans="1:8" s="1292" customFormat="1" ht="13.5" hidden="1" thickTop="1" thickBot="1" x14ac:dyDescent="0.25">
      <c r="A37" s="1297">
        <v>1</v>
      </c>
      <c r="B37" s="1296">
        <v>2</v>
      </c>
      <c r="C37" s="1296">
        <v>3</v>
      </c>
      <c r="D37" s="1296">
        <v>4</v>
      </c>
      <c r="E37" s="1295">
        <v>5</v>
      </c>
      <c r="F37" s="1295">
        <v>6</v>
      </c>
      <c r="G37" s="1446">
        <v>7</v>
      </c>
      <c r="H37" s="1468" t="s">
        <v>54</v>
      </c>
    </row>
    <row r="38" spans="1:8" s="1292" customFormat="1" ht="60" hidden="1" x14ac:dyDescent="0.2">
      <c r="A38" s="1463">
        <v>6402</v>
      </c>
      <c r="B38" s="1469">
        <v>5368</v>
      </c>
      <c r="C38" s="1528" t="s">
        <v>518</v>
      </c>
      <c r="D38" s="1405" t="s">
        <v>495</v>
      </c>
      <c r="E38" s="1414">
        <v>0</v>
      </c>
      <c r="F38" s="1414">
        <v>0</v>
      </c>
      <c r="G38" s="1414">
        <v>0</v>
      </c>
      <c r="H38" s="1390" t="e">
        <f>G38/F38*100</f>
        <v>#DIV/0!</v>
      </c>
    </row>
    <row r="39" spans="1:8" s="1292" customFormat="1" ht="16.5" hidden="1" thickTop="1" thickBot="1" x14ac:dyDescent="0.3">
      <c r="A39" s="3219" t="s">
        <v>690</v>
      </c>
      <c r="B39" s="3220"/>
      <c r="C39" s="3220"/>
      <c r="D39" s="3220"/>
      <c r="E39" s="1387">
        <f>SUM(E38:E38)</f>
        <v>0</v>
      </c>
      <c r="F39" s="1387">
        <f>SUM(F38:F38)</f>
        <v>0</v>
      </c>
      <c r="G39" s="1387">
        <f>SUM(G38:G38)</f>
        <v>0</v>
      </c>
      <c r="H39" s="1391" t="e">
        <f>G39/F39*100</f>
        <v>#DIV/0!</v>
      </c>
    </row>
    <row r="40" spans="1:8" s="1292" customFormat="1" ht="15" hidden="1" x14ac:dyDescent="0.25">
      <c r="A40" s="1392"/>
      <c r="B40" s="1392"/>
      <c r="C40" s="1392"/>
      <c r="D40" s="1392"/>
      <c r="E40" s="1527"/>
      <c r="F40" s="1527"/>
      <c r="G40" s="1527"/>
      <c r="H40" s="1418"/>
    </row>
    <row r="41" spans="1:8" ht="15" hidden="1" x14ac:dyDescent="0.25">
      <c r="A41" s="1377" t="s">
        <v>177</v>
      </c>
    </row>
    <row r="42" spans="1:8" ht="15" hidden="1" x14ac:dyDescent="0.25">
      <c r="A42" s="1377" t="s">
        <v>178</v>
      </c>
      <c r="H42" s="1459" t="s">
        <v>148</v>
      </c>
    </row>
    <row r="43" spans="1:8" s="1292" customFormat="1" ht="25.5" hidden="1" thickTop="1" thickBot="1" x14ac:dyDescent="0.25">
      <c r="A43" s="1378" t="s">
        <v>149</v>
      </c>
      <c r="B43" s="1379" t="s">
        <v>688</v>
      </c>
      <c r="C43" s="1379" t="s">
        <v>345</v>
      </c>
      <c r="D43" s="1380" t="s">
        <v>151</v>
      </c>
      <c r="E43" s="1402" t="s">
        <v>569</v>
      </c>
      <c r="F43" s="1402" t="s">
        <v>570</v>
      </c>
      <c r="G43" s="1403" t="s">
        <v>797</v>
      </c>
      <c r="H43" s="1404" t="s">
        <v>798</v>
      </c>
    </row>
    <row r="44" spans="1:8" s="1292" customFormat="1" ht="13.5" hidden="1" thickTop="1" thickBot="1" x14ac:dyDescent="0.25">
      <c r="A44" s="1297">
        <v>1</v>
      </c>
      <c r="B44" s="1296">
        <v>2</v>
      </c>
      <c r="C44" s="1296">
        <v>3</v>
      </c>
      <c r="D44" s="1296">
        <v>4</v>
      </c>
      <c r="E44" s="1295">
        <v>5</v>
      </c>
      <c r="F44" s="1295">
        <v>6</v>
      </c>
      <c r="G44" s="1446">
        <v>7</v>
      </c>
      <c r="H44" s="1468" t="s">
        <v>54</v>
      </c>
    </row>
    <row r="45" spans="1:8" s="1292" customFormat="1" ht="60" hidden="1" x14ac:dyDescent="0.2">
      <c r="A45" s="1463">
        <v>6402</v>
      </c>
      <c r="B45" s="1469">
        <v>5368</v>
      </c>
      <c r="C45" s="1529" t="s">
        <v>518</v>
      </c>
      <c r="D45" s="1405" t="s">
        <v>495</v>
      </c>
      <c r="E45" s="1414">
        <v>0</v>
      </c>
      <c r="F45" s="1414">
        <v>0</v>
      </c>
      <c r="G45" s="1414">
        <v>0</v>
      </c>
      <c r="H45" s="1390" t="e">
        <f>G45/F45*100</f>
        <v>#DIV/0!</v>
      </c>
    </row>
    <row r="46" spans="1:8" s="1292" customFormat="1" ht="16.5" hidden="1" thickTop="1" thickBot="1" x14ac:dyDescent="0.3">
      <c r="A46" s="3219" t="s">
        <v>690</v>
      </c>
      <c r="B46" s="3220"/>
      <c r="C46" s="3220"/>
      <c r="D46" s="3220"/>
      <c r="E46" s="1387">
        <f>SUM(E45:E45)</f>
        <v>0</v>
      </c>
      <c r="F46" s="1387">
        <f>SUM(F45:F45)</f>
        <v>0</v>
      </c>
      <c r="G46" s="1387">
        <f>SUM(G45:G45)</f>
        <v>0</v>
      </c>
      <c r="H46" s="1391" t="e">
        <f>G46/F46*100</f>
        <v>#DIV/0!</v>
      </c>
    </row>
    <row r="47" spans="1:8" s="1292" customFormat="1" ht="14.25" hidden="1" customHeight="1" thickTop="1" x14ac:dyDescent="0.25">
      <c r="A47" s="1392"/>
      <c r="B47" s="1392"/>
      <c r="C47" s="1392"/>
      <c r="D47" s="1392"/>
      <c r="E47" s="1393"/>
      <c r="F47" s="1393"/>
      <c r="G47" s="1393"/>
      <c r="H47" s="1418"/>
    </row>
    <row r="48" spans="1:8" s="1292" customFormat="1" ht="15" hidden="1" x14ac:dyDescent="0.25">
      <c r="A48" s="1377" t="s">
        <v>971</v>
      </c>
      <c r="B48" s="1371"/>
      <c r="C48" s="1371"/>
      <c r="D48" s="1372"/>
      <c r="E48" s="1398"/>
      <c r="F48" s="1398"/>
      <c r="G48" s="1398"/>
      <c r="H48" s="1372"/>
    </row>
    <row r="49" spans="1:8" s="1292" customFormat="1" ht="15" hidden="1" x14ac:dyDescent="0.25">
      <c r="A49" s="1377" t="s">
        <v>972</v>
      </c>
      <c r="B49" s="1371"/>
      <c r="C49" s="1371"/>
      <c r="D49" s="1372"/>
      <c r="E49" s="1398"/>
      <c r="F49" s="1398"/>
      <c r="G49" s="1398"/>
      <c r="H49" s="1459" t="s">
        <v>148</v>
      </c>
    </row>
    <row r="50" spans="1:8" s="1292" customFormat="1" ht="25.5" hidden="1" thickTop="1" thickBot="1" x14ac:dyDescent="0.25">
      <c r="A50" s="1378" t="s">
        <v>149</v>
      </c>
      <c r="B50" s="1379" t="s">
        <v>688</v>
      </c>
      <c r="C50" s="1379" t="s">
        <v>345</v>
      </c>
      <c r="D50" s="1380" t="s">
        <v>151</v>
      </c>
      <c r="E50" s="1402" t="s">
        <v>569</v>
      </c>
      <c r="F50" s="1402" t="s">
        <v>570</v>
      </c>
      <c r="G50" s="1403" t="s">
        <v>797</v>
      </c>
      <c r="H50" s="1404" t="s">
        <v>798</v>
      </c>
    </row>
    <row r="51" spans="1:8" s="1292" customFormat="1" ht="13.5" hidden="1" thickTop="1" thickBot="1" x14ac:dyDescent="0.25">
      <c r="A51" s="1297">
        <v>1</v>
      </c>
      <c r="B51" s="1296">
        <v>2</v>
      </c>
      <c r="C51" s="1296">
        <v>3</v>
      </c>
      <c r="D51" s="1296">
        <v>4</v>
      </c>
      <c r="E51" s="1295">
        <v>5</v>
      </c>
      <c r="F51" s="1295">
        <v>6</v>
      </c>
      <c r="G51" s="1446">
        <v>7</v>
      </c>
      <c r="H51" s="1468" t="s">
        <v>54</v>
      </c>
    </row>
    <row r="52" spans="1:8" ht="16.5" hidden="1" customHeight="1" thickTop="1" x14ac:dyDescent="0.2">
      <c r="A52" s="1463">
        <v>2143</v>
      </c>
      <c r="B52" s="1469">
        <v>5011</v>
      </c>
      <c r="C52" s="1472">
        <v>41100880</v>
      </c>
      <c r="D52" s="1405" t="s">
        <v>248</v>
      </c>
      <c r="E52" s="1414"/>
      <c r="F52" s="1414"/>
      <c r="G52" s="1414"/>
      <c r="H52" s="1390" t="e">
        <f>G52/F52*100</f>
        <v>#DIV/0!</v>
      </c>
    </row>
    <row r="53" spans="1:8" ht="16.5" hidden="1" customHeight="1" x14ac:dyDescent="0.2">
      <c r="A53" s="1463">
        <v>2143</v>
      </c>
      <c r="B53" s="1469">
        <v>5011</v>
      </c>
      <c r="C53" s="1472">
        <v>41100882</v>
      </c>
      <c r="D53" s="1405" t="s">
        <v>248</v>
      </c>
      <c r="E53" s="1414"/>
      <c r="F53" s="1414"/>
      <c r="G53" s="1414"/>
      <c r="H53" s="1390" t="e">
        <f>G53/F53*100</f>
        <v>#DIV/0!</v>
      </c>
    </row>
    <row r="54" spans="1:8" s="1292" customFormat="1" ht="16.5" hidden="1" customHeight="1" x14ac:dyDescent="0.2">
      <c r="A54" s="1463">
        <v>2143</v>
      </c>
      <c r="B54" s="1469">
        <v>5011</v>
      </c>
      <c r="C54" s="1469">
        <v>41500881</v>
      </c>
      <c r="D54" s="1405" t="s">
        <v>248</v>
      </c>
      <c r="E54" s="1414"/>
      <c r="F54" s="1414"/>
      <c r="G54" s="1414"/>
      <c r="H54" s="1390" t="e">
        <f>G54/F54*100</f>
        <v>#DIV/0!</v>
      </c>
    </row>
    <row r="55" spans="1:8" s="1292" customFormat="1" ht="45" hidden="1" x14ac:dyDescent="0.2">
      <c r="A55" s="1463">
        <v>2143</v>
      </c>
      <c r="B55" s="1469">
        <v>5031</v>
      </c>
      <c r="C55" s="1469">
        <v>41100880</v>
      </c>
      <c r="D55" s="1405" t="s">
        <v>1165</v>
      </c>
      <c r="E55" s="1414"/>
      <c r="F55" s="1414"/>
      <c r="G55" s="1414"/>
      <c r="H55" s="1390" t="e">
        <f>G55/F55*100</f>
        <v>#DIV/0!</v>
      </c>
    </row>
    <row r="56" spans="1:8" s="1292" customFormat="1" ht="45" hidden="1" x14ac:dyDescent="0.2">
      <c r="A56" s="1463">
        <v>2143</v>
      </c>
      <c r="B56" s="1469">
        <v>5031</v>
      </c>
      <c r="C56" s="1469">
        <v>41100882</v>
      </c>
      <c r="D56" s="1405" t="s">
        <v>1165</v>
      </c>
      <c r="E56" s="1414"/>
      <c r="F56" s="1414"/>
      <c r="G56" s="1414"/>
      <c r="H56" s="1390">
        <v>0</v>
      </c>
    </row>
    <row r="57" spans="1:8" s="1292" customFormat="1" ht="45" hidden="1" x14ac:dyDescent="0.2">
      <c r="A57" s="1463">
        <v>2143</v>
      </c>
      <c r="B57" s="1469">
        <v>5031</v>
      </c>
      <c r="C57" s="1469">
        <v>41500881</v>
      </c>
      <c r="D57" s="1405" t="s">
        <v>1165</v>
      </c>
      <c r="E57" s="1414"/>
      <c r="F57" s="1414"/>
      <c r="G57" s="1414"/>
      <c r="H57" s="1390" t="e">
        <f t="shared" ref="H57:H64" si="0">G57/F57*100</f>
        <v>#DIV/0!</v>
      </c>
    </row>
    <row r="58" spans="1:8" s="1292" customFormat="1" ht="30" hidden="1" x14ac:dyDescent="0.2">
      <c r="A58" s="1530">
        <v>2143</v>
      </c>
      <c r="B58" s="1469">
        <v>5032</v>
      </c>
      <c r="C58" s="1469">
        <v>41100880</v>
      </c>
      <c r="D58" s="1405" t="s">
        <v>1058</v>
      </c>
      <c r="E58" s="1414"/>
      <c r="F58" s="1414"/>
      <c r="G58" s="1414"/>
      <c r="H58" s="1390" t="e">
        <f t="shared" si="0"/>
        <v>#DIV/0!</v>
      </c>
    </row>
    <row r="59" spans="1:8" s="1292" customFormat="1" ht="30" hidden="1" x14ac:dyDescent="0.2">
      <c r="A59" s="1530">
        <v>2143</v>
      </c>
      <c r="B59" s="1469">
        <v>5032</v>
      </c>
      <c r="C59" s="1469">
        <v>41100882</v>
      </c>
      <c r="D59" s="1405" t="s">
        <v>1058</v>
      </c>
      <c r="E59" s="1414"/>
      <c r="F59" s="1414"/>
      <c r="G59" s="1414"/>
      <c r="H59" s="1390" t="e">
        <f t="shared" si="0"/>
        <v>#DIV/0!</v>
      </c>
    </row>
    <row r="60" spans="1:8" s="1292" customFormat="1" ht="30" hidden="1" x14ac:dyDescent="0.2">
      <c r="A60" s="1530">
        <v>2143</v>
      </c>
      <c r="B60" s="1469">
        <v>5032</v>
      </c>
      <c r="C60" s="1469">
        <v>41500881</v>
      </c>
      <c r="D60" s="1405" t="s">
        <v>1058</v>
      </c>
      <c r="E60" s="1414"/>
      <c r="F60" s="1414"/>
      <c r="G60" s="1414"/>
      <c r="H60" s="1390" t="e">
        <f t="shared" si="0"/>
        <v>#DIV/0!</v>
      </c>
    </row>
    <row r="61" spans="1:8" s="1292" customFormat="1" ht="15" hidden="1" x14ac:dyDescent="0.2">
      <c r="A61" s="1384">
        <v>2143</v>
      </c>
      <c r="B61" s="1385">
        <v>5139</v>
      </c>
      <c r="C61" s="1469">
        <v>41100880</v>
      </c>
      <c r="D61" s="1405" t="s">
        <v>249</v>
      </c>
      <c r="E61" s="1414"/>
      <c r="F61" s="1414"/>
      <c r="G61" s="1414"/>
      <c r="H61" s="1390" t="e">
        <f t="shared" si="0"/>
        <v>#DIV/0!</v>
      </c>
    </row>
    <row r="62" spans="1:8" s="1292" customFormat="1" ht="15" hidden="1" x14ac:dyDescent="0.2">
      <c r="A62" s="1384">
        <v>2143</v>
      </c>
      <c r="B62" s="1385">
        <v>5139</v>
      </c>
      <c r="C62" s="1469">
        <v>41100882</v>
      </c>
      <c r="D62" s="1405" t="s">
        <v>249</v>
      </c>
      <c r="E62" s="1414"/>
      <c r="F62" s="1414"/>
      <c r="G62" s="1414"/>
      <c r="H62" s="1390" t="e">
        <f t="shared" si="0"/>
        <v>#DIV/0!</v>
      </c>
    </row>
    <row r="63" spans="1:8" s="1292" customFormat="1" ht="15" hidden="1" x14ac:dyDescent="0.2">
      <c r="A63" s="1384">
        <v>2143</v>
      </c>
      <c r="B63" s="1385">
        <v>5139</v>
      </c>
      <c r="C63" s="1469">
        <v>41500881</v>
      </c>
      <c r="D63" s="1405" t="s">
        <v>249</v>
      </c>
      <c r="E63" s="1414"/>
      <c r="F63" s="1414"/>
      <c r="G63" s="1414"/>
      <c r="H63" s="1390" t="e">
        <f t="shared" si="0"/>
        <v>#DIV/0!</v>
      </c>
    </row>
    <row r="64" spans="1:8" s="1292" customFormat="1" ht="15" hidden="1" x14ac:dyDescent="0.2">
      <c r="A64" s="1384">
        <v>2143</v>
      </c>
      <c r="B64" s="1385">
        <v>5163</v>
      </c>
      <c r="C64" s="1469">
        <v>41100880</v>
      </c>
      <c r="D64" s="1405" t="s">
        <v>807</v>
      </c>
      <c r="E64" s="1414"/>
      <c r="F64" s="1414"/>
      <c r="G64" s="1414"/>
      <c r="H64" s="1390" t="e">
        <f t="shared" si="0"/>
        <v>#DIV/0!</v>
      </c>
    </row>
    <row r="65" spans="1:8" s="1292" customFormat="1" ht="15" hidden="1" x14ac:dyDescent="0.2">
      <c r="A65" s="1384">
        <v>2143</v>
      </c>
      <c r="B65" s="1385">
        <v>5163</v>
      </c>
      <c r="C65" s="1469">
        <v>41100882</v>
      </c>
      <c r="D65" s="1405" t="s">
        <v>807</v>
      </c>
      <c r="E65" s="1414"/>
      <c r="F65" s="1414"/>
      <c r="G65" s="1414"/>
      <c r="H65" s="1390">
        <v>0</v>
      </c>
    </row>
    <row r="66" spans="1:8" s="1292" customFormat="1" ht="15" hidden="1" customHeight="1" x14ac:dyDescent="0.2">
      <c r="A66" s="1384">
        <v>2143</v>
      </c>
      <c r="B66" s="1385">
        <v>5163</v>
      </c>
      <c r="C66" s="1469">
        <v>41500881</v>
      </c>
      <c r="D66" s="1405" t="s">
        <v>807</v>
      </c>
      <c r="E66" s="1414"/>
      <c r="F66" s="1414"/>
      <c r="G66" s="1414"/>
      <c r="H66" s="1390" t="e">
        <f t="shared" ref="H66:H82" si="1">G66/F66*100</f>
        <v>#DIV/0!</v>
      </c>
    </row>
    <row r="67" spans="1:8" s="1292" customFormat="1" ht="15" hidden="1" customHeight="1" x14ac:dyDescent="0.2">
      <c r="A67" s="1384">
        <v>2143</v>
      </c>
      <c r="B67" s="1385">
        <v>5164</v>
      </c>
      <c r="C67" s="1469">
        <v>41100880</v>
      </c>
      <c r="D67" s="1405" t="s">
        <v>157</v>
      </c>
      <c r="E67" s="1414"/>
      <c r="F67" s="1414"/>
      <c r="G67" s="1414"/>
      <c r="H67" s="1390" t="e">
        <f t="shared" si="1"/>
        <v>#DIV/0!</v>
      </c>
    </row>
    <row r="68" spans="1:8" s="1292" customFormat="1" ht="15" hidden="1" customHeight="1" x14ac:dyDescent="0.2">
      <c r="A68" s="1384">
        <v>2143</v>
      </c>
      <c r="B68" s="1385">
        <v>5164</v>
      </c>
      <c r="C68" s="1469">
        <v>41100882</v>
      </c>
      <c r="D68" s="1405" t="s">
        <v>157</v>
      </c>
      <c r="E68" s="1414"/>
      <c r="F68" s="1414"/>
      <c r="G68" s="1414"/>
      <c r="H68" s="1390" t="e">
        <f t="shared" si="1"/>
        <v>#DIV/0!</v>
      </c>
    </row>
    <row r="69" spans="1:8" s="1292" customFormat="1" ht="15" hidden="1" customHeight="1" x14ac:dyDescent="0.2">
      <c r="A69" s="1384">
        <v>2143</v>
      </c>
      <c r="B69" s="1385">
        <v>5164</v>
      </c>
      <c r="C69" s="1469">
        <v>41500881</v>
      </c>
      <c r="D69" s="1405" t="s">
        <v>157</v>
      </c>
      <c r="E69" s="1414"/>
      <c r="F69" s="1414"/>
      <c r="G69" s="1414"/>
      <c r="H69" s="1390" t="e">
        <f t="shared" si="1"/>
        <v>#DIV/0!</v>
      </c>
    </row>
    <row r="70" spans="1:8" s="1292" customFormat="1" ht="15" hidden="1" customHeight="1" x14ac:dyDescent="0.2">
      <c r="A70" s="1463">
        <v>2143</v>
      </c>
      <c r="B70" s="1469">
        <v>5166</v>
      </c>
      <c r="C70" s="1528" t="s">
        <v>1236</v>
      </c>
      <c r="D70" s="1405" t="s">
        <v>553</v>
      </c>
      <c r="E70" s="1414"/>
      <c r="F70" s="1414"/>
      <c r="G70" s="1414"/>
      <c r="H70" s="1390" t="e">
        <f t="shared" si="1"/>
        <v>#DIV/0!</v>
      </c>
    </row>
    <row r="71" spans="1:8" s="1292" customFormat="1" ht="15" hidden="1" customHeight="1" x14ac:dyDescent="0.2">
      <c r="A71" s="1463">
        <v>2143</v>
      </c>
      <c r="B71" s="1469">
        <v>5166</v>
      </c>
      <c r="C71" s="1469">
        <v>41100882</v>
      </c>
      <c r="D71" s="1405" t="s">
        <v>553</v>
      </c>
      <c r="E71" s="1414"/>
      <c r="F71" s="1414"/>
      <c r="G71" s="1414"/>
      <c r="H71" s="1390" t="e">
        <f t="shared" si="1"/>
        <v>#DIV/0!</v>
      </c>
    </row>
    <row r="72" spans="1:8" s="1292" customFormat="1" ht="15" hidden="1" customHeight="1" x14ac:dyDescent="0.2">
      <c r="A72" s="1463">
        <v>2143</v>
      </c>
      <c r="B72" s="1469">
        <v>5166</v>
      </c>
      <c r="C72" s="1469">
        <v>41500881</v>
      </c>
      <c r="D72" s="1405" t="s">
        <v>553</v>
      </c>
      <c r="E72" s="1414"/>
      <c r="F72" s="1414"/>
      <c r="G72" s="1414"/>
      <c r="H72" s="1390" t="e">
        <f t="shared" si="1"/>
        <v>#DIV/0!</v>
      </c>
    </row>
    <row r="73" spans="1:8" s="1292" customFormat="1" ht="15" hidden="1" x14ac:dyDescent="0.2">
      <c r="A73" s="1463">
        <v>2143</v>
      </c>
      <c r="B73" s="1469">
        <v>5169</v>
      </c>
      <c r="C73" s="1469">
        <v>41100880</v>
      </c>
      <c r="D73" s="1405" t="s">
        <v>769</v>
      </c>
      <c r="E73" s="1414">
        <v>0</v>
      </c>
      <c r="F73" s="1414">
        <v>0</v>
      </c>
      <c r="G73" s="1414">
        <v>0</v>
      </c>
      <c r="H73" s="1390" t="e">
        <f t="shared" si="1"/>
        <v>#DIV/0!</v>
      </c>
    </row>
    <row r="74" spans="1:8" s="1292" customFormat="1" ht="15" hidden="1" x14ac:dyDescent="0.2">
      <c r="A74" s="1463">
        <v>2143</v>
      </c>
      <c r="B74" s="1469">
        <v>5169</v>
      </c>
      <c r="C74" s="1469">
        <v>41100882</v>
      </c>
      <c r="D74" s="1405" t="s">
        <v>769</v>
      </c>
      <c r="E74" s="1414">
        <v>0</v>
      </c>
      <c r="F74" s="1414">
        <v>0</v>
      </c>
      <c r="G74" s="1414">
        <v>0</v>
      </c>
      <c r="H74" s="1390" t="e">
        <f t="shared" si="1"/>
        <v>#DIV/0!</v>
      </c>
    </row>
    <row r="75" spans="1:8" s="1292" customFormat="1" ht="15" hidden="1" x14ac:dyDescent="0.2">
      <c r="A75" s="1463">
        <v>2143</v>
      </c>
      <c r="B75" s="1469">
        <v>5169</v>
      </c>
      <c r="C75" s="1529" t="s">
        <v>2086</v>
      </c>
      <c r="D75" s="1405" t="s">
        <v>769</v>
      </c>
      <c r="E75" s="1414"/>
      <c r="F75" s="1414"/>
      <c r="G75" s="1414"/>
      <c r="H75" s="1390" t="e">
        <f t="shared" si="1"/>
        <v>#DIV/0!</v>
      </c>
    </row>
    <row r="76" spans="1:8" s="1292" customFormat="1" ht="15" hidden="1" x14ac:dyDescent="0.2">
      <c r="A76" s="1463">
        <v>2143</v>
      </c>
      <c r="B76" s="1469">
        <v>5173</v>
      </c>
      <c r="C76" s="1469">
        <v>41100880</v>
      </c>
      <c r="D76" s="1405" t="s">
        <v>1038</v>
      </c>
      <c r="E76" s="1414"/>
      <c r="F76" s="1414"/>
      <c r="G76" s="1414"/>
      <c r="H76" s="1390" t="e">
        <f t="shared" si="1"/>
        <v>#DIV/0!</v>
      </c>
    </row>
    <row r="77" spans="1:8" s="1292" customFormat="1" ht="15" hidden="1" x14ac:dyDescent="0.2">
      <c r="A77" s="1463">
        <v>2143</v>
      </c>
      <c r="B77" s="1469">
        <v>5173</v>
      </c>
      <c r="C77" s="1469">
        <v>41100882</v>
      </c>
      <c r="D77" s="1405" t="s">
        <v>1038</v>
      </c>
      <c r="E77" s="1414"/>
      <c r="F77" s="1414"/>
      <c r="G77" s="1414"/>
      <c r="H77" s="1390" t="e">
        <f t="shared" si="1"/>
        <v>#DIV/0!</v>
      </c>
    </row>
    <row r="78" spans="1:8" s="1292" customFormat="1" ht="15" hidden="1" x14ac:dyDescent="0.2">
      <c r="A78" s="1463">
        <v>2143</v>
      </c>
      <c r="B78" s="1469">
        <v>5173</v>
      </c>
      <c r="C78" s="1469">
        <v>41500881</v>
      </c>
      <c r="D78" s="1405" t="s">
        <v>1038</v>
      </c>
      <c r="E78" s="1414"/>
      <c r="F78" s="1414"/>
      <c r="G78" s="1414"/>
      <c r="H78" s="1390" t="e">
        <f t="shared" si="1"/>
        <v>#DIV/0!</v>
      </c>
    </row>
    <row r="79" spans="1:8" s="1292" customFormat="1" ht="15" hidden="1" x14ac:dyDescent="0.2">
      <c r="A79" s="1463">
        <v>2143</v>
      </c>
      <c r="B79" s="1469">
        <v>5175</v>
      </c>
      <c r="C79" s="1469">
        <v>41100880</v>
      </c>
      <c r="D79" s="1405" t="s">
        <v>1302</v>
      </c>
      <c r="E79" s="1414"/>
      <c r="F79" s="1414"/>
      <c r="G79" s="1414"/>
      <c r="H79" s="1390" t="e">
        <f t="shared" si="1"/>
        <v>#DIV/0!</v>
      </c>
    </row>
    <row r="80" spans="1:8" s="1292" customFormat="1" ht="15" hidden="1" x14ac:dyDescent="0.2">
      <c r="A80" s="1463">
        <v>2143</v>
      </c>
      <c r="B80" s="1469">
        <v>5175</v>
      </c>
      <c r="C80" s="1469">
        <v>41100882</v>
      </c>
      <c r="D80" s="1405" t="s">
        <v>1302</v>
      </c>
      <c r="E80" s="1414"/>
      <c r="F80" s="1414"/>
      <c r="G80" s="1414"/>
      <c r="H80" s="1390" t="e">
        <f t="shared" si="1"/>
        <v>#DIV/0!</v>
      </c>
    </row>
    <row r="81" spans="1:8" s="1292" customFormat="1" ht="15" hidden="1" x14ac:dyDescent="0.2">
      <c r="A81" s="1463">
        <v>2143</v>
      </c>
      <c r="B81" s="1469">
        <v>5175</v>
      </c>
      <c r="C81" s="1469">
        <v>41500881</v>
      </c>
      <c r="D81" s="1405" t="s">
        <v>1302</v>
      </c>
      <c r="E81" s="1414"/>
      <c r="F81" s="1414"/>
      <c r="G81" s="1414"/>
      <c r="H81" s="1390" t="e">
        <f t="shared" si="1"/>
        <v>#DIV/0!</v>
      </c>
    </row>
    <row r="82" spans="1:8" s="1292" customFormat="1" ht="16.5" hidden="1" thickTop="1" thickBot="1" x14ac:dyDescent="0.3">
      <c r="A82" s="3219" t="s">
        <v>690</v>
      </c>
      <c r="B82" s="3220"/>
      <c r="C82" s="3220"/>
      <c r="D82" s="3220"/>
      <c r="E82" s="1387">
        <f>SUM(E52:E81)</f>
        <v>0</v>
      </c>
      <c r="F82" s="1387">
        <f>SUM(F52:F81)</f>
        <v>0</v>
      </c>
      <c r="G82" s="1387">
        <f>SUM(G52:G81)</f>
        <v>0</v>
      </c>
      <c r="H82" s="1391" t="e">
        <f t="shared" si="1"/>
        <v>#DIV/0!</v>
      </c>
    </row>
    <row r="83" spans="1:8" s="1292" customFormat="1" ht="14.25" hidden="1" customHeight="1" thickTop="1" x14ac:dyDescent="0.25">
      <c r="A83" s="1392"/>
      <c r="B83" s="1392"/>
      <c r="C83" s="1392"/>
      <c r="D83" s="1392"/>
      <c r="E83" s="1393"/>
      <c r="F83" s="1393"/>
      <c r="G83" s="1393"/>
      <c r="H83" s="1418"/>
    </row>
    <row r="84" spans="1:8" ht="15" x14ac:dyDescent="0.25">
      <c r="A84" s="1377" t="s">
        <v>105</v>
      </c>
    </row>
    <row r="85" spans="1:8" ht="15.75" thickBot="1" x14ac:dyDescent="0.3">
      <c r="A85" s="1377" t="s">
        <v>106</v>
      </c>
      <c r="H85" s="1459" t="s">
        <v>148</v>
      </c>
    </row>
    <row r="86" spans="1:8" s="1292" customFormat="1" ht="25.5" thickTop="1" thickBot="1" x14ac:dyDescent="0.25">
      <c r="A86" s="1378" t="s">
        <v>149</v>
      </c>
      <c r="B86" s="1379" t="s">
        <v>688</v>
      </c>
      <c r="C86" s="1379" t="s">
        <v>345</v>
      </c>
      <c r="D86" s="1380" t="s">
        <v>151</v>
      </c>
      <c r="E86" s="1402" t="s">
        <v>569</v>
      </c>
      <c r="F86" s="1402" t="s">
        <v>570</v>
      </c>
      <c r="G86" s="1403" t="s">
        <v>797</v>
      </c>
      <c r="H86" s="1404" t="s">
        <v>798</v>
      </c>
    </row>
    <row r="87" spans="1:8" s="1292" customFormat="1" ht="13.5" thickTop="1" thickBot="1" x14ac:dyDescent="0.25">
      <c r="A87" s="1297">
        <v>1</v>
      </c>
      <c r="B87" s="1296">
        <v>2</v>
      </c>
      <c r="C87" s="1296">
        <v>3</v>
      </c>
      <c r="D87" s="1296">
        <v>4</v>
      </c>
      <c r="E87" s="1295">
        <v>5</v>
      </c>
      <c r="F87" s="1295">
        <v>6</v>
      </c>
      <c r="G87" s="1446">
        <v>7</v>
      </c>
      <c r="H87" s="1468" t="s">
        <v>54</v>
      </c>
    </row>
    <row r="88" spans="1:8" s="1292" customFormat="1" ht="15.75" thickTop="1" x14ac:dyDescent="0.2">
      <c r="A88" s="1384">
        <v>3122</v>
      </c>
      <c r="B88" s="1385">
        <v>5137</v>
      </c>
      <c r="C88" s="1531" t="s">
        <v>2028</v>
      </c>
      <c r="D88" s="1405" t="s">
        <v>142</v>
      </c>
      <c r="E88" s="1414">
        <v>0</v>
      </c>
      <c r="F88" s="1414">
        <v>73</v>
      </c>
      <c r="G88" s="1414">
        <v>73</v>
      </c>
      <c r="H88" s="1390">
        <f>G88/F88*100</f>
        <v>100</v>
      </c>
    </row>
    <row r="89" spans="1:8" s="1292" customFormat="1" ht="15" hidden="1" x14ac:dyDescent="0.2">
      <c r="A89" s="1384">
        <v>3122</v>
      </c>
      <c r="B89" s="1385">
        <v>5137</v>
      </c>
      <c r="C89" s="1531" t="s">
        <v>1235</v>
      </c>
      <c r="D89" s="1405" t="s">
        <v>142</v>
      </c>
      <c r="E89" s="1414">
        <v>0</v>
      </c>
      <c r="F89" s="1414"/>
      <c r="G89" s="1414"/>
      <c r="H89" s="1390" t="e">
        <f>G89/F89*100</f>
        <v>#DIV/0!</v>
      </c>
    </row>
    <row r="90" spans="1:8" s="1292" customFormat="1" ht="15" x14ac:dyDescent="0.2">
      <c r="A90" s="1384">
        <v>3122</v>
      </c>
      <c r="B90" s="1385">
        <v>5137</v>
      </c>
      <c r="C90" s="1531" t="s">
        <v>2027</v>
      </c>
      <c r="D90" s="1405" t="s">
        <v>142</v>
      </c>
      <c r="E90" s="1414">
        <v>0</v>
      </c>
      <c r="F90" s="1414">
        <v>416</v>
      </c>
      <c r="G90" s="1414">
        <v>416</v>
      </c>
      <c r="H90" s="1390">
        <f>G90/F90*100</f>
        <v>100</v>
      </c>
    </row>
    <row r="91" spans="1:8" s="1292" customFormat="1" ht="15" hidden="1" x14ac:dyDescent="0.2">
      <c r="A91" s="1384">
        <v>3122</v>
      </c>
      <c r="B91" s="1385">
        <v>5137</v>
      </c>
      <c r="C91" s="1531" t="s">
        <v>1234</v>
      </c>
      <c r="D91" s="1405" t="s">
        <v>142</v>
      </c>
      <c r="E91" s="1414"/>
      <c r="F91" s="1414"/>
      <c r="G91" s="1414"/>
      <c r="H91" s="1390" t="e">
        <f>G91/F91*100</f>
        <v>#DIV/0!</v>
      </c>
    </row>
    <row r="92" spans="1:8" s="1292" customFormat="1" ht="15" x14ac:dyDescent="0.2">
      <c r="A92" s="1384">
        <v>3122</v>
      </c>
      <c r="B92" s="1385">
        <v>6121</v>
      </c>
      <c r="C92" s="1531" t="s">
        <v>2028</v>
      </c>
      <c r="D92" s="1405" t="s">
        <v>548</v>
      </c>
      <c r="E92" s="1414">
        <v>1603</v>
      </c>
      <c r="F92" s="1414">
        <v>0</v>
      </c>
      <c r="G92" s="1414">
        <v>0</v>
      </c>
      <c r="H92" s="1390">
        <v>0</v>
      </c>
    </row>
    <row r="93" spans="1:8" s="1292" customFormat="1" ht="15" x14ac:dyDescent="0.2">
      <c r="A93" s="1384">
        <v>3122</v>
      </c>
      <c r="B93" s="1385">
        <v>6121</v>
      </c>
      <c r="C93" s="1531" t="s">
        <v>2029</v>
      </c>
      <c r="D93" s="1405" t="s">
        <v>548</v>
      </c>
      <c r="E93" s="1414">
        <v>0</v>
      </c>
      <c r="F93" s="1414">
        <v>470</v>
      </c>
      <c r="G93" s="1414">
        <v>253</v>
      </c>
      <c r="H93" s="1390">
        <f>G93/F93*100</f>
        <v>53.829787234042556</v>
      </c>
    </row>
    <row r="94" spans="1:8" s="1292" customFormat="1" ht="15" hidden="1" x14ac:dyDescent="0.2">
      <c r="A94" s="1384">
        <v>3122</v>
      </c>
      <c r="B94" s="1385">
        <v>6121</v>
      </c>
      <c r="C94" s="1531" t="s">
        <v>1619</v>
      </c>
      <c r="D94" s="1405" t="s">
        <v>548</v>
      </c>
      <c r="E94" s="1414"/>
      <c r="F94" s="1414"/>
      <c r="G94" s="1414"/>
      <c r="H94" s="1390" t="e">
        <f>G94/F94*100</f>
        <v>#DIV/0!</v>
      </c>
    </row>
    <row r="95" spans="1:8" s="1292" customFormat="1" ht="15" x14ac:dyDescent="0.2">
      <c r="A95" s="1384">
        <v>3122</v>
      </c>
      <c r="B95" s="1385">
        <v>6121</v>
      </c>
      <c r="C95" s="1531" t="s">
        <v>2027</v>
      </c>
      <c r="D95" s="1405" t="s">
        <v>548</v>
      </c>
      <c r="E95" s="1414">
        <v>0</v>
      </c>
      <c r="F95" s="1414">
        <v>0</v>
      </c>
      <c r="G95" s="1414">
        <v>0</v>
      </c>
      <c r="H95" s="1390">
        <v>0</v>
      </c>
    </row>
    <row r="96" spans="1:8" s="1292" customFormat="1" ht="15" x14ac:dyDescent="0.2">
      <c r="A96" s="1384">
        <v>3122</v>
      </c>
      <c r="B96" s="1385">
        <v>6121</v>
      </c>
      <c r="C96" s="1531" t="s">
        <v>2013</v>
      </c>
      <c r="D96" s="1405" t="s">
        <v>548</v>
      </c>
      <c r="E96" s="1414">
        <v>9084</v>
      </c>
      <c r="F96" s="1414">
        <v>0</v>
      </c>
      <c r="G96" s="1414">
        <v>0</v>
      </c>
      <c r="H96" s="1390">
        <v>0</v>
      </c>
    </row>
    <row r="97" spans="1:8" s="1292" customFormat="1" ht="15" x14ac:dyDescent="0.2">
      <c r="A97" s="1384">
        <v>3122</v>
      </c>
      <c r="B97" s="1385">
        <v>6122</v>
      </c>
      <c r="C97" s="1531" t="s">
        <v>2028</v>
      </c>
      <c r="D97" s="1405" t="s">
        <v>549</v>
      </c>
      <c r="E97" s="1414">
        <v>0</v>
      </c>
      <c r="F97" s="1414">
        <v>1530</v>
      </c>
      <c r="G97" s="1414">
        <v>1530</v>
      </c>
      <c r="H97" s="1390">
        <f>G97/F97*100</f>
        <v>100</v>
      </c>
    </row>
    <row r="98" spans="1:8" s="1292" customFormat="1" ht="15" x14ac:dyDescent="0.2">
      <c r="A98" s="1384">
        <v>3122</v>
      </c>
      <c r="B98" s="1385">
        <v>6122</v>
      </c>
      <c r="C98" s="1531" t="s">
        <v>2029</v>
      </c>
      <c r="D98" s="1405" t="s">
        <v>549</v>
      </c>
      <c r="E98" s="1414">
        <v>0</v>
      </c>
      <c r="F98" s="1414">
        <v>30</v>
      </c>
      <c r="G98" s="1414">
        <v>30</v>
      </c>
      <c r="H98" s="1390">
        <f>G98/F98*100</f>
        <v>100</v>
      </c>
    </row>
    <row r="99" spans="1:8" s="1292" customFormat="1" ht="15.75" thickBot="1" x14ac:dyDescent="0.25">
      <c r="A99" s="1384">
        <v>3122</v>
      </c>
      <c r="B99" s="1385">
        <v>6122</v>
      </c>
      <c r="C99" s="1531" t="s">
        <v>2027</v>
      </c>
      <c r="D99" s="1405" t="s">
        <v>549</v>
      </c>
      <c r="E99" s="1414">
        <v>0</v>
      </c>
      <c r="F99" s="1414">
        <v>8668</v>
      </c>
      <c r="G99" s="1414">
        <v>8668</v>
      </c>
      <c r="H99" s="1390">
        <f>G99/F99*100</f>
        <v>100</v>
      </c>
    </row>
    <row r="100" spans="1:8" s="1292" customFormat="1" ht="15.75" hidden="1" thickBot="1" x14ac:dyDescent="0.25">
      <c r="A100" s="1384">
        <v>3122</v>
      </c>
      <c r="B100" s="1385">
        <v>6122</v>
      </c>
      <c r="C100" s="1531" t="s">
        <v>1234</v>
      </c>
      <c r="D100" s="1405" t="s">
        <v>549</v>
      </c>
      <c r="E100" s="1414"/>
      <c r="F100" s="1414"/>
      <c r="G100" s="1414"/>
      <c r="H100" s="1390">
        <v>0</v>
      </c>
    </row>
    <row r="101" spans="1:8" s="1292" customFormat="1" ht="16.5" thickTop="1" thickBot="1" x14ac:dyDescent="0.3">
      <c r="A101" s="3219" t="s">
        <v>690</v>
      </c>
      <c r="B101" s="3220"/>
      <c r="C101" s="3220"/>
      <c r="D101" s="3220"/>
      <c r="E101" s="1387">
        <f>SUM(E88:E100)</f>
        <v>10687</v>
      </c>
      <c r="F101" s="1387">
        <f>SUM(F88:F100)</f>
        <v>11187</v>
      </c>
      <c r="G101" s="1387">
        <f>SUM(G88:G100)</f>
        <v>10970</v>
      </c>
      <c r="H101" s="1388">
        <f>G101/F101*100</f>
        <v>98.060248502726381</v>
      </c>
    </row>
    <row r="102" spans="1:8" s="1292" customFormat="1" ht="15.75" thickTop="1" x14ac:dyDescent="0.25">
      <c r="A102" s="1377"/>
      <c r="B102" s="1392"/>
      <c r="C102" s="1392"/>
      <c r="D102" s="1392"/>
      <c r="E102" s="1393"/>
      <c r="F102" s="1393"/>
      <c r="G102" s="1393"/>
      <c r="H102" s="1532"/>
    </row>
    <row r="103" spans="1:8" ht="15" hidden="1" x14ac:dyDescent="0.25">
      <c r="A103" s="1377" t="s">
        <v>1506</v>
      </c>
    </row>
    <row r="104" spans="1:8" ht="15" hidden="1" x14ac:dyDescent="0.25">
      <c r="A104" s="1377" t="s">
        <v>107</v>
      </c>
      <c r="H104" s="1459" t="s">
        <v>148</v>
      </c>
    </row>
    <row r="105" spans="1:8" s="1292" customFormat="1" ht="25.5" hidden="1" thickTop="1" thickBot="1" x14ac:dyDescent="0.25">
      <c r="A105" s="1378" t="s">
        <v>149</v>
      </c>
      <c r="B105" s="1379" t="s">
        <v>688</v>
      </c>
      <c r="C105" s="1379" t="s">
        <v>345</v>
      </c>
      <c r="D105" s="1380" t="s">
        <v>151</v>
      </c>
      <c r="E105" s="1402" t="s">
        <v>569</v>
      </c>
      <c r="F105" s="1402" t="s">
        <v>570</v>
      </c>
      <c r="G105" s="1403" t="s">
        <v>797</v>
      </c>
      <c r="H105" s="1404" t="s">
        <v>798</v>
      </c>
    </row>
    <row r="106" spans="1:8" s="1292" customFormat="1" ht="13.5" hidden="1" thickTop="1" thickBot="1" x14ac:dyDescent="0.25">
      <c r="A106" s="1297">
        <v>1</v>
      </c>
      <c r="B106" s="1296">
        <v>2</v>
      </c>
      <c r="C106" s="1296">
        <v>3</v>
      </c>
      <c r="D106" s="1296">
        <v>4</v>
      </c>
      <c r="E106" s="1295">
        <v>5</v>
      </c>
      <c r="F106" s="1295">
        <v>6</v>
      </c>
      <c r="G106" s="1446">
        <v>7</v>
      </c>
      <c r="H106" s="1468" t="s">
        <v>54</v>
      </c>
    </row>
    <row r="107" spans="1:8" s="1292" customFormat="1" ht="15" hidden="1" x14ac:dyDescent="0.2">
      <c r="A107" s="1384">
        <v>3122</v>
      </c>
      <c r="B107" s="1385">
        <v>5137</v>
      </c>
      <c r="C107" s="1531" t="s">
        <v>2028</v>
      </c>
      <c r="D107" s="1405" t="s">
        <v>142</v>
      </c>
      <c r="E107" s="1414"/>
      <c r="F107" s="1414"/>
      <c r="G107" s="1414"/>
      <c r="H107" s="1390" t="e">
        <f t="shared" ref="H107:H116" si="2">G107/F107*100</f>
        <v>#DIV/0!</v>
      </c>
    </row>
    <row r="108" spans="1:8" s="1292" customFormat="1" ht="15" hidden="1" x14ac:dyDescent="0.2">
      <c r="A108" s="1384">
        <v>3122</v>
      </c>
      <c r="B108" s="1385">
        <v>5137</v>
      </c>
      <c r="C108" s="1531" t="s">
        <v>2077</v>
      </c>
      <c r="D108" s="1405" t="s">
        <v>142</v>
      </c>
      <c r="E108" s="1414"/>
      <c r="F108" s="1414"/>
      <c r="G108" s="1414"/>
      <c r="H108" s="1390" t="e">
        <f t="shared" si="2"/>
        <v>#DIV/0!</v>
      </c>
    </row>
    <row r="109" spans="1:8" s="1292" customFormat="1" ht="15" hidden="1" x14ac:dyDescent="0.2">
      <c r="A109" s="1384">
        <v>3122</v>
      </c>
      <c r="B109" s="1385">
        <v>6121</v>
      </c>
      <c r="C109" s="1531" t="s">
        <v>2028</v>
      </c>
      <c r="D109" s="1405" t="s">
        <v>548</v>
      </c>
      <c r="E109" s="1414"/>
      <c r="F109" s="1414"/>
      <c r="G109" s="1414"/>
      <c r="H109" s="1390" t="e">
        <f t="shared" si="2"/>
        <v>#DIV/0!</v>
      </c>
    </row>
    <row r="110" spans="1:8" s="1292" customFormat="1" ht="15" hidden="1" x14ac:dyDescent="0.2">
      <c r="A110" s="1384">
        <v>3122</v>
      </c>
      <c r="B110" s="1385">
        <v>6121</v>
      </c>
      <c r="C110" s="1531" t="s">
        <v>2029</v>
      </c>
      <c r="D110" s="1405" t="s">
        <v>548</v>
      </c>
      <c r="E110" s="1414"/>
      <c r="F110" s="1414"/>
      <c r="G110" s="1414"/>
      <c r="H110" s="1390" t="e">
        <f t="shared" si="2"/>
        <v>#DIV/0!</v>
      </c>
    </row>
    <row r="111" spans="1:8" s="1292" customFormat="1" ht="15" hidden="1" x14ac:dyDescent="0.2">
      <c r="A111" s="1384">
        <v>3122</v>
      </c>
      <c r="B111" s="1385">
        <v>6121</v>
      </c>
      <c r="C111" s="1531" t="s">
        <v>2027</v>
      </c>
      <c r="D111" s="1405" t="s">
        <v>548</v>
      </c>
      <c r="E111" s="1414"/>
      <c r="F111" s="1414"/>
      <c r="G111" s="1414"/>
      <c r="H111" s="1390" t="e">
        <f t="shared" si="2"/>
        <v>#DIV/0!</v>
      </c>
    </row>
    <row r="112" spans="1:8" s="1292" customFormat="1" ht="15" hidden="1" x14ac:dyDescent="0.2">
      <c r="A112" s="1384">
        <v>3122</v>
      </c>
      <c r="B112" s="1385">
        <v>6121</v>
      </c>
      <c r="C112" s="1531" t="s">
        <v>1886</v>
      </c>
      <c r="D112" s="1405" t="s">
        <v>548</v>
      </c>
      <c r="E112" s="1414"/>
      <c r="F112" s="1414"/>
      <c r="G112" s="1414"/>
      <c r="H112" s="1390" t="e">
        <f t="shared" si="2"/>
        <v>#DIV/0!</v>
      </c>
    </row>
    <row r="113" spans="1:8" s="1292" customFormat="1" ht="15" hidden="1" x14ac:dyDescent="0.2">
      <c r="A113" s="1384">
        <v>3122</v>
      </c>
      <c r="B113" s="1385">
        <v>6122</v>
      </c>
      <c r="C113" s="1531" t="s">
        <v>2028</v>
      </c>
      <c r="D113" s="1405" t="s">
        <v>549</v>
      </c>
      <c r="E113" s="1414"/>
      <c r="F113" s="1414"/>
      <c r="G113" s="1414"/>
      <c r="H113" s="1390" t="e">
        <f t="shared" si="2"/>
        <v>#DIV/0!</v>
      </c>
    </row>
    <row r="114" spans="1:8" s="1292" customFormat="1" ht="15" hidden="1" x14ac:dyDescent="0.2">
      <c r="A114" s="1384">
        <v>3122</v>
      </c>
      <c r="B114" s="1385">
        <v>6122</v>
      </c>
      <c r="C114" s="1531">
        <v>38500871</v>
      </c>
      <c r="D114" s="1405" t="s">
        <v>549</v>
      </c>
      <c r="E114" s="1414"/>
      <c r="F114" s="1414"/>
      <c r="G114" s="1414"/>
      <c r="H114" s="1390" t="e">
        <f t="shared" si="2"/>
        <v>#DIV/0!</v>
      </c>
    </row>
    <row r="115" spans="1:8" s="1292" customFormat="1" ht="15" hidden="1" x14ac:dyDescent="0.2">
      <c r="A115" s="1384">
        <v>3122</v>
      </c>
      <c r="B115" s="1385">
        <v>6122</v>
      </c>
      <c r="C115" s="1531" t="s">
        <v>1886</v>
      </c>
      <c r="D115" s="1405" t="s">
        <v>549</v>
      </c>
      <c r="E115" s="1414"/>
      <c r="F115" s="1414"/>
      <c r="G115" s="1414"/>
      <c r="H115" s="1390" t="e">
        <f t="shared" si="2"/>
        <v>#DIV/0!</v>
      </c>
    </row>
    <row r="116" spans="1:8" s="1292" customFormat="1" ht="16.5" hidden="1" thickTop="1" thickBot="1" x14ac:dyDescent="0.3">
      <c r="A116" s="3219" t="s">
        <v>690</v>
      </c>
      <c r="B116" s="3220"/>
      <c r="C116" s="3220"/>
      <c r="D116" s="3220"/>
      <c r="E116" s="1387">
        <f>SUM(E107:E115)</f>
        <v>0</v>
      </c>
      <c r="F116" s="1387">
        <f>SUM(F107:F115)</f>
        <v>0</v>
      </c>
      <c r="G116" s="1387">
        <f>SUM(G107:G115)</f>
        <v>0</v>
      </c>
      <c r="H116" s="1391" t="e">
        <f t="shared" si="2"/>
        <v>#DIV/0!</v>
      </c>
    </row>
    <row r="117" spans="1:8" s="1292" customFormat="1" ht="14.25" hidden="1" customHeight="1" thickTop="1" x14ac:dyDescent="0.25">
      <c r="A117" s="1392"/>
      <c r="B117" s="1392"/>
      <c r="C117" s="1392"/>
      <c r="D117" s="1392"/>
      <c r="E117" s="1393"/>
      <c r="F117" s="1393"/>
      <c r="G117" s="1393"/>
      <c r="H117" s="1418"/>
    </row>
    <row r="118" spans="1:8" ht="15" x14ac:dyDescent="0.25">
      <c r="A118" s="1377" t="s">
        <v>1320</v>
      </c>
    </row>
    <row r="119" spans="1:8" ht="15.75" thickBot="1" x14ac:dyDescent="0.3">
      <c r="A119" s="1377" t="s">
        <v>1321</v>
      </c>
      <c r="H119" s="1459" t="s">
        <v>148</v>
      </c>
    </row>
    <row r="120" spans="1:8" s="1292" customFormat="1" ht="25.5" thickTop="1" thickBot="1" x14ac:dyDescent="0.25">
      <c r="A120" s="1378" t="s">
        <v>149</v>
      </c>
      <c r="B120" s="1379" t="s">
        <v>688</v>
      </c>
      <c r="C120" s="1379" t="s">
        <v>345</v>
      </c>
      <c r="D120" s="1380" t="s">
        <v>151</v>
      </c>
      <c r="E120" s="1402" t="s">
        <v>569</v>
      </c>
      <c r="F120" s="1402" t="s">
        <v>570</v>
      </c>
      <c r="G120" s="1403" t="s">
        <v>797</v>
      </c>
      <c r="H120" s="1404" t="s">
        <v>798</v>
      </c>
    </row>
    <row r="121" spans="1:8" s="1292" customFormat="1" ht="13.5" thickTop="1" thickBot="1" x14ac:dyDescent="0.25">
      <c r="A121" s="1297">
        <v>1</v>
      </c>
      <c r="B121" s="1296">
        <v>2</v>
      </c>
      <c r="C121" s="1296">
        <v>3</v>
      </c>
      <c r="D121" s="1296">
        <v>4</v>
      </c>
      <c r="E121" s="1295">
        <v>5</v>
      </c>
      <c r="F121" s="1295">
        <v>6</v>
      </c>
      <c r="G121" s="1446">
        <v>7</v>
      </c>
      <c r="H121" s="1468" t="s">
        <v>54</v>
      </c>
    </row>
    <row r="122" spans="1:8" s="1292" customFormat="1" ht="15.75" thickTop="1" x14ac:dyDescent="0.2">
      <c r="A122" s="1384">
        <v>3122</v>
      </c>
      <c r="B122" s="1385">
        <v>5137</v>
      </c>
      <c r="C122" s="1531" t="s">
        <v>2028</v>
      </c>
      <c r="D122" s="1405" t="s">
        <v>142</v>
      </c>
      <c r="E122" s="1414">
        <v>0</v>
      </c>
      <c r="F122" s="1414">
        <v>108</v>
      </c>
      <c r="G122" s="1414">
        <v>108</v>
      </c>
      <c r="H122" s="1390">
        <f t="shared" ref="H122:H133" si="3">G122/F122*100</f>
        <v>100</v>
      </c>
    </row>
    <row r="123" spans="1:8" s="1292" customFormat="1" ht="15" x14ac:dyDescent="0.2">
      <c r="A123" s="1384">
        <v>3122</v>
      </c>
      <c r="B123" s="1385">
        <v>5137</v>
      </c>
      <c r="C123" s="1531" t="s">
        <v>2013</v>
      </c>
      <c r="D123" s="1405" t="s">
        <v>142</v>
      </c>
      <c r="E123" s="1414">
        <v>0</v>
      </c>
      <c r="F123" s="1414">
        <v>611</v>
      </c>
      <c r="G123" s="1414">
        <v>611</v>
      </c>
      <c r="H123" s="1390">
        <f t="shared" si="3"/>
        <v>100</v>
      </c>
    </row>
    <row r="124" spans="1:8" s="1292" customFormat="1" ht="15" x14ac:dyDescent="0.2">
      <c r="A124" s="1384">
        <v>3122</v>
      </c>
      <c r="B124" s="1385">
        <v>6121</v>
      </c>
      <c r="C124" s="1531" t="s">
        <v>2028</v>
      </c>
      <c r="D124" s="1405" t="s">
        <v>548</v>
      </c>
      <c r="E124" s="1414">
        <v>2438</v>
      </c>
      <c r="F124" s="1414">
        <v>271</v>
      </c>
      <c r="G124" s="1414">
        <v>271</v>
      </c>
      <c r="H124" s="1390">
        <f t="shared" si="3"/>
        <v>100</v>
      </c>
    </row>
    <row r="125" spans="1:8" s="1292" customFormat="1" ht="15" x14ac:dyDescent="0.2">
      <c r="A125" s="1384">
        <v>3122</v>
      </c>
      <c r="B125" s="1385">
        <v>6121</v>
      </c>
      <c r="C125" s="1531" t="s">
        <v>2010</v>
      </c>
      <c r="D125" s="1405" t="s">
        <v>548</v>
      </c>
      <c r="E125" s="1414">
        <v>0</v>
      </c>
      <c r="F125" s="1414">
        <v>320</v>
      </c>
      <c r="G125" s="1414">
        <v>320</v>
      </c>
      <c r="H125" s="1390">
        <f t="shared" si="3"/>
        <v>100</v>
      </c>
    </row>
    <row r="126" spans="1:8" s="1292" customFormat="1" ht="15" x14ac:dyDescent="0.2">
      <c r="A126" s="1384">
        <v>3122</v>
      </c>
      <c r="B126" s="1385">
        <v>6121</v>
      </c>
      <c r="C126" s="1531" t="s">
        <v>2014</v>
      </c>
      <c r="D126" s="1405" t="s">
        <v>548</v>
      </c>
      <c r="E126" s="1414">
        <v>0</v>
      </c>
      <c r="F126" s="1414">
        <v>116</v>
      </c>
      <c r="G126" s="1414">
        <v>116</v>
      </c>
      <c r="H126" s="1390">
        <f t="shared" si="3"/>
        <v>100</v>
      </c>
    </row>
    <row r="127" spans="1:8" s="1292" customFormat="1" ht="15" x14ac:dyDescent="0.2">
      <c r="A127" s="1384">
        <v>3122</v>
      </c>
      <c r="B127" s="1385">
        <v>6121</v>
      </c>
      <c r="C127" s="1531" t="s">
        <v>2013</v>
      </c>
      <c r="D127" s="1405" t="s">
        <v>548</v>
      </c>
      <c r="E127" s="1414">
        <v>13814</v>
      </c>
      <c r="F127" s="1414">
        <v>3349</v>
      </c>
      <c r="G127" s="1414">
        <v>3349</v>
      </c>
      <c r="H127" s="1390">
        <f t="shared" si="3"/>
        <v>100</v>
      </c>
    </row>
    <row r="128" spans="1:8" s="1292" customFormat="1" ht="15" x14ac:dyDescent="0.2">
      <c r="A128" s="1384">
        <v>3122</v>
      </c>
      <c r="B128" s="1385">
        <v>6122</v>
      </c>
      <c r="C128" s="1531" t="s">
        <v>2028</v>
      </c>
      <c r="D128" s="1405" t="s">
        <v>549</v>
      </c>
      <c r="E128" s="1414">
        <v>0</v>
      </c>
      <c r="F128" s="1414">
        <v>2098</v>
      </c>
      <c r="G128" s="1414">
        <v>2098</v>
      </c>
      <c r="H128" s="1390">
        <f t="shared" si="3"/>
        <v>100</v>
      </c>
    </row>
    <row r="129" spans="1:8" s="1292" customFormat="1" ht="15" hidden="1" x14ac:dyDescent="0.2">
      <c r="A129" s="1384">
        <v>3122</v>
      </c>
      <c r="B129" s="1385">
        <v>6122</v>
      </c>
      <c r="C129" s="1531">
        <v>38100880</v>
      </c>
      <c r="D129" s="1405" t="s">
        <v>549</v>
      </c>
      <c r="E129" s="1414"/>
      <c r="F129" s="1414"/>
      <c r="G129" s="1414"/>
      <c r="H129" s="1390" t="e">
        <f t="shared" si="3"/>
        <v>#DIV/0!</v>
      </c>
    </row>
    <row r="130" spans="1:8" s="1292" customFormat="1" ht="15" x14ac:dyDescent="0.2">
      <c r="A130" s="1384">
        <v>3122</v>
      </c>
      <c r="B130" s="1385">
        <v>6122</v>
      </c>
      <c r="C130" s="1531" t="s">
        <v>2027</v>
      </c>
      <c r="D130" s="1405" t="s">
        <v>549</v>
      </c>
      <c r="E130" s="1414">
        <v>0</v>
      </c>
      <c r="F130" s="1414">
        <v>15</v>
      </c>
      <c r="G130" s="1414">
        <v>15</v>
      </c>
      <c r="H130" s="1390">
        <f t="shared" si="3"/>
        <v>100</v>
      </c>
    </row>
    <row r="131" spans="1:8" s="1292" customFormat="1" ht="15" x14ac:dyDescent="0.2">
      <c r="A131" s="1384">
        <v>3122</v>
      </c>
      <c r="B131" s="1385">
        <v>6122</v>
      </c>
      <c r="C131" s="1531" t="s">
        <v>2013</v>
      </c>
      <c r="D131" s="1405" t="s">
        <v>549</v>
      </c>
      <c r="E131" s="1414">
        <v>0</v>
      </c>
      <c r="F131" s="1414">
        <v>11875</v>
      </c>
      <c r="G131" s="1414">
        <v>11875</v>
      </c>
      <c r="H131" s="1390">
        <f t="shared" si="3"/>
        <v>100</v>
      </c>
    </row>
    <row r="132" spans="1:8" s="1292" customFormat="1" ht="15.75" thickBot="1" x14ac:dyDescent="0.25">
      <c r="A132" s="1384">
        <v>3122</v>
      </c>
      <c r="B132" s="1385">
        <v>6122</v>
      </c>
      <c r="C132" s="1531" t="s">
        <v>1886</v>
      </c>
      <c r="D132" s="1405" t="s">
        <v>549</v>
      </c>
      <c r="E132" s="1414">
        <v>0</v>
      </c>
      <c r="F132" s="1414">
        <v>8888</v>
      </c>
      <c r="G132" s="1414">
        <v>0</v>
      </c>
      <c r="H132" s="1390">
        <f t="shared" si="3"/>
        <v>0</v>
      </c>
    </row>
    <row r="133" spans="1:8" s="1292" customFormat="1" ht="16.5" thickTop="1" thickBot="1" x14ac:dyDescent="0.3">
      <c r="A133" s="3219" t="s">
        <v>690</v>
      </c>
      <c r="B133" s="3220"/>
      <c r="C133" s="3220"/>
      <c r="D133" s="3220"/>
      <c r="E133" s="1387">
        <f>SUM(E122:E132)</f>
        <v>16252</v>
      </c>
      <c r="F133" s="1387">
        <f>SUM(F122:F132)</f>
        <v>27651</v>
      </c>
      <c r="G133" s="1387">
        <f>SUM(G122:G132)</f>
        <v>18763</v>
      </c>
      <c r="H133" s="1391">
        <f t="shared" si="3"/>
        <v>67.856497052547823</v>
      </c>
    </row>
    <row r="134" spans="1:8" s="1292" customFormat="1" ht="14.25" customHeight="1" thickTop="1" x14ac:dyDescent="0.25">
      <c r="A134" s="1392"/>
      <c r="B134" s="1392"/>
      <c r="C134" s="1392"/>
      <c r="D134" s="1392"/>
      <c r="E134" s="1393"/>
      <c r="F134" s="1393"/>
      <c r="G134" s="1393"/>
      <c r="H134" s="1418"/>
    </row>
    <row r="135" spans="1:8" s="1292" customFormat="1" ht="14.25" customHeight="1" x14ac:dyDescent="0.25">
      <c r="A135" s="1392"/>
      <c r="B135" s="1392"/>
      <c r="C135" s="1392"/>
      <c r="D135" s="1392"/>
      <c r="E135" s="1393"/>
      <c r="F135" s="1393"/>
      <c r="G135" s="1393"/>
      <c r="H135" s="1418"/>
    </row>
    <row r="136" spans="1:8" ht="15" x14ac:dyDescent="0.25">
      <c r="A136" s="1377" t="s">
        <v>1501</v>
      </c>
    </row>
    <row r="137" spans="1:8" ht="15.75" thickBot="1" x14ac:dyDescent="0.3">
      <c r="A137" s="1377" t="s">
        <v>1502</v>
      </c>
      <c r="H137" s="1459" t="s">
        <v>148</v>
      </c>
    </row>
    <row r="138" spans="1:8" s="1292" customFormat="1" ht="25.5" thickTop="1" thickBot="1" x14ac:dyDescent="0.25">
      <c r="A138" s="1378" t="s">
        <v>149</v>
      </c>
      <c r="B138" s="1379" t="s">
        <v>688</v>
      </c>
      <c r="C138" s="1379" t="s">
        <v>345</v>
      </c>
      <c r="D138" s="1380" t="s">
        <v>151</v>
      </c>
      <c r="E138" s="1402" t="s">
        <v>569</v>
      </c>
      <c r="F138" s="1402" t="s">
        <v>570</v>
      </c>
      <c r="G138" s="1403" t="s">
        <v>797</v>
      </c>
      <c r="H138" s="1404" t="s">
        <v>798</v>
      </c>
    </row>
    <row r="139" spans="1:8" s="1292" customFormat="1" ht="13.5" thickTop="1" thickBot="1" x14ac:dyDescent="0.25">
      <c r="A139" s="1297">
        <v>1</v>
      </c>
      <c r="B139" s="1296">
        <v>2</v>
      </c>
      <c r="C139" s="1296">
        <v>3</v>
      </c>
      <c r="D139" s="1296">
        <v>4</v>
      </c>
      <c r="E139" s="1295">
        <v>5</v>
      </c>
      <c r="F139" s="1295">
        <v>6</v>
      </c>
      <c r="G139" s="1446">
        <v>7</v>
      </c>
      <c r="H139" s="1468" t="s">
        <v>54</v>
      </c>
    </row>
    <row r="140" spans="1:8" s="1292" customFormat="1" ht="15.75" thickTop="1" x14ac:dyDescent="0.25">
      <c r="A140" s="1384">
        <v>3522</v>
      </c>
      <c r="B140" s="1385">
        <v>6121</v>
      </c>
      <c r="C140" s="1531" t="s">
        <v>2085</v>
      </c>
      <c r="D140" s="1488" t="s">
        <v>548</v>
      </c>
      <c r="E140" s="1414">
        <v>0</v>
      </c>
      <c r="F140" s="1414">
        <v>140</v>
      </c>
      <c r="G140" s="1414">
        <v>130</v>
      </c>
      <c r="H140" s="1390">
        <f t="shared" ref="H140:H145" si="4">G140/F140*100</f>
        <v>92.857142857142861</v>
      </c>
    </row>
    <row r="141" spans="1:8" s="1292" customFormat="1" ht="15" x14ac:dyDescent="0.2">
      <c r="A141" s="1384">
        <v>3522</v>
      </c>
      <c r="B141" s="1385">
        <v>6121</v>
      </c>
      <c r="C141" s="1531" t="s">
        <v>2010</v>
      </c>
      <c r="D141" s="1405" t="s">
        <v>548</v>
      </c>
      <c r="E141" s="1414">
        <v>16505</v>
      </c>
      <c r="F141" s="1414">
        <v>5287</v>
      </c>
      <c r="G141" s="1414">
        <v>5287</v>
      </c>
      <c r="H141" s="1390">
        <f t="shared" si="4"/>
        <v>100</v>
      </c>
    </row>
    <row r="142" spans="1:8" s="1292" customFormat="1" ht="15" x14ac:dyDescent="0.2">
      <c r="A142" s="1384">
        <v>3522</v>
      </c>
      <c r="B142" s="1385">
        <v>6121</v>
      </c>
      <c r="C142" s="1531" t="s">
        <v>2014</v>
      </c>
      <c r="D142" s="1405" t="s">
        <v>548</v>
      </c>
      <c r="E142" s="1414">
        <v>0</v>
      </c>
      <c r="F142" s="1414">
        <v>755</v>
      </c>
      <c r="G142" s="1414">
        <v>701</v>
      </c>
      <c r="H142" s="1390">
        <f t="shared" si="4"/>
        <v>92.847682119205302</v>
      </c>
    </row>
    <row r="143" spans="1:8" s="1292" customFormat="1" ht="15" x14ac:dyDescent="0.2">
      <c r="A143" s="1384">
        <v>3522</v>
      </c>
      <c r="B143" s="1385">
        <v>6121</v>
      </c>
      <c r="C143" s="1531" t="s">
        <v>2025</v>
      </c>
      <c r="D143" s="1405" t="s">
        <v>548</v>
      </c>
      <c r="E143" s="1414">
        <v>2999</v>
      </c>
      <c r="F143" s="1414">
        <v>17434</v>
      </c>
      <c r="G143" s="1414">
        <v>17434</v>
      </c>
      <c r="H143" s="1390">
        <f t="shared" si="4"/>
        <v>100</v>
      </c>
    </row>
    <row r="144" spans="1:8" s="1292" customFormat="1" ht="15.75" thickBot="1" x14ac:dyDescent="0.25">
      <c r="A144" s="1384">
        <v>3522</v>
      </c>
      <c r="B144" s="1385">
        <v>6121</v>
      </c>
      <c r="C144" s="1531" t="s">
        <v>1886</v>
      </c>
      <c r="D144" s="1405" t="s">
        <v>548</v>
      </c>
      <c r="E144" s="1414">
        <v>0</v>
      </c>
      <c r="F144" s="1414">
        <v>12527</v>
      </c>
      <c r="G144" s="1414">
        <v>12527</v>
      </c>
      <c r="H144" s="1390">
        <f t="shared" si="4"/>
        <v>100</v>
      </c>
    </row>
    <row r="145" spans="1:8" s="1292" customFormat="1" ht="16.5" thickTop="1" thickBot="1" x14ac:dyDescent="0.3">
      <c r="A145" s="3219" t="s">
        <v>690</v>
      </c>
      <c r="B145" s="3220"/>
      <c r="C145" s="3220"/>
      <c r="D145" s="3220"/>
      <c r="E145" s="1387">
        <f>SUM(E140:E144)</f>
        <v>19504</v>
      </c>
      <c r="F145" s="1387">
        <f>SUM(F140:F144)</f>
        <v>36143</v>
      </c>
      <c r="G145" s="1387">
        <f>SUM(G140:G144)</f>
        <v>36079</v>
      </c>
      <c r="H145" s="1391">
        <f t="shared" si="4"/>
        <v>99.822925601084577</v>
      </c>
    </row>
    <row r="146" spans="1:8" s="1292" customFormat="1" ht="14.25" customHeight="1" thickTop="1" x14ac:dyDescent="0.25">
      <c r="A146" s="1392"/>
      <c r="B146" s="1392"/>
      <c r="C146" s="1392"/>
      <c r="D146" s="1392"/>
      <c r="E146" s="1393"/>
      <c r="F146" s="1393"/>
      <c r="G146" s="1393"/>
      <c r="H146" s="1418"/>
    </row>
    <row r="147" spans="1:8" ht="15" x14ac:dyDescent="0.25">
      <c r="A147" s="1377" t="s">
        <v>1701</v>
      </c>
    </row>
    <row r="148" spans="1:8" ht="15.75" thickBot="1" x14ac:dyDescent="0.3">
      <c r="A148" s="1377" t="s">
        <v>1702</v>
      </c>
      <c r="H148" s="1459" t="s">
        <v>148</v>
      </c>
    </row>
    <row r="149" spans="1:8" s="1292" customFormat="1" ht="25.5" thickTop="1" thickBot="1" x14ac:dyDescent="0.25">
      <c r="A149" s="1378" t="s">
        <v>149</v>
      </c>
      <c r="B149" s="1379" t="s">
        <v>688</v>
      </c>
      <c r="C149" s="1379" t="s">
        <v>345</v>
      </c>
      <c r="D149" s="1380" t="s">
        <v>151</v>
      </c>
      <c r="E149" s="1402" t="s">
        <v>569</v>
      </c>
      <c r="F149" s="1402" t="s">
        <v>570</v>
      </c>
      <c r="G149" s="1403" t="s">
        <v>797</v>
      </c>
      <c r="H149" s="1404" t="s">
        <v>798</v>
      </c>
    </row>
    <row r="150" spans="1:8" s="1292" customFormat="1" ht="13.5" thickTop="1" thickBot="1" x14ac:dyDescent="0.25">
      <c r="A150" s="1297">
        <v>1</v>
      </c>
      <c r="B150" s="1296">
        <v>2</v>
      </c>
      <c r="C150" s="1296">
        <v>3</v>
      </c>
      <c r="D150" s="1296">
        <v>4</v>
      </c>
      <c r="E150" s="1295">
        <v>5</v>
      </c>
      <c r="F150" s="1295">
        <v>6</v>
      </c>
      <c r="G150" s="1446">
        <v>7</v>
      </c>
      <c r="H150" s="1468" t="s">
        <v>54</v>
      </c>
    </row>
    <row r="151" spans="1:8" s="1292" customFormat="1" ht="15.75" thickTop="1" x14ac:dyDescent="0.25">
      <c r="A151" s="1384">
        <v>3533</v>
      </c>
      <c r="B151" s="1385">
        <v>6122</v>
      </c>
      <c r="C151" s="1531" t="s">
        <v>2043</v>
      </c>
      <c r="D151" s="1488" t="s">
        <v>549</v>
      </c>
      <c r="E151" s="1414">
        <v>0</v>
      </c>
      <c r="F151" s="1414">
        <v>70</v>
      </c>
      <c r="G151" s="1414">
        <v>64</v>
      </c>
      <c r="H151" s="1390">
        <f>G151/F151*100</f>
        <v>91.428571428571431</v>
      </c>
    </row>
    <row r="152" spans="1:8" s="1292" customFormat="1" ht="15" x14ac:dyDescent="0.2">
      <c r="A152" s="1384">
        <v>3533</v>
      </c>
      <c r="B152" s="1385">
        <v>6122</v>
      </c>
      <c r="C152" s="1531" t="s">
        <v>2084</v>
      </c>
      <c r="D152" s="1405" t="s">
        <v>549</v>
      </c>
      <c r="E152" s="1414">
        <v>0</v>
      </c>
      <c r="F152" s="1414">
        <v>51</v>
      </c>
      <c r="G152" s="1414">
        <v>51</v>
      </c>
      <c r="H152" s="1390">
        <v>0</v>
      </c>
    </row>
    <row r="153" spans="1:8" s="1292" customFormat="1" ht="15" x14ac:dyDescent="0.2">
      <c r="A153" s="1384">
        <v>3533</v>
      </c>
      <c r="B153" s="1385">
        <v>6122</v>
      </c>
      <c r="C153" s="1531" t="s">
        <v>2010</v>
      </c>
      <c r="D153" s="1405" t="s">
        <v>548</v>
      </c>
      <c r="E153" s="1414">
        <v>11899</v>
      </c>
      <c r="F153" s="1414">
        <v>0</v>
      </c>
      <c r="G153" s="1414">
        <v>0</v>
      </c>
      <c r="H153" s="1390">
        <v>0</v>
      </c>
    </row>
    <row r="154" spans="1:8" s="1292" customFormat="1" ht="15.75" thickBot="1" x14ac:dyDescent="0.25">
      <c r="A154" s="1384">
        <v>3533</v>
      </c>
      <c r="B154" s="1385">
        <v>6122</v>
      </c>
      <c r="C154" s="1531" t="s">
        <v>2025</v>
      </c>
      <c r="D154" s="1405" t="s">
        <v>548</v>
      </c>
      <c r="E154" s="1414">
        <v>67975</v>
      </c>
      <c r="F154" s="1414">
        <v>0</v>
      </c>
      <c r="G154" s="1414">
        <v>0</v>
      </c>
      <c r="H154" s="1390">
        <v>0</v>
      </c>
    </row>
    <row r="155" spans="1:8" s="1292" customFormat="1" ht="16.5" thickTop="1" thickBot="1" x14ac:dyDescent="0.3">
      <c r="A155" s="3219" t="s">
        <v>690</v>
      </c>
      <c r="B155" s="3220"/>
      <c r="C155" s="3220"/>
      <c r="D155" s="3220"/>
      <c r="E155" s="1387">
        <f>SUM(E151:E154)</f>
        <v>79874</v>
      </c>
      <c r="F155" s="1387">
        <f>SUM(F151:F154)</f>
        <v>121</v>
      </c>
      <c r="G155" s="1387">
        <f>SUM(G151:G154)</f>
        <v>115</v>
      </c>
      <c r="H155" s="1391">
        <f>G155/F155*100</f>
        <v>95.041322314049594</v>
      </c>
    </row>
    <row r="156" spans="1:8" s="1292" customFormat="1" ht="14.25" customHeight="1" thickTop="1" x14ac:dyDescent="0.25">
      <c r="A156" s="1392"/>
      <c r="B156" s="1392"/>
      <c r="C156" s="1392"/>
      <c r="D156" s="1392"/>
      <c r="E156" s="1393"/>
      <c r="F156" s="1393"/>
      <c r="G156" s="1393"/>
      <c r="H156" s="1418"/>
    </row>
    <row r="157" spans="1:8" s="1292" customFormat="1" ht="14.25" hidden="1" customHeight="1" x14ac:dyDescent="0.25">
      <c r="A157" s="1392"/>
      <c r="B157" s="1392"/>
      <c r="C157" s="1392"/>
      <c r="D157" s="1392"/>
      <c r="E157" s="1393"/>
      <c r="F157" s="1393"/>
      <c r="G157" s="1393"/>
      <c r="H157" s="1418"/>
    </row>
    <row r="158" spans="1:8" s="1292" customFormat="1" ht="14.25" hidden="1" customHeight="1" x14ac:dyDescent="0.25">
      <c r="A158" s="1392"/>
      <c r="B158" s="1392"/>
      <c r="C158" s="1392"/>
      <c r="D158" s="1392"/>
      <c r="E158" s="1393"/>
      <c r="F158" s="1393"/>
      <c r="G158" s="1393"/>
      <c r="H158" s="1418"/>
    </row>
    <row r="159" spans="1:8" s="1292" customFormat="1" ht="14.25" customHeight="1" x14ac:dyDescent="0.25">
      <c r="A159" s="1392"/>
      <c r="B159" s="1392"/>
      <c r="C159" s="1392"/>
      <c r="D159" s="1392"/>
      <c r="E159" s="1393"/>
      <c r="F159" s="1393"/>
      <c r="G159" s="1393"/>
      <c r="H159" s="1418"/>
    </row>
    <row r="160" spans="1:8" ht="15" x14ac:dyDescent="0.25">
      <c r="A160" s="1377" t="s">
        <v>1347</v>
      </c>
    </row>
    <row r="161" spans="1:8" ht="15.75" thickBot="1" x14ac:dyDescent="0.3">
      <c r="A161" s="1377" t="s">
        <v>1348</v>
      </c>
      <c r="H161" s="1459" t="s">
        <v>148</v>
      </c>
    </row>
    <row r="162" spans="1:8" s="1292" customFormat="1" ht="25.5" thickTop="1" thickBot="1" x14ac:dyDescent="0.25">
      <c r="A162" s="1378" t="s">
        <v>149</v>
      </c>
      <c r="B162" s="1379" t="s">
        <v>688</v>
      </c>
      <c r="C162" s="1379" t="s">
        <v>345</v>
      </c>
      <c r="D162" s="1380" t="s">
        <v>151</v>
      </c>
      <c r="E162" s="1402" t="s">
        <v>569</v>
      </c>
      <c r="F162" s="1402" t="s">
        <v>570</v>
      </c>
      <c r="G162" s="1403" t="s">
        <v>797</v>
      </c>
      <c r="H162" s="1404" t="s">
        <v>798</v>
      </c>
    </row>
    <row r="163" spans="1:8" s="1292" customFormat="1" ht="13.5" thickTop="1" thickBot="1" x14ac:dyDescent="0.25">
      <c r="A163" s="1297">
        <v>1</v>
      </c>
      <c r="B163" s="1296">
        <v>2</v>
      </c>
      <c r="C163" s="1296">
        <v>3</v>
      </c>
      <c r="D163" s="1296">
        <v>4</v>
      </c>
      <c r="E163" s="1295">
        <v>5</v>
      </c>
      <c r="F163" s="1295">
        <v>6</v>
      </c>
      <c r="G163" s="1446">
        <v>7</v>
      </c>
      <c r="H163" s="1468" t="s">
        <v>54</v>
      </c>
    </row>
    <row r="164" spans="1:8" s="1292" customFormat="1" ht="15.75" thickTop="1" x14ac:dyDescent="0.2">
      <c r="A164" s="1463">
        <v>2143</v>
      </c>
      <c r="B164" s="1469">
        <v>5139</v>
      </c>
      <c r="C164" s="1529" t="s">
        <v>2010</v>
      </c>
      <c r="D164" s="1405" t="s">
        <v>566</v>
      </c>
      <c r="E164" s="1414">
        <v>9</v>
      </c>
      <c r="F164" s="1414">
        <v>9</v>
      </c>
      <c r="G164" s="1414">
        <v>0</v>
      </c>
      <c r="H164" s="1390">
        <f t="shared" ref="H164:H175" si="5">G164/F164*100</f>
        <v>0</v>
      </c>
    </row>
    <row r="165" spans="1:8" s="1292" customFormat="1" ht="15" x14ac:dyDescent="0.2">
      <c r="A165" s="1463">
        <v>2143</v>
      </c>
      <c r="B165" s="1469">
        <v>5139</v>
      </c>
      <c r="C165" s="1529" t="s">
        <v>2013</v>
      </c>
      <c r="D165" s="1405" t="s">
        <v>566</v>
      </c>
      <c r="E165" s="1414">
        <v>51</v>
      </c>
      <c r="F165" s="1414">
        <v>51</v>
      </c>
      <c r="G165" s="1414">
        <v>0</v>
      </c>
      <c r="H165" s="1390">
        <f t="shared" si="5"/>
        <v>0</v>
      </c>
    </row>
    <row r="166" spans="1:8" s="1292" customFormat="1" ht="15" x14ac:dyDescent="0.2">
      <c r="A166" s="1463">
        <v>2143</v>
      </c>
      <c r="B166" s="1469">
        <v>5161</v>
      </c>
      <c r="C166" s="1529" t="s">
        <v>2010</v>
      </c>
      <c r="D166" s="1405" t="s">
        <v>1607</v>
      </c>
      <c r="E166" s="1414">
        <v>5</v>
      </c>
      <c r="F166" s="1414">
        <v>5</v>
      </c>
      <c r="G166" s="1414">
        <v>0</v>
      </c>
      <c r="H166" s="1390">
        <f t="shared" si="5"/>
        <v>0</v>
      </c>
    </row>
    <row r="167" spans="1:8" s="1292" customFormat="1" ht="15" x14ac:dyDescent="0.2">
      <c r="A167" s="1463">
        <v>2143</v>
      </c>
      <c r="B167" s="1469">
        <v>5161</v>
      </c>
      <c r="C167" s="1529" t="s">
        <v>2013</v>
      </c>
      <c r="D167" s="1405" t="s">
        <v>1607</v>
      </c>
      <c r="E167" s="1414">
        <v>25</v>
      </c>
      <c r="F167" s="1414">
        <v>25</v>
      </c>
      <c r="G167" s="1414">
        <v>0</v>
      </c>
      <c r="H167" s="1390">
        <f t="shared" si="5"/>
        <v>0</v>
      </c>
    </row>
    <row r="168" spans="1:8" s="1292" customFormat="1" ht="15" x14ac:dyDescent="0.2">
      <c r="A168" s="1463">
        <v>2143</v>
      </c>
      <c r="B168" s="1469">
        <v>5163</v>
      </c>
      <c r="C168" s="1529" t="s">
        <v>2010</v>
      </c>
      <c r="D168" s="1405" t="s">
        <v>807</v>
      </c>
      <c r="E168" s="1414">
        <v>3</v>
      </c>
      <c r="F168" s="1414">
        <v>3</v>
      </c>
      <c r="G168" s="1414">
        <v>0</v>
      </c>
      <c r="H168" s="1390">
        <f t="shared" si="5"/>
        <v>0</v>
      </c>
    </row>
    <row r="169" spans="1:8" s="1292" customFormat="1" ht="15" x14ac:dyDescent="0.2">
      <c r="A169" s="1463">
        <v>2143</v>
      </c>
      <c r="B169" s="1469">
        <v>5163</v>
      </c>
      <c r="C169" s="1529" t="s">
        <v>2013</v>
      </c>
      <c r="D169" s="1405" t="s">
        <v>807</v>
      </c>
      <c r="E169" s="1414">
        <v>17</v>
      </c>
      <c r="F169" s="1414">
        <v>17</v>
      </c>
      <c r="G169" s="1414">
        <v>1</v>
      </c>
      <c r="H169" s="1390">
        <f t="shared" si="5"/>
        <v>5.8823529411764701</v>
      </c>
    </row>
    <row r="170" spans="1:8" s="1292" customFormat="1" ht="13.5" hidden="1" customHeight="1" x14ac:dyDescent="0.2">
      <c r="A170" s="1463">
        <v>2143</v>
      </c>
      <c r="B170" s="1469">
        <v>5166</v>
      </c>
      <c r="C170" s="1529">
        <v>0</v>
      </c>
      <c r="D170" s="1405" t="s">
        <v>553</v>
      </c>
      <c r="E170" s="1414"/>
      <c r="F170" s="1414"/>
      <c r="G170" s="1414"/>
      <c r="H170" s="1390" t="e">
        <f t="shared" si="5"/>
        <v>#DIV/0!</v>
      </c>
    </row>
    <row r="171" spans="1:8" s="1292" customFormat="1" ht="15" x14ac:dyDescent="0.2">
      <c r="A171" s="1463">
        <v>2143</v>
      </c>
      <c r="B171" s="1469">
        <v>5169</v>
      </c>
      <c r="C171" s="1529" t="s">
        <v>2010</v>
      </c>
      <c r="D171" s="1405" t="s">
        <v>769</v>
      </c>
      <c r="E171" s="1414">
        <v>345</v>
      </c>
      <c r="F171" s="1414">
        <v>345</v>
      </c>
      <c r="G171" s="1414">
        <v>332</v>
      </c>
      <c r="H171" s="1390">
        <f t="shared" si="5"/>
        <v>96.231884057971016</v>
      </c>
    </row>
    <row r="172" spans="1:8" s="1292" customFormat="1" ht="15" x14ac:dyDescent="0.2">
      <c r="A172" s="1463">
        <v>2143</v>
      </c>
      <c r="B172" s="1469">
        <v>5169</v>
      </c>
      <c r="C172" s="1529" t="s">
        <v>2013</v>
      </c>
      <c r="D172" s="1405" t="s">
        <v>769</v>
      </c>
      <c r="E172" s="1414">
        <v>1955</v>
      </c>
      <c r="F172" s="1414">
        <v>1955</v>
      </c>
      <c r="G172" s="1414">
        <v>1878</v>
      </c>
      <c r="H172" s="1390">
        <f t="shared" si="5"/>
        <v>96.061381074168793</v>
      </c>
    </row>
    <row r="173" spans="1:8" s="1292" customFormat="1" ht="15" x14ac:dyDescent="0.2">
      <c r="A173" s="1463">
        <v>2143</v>
      </c>
      <c r="B173" s="1469">
        <v>5173</v>
      </c>
      <c r="C173" s="1529" t="s">
        <v>2010</v>
      </c>
      <c r="D173" s="1405" t="s">
        <v>1038</v>
      </c>
      <c r="E173" s="1414">
        <v>23</v>
      </c>
      <c r="F173" s="1414">
        <v>23</v>
      </c>
      <c r="G173" s="1414">
        <v>13</v>
      </c>
      <c r="H173" s="1390">
        <f t="shared" si="5"/>
        <v>56.521739130434781</v>
      </c>
    </row>
    <row r="174" spans="1:8" s="1292" customFormat="1" ht="15.75" thickBot="1" x14ac:dyDescent="0.25">
      <c r="A174" s="1463">
        <v>2143</v>
      </c>
      <c r="B174" s="1469">
        <v>5173</v>
      </c>
      <c r="C174" s="1529" t="s">
        <v>2013</v>
      </c>
      <c r="D174" s="1405" t="s">
        <v>1038</v>
      </c>
      <c r="E174" s="1414">
        <v>127</v>
      </c>
      <c r="F174" s="1414">
        <v>127</v>
      </c>
      <c r="G174" s="1414">
        <v>76</v>
      </c>
      <c r="H174" s="1390">
        <f t="shared" si="5"/>
        <v>59.842519685039377</v>
      </c>
    </row>
    <row r="175" spans="1:8" s="1292" customFormat="1" ht="16.5" thickTop="1" thickBot="1" x14ac:dyDescent="0.3">
      <c r="A175" s="3219" t="s">
        <v>690</v>
      </c>
      <c r="B175" s="3220"/>
      <c r="C175" s="3220"/>
      <c r="D175" s="3220"/>
      <c r="E175" s="1387">
        <f>SUM(E164:E174)</f>
        <v>2560</v>
      </c>
      <c r="F175" s="1387">
        <f>SUM(F164:F174)</f>
        <v>2560</v>
      </c>
      <c r="G175" s="1387">
        <f>SUM(G164:G174)</f>
        <v>2300</v>
      </c>
      <c r="H175" s="1391">
        <f t="shared" si="5"/>
        <v>89.84375</v>
      </c>
    </row>
    <row r="176" spans="1:8" s="1292" customFormat="1" ht="14.25" customHeight="1" thickTop="1" x14ac:dyDescent="0.25">
      <c r="A176" s="1392"/>
      <c r="B176" s="1392"/>
      <c r="C176" s="1392"/>
      <c r="D176" s="1392"/>
      <c r="E176" s="1393"/>
      <c r="F176" s="1393"/>
      <c r="G176" s="1393"/>
      <c r="H176" s="1418"/>
    </row>
    <row r="177" spans="1:8" ht="15" x14ac:dyDescent="0.25">
      <c r="A177" s="1377" t="s">
        <v>1499</v>
      </c>
    </row>
    <row r="178" spans="1:8" ht="15.75" thickBot="1" x14ac:dyDescent="0.3">
      <c r="A178" s="1377" t="s">
        <v>1500</v>
      </c>
      <c r="H178" s="1459" t="s">
        <v>148</v>
      </c>
    </row>
    <row r="179" spans="1:8" s="1292" customFormat="1" ht="25.5" thickTop="1" thickBot="1" x14ac:dyDescent="0.25">
      <c r="A179" s="1378" t="s">
        <v>149</v>
      </c>
      <c r="B179" s="1379" t="s">
        <v>688</v>
      </c>
      <c r="C179" s="1379" t="s">
        <v>345</v>
      </c>
      <c r="D179" s="1380" t="s">
        <v>151</v>
      </c>
      <c r="E179" s="1402" t="s">
        <v>569</v>
      </c>
      <c r="F179" s="1402" t="s">
        <v>570</v>
      </c>
      <c r="G179" s="1403" t="s">
        <v>797</v>
      </c>
      <c r="H179" s="1404" t="s">
        <v>798</v>
      </c>
    </row>
    <row r="180" spans="1:8" s="1292" customFormat="1" ht="13.5" thickTop="1" thickBot="1" x14ac:dyDescent="0.25">
      <c r="A180" s="1297">
        <v>1</v>
      </c>
      <c r="B180" s="1296">
        <v>2</v>
      </c>
      <c r="C180" s="1296">
        <v>3</v>
      </c>
      <c r="D180" s="1296">
        <v>4</v>
      </c>
      <c r="E180" s="1295">
        <v>5</v>
      </c>
      <c r="F180" s="1295">
        <v>6</v>
      </c>
      <c r="G180" s="1446">
        <v>7</v>
      </c>
      <c r="H180" s="1468" t="s">
        <v>54</v>
      </c>
    </row>
    <row r="181" spans="1:8" s="1292" customFormat="1" ht="15.75" thickTop="1" x14ac:dyDescent="0.2">
      <c r="A181" s="1463">
        <v>2143</v>
      </c>
      <c r="B181" s="1469">
        <v>5137</v>
      </c>
      <c r="C181" s="1529" t="s">
        <v>2010</v>
      </c>
      <c r="D181" s="1405" t="s">
        <v>142</v>
      </c>
      <c r="E181" s="1414">
        <v>310</v>
      </c>
      <c r="F181" s="1414">
        <v>310</v>
      </c>
      <c r="G181" s="1414">
        <v>300</v>
      </c>
      <c r="H181" s="1390">
        <f>G181/F181*100</f>
        <v>96.774193548387103</v>
      </c>
    </row>
    <row r="182" spans="1:8" s="1292" customFormat="1" ht="15" x14ac:dyDescent="0.2">
      <c r="A182" s="1463">
        <v>2143</v>
      </c>
      <c r="B182" s="1469">
        <v>5137</v>
      </c>
      <c r="C182" s="1529" t="s">
        <v>2013</v>
      </c>
      <c r="D182" s="1405" t="s">
        <v>142</v>
      </c>
      <c r="E182" s="1414">
        <v>1800</v>
      </c>
      <c r="F182" s="1414">
        <v>1799</v>
      </c>
      <c r="G182" s="1414">
        <v>1702</v>
      </c>
      <c r="H182" s="1390">
        <f>G182/F182*100</f>
        <v>94.608115619788762</v>
      </c>
    </row>
    <row r="183" spans="1:8" s="1292" customFormat="1" ht="15" x14ac:dyDescent="0.2">
      <c r="A183" s="1463">
        <v>2143</v>
      </c>
      <c r="B183" s="1469">
        <v>5139</v>
      </c>
      <c r="C183" s="1529" t="s">
        <v>2010</v>
      </c>
      <c r="D183" s="1405" t="s">
        <v>566</v>
      </c>
      <c r="E183" s="1414">
        <v>0</v>
      </c>
      <c r="F183" s="1414">
        <v>0</v>
      </c>
      <c r="G183" s="1414">
        <v>0</v>
      </c>
      <c r="H183" s="1390">
        <v>0</v>
      </c>
    </row>
    <row r="184" spans="1:8" s="1292" customFormat="1" ht="15.75" thickBot="1" x14ac:dyDescent="0.25">
      <c r="A184" s="1463">
        <v>2143</v>
      </c>
      <c r="B184" s="1469">
        <v>5139</v>
      </c>
      <c r="C184" s="1529" t="s">
        <v>2013</v>
      </c>
      <c r="D184" s="1405" t="s">
        <v>566</v>
      </c>
      <c r="E184" s="1414">
        <v>0</v>
      </c>
      <c r="F184" s="1414">
        <v>1</v>
      </c>
      <c r="G184" s="1414">
        <v>1</v>
      </c>
      <c r="H184" s="1390">
        <f t="shared" ref="H184:H189" si="6">G184/F184*100</f>
        <v>100</v>
      </c>
    </row>
    <row r="185" spans="1:8" s="1292" customFormat="1" ht="19.5" hidden="1" customHeight="1" x14ac:dyDescent="0.2">
      <c r="A185" s="1463">
        <v>2143</v>
      </c>
      <c r="B185" s="1469">
        <v>5166</v>
      </c>
      <c r="C185" s="1469">
        <v>0</v>
      </c>
      <c r="D185" s="1405" t="s">
        <v>553</v>
      </c>
      <c r="E185" s="1414"/>
      <c r="F185" s="1414"/>
      <c r="G185" s="1414"/>
      <c r="H185" s="1390" t="e">
        <f t="shared" si="6"/>
        <v>#DIV/0!</v>
      </c>
    </row>
    <row r="186" spans="1:8" s="1292" customFormat="1" ht="15" hidden="1" customHeight="1" x14ac:dyDescent="0.2">
      <c r="A186" s="1463">
        <v>2143</v>
      </c>
      <c r="B186" s="1469">
        <v>5166</v>
      </c>
      <c r="C186" s="1469">
        <v>38100884</v>
      </c>
      <c r="D186" s="1405" t="s">
        <v>553</v>
      </c>
      <c r="E186" s="1414"/>
      <c r="F186" s="1414"/>
      <c r="G186" s="1414"/>
      <c r="H186" s="1390" t="e">
        <f t="shared" si="6"/>
        <v>#DIV/0!</v>
      </c>
    </row>
    <row r="187" spans="1:8" s="1292" customFormat="1" ht="13.5" hidden="1" customHeight="1" x14ac:dyDescent="0.2">
      <c r="A187" s="1463">
        <v>2143</v>
      </c>
      <c r="B187" s="1469">
        <v>5169</v>
      </c>
      <c r="C187" s="1469">
        <v>38100880</v>
      </c>
      <c r="D187" s="1405" t="s">
        <v>769</v>
      </c>
      <c r="E187" s="1414"/>
      <c r="F187" s="1414"/>
      <c r="G187" s="1414"/>
      <c r="H187" s="1390" t="e">
        <f t="shared" si="6"/>
        <v>#DIV/0!</v>
      </c>
    </row>
    <row r="188" spans="1:8" s="1292" customFormat="1" ht="15.75" hidden="1" thickBot="1" x14ac:dyDescent="0.25">
      <c r="A188" s="1463">
        <v>2143</v>
      </c>
      <c r="B188" s="1469">
        <v>5169</v>
      </c>
      <c r="C188" s="1469">
        <v>38500881</v>
      </c>
      <c r="D188" s="1405" t="s">
        <v>769</v>
      </c>
      <c r="E188" s="1414"/>
      <c r="F188" s="1414"/>
      <c r="G188" s="1414"/>
      <c r="H188" s="1390" t="e">
        <f t="shared" si="6"/>
        <v>#DIV/0!</v>
      </c>
    </row>
    <row r="189" spans="1:8" s="1292" customFormat="1" ht="16.5" thickTop="1" thickBot="1" x14ac:dyDescent="0.3">
      <c r="A189" s="3219" t="s">
        <v>690</v>
      </c>
      <c r="B189" s="3220"/>
      <c r="C189" s="3220"/>
      <c r="D189" s="3220"/>
      <c r="E189" s="1387">
        <f>SUM(E181:E188)</f>
        <v>2110</v>
      </c>
      <c r="F189" s="1387">
        <f>SUM(F181:F188)</f>
        <v>2110</v>
      </c>
      <c r="G189" s="1387">
        <f>SUM(G181:G188)</f>
        <v>2003</v>
      </c>
      <c r="H189" s="1391">
        <f t="shared" si="6"/>
        <v>94.928909952606631</v>
      </c>
    </row>
    <row r="190" spans="1:8" s="1292" customFormat="1" ht="14.25" customHeight="1" thickTop="1" x14ac:dyDescent="0.25">
      <c r="A190" s="1392"/>
      <c r="B190" s="1392"/>
      <c r="C190" s="1392"/>
      <c r="D190" s="1392"/>
      <c r="E190" s="1393"/>
      <c r="F190" s="1393"/>
      <c r="G190" s="1393"/>
      <c r="H190" s="1418"/>
    </row>
    <row r="191" spans="1:8" ht="15" x14ac:dyDescent="0.25">
      <c r="A191" s="1377" t="s">
        <v>1503</v>
      </c>
    </row>
    <row r="192" spans="1:8" ht="15.75" thickBot="1" x14ac:dyDescent="0.3">
      <c r="A192" s="1377" t="s">
        <v>1504</v>
      </c>
      <c r="H192" s="1459" t="s">
        <v>148</v>
      </c>
    </row>
    <row r="193" spans="1:8" s="1292" customFormat="1" ht="25.5" thickTop="1" thickBot="1" x14ac:dyDescent="0.25">
      <c r="A193" s="1378" t="s">
        <v>149</v>
      </c>
      <c r="B193" s="1379" t="s">
        <v>688</v>
      </c>
      <c r="C193" s="1379" t="s">
        <v>345</v>
      </c>
      <c r="D193" s="1380" t="s">
        <v>151</v>
      </c>
      <c r="E193" s="1402" t="s">
        <v>569</v>
      </c>
      <c r="F193" s="1402" t="s">
        <v>570</v>
      </c>
      <c r="G193" s="1403" t="s">
        <v>797</v>
      </c>
      <c r="H193" s="1404" t="s">
        <v>798</v>
      </c>
    </row>
    <row r="194" spans="1:8" s="1292" customFormat="1" ht="13.5" thickTop="1" thickBot="1" x14ac:dyDescent="0.25">
      <c r="A194" s="1297">
        <v>1</v>
      </c>
      <c r="B194" s="1296">
        <v>2</v>
      </c>
      <c r="C194" s="1296">
        <v>3</v>
      </c>
      <c r="D194" s="1296">
        <v>4</v>
      </c>
      <c r="E194" s="1295">
        <v>5</v>
      </c>
      <c r="F194" s="1295">
        <v>6</v>
      </c>
      <c r="G194" s="1446">
        <v>7</v>
      </c>
      <c r="H194" s="1468" t="s">
        <v>54</v>
      </c>
    </row>
    <row r="195" spans="1:8" s="1292" customFormat="1" ht="15.75" thickTop="1" x14ac:dyDescent="0.2">
      <c r="A195" s="1463">
        <v>5273</v>
      </c>
      <c r="B195" s="1469">
        <v>5137</v>
      </c>
      <c r="C195" s="1529" t="s">
        <v>2083</v>
      </c>
      <c r="D195" s="1405" t="s">
        <v>142</v>
      </c>
      <c r="E195" s="1414">
        <v>0</v>
      </c>
      <c r="F195" s="1414">
        <v>107</v>
      </c>
      <c r="G195" s="1414">
        <v>107</v>
      </c>
      <c r="H195" s="1390">
        <f>G195/F195*100</f>
        <v>100</v>
      </c>
    </row>
    <row r="196" spans="1:8" s="1292" customFormat="1" ht="15" x14ac:dyDescent="0.2">
      <c r="A196" s="1463">
        <v>5273</v>
      </c>
      <c r="B196" s="1469">
        <v>5137</v>
      </c>
      <c r="C196" s="1529" t="s">
        <v>2079</v>
      </c>
      <c r="D196" s="1405" t="s">
        <v>142</v>
      </c>
      <c r="E196" s="1414">
        <v>0</v>
      </c>
      <c r="F196" s="1414">
        <v>608</v>
      </c>
      <c r="G196" s="1414">
        <v>608</v>
      </c>
      <c r="H196" s="1390">
        <f>G196/F196*100</f>
        <v>100</v>
      </c>
    </row>
    <row r="197" spans="1:8" s="1292" customFormat="1" ht="15" x14ac:dyDescent="0.2">
      <c r="A197" s="1463">
        <v>5273</v>
      </c>
      <c r="B197" s="1469">
        <v>5167</v>
      </c>
      <c r="C197" s="1529" t="s">
        <v>2082</v>
      </c>
      <c r="D197" s="1405" t="s">
        <v>810</v>
      </c>
      <c r="E197" s="1414">
        <v>0</v>
      </c>
      <c r="F197" s="1414">
        <v>0</v>
      </c>
      <c r="G197" s="1414">
        <v>0</v>
      </c>
      <c r="H197" s="1390">
        <v>0</v>
      </c>
    </row>
    <row r="198" spans="1:8" s="1292" customFormat="1" ht="15" x14ac:dyDescent="0.2">
      <c r="A198" s="1463">
        <v>5273</v>
      </c>
      <c r="B198" s="1469">
        <v>5169</v>
      </c>
      <c r="C198" s="1529" t="s">
        <v>2082</v>
      </c>
      <c r="D198" s="1405" t="s">
        <v>769</v>
      </c>
      <c r="E198" s="1414">
        <v>0</v>
      </c>
      <c r="F198" s="1414">
        <v>53</v>
      </c>
      <c r="G198" s="1414">
        <v>53</v>
      </c>
      <c r="H198" s="1390">
        <f t="shared" ref="H198:H206" si="7">G198/F198*100</f>
        <v>100</v>
      </c>
    </row>
    <row r="199" spans="1:8" s="1292" customFormat="1" ht="15" x14ac:dyDescent="0.2">
      <c r="A199" s="1463">
        <v>5273</v>
      </c>
      <c r="B199" s="1469">
        <v>5172</v>
      </c>
      <c r="C199" s="1529" t="s">
        <v>2083</v>
      </c>
      <c r="D199" s="1405" t="s">
        <v>812</v>
      </c>
      <c r="E199" s="1414">
        <v>0</v>
      </c>
      <c r="F199" s="1414">
        <v>165</v>
      </c>
      <c r="G199" s="1414">
        <v>165</v>
      </c>
      <c r="H199" s="1390">
        <f t="shared" si="7"/>
        <v>100</v>
      </c>
    </row>
    <row r="200" spans="1:8" s="1292" customFormat="1" ht="15" x14ac:dyDescent="0.2">
      <c r="A200" s="1463">
        <v>5273</v>
      </c>
      <c r="B200" s="1469">
        <v>5172</v>
      </c>
      <c r="C200" s="1529" t="s">
        <v>2079</v>
      </c>
      <c r="D200" s="1405" t="s">
        <v>812</v>
      </c>
      <c r="E200" s="1414">
        <v>0</v>
      </c>
      <c r="F200" s="1414">
        <v>932</v>
      </c>
      <c r="G200" s="1414">
        <v>932</v>
      </c>
      <c r="H200" s="1390">
        <f t="shared" si="7"/>
        <v>100</v>
      </c>
    </row>
    <row r="201" spans="1:8" s="1292" customFormat="1" ht="15" x14ac:dyDescent="0.2">
      <c r="A201" s="1463">
        <v>5273</v>
      </c>
      <c r="B201" s="1469">
        <v>6111</v>
      </c>
      <c r="C201" s="1529" t="s">
        <v>2083</v>
      </c>
      <c r="D201" s="1405" t="s">
        <v>812</v>
      </c>
      <c r="E201" s="1414">
        <v>0</v>
      </c>
      <c r="F201" s="1414">
        <v>970</v>
      </c>
      <c r="G201" s="1414">
        <v>963</v>
      </c>
      <c r="H201" s="1390">
        <f t="shared" si="7"/>
        <v>99.278350515463927</v>
      </c>
    </row>
    <row r="202" spans="1:8" s="1292" customFormat="1" ht="15" x14ac:dyDescent="0.2">
      <c r="A202" s="1463">
        <v>5273</v>
      </c>
      <c r="B202" s="1469">
        <v>6111</v>
      </c>
      <c r="C202" s="1529" t="s">
        <v>2079</v>
      </c>
      <c r="D202" s="1405" t="s">
        <v>812</v>
      </c>
      <c r="E202" s="1414">
        <v>0</v>
      </c>
      <c r="F202" s="1414">
        <v>5496</v>
      </c>
      <c r="G202" s="1414">
        <v>5459</v>
      </c>
      <c r="H202" s="1390">
        <f t="shared" si="7"/>
        <v>99.326783114992722</v>
      </c>
    </row>
    <row r="203" spans="1:8" s="1292" customFormat="1" ht="15" x14ac:dyDescent="0.2">
      <c r="A203" s="1463">
        <v>5273</v>
      </c>
      <c r="B203" s="1469">
        <v>6121</v>
      </c>
      <c r="C203" s="1529" t="s">
        <v>2083</v>
      </c>
      <c r="D203" s="1405" t="s">
        <v>548</v>
      </c>
      <c r="E203" s="1414">
        <v>0</v>
      </c>
      <c r="F203" s="1414">
        <v>180</v>
      </c>
      <c r="G203" s="1414">
        <v>180</v>
      </c>
      <c r="H203" s="1390">
        <f t="shared" si="7"/>
        <v>100</v>
      </c>
    </row>
    <row r="204" spans="1:8" s="1292" customFormat="1" ht="15" x14ac:dyDescent="0.2">
      <c r="A204" s="1463">
        <v>5273</v>
      </c>
      <c r="B204" s="1469">
        <v>6121</v>
      </c>
      <c r="C204" s="1529" t="s">
        <v>2082</v>
      </c>
      <c r="D204" s="1405" t="s">
        <v>548</v>
      </c>
      <c r="E204" s="1414">
        <v>0</v>
      </c>
      <c r="F204" s="1414">
        <v>72</v>
      </c>
      <c r="G204" s="1414">
        <v>72</v>
      </c>
      <c r="H204" s="1390">
        <f t="shared" si="7"/>
        <v>100</v>
      </c>
    </row>
    <row r="205" spans="1:8" s="1292" customFormat="1" ht="15" x14ac:dyDescent="0.2">
      <c r="A205" s="1463">
        <v>5273</v>
      </c>
      <c r="B205" s="1469">
        <v>6121</v>
      </c>
      <c r="C205" s="1529" t="s">
        <v>2079</v>
      </c>
      <c r="D205" s="1405" t="s">
        <v>548</v>
      </c>
      <c r="E205" s="1414">
        <v>0</v>
      </c>
      <c r="F205" s="1414">
        <v>1022</v>
      </c>
      <c r="G205" s="1414">
        <v>1022</v>
      </c>
      <c r="H205" s="1390">
        <f t="shared" si="7"/>
        <v>100</v>
      </c>
    </row>
    <row r="206" spans="1:8" s="1292" customFormat="1" ht="15" x14ac:dyDescent="0.2">
      <c r="A206" s="1463">
        <v>5273</v>
      </c>
      <c r="B206" s="1469">
        <v>6122</v>
      </c>
      <c r="C206" s="1529" t="s">
        <v>2083</v>
      </c>
      <c r="D206" s="1405" t="s">
        <v>549</v>
      </c>
      <c r="E206" s="1414">
        <v>4522</v>
      </c>
      <c r="F206" s="1414">
        <v>139</v>
      </c>
      <c r="G206" s="1414">
        <v>139</v>
      </c>
      <c r="H206" s="1390">
        <f t="shared" si="7"/>
        <v>100</v>
      </c>
    </row>
    <row r="207" spans="1:8" s="1292" customFormat="1" ht="15" x14ac:dyDescent="0.2">
      <c r="A207" s="1463">
        <v>5273</v>
      </c>
      <c r="B207" s="1469">
        <v>6122</v>
      </c>
      <c r="C207" s="1529" t="s">
        <v>2082</v>
      </c>
      <c r="D207" s="1405" t="s">
        <v>549</v>
      </c>
      <c r="E207" s="1414">
        <v>0</v>
      </c>
      <c r="F207" s="1414">
        <v>0</v>
      </c>
      <c r="G207" s="1414">
        <v>0</v>
      </c>
      <c r="H207" s="1390">
        <v>0</v>
      </c>
    </row>
    <row r="208" spans="1:8" s="1292" customFormat="1" ht="15" x14ac:dyDescent="0.2">
      <c r="A208" s="1463">
        <v>5273</v>
      </c>
      <c r="B208" s="1469">
        <v>6122</v>
      </c>
      <c r="C208" s="1529" t="s">
        <v>2079</v>
      </c>
      <c r="D208" s="1405" t="s">
        <v>549</v>
      </c>
      <c r="E208" s="1414">
        <v>0</v>
      </c>
      <c r="F208" s="1414">
        <v>791</v>
      </c>
      <c r="G208" s="1414">
        <v>791</v>
      </c>
      <c r="H208" s="1390">
        <f>G208/F208*100</f>
        <v>100</v>
      </c>
    </row>
    <row r="209" spans="1:8" s="1292" customFormat="1" ht="15" x14ac:dyDescent="0.2">
      <c r="A209" s="1463">
        <v>5273</v>
      </c>
      <c r="B209" s="1469">
        <v>6122</v>
      </c>
      <c r="C209" s="1529" t="s">
        <v>2042</v>
      </c>
      <c r="D209" s="1405" t="s">
        <v>549</v>
      </c>
      <c r="E209" s="1414">
        <v>25622</v>
      </c>
      <c r="F209" s="1414">
        <v>0</v>
      </c>
      <c r="G209" s="1414">
        <v>0</v>
      </c>
      <c r="H209" s="1390">
        <v>0</v>
      </c>
    </row>
    <row r="210" spans="1:8" s="1292" customFormat="1" ht="15" x14ac:dyDescent="0.2">
      <c r="A210" s="1463">
        <v>5273</v>
      </c>
      <c r="B210" s="1469">
        <v>6125</v>
      </c>
      <c r="C210" s="1529" t="s">
        <v>2083</v>
      </c>
      <c r="D210" s="1405" t="s">
        <v>161</v>
      </c>
      <c r="E210" s="1414">
        <v>0</v>
      </c>
      <c r="F210" s="1414">
        <v>3117</v>
      </c>
      <c r="G210" s="1414">
        <v>3115</v>
      </c>
      <c r="H210" s="1390">
        <f>G210/F210*100</f>
        <v>99.935835739493101</v>
      </c>
    </row>
    <row r="211" spans="1:8" s="1292" customFormat="1" ht="15" x14ac:dyDescent="0.2">
      <c r="A211" s="1463">
        <v>5273</v>
      </c>
      <c r="B211" s="1469">
        <v>6125</v>
      </c>
      <c r="C211" s="1529" t="s">
        <v>2082</v>
      </c>
      <c r="D211" s="1405" t="s">
        <v>161</v>
      </c>
      <c r="E211" s="1414">
        <v>0</v>
      </c>
      <c r="F211" s="1414">
        <v>2022</v>
      </c>
      <c r="G211" s="1414">
        <v>854</v>
      </c>
      <c r="H211" s="1390">
        <f>G211/F211*100</f>
        <v>42.235410484668648</v>
      </c>
    </row>
    <row r="212" spans="1:8" s="1292" customFormat="1" ht="15.75" thickBot="1" x14ac:dyDescent="0.25">
      <c r="A212" s="1463">
        <v>5273</v>
      </c>
      <c r="B212" s="1469">
        <v>6125</v>
      </c>
      <c r="C212" s="1529" t="s">
        <v>2079</v>
      </c>
      <c r="D212" s="1405" t="s">
        <v>161</v>
      </c>
      <c r="E212" s="1414">
        <v>0</v>
      </c>
      <c r="F212" s="1414">
        <v>17660</v>
      </c>
      <c r="G212" s="1414">
        <v>17653</v>
      </c>
      <c r="H212" s="1390">
        <f>G212/F212*100</f>
        <v>99.960362400906007</v>
      </c>
    </row>
    <row r="213" spans="1:8" s="1292" customFormat="1" ht="16.5" thickTop="1" thickBot="1" x14ac:dyDescent="0.3">
      <c r="A213" s="3219" t="s">
        <v>690</v>
      </c>
      <c r="B213" s="3220"/>
      <c r="C213" s="3220"/>
      <c r="D213" s="3220"/>
      <c r="E213" s="1387">
        <f>SUM(E195:E212)</f>
        <v>30144</v>
      </c>
      <c r="F213" s="1387">
        <f>SUM(F195:F212)</f>
        <v>33334</v>
      </c>
      <c r="G213" s="1387">
        <f>SUM(G195:G212)</f>
        <v>32113</v>
      </c>
      <c r="H213" s="1391">
        <f>G213/F213*100</f>
        <v>96.337073258534829</v>
      </c>
    </row>
    <row r="214" spans="1:8" s="1292" customFormat="1" ht="14.25" customHeight="1" thickTop="1" x14ac:dyDescent="0.25">
      <c r="A214" s="1392"/>
      <c r="B214" s="1392"/>
      <c r="C214" s="1392"/>
      <c r="D214" s="1392"/>
      <c r="E214" s="1393"/>
      <c r="F214" s="1393"/>
      <c r="G214" s="1393"/>
      <c r="H214" s="1418"/>
    </row>
    <row r="215" spans="1:8" s="1292" customFormat="1" ht="14.25" customHeight="1" x14ac:dyDescent="0.25">
      <c r="A215" s="1392"/>
      <c r="B215" s="1392"/>
      <c r="C215" s="1392"/>
      <c r="D215" s="1392"/>
      <c r="E215" s="1393"/>
      <c r="F215" s="1393"/>
      <c r="G215" s="1393"/>
      <c r="H215" s="1418"/>
    </row>
    <row r="216" spans="1:8" s="1292" customFormat="1" ht="15" hidden="1" x14ac:dyDescent="0.25">
      <c r="A216" s="1377" t="s">
        <v>1334</v>
      </c>
      <c r="B216" s="1371"/>
      <c r="C216" s="1371"/>
      <c r="D216" s="1372"/>
      <c r="E216" s="1398"/>
      <c r="F216" s="1398"/>
      <c r="G216" s="1398"/>
      <c r="H216" s="1372"/>
    </row>
    <row r="217" spans="1:8" s="1292" customFormat="1" ht="15" hidden="1" x14ac:dyDescent="0.25">
      <c r="A217" s="1377" t="s">
        <v>1335</v>
      </c>
      <c r="B217" s="1371"/>
      <c r="C217" s="1371"/>
      <c r="D217" s="1372"/>
      <c r="E217" s="1398"/>
      <c r="F217" s="1398"/>
      <c r="G217" s="1398"/>
      <c r="H217" s="1459" t="s">
        <v>148</v>
      </c>
    </row>
    <row r="218" spans="1:8" s="1292" customFormat="1" ht="25.5" hidden="1" thickTop="1" thickBot="1" x14ac:dyDescent="0.25">
      <c r="A218" s="1378" t="s">
        <v>149</v>
      </c>
      <c r="B218" s="1379" t="s">
        <v>688</v>
      </c>
      <c r="C218" s="1379" t="s">
        <v>345</v>
      </c>
      <c r="D218" s="1380" t="s">
        <v>151</v>
      </c>
      <c r="E218" s="1402" t="s">
        <v>569</v>
      </c>
      <c r="F218" s="1402" t="s">
        <v>570</v>
      </c>
      <c r="G218" s="1403" t="s">
        <v>797</v>
      </c>
      <c r="H218" s="1404" t="s">
        <v>798</v>
      </c>
    </row>
    <row r="219" spans="1:8" s="1292" customFormat="1" ht="13.5" hidden="1" thickTop="1" thickBot="1" x14ac:dyDescent="0.25">
      <c r="A219" s="1297">
        <v>1</v>
      </c>
      <c r="B219" s="1296">
        <v>2</v>
      </c>
      <c r="C219" s="1296">
        <v>3</v>
      </c>
      <c r="D219" s="1296">
        <v>4</v>
      </c>
      <c r="E219" s="1295">
        <v>5</v>
      </c>
      <c r="F219" s="1295">
        <v>6</v>
      </c>
      <c r="G219" s="1446">
        <v>7</v>
      </c>
      <c r="H219" s="1468" t="s">
        <v>54</v>
      </c>
    </row>
    <row r="220" spans="1:8" s="1292" customFormat="1" ht="15" hidden="1" x14ac:dyDescent="0.2">
      <c r="A220" s="1463">
        <v>6402</v>
      </c>
      <c r="B220" s="1469">
        <v>5363</v>
      </c>
      <c r="C220" s="1469">
        <v>19</v>
      </c>
      <c r="D220" s="1405" t="s">
        <v>1353</v>
      </c>
      <c r="E220" s="1414"/>
      <c r="F220" s="1414"/>
      <c r="G220" s="1414"/>
      <c r="H220" s="1390" t="e">
        <f t="shared" ref="H220:H227" si="8">G220/F220*100</f>
        <v>#DIV/0!</v>
      </c>
    </row>
    <row r="221" spans="1:8" s="1292" customFormat="1" ht="15" hidden="1" x14ac:dyDescent="0.2">
      <c r="A221" s="1463">
        <v>5273</v>
      </c>
      <c r="B221" s="1469">
        <v>5137</v>
      </c>
      <c r="C221" s="1469">
        <v>41100880</v>
      </c>
      <c r="D221" s="1405" t="s">
        <v>142</v>
      </c>
      <c r="E221" s="1414">
        <v>0</v>
      </c>
      <c r="F221" s="1414">
        <v>0</v>
      </c>
      <c r="G221" s="1414">
        <v>0</v>
      </c>
      <c r="H221" s="1390" t="e">
        <f t="shared" si="8"/>
        <v>#DIV/0!</v>
      </c>
    </row>
    <row r="222" spans="1:8" s="1292" customFormat="1" ht="15" hidden="1" x14ac:dyDescent="0.2">
      <c r="A222" s="1463">
        <v>5273</v>
      </c>
      <c r="B222" s="1469">
        <v>5137</v>
      </c>
      <c r="C222" s="1469">
        <v>41100882</v>
      </c>
      <c r="D222" s="1405" t="s">
        <v>142</v>
      </c>
      <c r="E222" s="1414">
        <v>0</v>
      </c>
      <c r="F222" s="1414">
        <v>0</v>
      </c>
      <c r="G222" s="1414">
        <v>0</v>
      </c>
      <c r="H222" s="1390" t="e">
        <f t="shared" si="8"/>
        <v>#DIV/0!</v>
      </c>
    </row>
    <row r="223" spans="1:8" s="1292" customFormat="1" ht="15" hidden="1" x14ac:dyDescent="0.2">
      <c r="A223" s="1463">
        <v>5273</v>
      </c>
      <c r="B223" s="1469">
        <v>5137</v>
      </c>
      <c r="C223" s="1469">
        <v>41500881</v>
      </c>
      <c r="D223" s="1405" t="s">
        <v>142</v>
      </c>
      <c r="E223" s="1414">
        <v>0</v>
      </c>
      <c r="F223" s="1414">
        <v>0</v>
      </c>
      <c r="G223" s="1414">
        <v>0</v>
      </c>
      <c r="H223" s="1390" t="e">
        <f t="shared" si="8"/>
        <v>#DIV/0!</v>
      </c>
    </row>
    <row r="224" spans="1:8" s="1292" customFormat="1" ht="15" hidden="1" x14ac:dyDescent="0.2">
      <c r="A224" s="1463">
        <v>5273</v>
      </c>
      <c r="B224" s="1385">
        <v>5139</v>
      </c>
      <c r="C224" s="1469">
        <v>41100880</v>
      </c>
      <c r="D224" s="1405" t="s">
        <v>249</v>
      </c>
      <c r="E224" s="1414">
        <v>0</v>
      </c>
      <c r="F224" s="1414">
        <v>0</v>
      </c>
      <c r="G224" s="1414">
        <v>0</v>
      </c>
      <c r="H224" s="1390" t="e">
        <f t="shared" si="8"/>
        <v>#DIV/0!</v>
      </c>
    </row>
    <row r="225" spans="1:8" s="1292" customFormat="1" ht="15" hidden="1" x14ac:dyDescent="0.2">
      <c r="A225" s="1463">
        <v>5273</v>
      </c>
      <c r="B225" s="1385">
        <v>5139</v>
      </c>
      <c r="C225" s="1469">
        <v>41100882</v>
      </c>
      <c r="D225" s="1405" t="s">
        <v>249</v>
      </c>
      <c r="E225" s="1414">
        <v>0</v>
      </c>
      <c r="F225" s="1414">
        <v>0</v>
      </c>
      <c r="G225" s="1414">
        <v>0</v>
      </c>
      <c r="H225" s="1390" t="e">
        <f t="shared" si="8"/>
        <v>#DIV/0!</v>
      </c>
    </row>
    <row r="226" spans="1:8" s="1292" customFormat="1" ht="15" hidden="1" x14ac:dyDescent="0.2">
      <c r="A226" s="1463">
        <v>5273</v>
      </c>
      <c r="B226" s="1385">
        <v>5139</v>
      </c>
      <c r="C226" s="1469">
        <v>41500881</v>
      </c>
      <c r="D226" s="1405" t="s">
        <v>249</v>
      </c>
      <c r="E226" s="1414">
        <v>0</v>
      </c>
      <c r="F226" s="1414">
        <v>0</v>
      </c>
      <c r="G226" s="1414">
        <v>0</v>
      </c>
      <c r="H226" s="1390" t="e">
        <f t="shared" si="8"/>
        <v>#DIV/0!</v>
      </c>
    </row>
    <row r="227" spans="1:8" s="1292" customFormat="1" ht="15" hidden="1" x14ac:dyDescent="0.2">
      <c r="A227" s="1463">
        <v>5273</v>
      </c>
      <c r="B227" s="1385">
        <v>5163</v>
      </c>
      <c r="C227" s="1469">
        <v>41100880</v>
      </c>
      <c r="D227" s="1405" t="s">
        <v>807</v>
      </c>
      <c r="E227" s="1414">
        <v>0</v>
      </c>
      <c r="F227" s="1414">
        <v>0</v>
      </c>
      <c r="G227" s="1414">
        <v>0</v>
      </c>
      <c r="H227" s="1390" t="e">
        <f t="shared" si="8"/>
        <v>#DIV/0!</v>
      </c>
    </row>
    <row r="228" spans="1:8" s="1292" customFormat="1" ht="15" hidden="1" x14ac:dyDescent="0.2">
      <c r="A228" s="1463">
        <v>5273</v>
      </c>
      <c r="B228" s="1385">
        <v>5163</v>
      </c>
      <c r="C228" s="1469">
        <v>41100882</v>
      </c>
      <c r="D228" s="1405" t="s">
        <v>807</v>
      </c>
      <c r="E228" s="1414">
        <v>0</v>
      </c>
      <c r="F228" s="1414">
        <v>0</v>
      </c>
      <c r="G228" s="1414">
        <v>0</v>
      </c>
      <c r="H228" s="1390">
        <v>0</v>
      </c>
    </row>
    <row r="229" spans="1:8" s="1292" customFormat="1" ht="15" hidden="1" x14ac:dyDescent="0.2">
      <c r="A229" s="1463">
        <v>5273</v>
      </c>
      <c r="B229" s="1385">
        <v>5163</v>
      </c>
      <c r="C229" s="1469">
        <v>41500881</v>
      </c>
      <c r="D229" s="1405" t="s">
        <v>807</v>
      </c>
      <c r="E229" s="1414">
        <v>0</v>
      </c>
      <c r="F229" s="1414">
        <v>0</v>
      </c>
      <c r="G229" s="1414">
        <v>0</v>
      </c>
      <c r="H229" s="1390">
        <v>0</v>
      </c>
    </row>
    <row r="230" spans="1:8" s="1292" customFormat="1" ht="15" hidden="1" x14ac:dyDescent="0.2">
      <c r="A230" s="1463">
        <v>5273</v>
      </c>
      <c r="B230" s="1385">
        <v>5164</v>
      </c>
      <c r="C230" s="1469">
        <v>41100880</v>
      </c>
      <c r="D230" s="1405" t="s">
        <v>157</v>
      </c>
      <c r="E230" s="1414">
        <v>0</v>
      </c>
      <c r="F230" s="1414">
        <v>0</v>
      </c>
      <c r="G230" s="1414">
        <v>0</v>
      </c>
      <c r="H230" s="1390" t="e">
        <f>G230/F230*100</f>
        <v>#DIV/0!</v>
      </c>
    </row>
    <row r="231" spans="1:8" s="1292" customFormat="1" ht="15" hidden="1" x14ac:dyDescent="0.2">
      <c r="A231" s="1463">
        <v>5273</v>
      </c>
      <c r="B231" s="1385">
        <v>5164</v>
      </c>
      <c r="C231" s="1469">
        <v>41100882</v>
      </c>
      <c r="D231" s="1405" t="s">
        <v>157</v>
      </c>
      <c r="E231" s="1414">
        <v>0</v>
      </c>
      <c r="F231" s="1414">
        <v>0</v>
      </c>
      <c r="G231" s="1414">
        <v>0</v>
      </c>
      <c r="H231" s="1390">
        <v>0</v>
      </c>
    </row>
    <row r="232" spans="1:8" s="1292" customFormat="1" ht="15" hidden="1" x14ac:dyDescent="0.2">
      <c r="A232" s="1463">
        <v>5273</v>
      </c>
      <c r="B232" s="1469">
        <v>5164</v>
      </c>
      <c r="C232" s="1469">
        <v>41500881</v>
      </c>
      <c r="D232" s="1405" t="s">
        <v>157</v>
      </c>
      <c r="E232" s="1414">
        <v>0</v>
      </c>
      <c r="F232" s="1414">
        <v>0</v>
      </c>
      <c r="G232" s="1414">
        <v>0</v>
      </c>
      <c r="H232" s="1390" t="e">
        <f t="shared" ref="H232:H242" si="9">G232/F232*100</f>
        <v>#DIV/0!</v>
      </c>
    </row>
    <row r="233" spans="1:8" s="1292" customFormat="1" ht="30.75" hidden="1" customHeight="1" thickTop="1" x14ac:dyDescent="0.2">
      <c r="A233" s="1463">
        <v>5273</v>
      </c>
      <c r="B233" s="1469">
        <v>5166</v>
      </c>
      <c r="C233" s="1469">
        <v>41100880</v>
      </c>
      <c r="D233" s="1405" t="s">
        <v>553</v>
      </c>
      <c r="E233" s="1414">
        <v>0</v>
      </c>
      <c r="F233" s="1414">
        <v>0</v>
      </c>
      <c r="G233" s="1414">
        <v>0</v>
      </c>
      <c r="H233" s="1390" t="e">
        <f t="shared" si="9"/>
        <v>#DIV/0!</v>
      </c>
    </row>
    <row r="234" spans="1:8" s="1292" customFormat="1" ht="30.75" hidden="1" customHeight="1" thickTop="1" x14ac:dyDescent="0.2">
      <c r="A234" s="1463">
        <v>5273</v>
      </c>
      <c r="B234" s="1469">
        <v>5166</v>
      </c>
      <c r="C234" s="1469">
        <v>41100882</v>
      </c>
      <c r="D234" s="1405" t="s">
        <v>553</v>
      </c>
      <c r="E234" s="1414">
        <v>0</v>
      </c>
      <c r="F234" s="1414">
        <v>0</v>
      </c>
      <c r="G234" s="1414">
        <v>0</v>
      </c>
      <c r="H234" s="1390" t="e">
        <f t="shared" si="9"/>
        <v>#DIV/0!</v>
      </c>
    </row>
    <row r="235" spans="1:8" s="1292" customFormat="1" ht="30.75" hidden="1" customHeight="1" thickTop="1" x14ac:dyDescent="0.2">
      <c r="A235" s="1463">
        <v>5273</v>
      </c>
      <c r="B235" s="1469">
        <v>5166</v>
      </c>
      <c r="C235" s="1469">
        <v>41500881</v>
      </c>
      <c r="D235" s="1405" t="s">
        <v>553</v>
      </c>
      <c r="E235" s="1414">
        <v>0</v>
      </c>
      <c r="F235" s="1414">
        <v>0</v>
      </c>
      <c r="G235" s="1414">
        <v>0</v>
      </c>
      <c r="H235" s="1390" t="e">
        <f t="shared" si="9"/>
        <v>#DIV/0!</v>
      </c>
    </row>
    <row r="236" spans="1:8" s="1292" customFormat="1" ht="15" hidden="1" x14ac:dyDescent="0.2">
      <c r="A236" s="1463">
        <v>5273</v>
      </c>
      <c r="B236" s="1469">
        <v>5169</v>
      </c>
      <c r="C236" s="1469">
        <v>41100880</v>
      </c>
      <c r="D236" s="1405" t="s">
        <v>769</v>
      </c>
      <c r="E236" s="1414">
        <v>0</v>
      </c>
      <c r="F236" s="1414">
        <v>0</v>
      </c>
      <c r="G236" s="1414">
        <v>0</v>
      </c>
      <c r="H236" s="1390" t="e">
        <f t="shared" si="9"/>
        <v>#DIV/0!</v>
      </c>
    </row>
    <row r="237" spans="1:8" s="1292" customFormat="1" ht="15" hidden="1" x14ac:dyDescent="0.2">
      <c r="A237" s="1463">
        <v>5273</v>
      </c>
      <c r="B237" s="1469">
        <v>5169</v>
      </c>
      <c r="C237" s="1469">
        <v>41100882</v>
      </c>
      <c r="D237" s="1405" t="s">
        <v>769</v>
      </c>
      <c r="E237" s="1414">
        <v>0</v>
      </c>
      <c r="F237" s="1414">
        <v>0</v>
      </c>
      <c r="G237" s="1414">
        <v>0</v>
      </c>
      <c r="H237" s="1390" t="e">
        <f t="shared" si="9"/>
        <v>#DIV/0!</v>
      </c>
    </row>
    <row r="238" spans="1:8" s="1292" customFormat="1" ht="15" hidden="1" x14ac:dyDescent="0.2">
      <c r="A238" s="1463">
        <v>5273</v>
      </c>
      <c r="B238" s="1469">
        <v>5169</v>
      </c>
      <c r="C238" s="1469">
        <v>41500881</v>
      </c>
      <c r="D238" s="1405" t="s">
        <v>769</v>
      </c>
      <c r="E238" s="1414">
        <v>0</v>
      </c>
      <c r="F238" s="1414">
        <v>0</v>
      </c>
      <c r="G238" s="1414">
        <v>0</v>
      </c>
      <c r="H238" s="1390" t="e">
        <f t="shared" si="9"/>
        <v>#DIV/0!</v>
      </c>
    </row>
    <row r="239" spans="1:8" s="1292" customFormat="1" ht="15" hidden="1" x14ac:dyDescent="0.2">
      <c r="A239" s="1463">
        <v>5273</v>
      </c>
      <c r="B239" s="1469">
        <v>5175</v>
      </c>
      <c r="C239" s="1469">
        <v>41100880</v>
      </c>
      <c r="D239" s="1405" t="s">
        <v>605</v>
      </c>
      <c r="E239" s="1414">
        <v>0</v>
      </c>
      <c r="F239" s="1414">
        <v>0</v>
      </c>
      <c r="G239" s="1414">
        <v>0</v>
      </c>
      <c r="H239" s="1390" t="e">
        <f t="shared" si="9"/>
        <v>#DIV/0!</v>
      </c>
    </row>
    <row r="240" spans="1:8" s="1292" customFormat="1" ht="15" hidden="1" x14ac:dyDescent="0.2">
      <c r="A240" s="1463">
        <v>5273</v>
      </c>
      <c r="B240" s="1469">
        <v>5175</v>
      </c>
      <c r="C240" s="1469">
        <v>41100882</v>
      </c>
      <c r="D240" s="1405" t="s">
        <v>605</v>
      </c>
      <c r="E240" s="1414">
        <v>0</v>
      </c>
      <c r="F240" s="1414">
        <v>0</v>
      </c>
      <c r="G240" s="1414">
        <v>0</v>
      </c>
      <c r="H240" s="1390" t="e">
        <f t="shared" si="9"/>
        <v>#DIV/0!</v>
      </c>
    </row>
    <row r="241" spans="1:8" s="1292" customFormat="1" ht="15" hidden="1" x14ac:dyDescent="0.2">
      <c r="A241" s="1463">
        <v>5273</v>
      </c>
      <c r="B241" s="1469">
        <v>5175</v>
      </c>
      <c r="C241" s="1469">
        <v>41500881</v>
      </c>
      <c r="D241" s="1405" t="s">
        <v>605</v>
      </c>
      <c r="E241" s="1414">
        <v>0</v>
      </c>
      <c r="F241" s="1414">
        <v>0</v>
      </c>
      <c r="G241" s="1414">
        <v>0</v>
      </c>
      <c r="H241" s="1390" t="e">
        <f t="shared" si="9"/>
        <v>#DIV/0!</v>
      </c>
    </row>
    <row r="242" spans="1:8" s="1292" customFormat="1" ht="16.5" hidden="1" thickTop="1" thickBot="1" x14ac:dyDescent="0.3">
      <c r="A242" s="3219" t="s">
        <v>690</v>
      </c>
      <c r="B242" s="3220"/>
      <c r="C242" s="3220"/>
      <c r="D242" s="3220"/>
      <c r="E242" s="1387">
        <f>SUM(E220:E241)</f>
        <v>0</v>
      </c>
      <c r="F242" s="1387">
        <f>SUM(F220:F241)</f>
        <v>0</v>
      </c>
      <c r="G242" s="1387">
        <f>SUM(G220:G241)</f>
        <v>0</v>
      </c>
      <c r="H242" s="1391" t="e">
        <f t="shared" si="9"/>
        <v>#DIV/0!</v>
      </c>
    </row>
    <row r="243" spans="1:8" s="1292" customFormat="1" ht="15" hidden="1" x14ac:dyDescent="0.25">
      <c r="A243" s="1392"/>
      <c r="B243" s="1392"/>
      <c r="C243" s="1392"/>
      <c r="D243" s="1392"/>
      <c r="E243" s="1393"/>
      <c r="F243" s="1393"/>
      <c r="G243" s="1393"/>
      <c r="H243" s="1418"/>
    </row>
    <row r="244" spans="1:8" ht="15" hidden="1" customHeight="1" x14ac:dyDescent="0.25">
      <c r="A244" s="1377" t="s">
        <v>1233</v>
      </c>
    </row>
    <row r="245" spans="1:8" s="1249" customFormat="1" ht="15" hidden="1" x14ac:dyDescent="0.25">
      <c r="A245" s="1377" t="s">
        <v>1232</v>
      </c>
      <c r="B245" s="1255"/>
      <c r="C245" s="1255"/>
      <c r="E245" s="1533"/>
      <c r="F245" s="1533"/>
      <c r="G245" s="1533"/>
      <c r="H245" s="1534" t="s">
        <v>148</v>
      </c>
    </row>
    <row r="246" spans="1:8" s="1292" customFormat="1" ht="25.5" hidden="1" thickTop="1" thickBot="1" x14ac:dyDescent="0.25">
      <c r="A246" s="1378" t="s">
        <v>149</v>
      </c>
      <c r="B246" s="1379" t="s">
        <v>688</v>
      </c>
      <c r="C246" s="1379" t="s">
        <v>345</v>
      </c>
      <c r="D246" s="1380" t="s">
        <v>151</v>
      </c>
      <c r="E246" s="1402" t="s">
        <v>569</v>
      </c>
      <c r="F246" s="1402" t="s">
        <v>570</v>
      </c>
      <c r="G246" s="1403" t="s">
        <v>797</v>
      </c>
      <c r="H246" s="1404" t="s">
        <v>798</v>
      </c>
    </row>
    <row r="247" spans="1:8" s="1292" customFormat="1" ht="13.5" hidden="1" thickTop="1" thickBot="1" x14ac:dyDescent="0.25">
      <c r="A247" s="1297">
        <v>1</v>
      </c>
      <c r="B247" s="1296">
        <v>2</v>
      </c>
      <c r="C247" s="1296">
        <v>3</v>
      </c>
      <c r="D247" s="1296">
        <v>4</v>
      </c>
      <c r="E247" s="1295">
        <v>5</v>
      </c>
      <c r="F247" s="1295">
        <v>6</v>
      </c>
      <c r="G247" s="1446">
        <v>7</v>
      </c>
      <c r="H247" s="1468" t="s">
        <v>54</v>
      </c>
    </row>
    <row r="248" spans="1:8" s="1536" customFormat="1" ht="16.5" hidden="1" customHeight="1" thickTop="1" x14ac:dyDescent="0.2">
      <c r="A248" s="1463">
        <v>4357</v>
      </c>
      <c r="B248" s="1469">
        <v>5166</v>
      </c>
      <c r="C248" s="1528" t="s">
        <v>682</v>
      </c>
      <c r="D248" s="1535" t="s">
        <v>553</v>
      </c>
      <c r="E248" s="1422">
        <v>0</v>
      </c>
      <c r="F248" s="1422">
        <v>0</v>
      </c>
      <c r="G248" s="1422">
        <v>0</v>
      </c>
      <c r="H248" s="1390" t="e">
        <f t="shared" ref="H248:H254" si="10">G248/F248*100</f>
        <v>#DIV/0!</v>
      </c>
    </row>
    <row r="249" spans="1:8" s="1292" customFormat="1" ht="15" hidden="1" x14ac:dyDescent="0.2">
      <c r="A249" s="1384">
        <v>4357</v>
      </c>
      <c r="B249" s="1385">
        <v>5169</v>
      </c>
      <c r="C249" s="1528">
        <v>53100880</v>
      </c>
      <c r="D249" s="1405" t="s">
        <v>769</v>
      </c>
      <c r="E249" s="1414">
        <v>0</v>
      </c>
      <c r="F249" s="1414"/>
      <c r="G249" s="1414"/>
      <c r="H249" s="1390" t="e">
        <f t="shared" si="10"/>
        <v>#DIV/0!</v>
      </c>
    </row>
    <row r="250" spans="1:8" s="1292" customFormat="1" ht="15" hidden="1" x14ac:dyDescent="0.2">
      <c r="A250" s="1384">
        <v>4357</v>
      </c>
      <c r="B250" s="1385">
        <v>5169</v>
      </c>
      <c r="C250" s="1528">
        <v>53100884</v>
      </c>
      <c r="D250" s="1405" t="s">
        <v>769</v>
      </c>
      <c r="E250" s="1414">
        <v>0</v>
      </c>
      <c r="F250" s="1414"/>
      <c r="G250" s="1414"/>
      <c r="H250" s="1390" t="e">
        <f t="shared" si="10"/>
        <v>#DIV/0!</v>
      </c>
    </row>
    <row r="251" spans="1:8" s="1292" customFormat="1" ht="15" hidden="1" x14ac:dyDescent="0.2">
      <c r="A251" s="1384">
        <v>4357</v>
      </c>
      <c r="B251" s="1385">
        <v>5169</v>
      </c>
      <c r="C251" s="1528">
        <v>53190001</v>
      </c>
      <c r="D251" s="1405" t="s">
        <v>769</v>
      </c>
      <c r="E251" s="1414">
        <v>0</v>
      </c>
      <c r="F251" s="1414"/>
      <c r="G251" s="1414"/>
      <c r="H251" s="1390" t="e">
        <f t="shared" si="10"/>
        <v>#DIV/0!</v>
      </c>
    </row>
    <row r="252" spans="1:8" s="1292" customFormat="1" ht="15" hidden="1" x14ac:dyDescent="0.2">
      <c r="A252" s="1384">
        <v>4357</v>
      </c>
      <c r="B252" s="1385">
        <v>5169</v>
      </c>
      <c r="C252" s="1528">
        <v>53515319</v>
      </c>
      <c r="D252" s="1405" t="s">
        <v>769</v>
      </c>
      <c r="E252" s="1414">
        <v>0</v>
      </c>
      <c r="F252" s="1414"/>
      <c r="G252" s="1414"/>
      <c r="H252" s="1390" t="e">
        <f t="shared" si="10"/>
        <v>#DIV/0!</v>
      </c>
    </row>
    <row r="253" spans="1:8" s="1292" customFormat="1" ht="15" hidden="1" x14ac:dyDescent="0.2">
      <c r="A253" s="1384"/>
      <c r="B253" s="1385"/>
      <c r="C253" s="1425"/>
      <c r="D253" s="1425"/>
      <c r="E253" s="1414"/>
      <c r="F253" s="1414"/>
      <c r="G253" s="1414"/>
      <c r="H253" s="1390" t="e">
        <f t="shared" si="10"/>
        <v>#DIV/0!</v>
      </c>
    </row>
    <row r="254" spans="1:8" s="1292" customFormat="1" ht="15" hidden="1" x14ac:dyDescent="0.2">
      <c r="A254" s="1384"/>
      <c r="B254" s="1385"/>
      <c r="C254" s="1425"/>
      <c r="D254" s="1425"/>
      <c r="E254" s="1414"/>
      <c r="F254" s="1414"/>
      <c r="G254" s="1414"/>
      <c r="H254" s="1390" t="e">
        <f t="shared" si="10"/>
        <v>#DIV/0!</v>
      </c>
    </row>
    <row r="255" spans="1:8" s="1292" customFormat="1" ht="15" hidden="1" x14ac:dyDescent="0.2">
      <c r="A255" s="1384">
        <v>4357</v>
      </c>
      <c r="B255" s="1385">
        <v>5171</v>
      </c>
      <c r="C255" s="1528" t="s">
        <v>681</v>
      </c>
      <c r="D255" s="1405" t="s">
        <v>811</v>
      </c>
      <c r="E255" s="1414">
        <v>0</v>
      </c>
      <c r="F255" s="1414"/>
      <c r="G255" s="1414"/>
      <c r="H255" s="1390">
        <v>0</v>
      </c>
    </row>
    <row r="256" spans="1:8" s="1292" customFormat="1" ht="15" hidden="1" x14ac:dyDescent="0.2">
      <c r="A256" s="1384">
        <v>4357</v>
      </c>
      <c r="B256" s="1385">
        <v>6121</v>
      </c>
      <c r="C256" s="1528" t="s">
        <v>682</v>
      </c>
      <c r="D256" s="1405" t="s">
        <v>548</v>
      </c>
      <c r="E256" s="1414">
        <v>0</v>
      </c>
      <c r="F256" s="1414"/>
      <c r="G256" s="1414"/>
      <c r="H256" s="1390">
        <v>0</v>
      </c>
    </row>
    <row r="257" spans="1:8" s="1292" customFormat="1" ht="16.5" hidden="1" thickTop="1" thickBot="1" x14ac:dyDescent="0.3">
      <c r="A257" s="3219" t="s">
        <v>690</v>
      </c>
      <c r="B257" s="3220"/>
      <c r="C257" s="3220"/>
      <c r="D257" s="3220"/>
      <c r="E257" s="1387">
        <f>SUM(E248:E256)</f>
        <v>0</v>
      </c>
      <c r="F257" s="1387">
        <f>SUM(F248:F256)</f>
        <v>0</v>
      </c>
      <c r="G257" s="1387">
        <f>SUM(G248:G256)</f>
        <v>0</v>
      </c>
      <c r="H257" s="1391" t="e">
        <f>G257/F257*100</f>
        <v>#DIV/0!</v>
      </c>
    </row>
    <row r="258" spans="1:8" s="1292" customFormat="1" ht="15" hidden="1" x14ac:dyDescent="0.25">
      <c r="A258" s="1392"/>
      <c r="B258" s="1392"/>
      <c r="C258" s="1392"/>
      <c r="D258" s="1392"/>
      <c r="E258" s="1393"/>
      <c r="F258" s="1393"/>
      <c r="G258" s="1393"/>
      <c r="H258" s="1418"/>
    </row>
    <row r="259" spans="1:8" ht="15" customHeight="1" x14ac:dyDescent="0.25">
      <c r="A259" s="1377" t="s">
        <v>449</v>
      </c>
    </row>
    <row r="260" spans="1:8" ht="15.75" thickBot="1" x14ac:dyDescent="0.3">
      <c r="A260" s="1377" t="s">
        <v>450</v>
      </c>
      <c r="H260" s="1459" t="s">
        <v>148</v>
      </c>
    </row>
    <row r="261" spans="1:8" s="1292" customFormat="1" ht="25.5" thickTop="1" thickBot="1" x14ac:dyDescent="0.25">
      <c r="A261" s="1378" t="s">
        <v>149</v>
      </c>
      <c r="B261" s="1379" t="s">
        <v>688</v>
      </c>
      <c r="C261" s="1379" t="s">
        <v>345</v>
      </c>
      <c r="D261" s="1380" t="s">
        <v>151</v>
      </c>
      <c r="E261" s="1402" t="s">
        <v>569</v>
      </c>
      <c r="F261" s="1402" t="s">
        <v>570</v>
      </c>
      <c r="G261" s="1403" t="s">
        <v>797</v>
      </c>
      <c r="H261" s="1404" t="s">
        <v>798</v>
      </c>
    </row>
    <row r="262" spans="1:8" s="1292" customFormat="1" ht="13.5" thickTop="1" thickBot="1" x14ac:dyDescent="0.25">
      <c r="A262" s="1297">
        <v>1</v>
      </c>
      <c r="B262" s="1296">
        <v>2</v>
      </c>
      <c r="C262" s="1296">
        <v>3</v>
      </c>
      <c r="D262" s="1296">
        <v>4</v>
      </c>
      <c r="E262" s="1295">
        <v>5</v>
      </c>
      <c r="F262" s="1295">
        <v>6</v>
      </c>
      <c r="G262" s="1446">
        <v>7</v>
      </c>
      <c r="H262" s="1468" t="s">
        <v>54</v>
      </c>
    </row>
    <row r="263" spans="1:8" s="1292" customFormat="1" ht="15.75" thickTop="1" x14ac:dyDescent="0.2">
      <c r="A263" s="1384">
        <v>4357</v>
      </c>
      <c r="B263" s="1385">
        <v>5169</v>
      </c>
      <c r="C263" s="1528" t="s">
        <v>2081</v>
      </c>
      <c r="D263" s="1405" t="s">
        <v>769</v>
      </c>
      <c r="E263" s="1414">
        <v>0</v>
      </c>
      <c r="F263" s="1414">
        <v>226</v>
      </c>
      <c r="G263" s="1414">
        <v>226</v>
      </c>
      <c r="H263" s="1390">
        <f>G263/F263*100</f>
        <v>100</v>
      </c>
    </row>
    <row r="264" spans="1:8" s="1292" customFormat="1" ht="15" x14ac:dyDescent="0.2">
      <c r="A264" s="1384">
        <v>4357</v>
      </c>
      <c r="B264" s="1385">
        <v>5169</v>
      </c>
      <c r="C264" s="1528" t="s">
        <v>2034</v>
      </c>
      <c r="D264" s="1405" t="s">
        <v>769</v>
      </c>
      <c r="E264" s="1414">
        <v>0</v>
      </c>
      <c r="F264" s="1414">
        <v>45</v>
      </c>
      <c r="G264" s="1414">
        <v>45</v>
      </c>
      <c r="H264" s="1390">
        <f>G264/F264*100</f>
        <v>100</v>
      </c>
    </row>
    <row r="265" spans="1:8" s="1292" customFormat="1" ht="15" x14ac:dyDescent="0.2">
      <c r="A265" s="1384">
        <v>4357</v>
      </c>
      <c r="B265" s="1385">
        <v>5169</v>
      </c>
      <c r="C265" s="1528" t="s">
        <v>2080</v>
      </c>
      <c r="D265" s="1405" t="s">
        <v>769</v>
      </c>
      <c r="E265" s="1414">
        <v>1500</v>
      </c>
      <c r="F265" s="1414">
        <v>595</v>
      </c>
      <c r="G265" s="1414">
        <v>255</v>
      </c>
      <c r="H265" s="1390">
        <f>G265/F265*100</f>
        <v>42.857142857142854</v>
      </c>
    </row>
    <row r="266" spans="1:8" s="1292" customFormat="1" ht="15.75" thickBot="1" x14ac:dyDescent="0.25">
      <c r="A266" s="1384">
        <v>4357</v>
      </c>
      <c r="B266" s="1385">
        <v>5169</v>
      </c>
      <c r="C266" s="1528" t="s">
        <v>2032</v>
      </c>
      <c r="D266" s="1405" t="s">
        <v>769</v>
      </c>
      <c r="E266" s="1414">
        <v>0</v>
      </c>
      <c r="F266" s="1414">
        <v>634</v>
      </c>
      <c r="G266" s="1414">
        <v>634</v>
      </c>
      <c r="H266" s="1390">
        <f>G266/F266*100</f>
        <v>100</v>
      </c>
    </row>
    <row r="267" spans="1:8" s="1292" customFormat="1" ht="15.75" hidden="1" thickBot="1" x14ac:dyDescent="0.25">
      <c r="A267" s="1384">
        <v>4357</v>
      </c>
      <c r="B267" s="1385">
        <v>6121</v>
      </c>
      <c r="C267" s="1537" t="s">
        <v>1510</v>
      </c>
      <c r="D267" s="1405" t="s">
        <v>548</v>
      </c>
      <c r="E267" s="1414"/>
      <c r="F267" s="1414"/>
      <c r="G267" s="1414"/>
      <c r="H267" s="1390" t="e">
        <f>G267/F267*100</f>
        <v>#DIV/0!</v>
      </c>
    </row>
    <row r="268" spans="1:8" s="1292" customFormat="1" ht="16.5" thickTop="1" thickBot="1" x14ac:dyDescent="0.3">
      <c r="A268" s="3219" t="s">
        <v>690</v>
      </c>
      <c r="B268" s="3220"/>
      <c r="C268" s="3220"/>
      <c r="D268" s="3220"/>
      <c r="E268" s="1387">
        <f>SUM(E263:E267)</f>
        <v>1500</v>
      </c>
      <c r="F268" s="1387">
        <f>SUM(F263:F267)</f>
        <v>1500</v>
      </c>
      <c r="G268" s="1387">
        <f>SUM(G263:G267)</f>
        <v>1160</v>
      </c>
      <c r="H268" s="1391">
        <v>0</v>
      </c>
    </row>
    <row r="269" spans="1:8" s="1292" customFormat="1" ht="15.75" thickTop="1" x14ac:dyDescent="0.25">
      <c r="A269" s="1392"/>
      <c r="B269" s="1392"/>
      <c r="C269" s="1392"/>
      <c r="D269" s="1392"/>
      <c r="E269" s="1393"/>
      <c r="F269" s="1393"/>
      <c r="G269" s="1393"/>
      <c r="H269" s="1418"/>
    </row>
    <row r="270" spans="1:8" ht="15" x14ac:dyDescent="0.25">
      <c r="A270" s="1377" t="s">
        <v>1703</v>
      </c>
    </row>
    <row r="271" spans="1:8" ht="15.75" thickBot="1" x14ac:dyDescent="0.3">
      <c r="A271" s="1377" t="s">
        <v>451</v>
      </c>
      <c r="H271" s="1459" t="s">
        <v>148</v>
      </c>
    </row>
    <row r="272" spans="1:8" s="1292" customFormat="1" ht="25.5" thickTop="1" thickBot="1" x14ac:dyDescent="0.25">
      <c r="A272" s="1378" t="s">
        <v>149</v>
      </c>
      <c r="B272" s="1379" t="s">
        <v>688</v>
      </c>
      <c r="C272" s="1379" t="s">
        <v>345</v>
      </c>
      <c r="D272" s="1380" t="s">
        <v>151</v>
      </c>
      <c r="E272" s="1402" t="s">
        <v>569</v>
      </c>
      <c r="F272" s="1402" t="s">
        <v>570</v>
      </c>
      <c r="G272" s="1403" t="s">
        <v>797</v>
      </c>
      <c r="H272" s="1404" t="s">
        <v>798</v>
      </c>
    </row>
    <row r="273" spans="1:8" s="1292" customFormat="1" ht="13.5" thickTop="1" thickBot="1" x14ac:dyDescent="0.25">
      <c r="A273" s="1297">
        <v>1</v>
      </c>
      <c r="B273" s="1296">
        <v>2</v>
      </c>
      <c r="C273" s="1296">
        <v>3</v>
      </c>
      <c r="D273" s="1296">
        <v>4</v>
      </c>
      <c r="E273" s="1295">
        <v>5</v>
      </c>
      <c r="F273" s="1295">
        <v>6</v>
      </c>
      <c r="G273" s="1446">
        <v>7</v>
      </c>
      <c r="H273" s="1468" t="s">
        <v>54</v>
      </c>
    </row>
    <row r="274" spans="1:8" s="1292" customFormat="1" ht="15.75" thickTop="1" x14ac:dyDescent="0.2">
      <c r="A274" s="1384">
        <v>4357</v>
      </c>
      <c r="B274" s="1385">
        <v>5137</v>
      </c>
      <c r="C274" s="1531" t="s">
        <v>2028</v>
      </c>
      <c r="D274" s="1405" t="s">
        <v>142</v>
      </c>
      <c r="E274" s="1414">
        <v>0</v>
      </c>
      <c r="F274" s="1414">
        <v>423</v>
      </c>
      <c r="G274" s="1414">
        <v>423</v>
      </c>
      <c r="H274" s="1390">
        <f>G274/F274*100</f>
        <v>100</v>
      </c>
    </row>
    <row r="275" spans="1:8" s="1292" customFormat="1" ht="15" x14ac:dyDescent="0.2">
      <c r="A275" s="1384">
        <v>4357</v>
      </c>
      <c r="B275" s="1385">
        <v>5137</v>
      </c>
      <c r="C275" s="1531" t="s">
        <v>2027</v>
      </c>
      <c r="D275" s="1405" t="s">
        <v>142</v>
      </c>
      <c r="E275" s="1414">
        <v>0</v>
      </c>
      <c r="F275" s="1414">
        <v>2398</v>
      </c>
      <c r="G275" s="1414">
        <v>2398</v>
      </c>
      <c r="H275" s="1390">
        <f>G275/F275*100</f>
        <v>100</v>
      </c>
    </row>
    <row r="276" spans="1:8" s="1292" customFormat="1" ht="15" x14ac:dyDescent="0.2">
      <c r="A276" s="1384">
        <v>4357</v>
      </c>
      <c r="B276" s="1385">
        <v>6121</v>
      </c>
      <c r="C276" s="1531" t="s">
        <v>2079</v>
      </c>
      <c r="D276" s="1405" t="s">
        <v>548</v>
      </c>
      <c r="E276" s="1414">
        <v>1284</v>
      </c>
      <c r="F276" s="1414">
        <v>0</v>
      </c>
      <c r="G276" s="1414">
        <v>0</v>
      </c>
      <c r="H276" s="1390">
        <v>0</v>
      </c>
    </row>
    <row r="277" spans="1:8" s="1292" customFormat="1" ht="15" x14ac:dyDescent="0.2">
      <c r="A277" s="1463">
        <v>4357</v>
      </c>
      <c r="B277" s="1385">
        <v>6121</v>
      </c>
      <c r="C277" s="1529" t="s">
        <v>2042</v>
      </c>
      <c r="D277" s="1405" t="s">
        <v>548</v>
      </c>
      <c r="E277" s="1414">
        <v>3200</v>
      </c>
      <c r="F277" s="1414">
        <v>0</v>
      </c>
      <c r="G277" s="1414">
        <v>0</v>
      </c>
      <c r="H277" s="1390">
        <v>0</v>
      </c>
    </row>
    <row r="278" spans="1:8" s="1292" customFormat="1" ht="15" x14ac:dyDescent="0.2">
      <c r="A278" s="1463">
        <v>4357</v>
      </c>
      <c r="B278" s="1385">
        <v>6121</v>
      </c>
      <c r="C278" s="1529" t="s">
        <v>2028</v>
      </c>
      <c r="D278" s="1405" t="s">
        <v>548</v>
      </c>
      <c r="E278" s="1414">
        <v>6688</v>
      </c>
      <c r="F278" s="1414">
        <v>4380</v>
      </c>
      <c r="G278" s="1414">
        <v>4380</v>
      </c>
      <c r="H278" s="1390">
        <f t="shared" ref="H278:H284" si="11">G278/F278*100</f>
        <v>100</v>
      </c>
    </row>
    <row r="279" spans="1:8" s="1292" customFormat="1" ht="15" x14ac:dyDescent="0.2">
      <c r="A279" s="1463">
        <v>4357</v>
      </c>
      <c r="B279" s="1385">
        <v>6121</v>
      </c>
      <c r="C279" s="1529" t="s">
        <v>2029</v>
      </c>
      <c r="D279" s="1405" t="s">
        <v>548</v>
      </c>
      <c r="E279" s="1414">
        <v>0</v>
      </c>
      <c r="F279" s="1414">
        <v>431</v>
      </c>
      <c r="G279" s="1414">
        <v>431</v>
      </c>
      <c r="H279" s="1390">
        <f t="shared" si="11"/>
        <v>100</v>
      </c>
    </row>
    <row r="280" spans="1:8" s="1292" customFormat="1" ht="15" x14ac:dyDescent="0.2">
      <c r="A280" s="1463">
        <v>4357</v>
      </c>
      <c r="B280" s="1385">
        <v>6121</v>
      </c>
      <c r="C280" s="1529" t="s">
        <v>2027</v>
      </c>
      <c r="D280" s="1405" t="s">
        <v>548</v>
      </c>
      <c r="E280" s="1414">
        <v>0</v>
      </c>
      <c r="F280" s="1414">
        <v>3640</v>
      </c>
      <c r="G280" s="1414">
        <v>3640</v>
      </c>
      <c r="H280" s="1390">
        <f t="shared" si="11"/>
        <v>100</v>
      </c>
    </row>
    <row r="281" spans="1:8" s="1292" customFormat="1" ht="15" x14ac:dyDescent="0.2">
      <c r="A281" s="1463">
        <v>4357</v>
      </c>
      <c r="B281" s="1385">
        <v>6121</v>
      </c>
      <c r="C281" s="1529" t="s">
        <v>1886</v>
      </c>
      <c r="D281" s="1405" t="s">
        <v>548</v>
      </c>
      <c r="E281" s="1414">
        <v>0</v>
      </c>
      <c r="F281" s="1414">
        <v>21180</v>
      </c>
      <c r="G281" s="1414">
        <v>21180</v>
      </c>
      <c r="H281" s="1390">
        <f t="shared" si="11"/>
        <v>100</v>
      </c>
    </row>
    <row r="282" spans="1:8" s="1292" customFormat="1" ht="15" x14ac:dyDescent="0.2">
      <c r="A282" s="1463">
        <v>4357</v>
      </c>
      <c r="B282" s="1385">
        <v>6122</v>
      </c>
      <c r="C282" s="1529" t="s">
        <v>2028</v>
      </c>
      <c r="D282" s="1405" t="s">
        <v>549</v>
      </c>
      <c r="E282" s="1414">
        <v>0</v>
      </c>
      <c r="F282" s="1414">
        <v>126</v>
      </c>
      <c r="G282" s="1414">
        <v>126</v>
      </c>
      <c r="H282" s="1390">
        <f t="shared" si="11"/>
        <v>100</v>
      </c>
    </row>
    <row r="283" spans="1:8" s="1292" customFormat="1" ht="15.75" thickBot="1" x14ac:dyDescent="0.25">
      <c r="A283" s="1463">
        <v>4357</v>
      </c>
      <c r="B283" s="1385">
        <v>6122</v>
      </c>
      <c r="C283" s="1529" t="s">
        <v>1886</v>
      </c>
      <c r="D283" s="1405" t="s">
        <v>549</v>
      </c>
      <c r="E283" s="1414">
        <v>0</v>
      </c>
      <c r="F283" s="1414">
        <v>713</v>
      </c>
      <c r="G283" s="1414">
        <v>713</v>
      </c>
      <c r="H283" s="1390">
        <f t="shared" si="11"/>
        <v>100</v>
      </c>
    </row>
    <row r="284" spans="1:8" s="1292" customFormat="1" ht="16.5" thickTop="1" thickBot="1" x14ac:dyDescent="0.3">
      <c r="A284" s="3219" t="s">
        <v>690</v>
      </c>
      <c r="B284" s="3220"/>
      <c r="C284" s="3220"/>
      <c r="D284" s="3220"/>
      <c r="E284" s="1387">
        <f>SUM(E274:E283)</f>
        <v>11172</v>
      </c>
      <c r="F284" s="1387">
        <f>SUM(F274:F283)</f>
        <v>33291</v>
      </c>
      <c r="G284" s="1387">
        <f>SUM(G274:G283)</f>
        <v>33291</v>
      </c>
      <c r="H284" s="1391">
        <f t="shared" si="11"/>
        <v>100</v>
      </c>
    </row>
    <row r="285" spans="1:8" s="1292" customFormat="1" ht="15.75" thickTop="1" x14ac:dyDescent="0.25">
      <c r="A285" s="1392"/>
      <c r="B285" s="1392"/>
      <c r="C285" s="1392"/>
      <c r="D285" s="1392"/>
      <c r="E285" s="1393"/>
      <c r="F285" s="1393"/>
      <c r="G285" s="1393"/>
      <c r="H285" s="1418"/>
    </row>
    <row r="286" spans="1:8" ht="15" x14ac:dyDescent="0.25">
      <c r="A286" s="1377" t="s">
        <v>1332</v>
      </c>
    </row>
    <row r="287" spans="1:8" ht="15.75" thickBot="1" x14ac:dyDescent="0.3">
      <c r="A287" s="1377" t="s">
        <v>1333</v>
      </c>
      <c r="H287" s="1459" t="s">
        <v>148</v>
      </c>
    </row>
    <row r="288" spans="1:8" s="1292" customFormat="1" ht="25.5" thickTop="1" thickBot="1" x14ac:dyDescent="0.25">
      <c r="A288" s="1378" t="s">
        <v>149</v>
      </c>
      <c r="B288" s="1379" t="s">
        <v>688</v>
      </c>
      <c r="C288" s="1379" t="s">
        <v>345</v>
      </c>
      <c r="D288" s="1380" t="s">
        <v>151</v>
      </c>
      <c r="E288" s="1402" t="s">
        <v>569</v>
      </c>
      <c r="F288" s="1402" t="s">
        <v>570</v>
      </c>
      <c r="G288" s="1403" t="s">
        <v>797</v>
      </c>
      <c r="H288" s="1404" t="s">
        <v>798</v>
      </c>
    </row>
    <row r="289" spans="1:8" s="1292" customFormat="1" ht="13.5" thickTop="1" thickBot="1" x14ac:dyDescent="0.25">
      <c r="A289" s="1297">
        <v>1</v>
      </c>
      <c r="B289" s="1296">
        <v>2</v>
      </c>
      <c r="C289" s="1296">
        <v>3</v>
      </c>
      <c r="D289" s="1296">
        <v>4</v>
      </c>
      <c r="E289" s="1295">
        <v>5</v>
      </c>
      <c r="F289" s="1295">
        <v>6</v>
      </c>
      <c r="G289" s="1446">
        <v>7</v>
      </c>
      <c r="H289" s="1468" t="s">
        <v>54</v>
      </c>
    </row>
    <row r="290" spans="1:8" s="1292" customFormat="1" ht="15.75" hidden="1" thickTop="1" x14ac:dyDescent="0.2">
      <c r="A290" s="1384">
        <v>4357</v>
      </c>
      <c r="B290" s="1385">
        <v>6121</v>
      </c>
      <c r="C290" s="1385">
        <v>11</v>
      </c>
      <c r="D290" s="1405" t="s">
        <v>548</v>
      </c>
      <c r="E290" s="1414"/>
      <c r="F290" s="1414"/>
      <c r="G290" s="1414"/>
      <c r="H290" s="1390">
        <v>0</v>
      </c>
    </row>
    <row r="291" spans="1:8" s="1292" customFormat="1" ht="15.75" thickTop="1" x14ac:dyDescent="0.2">
      <c r="A291" s="1384">
        <v>4357</v>
      </c>
      <c r="B291" s="1385">
        <v>6121</v>
      </c>
      <c r="C291" s="1531" t="s">
        <v>2010</v>
      </c>
      <c r="D291" s="1405" t="s">
        <v>548</v>
      </c>
      <c r="E291" s="1414">
        <v>5291</v>
      </c>
      <c r="F291" s="1414">
        <v>2824</v>
      </c>
      <c r="G291" s="1414">
        <v>2824</v>
      </c>
      <c r="H291" s="1390">
        <f>G291/F291*100</f>
        <v>100</v>
      </c>
    </row>
    <row r="292" spans="1:8" s="1292" customFormat="1" ht="15" x14ac:dyDescent="0.2">
      <c r="A292" s="1384">
        <v>4357</v>
      </c>
      <c r="B292" s="1385">
        <v>6121</v>
      </c>
      <c r="C292" s="1531" t="s">
        <v>2014</v>
      </c>
      <c r="D292" s="1405" t="s">
        <v>548</v>
      </c>
      <c r="E292" s="1414">
        <v>0</v>
      </c>
      <c r="F292" s="1414">
        <v>473</v>
      </c>
      <c r="G292" s="1414">
        <v>473</v>
      </c>
      <c r="H292" s="1390">
        <f>G292/F292*100</f>
        <v>100</v>
      </c>
    </row>
    <row r="293" spans="1:8" s="1292" customFormat="1" ht="15" x14ac:dyDescent="0.2">
      <c r="A293" s="1384">
        <v>4357</v>
      </c>
      <c r="B293" s="1385">
        <v>6121</v>
      </c>
      <c r="C293" s="1531" t="s">
        <v>2013</v>
      </c>
      <c r="D293" s="1405" t="s">
        <v>548</v>
      </c>
      <c r="E293" s="1414">
        <v>1417</v>
      </c>
      <c r="F293" s="1414">
        <v>3089</v>
      </c>
      <c r="G293" s="1414">
        <v>3089</v>
      </c>
      <c r="H293" s="1390">
        <f>G293/F293*100</f>
        <v>100</v>
      </c>
    </row>
    <row r="294" spans="1:8" s="1292" customFormat="1" ht="15.75" thickBot="1" x14ac:dyDescent="0.25">
      <c r="A294" s="1463">
        <v>4357</v>
      </c>
      <c r="B294" s="1469">
        <v>6121</v>
      </c>
      <c r="C294" s="1529" t="s">
        <v>1886</v>
      </c>
      <c r="D294" s="1405" t="s">
        <v>548</v>
      </c>
      <c r="E294" s="1414">
        <v>0</v>
      </c>
      <c r="F294" s="1414">
        <v>5382</v>
      </c>
      <c r="G294" s="1414">
        <v>5382</v>
      </c>
      <c r="H294" s="1390">
        <f>G294/F294*100</f>
        <v>100</v>
      </c>
    </row>
    <row r="295" spans="1:8" s="1292" customFormat="1" ht="16.5" thickTop="1" thickBot="1" x14ac:dyDescent="0.3">
      <c r="A295" s="3219" t="s">
        <v>690</v>
      </c>
      <c r="B295" s="3220"/>
      <c r="C295" s="3220"/>
      <c r="D295" s="3220"/>
      <c r="E295" s="1387">
        <f>SUM(E290:E294)</f>
        <v>6708</v>
      </c>
      <c r="F295" s="1387">
        <f>SUM(F290:F294)</f>
        <v>11768</v>
      </c>
      <c r="G295" s="1387">
        <f>SUM(G290:G294)</f>
        <v>11768</v>
      </c>
      <c r="H295" s="1391">
        <f>G295/F295*100</f>
        <v>100</v>
      </c>
    </row>
    <row r="296" spans="1:8" s="1292" customFormat="1" ht="15.75" thickTop="1" x14ac:dyDescent="0.25">
      <c r="A296" s="1392"/>
      <c r="B296" s="1392"/>
      <c r="C296" s="1392"/>
      <c r="D296" s="1392"/>
      <c r="E296" s="1393"/>
      <c r="F296" s="1393"/>
      <c r="G296" s="1393"/>
      <c r="H296" s="1418"/>
    </row>
    <row r="297" spans="1:8" ht="15" x14ac:dyDescent="0.25">
      <c r="A297" s="1377" t="s">
        <v>1704</v>
      </c>
    </row>
    <row r="298" spans="1:8" ht="15.75" thickBot="1" x14ac:dyDescent="0.3">
      <c r="A298" s="1377" t="s">
        <v>454</v>
      </c>
      <c r="H298" s="1459" t="s">
        <v>148</v>
      </c>
    </row>
    <row r="299" spans="1:8" s="1292" customFormat="1" ht="25.5" thickTop="1" thickBot="1" x14ac:dyDescent="0.25">
      <c r="A299" s="1378" t="s">
        <v>149</v>
      </c>
      <c r="B299" s="1379" t="s">
        <v>688</v>
      </c>
      <c r="C299" s="1379" t="s">
        <v>345</v>
      </c>
      <c r="D299" s="1380" t="s">
        <v>151</v>
      </c>
      <c r="E299" s="1402" t="s">
        <v>569</v>
      </c>
      <c r="F299" s="1402" t="s">
        <v>570</v>
      </c>
      <c r="G299" s="1403" t="s">
        <v>797</v>
      </c>
      <c r="H299" s="1404" t="s">
        <v>798</v>
      </c>
    </row>
    <row r="300" spans="1:8" s="1292" customFormat="1" ht="13.5" thickTop="1" thickBot="1" x14ac:dyDescent="0.25">
      <c r="A300" s="1297">
        <v>1</v>
      </c>
      <c r="B300" s="1296">
        <v>2</v>
      </c>
      <c r="C300" s="1296">
        <v>3</v>
      </c>
      <c r="D300" s="1296">
        <v>4</v>
      </c>
      <c r="E300" s="1295">
        <v>5</v>
      </c>
      <c r="F300" s="1295">
        <v>6</v>
      </c>
      <c r="G300" s="1446">
        <v>7</v>
      </c>
      <c r="H300" s="1468" t="s">
        <v>54</v>
      </c>
    </row>
    <row r="301" spans="1:8" s="1292" customFormat="1" ht="15.75" thickTop="1" x14ac:dyDescent="0.2">
      <c r="A301" s="1384">
        <v>4357</v>
      </c>
      <c r="B301" s="1385">
        <v>6121</v>
      </c>
      <c r="C301" s="1531" t="s">
        <v>2010</v>
      </c>
      <c r="D301" s="1405" t="s">
        <v>548</v>
      </c>
      <c r="E301" s="1414">
        <v>5199</v>
      </c>
      <c r="F301" s="1414">
        <v>3638</v>
      </c>
      <c r="G301" s="1414">
        <v>3638</v>
      </c>
      <c r="H301" s="1390">
        <f t="shared" ref="H301:H306" si="12">G301/F301*100</f>
        <v>100</v>
      </c>
    </row>
    <row r="302" spans="1:8" s="1292" customFormat="1" ht="15" x14ac:dyDescent="0.2">
      <c r="A302" s="1384">
        <v>4357</v>
      </c>
      <c r="B302" s="1385">
        <v>6121</v>
      </c>
      <c r="C302" s="1531" t="s">
        <v>2014</v>
      </c>
      <c r="D302" s="1405" t="s">
        <v>548</v>
      </c>
      <c r="E302" s="1414">
        <v>0</v>
      </c>
      <c r="F302" s="1414">
        <v>163</v>
      </c>
      <c r="G302" s="1414">
        <v>163</v>
      </c>
      <c r="H302" s="1390">
        <f t="shared" si="12"/>
        <v>100</v>
      </c>
    </row>
    <row r="303" spans="1:8" s="1292" customFormat="1" ht="15" x14ac:dyDescent="0.2">
      <c r="A303" s="1384">
        <v>4357</v>
      </c>
      <c r="B303" s="1385">
        <v>6121</v>
      </c>
      <c r="C303" s="1531" t="s">
        <v>2013</v>
      </c>
      <c r="D303" s="1405" t="s">
        <v>548</v>
      </c>
      <c r="E303" s="1414">
        <v>226</v>
      </c>
      <c r="F303" s="1414">
        <v>107</v>
      </c>
      <c r="G303" s="1414">
        <v>107</v>
      </c>
      <c r="H303" s="1390">
        <f t="shared" si="12"/>
        <v>100</v>
      </c>
    </row>
    <row r="304" spans="1:8" s="1292" customFormat="1" ht="15" x14ac:dyDescent="0.2">
      <c r="A304" s="1384">
        <v>4357</v>
      </c>
      <c r="B304" s="1385">
        <v>6121</v>
      </c>
      <c r="C304" s="1531" t="s">
        <v>2025</v>
      </c>
      <c r="D304" s="1405" t="s">
        <v>548</v>
      </c>
      <c r="E304" s="1414">
        <v>5723</v>
      </c>
      <c r="F304" s="1414">
        <v>3510</v>
      </c>
      <c r="G304" s="1414">
        <v>3510</v>
      </c>
      <c r="H304" s="1390">
        <f t="shared" si="12"/>
        <v>100</v>
      </c>
    </row>
    <row r="305" spans="1:8" s="1292" customFormat="1" ht="15.75" thickBot="1" x14ac:dyDescent="0.25">
      <c r="A305" s="1463">
        <v>4357</v>
      </c>
      <c r="B305" s="1469">
        <v>6121</v>
      </c>
      <c r="C305" s="1529" t="s">
        <v>1886</v>
      </c>
      <c r="D305" s="1405" t="s">
        <v>548</v>
      </c>
      <c r="E305" s="1414">
        <v>0</v>
      </c>
      <c r="F305" s="1414">
        <v>16999</v>
      </c>
      <c r="G305" s="1414">
        <v>16999</v>
      </c>
      <c r="H305" s="1390">
        <f t="shared" si="12"/>
        <v>100</v>
      </c>
    </row>
    <row r="306" spans="1:8" s="1292" customFormat="1" ht="16.5" thickTop="1" thickBot="1" x14ac:dyDescent="0.3">
      <c r="A306" s="3219" t="s">
        <v>690</v>
      </c>
      <c r="B306" s="3220"/>
      <c r="C306" s="3220"/>
      <c r="D306" s="3220"/>
      <c r="E306" s="1387">
        <f>SUM(E301:E305)</f>
        <v>11148</v>
      </c>
      <c r="F306" s="1387">
        <f>SUM(F301:F305)</f>
        <v>24417</v>
      </c>
      <c r="G306" s="1387">
        <f>SUM(G301:G305)</f>
        <v>24417</v>
      </c>
      <c r="H306" s="1391">
        <f t="shared" si="12"/>
        <v>100</v>
      </c>
    </row>
    <row r="307" spans="1:8" s="1292" customFormat="1" ht="15.75" thickTop="1" x14ac:dyDescent="0.25">
      <c r="A307" s="1392"/>
      <c r="B307" s="1392"/>
      <c r="C307" s="1392"/>
      <c r="D307" s="1392"/>
      <c r="E307" s="1393"/>
      <c r="F307" s="1393"/>
      <c r="G307" s="1393"/>
      <c r="H307" s="1418"/>
    </row>
    <row r="308" spans="1:8" s="1292" customFormat="1" ht="15" hidden="1" x14ac:dyDescent="0.25">
      <c r="A308" s="1392"/>
      <c r="B308" s="1392"/>
      <c r="C308" s="1392"/>
      <c r="D308" s="1392"/>
      <c r="E308" s="1393"/>
      <c r="F308" s="1393"/>
      <c r="G308" s="1393"/>
      <c r="H308" s="1418"/>
    </row>
    <row r="309" spans="1:8" s="1292" customFormat="1" ht="15" hidden="1" x14ac:dyDescent="0.25">
      <c r="A309" s="1392"/>
      <c r="B309" s="1392"/>
      <c r="C309" s="1392"/>
      <c r="D309" s="1392"/>
      <c r="E309" s="1393"/>
      <c r="F309" s="1393"/>
      <c r="G309" s="1393"/>
      <c r="H309" s="1418"/>
    </row>
    <row r="310" spans="1:8" s="1292" customFormat="1" ht="15" hidden="1" x14ac:dyDescent="0.25">
      <c r="A310" s="1392"/>
      <c r="B310" s="1392"/>
      <c r="C310" s="1392"/>
      <c r="D310" s="1392"/>
      <c r="E310" s="1393"/>
      <c r="F310" s="1393"/>
      <c r="G310" s="1393"/>
      <c r="H310" s="1418"/>
    </row>
    <row r="311" spans="1:8" s="1292" customFormat="1" ht="15" hidden="1" x14ac:dyDescent="0.25">
      <c r="A311" s="1392"/>
      <c r="B311" s="1392"/>
      <c r="C311" s="1392"/>
      <c r="D311" s="1392"/>
      <c r="E311" s="1393"/>
      <c r="F311" s="1393"/>
      <c r="G311" s="1393"/>
      <c r="H311" s="1418"/>
    </row>
    <row r="312" spans="1:8" s="1292" customFormat="1" ht="15" hidden="1" x14ac:dyDescent="0.25">
      <c r="A312" s="1392"/>
      <c r="B312" s="1392"/>
      <c r="C312" s="1392"/>
      <c r="D312" s="1392"/>
      <c r="E312" s="1393"/>
      <c r="F312" s="1393"/>
      <c r="G312" s="1393"/>
      <c r="H312" s="1418"/>
    </row>
    <row r="313" spans="1:8" s="1292" customFormat="1" ht="15" hidden="1" x14ac:dyDescent="0.25">
      <c r="A313" s="1392"/>
      <c r="B313" s="1392"/>
      <c r="C313" s="1392"/>
      <c r="D313" s="1392"/>
      <c r="E313" s="1393"/>
      <c r="F313" s="1393"/>
      <c r="G313" s="1393"/>
      <c r="H313" s="1418"/>
    </row>
    <row r="314" spans="1:8" ht="15" hidden="1" customHeight="1" x14ac:dyDescent="0.25">
      <c r="A314" s="1377" t="s">
        <v>452</v>
      </c>
    </row>
    <row r="315" spans="1:8" ht="15" hidden="1" x14ac:dyDescent="0.25">
      <c r="A315" s="1377" t="s">
        <v>453</v>
      </c>
      <c r="H315" s="1459" t="s">
        <v>148</v>
      </c>
    </row>
    <row r="316" spans="1:8" s="1292" customFormat="1" ht="25.5" hidden="1" thickTop="1" thickBot="1" x14ac:dyDescent="0.25">
      <c r="A316" s="1378" t="s">
        <v>149</v>
      </c>
      <c r="B316" s="1379" t="s">
        <v>688</v>
      </c>
      <c r="C316" s="1379" t="s">
        <v>345</v>
      </c>
      <c r="D316" s="1380" t="s">
        <v>151</v>
      </c>
      <c r="E316" s="1402" t="s">
        <v>569</v>
      </c>
      <c r="F316" s="1402" t="s">
        <v>570</v>
      </c>
      <c r="G316" s="1403" t="s">
        <v>797</v>
      </c>
      <c r="H316" s="1404" t="s">
        <v>798</v>
      </c>
    </row>
    <row r="317" spans="1:8" s="1292" customFormat="1" ht="13.5" hidden="1" thickTop="1" thickBot="1" x14ac:dyDescent="0.25">
      <c r="A317" s="1297">
        <v>1</v>
      </c>
      <c r="B317" s="1296">
        <v>2</v>
      </c>
      <c r="C317" s="1296">
        <v>3</v>
      </c>
      <c r="D317" s="1296">
        <v>4</v>
      </c>
      <c r="E317" s="1295">
        <v>5</v>
      </c>
      <c r="F317" s="1295">
        <v>6</v>
      </c>
      <c r="G317" s="1446">
        <v>7</v>
      </c>
      <c r="H317" s="1468" t="s">
        <v>54</v>
      </c>
    </row>
    <row r="318" spans="1:8" s="1292" customFormat="1" ht="15" hidden="1" x14ac:dyDescent="0.2">
      <c r="A318" s="1384">
        <v>4357</v>
      </c>
      <c r="B318" s="1385">
        <v>5169</v>
      </c>
      <c r="C318" s="1537">
        <v>53100880</v>
      </c>
      <c r="D318" s="1405" t="s">
        <v>769</v>
      </c>
      <c r="E318" s="1414"/>
      <c r="F318" s="1414"/>
      <c r="G318" s="1414"/>
      <c r="H318" s="1390" t="e">
        <f>G318/F318*100</f>
        <v>#DIV/0!</v>
      </c>
    </row>
    <row r="319" spans="1:8" s="1292" customFormat="1" ht="15" hidden="1" x14ac:dyDescent="0.2">
      <c r="A319" s="1384">
        <v>4357</v>
      </c>
      <c r="B319" s="1385">
        <v>5169</v>
      </c>
      <c r="C319" s="1537">
        <v>53100882</v>
      </c>
      <c r="D319" s="1405" t="s">
        <v>769</v>
      </c>
      <c r="E319" s="1414"/>
      <c r="F319" s="1414"/>
      <c r="G319" s="1414"/>
      <c r="H319" s="1390" t="e">
        <f>G319/F319*100</f>
        <v>#DIV/0!</v>
      </c>
    </row>
    <row r="320" spans="1:8" s="1292" customFormat="1" ht="15" hidden="1" x14ac:dyDescent="0.2">
      <c r="A320" s="1384">
        <v>4357</v>
      </c>
      <c r="B320" s="1385">
        <v>5169</v>
      </c>
      <c r="C320" s="1537">
        <v>53100884</v>
      </c>
      <c r="D320" s="1405" t="s">
        <v>769</v>
      </c>
      <c r="E320" s="1414"/>
      <c r="F320" s="1414"/>
      <c r="G320" s="1414"/>
      <c r="H320" s="1390">
        <v>0</v>
      </c>
    </row>
    <row r="321" spans="1:8" s="1292" customFormat="1" ht="15" hidden="1" x14ac:dyDescent="0.2">
      <c r="A321" s="1384">
        <v>4357</v>
      </c>
      <c r="B321" s="1385">
        <v>5169</v>
      </c>
      <c r="C321" s="1537" t="s">
        <v>1507</v>
      </c>
      <c r="D321" s="1405" t="s">
        <v>769</v>
      </c>
      <c r="E321" s="1414"/>
      <c r="F321" s="1414"/>
      <c r="G321" s="1414"/>
      <c r="H321" s="1390" t="e">
        <f>G321/F321*100</f>
        <v>#DIV/0!</v>
      </c>
    </row>
    <row r="322" spans="1:8" s="1292" customFormat="1" ht="16.5" hidden="1" thickTop="1" thickBot="1" x14ac:dyDescent="0.3">
      <c r="A322" s="3219" t="s">
        <v>690</v>
      </c>
      <c r="B322" s="3220"/>
      <c r="C322" s="3220"/>
      <c r="D322" s="3220"/>
      <c r="E322" s="1387">
        <f>SUM(E318:E321)</f>
        <v>0</v>
      </c>
      <c r="F322" s="1387">
        <f>SUM(F318:F321)</f>
        <v>0</v>
      </c>
      <c r="G322" s="1387">
        <f>SUM(G318:G321)</f>
        <v>0</v>
      </c>
      <c r="H322" s="1391" t="e">
        <f>G322/F322*100</f>
        <v>#DIV/0!</v>
      </c>
    </row>
    <row r="323" spans="1:8" s="1292" customFormat="1" ht="15.75" hidden="1" thickTop="1" x14ac:dyDescent="0.25">
      <c r="A323" s="1392"/>
      <c r="B323" s="1392"/>
      <c r="C323" s="1392"/>
      <c r="D323" s="1392"/>
      <c r="E323" s="1393"/>
      <c r="F323" s="1393"/>
      <c r="G323" s="1393"/>
      <c r="H323" s="1532"/>
    </row>
    <row r="324" spans="1:8" ht="15" hidden="1" x14ac:dyDescent="0.25">
      <c r="A324" s="1377" t="s">
        <v>250</v>
      </c>
    </row>
    <row r="325" spans="1:8" ht="15" hidden="1" x14ac:dyDescent="0.25">
      <c r="A325" s="1377" t="s">
        <v>215</v>
      </c>
      <c r="H325" s="1459" t="s">
        <v>148</v>
      </c>
    </row>
    <row r="326" spans="1:8" s="1292" customFormat="1" ht="25.5" hidden="1" thickTop="1" thickBot="1" x14ac:dyDescent="0.25">
      <c r="A326" s="1378" t="s">
        <v>149</v>
      </c>
      <c r="B326" s="1379" t="s">
        <v>688</v>
      </c>
      <c r="C326" s="1379" t="s">
        <v>345</v>
      </c>
      <c r="D326" s="1380" t="s">
        <v>151</v>
      </c>
      <c r="E326" s="1402" t="s">
        <v>569</v>
      </c>
      <c r="F326" s="1402" t="s">
        <v>570</v>
      </c>
      <c r="G326" s="1403" t="s">
        <v>797</v>
      </c>
      <c r="H326" s="1404" t="s">
        <v>798</v>
      </c>
    </row>
    <row r="327" spans="1:8" s="1292" customFormat="1" ht="13.5" hidden="1" thickTop="1" thickBot="1" x14ac:dyDescent="0.25">
      <c r="A327" s="1297">
        <v>1</v>
      </c>
      <c r="B327" s="1296">
        <v>2</v>
      </c>
      <c r="C327" s="1296">
        <v>3</v>
      </c>
      <c r="D327" s="1296">
        <v>4</v>
      </c>
      <c r="E327" s="1295">
        <v>5</v>
      </c>
      <c r="F327" s="1295">
        <v>6</v>
      </c>
      <c r="G327" s="1446">
        <v>7</v>
      </c>
      <c r="H327" s="1468" t="s">
        <v>54</v>
      </c>
    </row>
    <row r="328" spans="1:8" s="1292" customFormat="1" ht="15" hidden="1" x14ac:dyDescent="0.2">
      <c r="A328" s="1384">
        <v>3122</v>
      </c>
      <c r="B328" s="1385">
        <v>5137</v>
      </c>
      <c r="C328" s="1385">
        <v>38100874</v>
      </c>
      <c r="D328" s="1405" t="s">
        <v>142</v>
      </c>
      <c r="E328" s="1414">
        <v>0</v>
      </c>
      <c r="F328" s="1414">
        <v>0</v>
      </c>
      <c r="G328" s="1414">
        <v>0</v>
      </c>
      <c r="H328" s="1390" t="e">
        <f t="shared" ref="H328:H333" si="13">G328/F328*100</f>
        <v>#DIV/0!</v>
      </c>
    </row>
    <row r="329" spans="1:8" s="1292" customFormat="1" ht="15" hidden="1" x14ac:dyDescent="0.2">
      <c r="A329" s="1384">
        <v>3122</v>
      </c>
      <c r="B329" s="1385">
        <v>6121</v>
      </c>
      <c r="C329" s="1385">
        <v>38100870</v>
      </c>
      <c r="D329" s="1405" t="s">
        <v>548</v>
      </c>
      <c r="E329" s="1414">
        <v>0</v>
      </c>
      <c r="F329" s="1414">
        <v>0</v>
      </c>
      <c r="G329" s="1414">
        <v>0</v>
      </c>
      <c r="H329" s="1390" t="e">
        <f t="shared" si="13"/>
        <v>#DIV/0!</v>
      </c>
    </row>
    <row r="330" spans="1:8" s="1292" customFormat="1" ht="15" hidden="1" x14ac:dyDescent="0.2">
      <c r="A330" s="1384">
        <v>3122</v>
      </c>
      <c r="B330" s="1385">
        <v>6121</v>
      </c>
      <c r="C330" s="1385">
        <v>38100872</v>
      </c>
      <c r="D330" s="1405" t="s">
        <v>548</v>
      </c>
      <c r="E330" s="1414">
        <v>0</v>
      </c>
      <c r="F330" s="1414">
        <v>0</v>
      </c>
      <c r="G330" s="1414">
        <v>0</v>
      </c>
      <c r="H330" s="1390" t="e">
        <f t="shared" si="13"/>
        <v>#DIV/0!</v>
      </c>
    </row>
    <row r="331" spans="1:8" s="1292" customFormat="1" ht="15" hidden="1" x14ac:dyDescent="0.2">
      <c r="A331" s="1384">
        <v>3122</v>
      </c>
      <c r="B331" s="1385">
        <v>6121</v>
      </c>
      <c r="C331" s="1385">
        <v>38100874</v>
      </c>
      <c r="D331" s="1405" t="s">
        <v>548</v>
      </c>
      <c r="E331" s="1414">
        <v>0</v>
      </c>
      <c r="F331" s="1414">
        <v>0</v>
      </c>
      <c r="G331" s="1414">
        <v>0</v>
      </c>
      <c r="H331" s="1390" t="e">
        <f t="shared" si="13"/>
        <v>#DIV/0!</v>
      </c>
    </row>
    <row r="332" spans="1:8" s="1292" customFormat="1" ht="15" hidden="1" x14ac:dyDescent="0.2">
      <c r="A332" s="1384">
        <v>3122</v>
      </c>
      <c r="B332" s="1385">
        <v>6121</v>
      </c>
      <c r="C332" s="1385">
        <v>38500871</v>
      </c>
      <c r="D332" s="1405" t="s">
        <v>548</v>
      </c>
      <c r="E332" s="1414">
        <v>0</v>
      </c>
      <c r="F332" s="1414">
        <v>0</v>
      </c>
      <c r="G332" s="1414">
        <v>0</v>
      </c>
      <c r="H332" s="1390" t="e">
        <f t="shared" si="13"/>
        <v>#DIV/0!</v>
      </c>
    </row>
    <row r="333" spans="1:8" s="1292" customFormat="1" ht="16.5" hidden="1" thickTop="1" thickBot="1" x14ac:dyDescent="0.3">
      <c r="A333" s="3219" t="s">
        <v>690</v>
      </c>
      <c r="B333" s="3220"/>
      <c r="C333" s="3220"/>
      <c r="D333" s="3220"/>
      <c r="E333" s="1387">
        <f>SUM(E332:E332)</f>
        <v>0</v>
      </c>
      <c r="F333" s="1387">
        <f>SUM(F328:F332)</f>
        <v>0</v>
      </c>
      <c r="G333" s="1387">
        <f>SUM(G328:G332)</f>
        <v>0</v>
      </c>
      <c r="H333" s="1391" t="e">
        <f t="shared" si="13"/>
        <v>#DIV/0!</v>
      </c>
    </row>
    <row r="334" spans="1:8" s="1292" customFormat="1" ht="15" hidden="1" x14ac:dyDescent="0.25">
      <c r="A334" s="1392"/>
      <c r="B334" s="1392"/>
      <c r="C334" s="1392"/>
      <c r="D334" s="1392"/>
      <c r="E334" s="1393"/>
      <c r="F334" s="1393"/>
      <c r="G334" s="1393"/>
      <c r="H334" s="1418"/>
    </row>
    <row r="335" spans="1:8" ht="15" hidden="1" x14ac:dyDescent="0.25">
      <c r="A335" s="1377" t="s">
        <v>1349</v>
      </c>
    </row>
    <row r="336" spans="1:8" ht="15" hidden="1" x14ac:dyDescent="0.25">
      <c r="A336" s="1377" t="s">
        <v>1350</v>
      </c>
      <c r="H336" s="1459" t="s">
        <v>148</v>
      </c>
    </row>
    <row r="337" spans="1:8" s="1292" customFormat="1" ht="25.5" hidden="1" thickTop="1" thickBot="1" x14ac:dyDescent="0.25">
      <c r="A337" s="1378" t="s">
        <v>149</v>
      </c>
      <c r="B337" s="1379" t="s">
        <v>688</v>
      </c>
      <c r="C337" s="1379" t="s">
        <v>345</v>
      </c>
      <c r="D337" s="1380" t="s">
        <v>151</v>
      </c>
      <c r="E337" s="1402" t="s">
        <v>569</v>
      </c>
      <c r="F337" s="1402" t="s">
        <v>570</v>
      </c>
      <c r="G337" s="1403" t="s">
        <v>797</v>
      </c>
      <c r="H337" s="1404" t="s">
        <v>798</v>
      </c>
    </row>
    <row r="338" spans="1:8" s="1292" customFormat="1" ht="13.5" hidden="1" thickTop="1" thickBot="1" x14ac:dyDescent="0.25">
      <c r="A338" s="1297">
        <v>1</v>
      </c>
      <c r="B338" s="1296">
        <v>2</v>
      </c>
      <c r="C338" s="1296">
        <v>3</v>
      </c>
      <c r="D338" s="1296">
        <v>4</v>
      </c>
      <c r="E338" s="1295">
        <v>5</v>
      </c>
      <c r="F338" s="1295">
        <v>6</v>
      </c>
      <c r="G338" s="1446">
        <v>7</v>
      </c>
      <c r="H338" s="1468" t="s">
        <v>54</v>
      </c>
    </row>
    <row r="339" spans="1:8" s="1292" customFormat="1" ht="16.5" hidden="1" customHeight="1" thickTop="1" x14ac:dyDescent="0.2">
      <c r="A339" s="1384">
        <v>6172</v>
      </c>
      <c r="B339" s="1469">
        <v>5139</v>
      </c>
      <c r="C339" s="1538">
        <v>36100874</v>
      </c>
      <c r="D339" s="1405" t="s">
        <v>156</v>
      </c>
      <c r="E339" s="1414"/>
      <c r="F339" s="1414"/>
      <c r="G339" s="1414"/>
      <c r="H339" s="1390" t="e">
        <f t="shared" ref="H339:H344" si="14">G339/F339*100</f>
        <v>#DIV/0!</v>
      </c>
    </row>
    <row r="340" spans="1:8" s="1292" customFormat="1" ht="13.5" hidden="1" customHeight="1" x14ac:dyDescent="0.2">
      <c r="A340" s="1384">
        <v>6172</v>
      </c>
      <c r="B340" s="1469">
        <v>5167</v>
      </c>
      <c r="C340" s="1538">
        <v>36100870</v>
      </c>
      <c r="D340" s="1405" t="s">
        <v>810</v>
      </c>
      <c r="E340" s="1414"/>
      <c r="F340" s="1414"/>
      <c r="G340" s="1414"/>
      <c r="H340" s="1390" t="e">
        <f t="shared" si="14"/>
        <v>#DIV/0!</v>
      </c>
    </row>
    <row r="341" spans="1:8" s="1292" customFormat="1" ht="14.25" hidden="1" customHeight="1" x14ac:dyDescent="0.2">
      <c r="A341" s="1384">
        <v>6172</v>
      </c>
      <c r="B341" s="1469">
        <v>5167</v>
      </c>
      <c r="C341" s="1538">
        <v>36500871</v>
      </c>
      <c r="D341" s="1405" t="s">
        <v>810</v>
      </c>
      <c r="E341" s="1414"/>
      <c r="F341" s="1414"/>
      <c r="G341" s="1414"/>
      <c r="H341" s="1390" t="e">
        <f t="shared" si="14"/>
        <v>#DIV/0!</v>
      </c>
    </row>
    <row r="342" spans="1:8" s="1292" customFormat="1" ht="45" hidden="1" x14ac:dyDescent="0.2">
      <c r="A342" s="1463">
        <v>6172</v>
      </c>
      <c r="B342" s="1469">
        <v>5168</v>
      </c>
      <c r="C342" s="1538">
        <v>36100870</v>
      </c>
      <c r="D342" s="1405" t="s">
        <v>1650</v>
      </c>
      <c r="E342" s="1414"/>
      <c r="F342" s="1414"/>
      <c r="G342" s="1414"/>
      <c r="H342" s="1390" t="e">
        <f t="shared" si="14"/>
        <v>#DIV/0!</v>
      </c>
    </row>
    <row r="343" spans="1:8" s="1292" customFormat="1" ht="45" hidden="1" x14ac:dyDescent="0.2">
      <c r="A343" s="1463">
        <v>6172</v>
      </c>
      <c r="B343" s="1469">
        <v>5168</v>
      </c>
      <c r="C343" s="1538">
        <v>36500871</v>
      </c>
      <c r="D343" s="1405" t="s">
        <v>1650</v>
      </c>
      <c r="E343" s="1414"/>
      <c r="F343" s="1414"/>
      <c r="G343" s="1414"/>
      <c r="H343" s="1390" t="e">
        <f t="shared" si="14"/>
        <v>#DIV/0!</v>
      </c>
    </row>
    <row r="344" spans="1:8" s="1292" customFormat="1" ht="15" hidden="1" x14ac:dyDescent="0.2">
      <c r="A344" s="1384">
        <v>6172</v>
      </c>
      <c r="B344" s="1469">
        <v>5169</v>
      </c>
      <c r="C344" s="1538">
        <v>36100870</v>
      </c>
      <c r="D344" s="1405" t="s">
        <v>769</v>
      </c>
      <c r="E344" s="1414"/>
      <c r="F344" s="1414"/>
      <c r="G344" s="1414"/>
      <c r="H344" s="1390" t="e">
        <f t="shared" si="14"/>
        <v>#DIV/0!</v>
      </c>
    </row>
    <row r="345" spans="1:8" s="1292" customFormat="1" ht="15" hidden="1" x14ac:dyDescent="0.2">
      <c r="A345" s="1384">
        <v>6172</v>
      </c>
      <c r="B345" s="1469">
        <v>5169</v>
      </c>
      <c r="C345" s="1538">
        <v>36100874</v>
      </c>
      <c r="D345" s="1405" t="s">
        <v>769</v>
      </c>
      <c r="E345" s="1414"/>
      <c r="F345" s="1414"/>
      <c r="G345" s="1414"/>
      <c r="H345" s="1390">
        <v>0</v>
      </c>
    </row>
    <row r="346" spans="1:8" s="1292" customFormat="1" ht="15" hidden="1" x14ac:dyDescent="0.2">
      <c r="A346" s="1384">
        <v>6172</v>
      </c>
      <c r="B346" s="1469">
        <v>5169</v>
      </c>
      <c r="C346" s="1538">
        <v>36500871</v>
      </c>
      <c r="D346" s="1405" t="s">
        <v>769</v>
      </c>
      <c r="E346" s="1414"/>
      <c r="F346" s="1414"/>
      <c r="G346" s="1414"/>
      <c r="H346" s="1390" t="e">
        <f t="shared" ref="H346:H351" si="15">G346/F346*100</f>
        <v>#DIV/0!</v>
      </c>
    </row>
    <row r="347" spans="1:8" s="1292" customFormat="1" ht="15" hidden="1" x14ac:dyDescent="0.2">
      <c r="A347" s="1384">
        <v>6172</v>
      </c>
      <c r="B347" s="1469">
        <v>5172</v>
      </c>
      <c r="C347" s="1538">
        <v>36100870</v>
      </c>
      <c r="D347" s="1405" t="s">
        <v>812</v>
      </c>
      <c r="E347" s="1414"/>
      <c r="F347" s="1414"/>
      <c r="G347" s="1414"/>
      <c r="H347" s="1390" t="e">
        <f t="shared" si="15"/>
        <v>#DIV/0!</v>
      </c>
    </row>
    <row r="348" spans="1:8" s="1292" customFormat="1" ht="15" hidden="1" x14ac:dyDescent="0.2">
      <c r="A348" s="1384">
        <v>6172</v>
      </c>
      <c r="B348" s="1469">
        <v>5172</v>
      </c>
      <c r="C348" s="1538">
        <v>36500871</v>
      </c>
      <c r="D348" s="1405" t="s">
        <v>812</v>
      </c>
      <c r="E348" s="1414"/>
      <c r="F348" s="1414"/>
      <c r="G348" s="1414"/>
      <c r="H348" s="1390" t="e">
        <f t="shared" si="15"/>
        <v>#DIV/0!</v>
      </c>
    </row>
    <row r="349" spans="1:8" s="1292" customFormat="1" ht="15" hidden="1" x14ac:dyDescent="0.2">
      <c r="A349" s="1384">
        <v>6172</v>
      </c>
      <c r="B349" s="1469">
        <v>6111</v>
      </c>
      <c r="C349" s="1538">
        <v>36100870</v>
      </c>
      <c r="D349" s="1405" t="s">
        <v>812</v>
      </c>
      <c r="E349" s="1414"/>
      <c r="F349" s="1414"/>
      <c r="G349" s="1414"/>
      <c r="H349" s="1390" t="e">
        <f t="shared" si="15"/>
        <v>#DIV/0!</v>
      </c>
    </row>
    <row r="350" spans="1:8" s="1292" customFormat="1" ht="15" hidden="1" x14ac:dyDescent="0.2">
      <c r="A350" s="1384">
        <v>6172</v>
      </c>
      <c r="B350" s="1469">
        <v>6111</v>
      </c>
      <c r="C350" s="1538">
        <v>36500871</v>
      </c>
      <c r="D350" s="1405" t="s">
        <v>812</v>
      </c>
      <c r="E350" s="1414">
        <v>0</v>
      </c>
      <c r="F350" s="1414"/>
      <c r="G350" s="1414"/>
      <c r="H350" s="1390" t="e">
        <f t="shared" si="15"/>
        <v>#DIV/0!</v>
      </c>
    </row>
    <row r="351" spans="1:8" s="1292" customFormat="1" ht="16.5" hidden="1" thickTop="1" thickBot="1" x14ac:dyDescent="0.3">
      <c r="A351" s="3219" t="s">
        <v>690</v>
      </c>
      <c r="B351" s="3220"/>
      <c r="C351" s="3220"/>
      <c r="D351" s="3220"/>
      <c r="E351" s="1387">
        <f>SUM(E339:E350)</f>
        <v>0</v>
      </c>
      <c r="F351" s="1387">
        <f>SUM(F339:F350)</f>
        <v>0</v>
      </c>
      <c r="G351" s="1387">
        <f>SUM(G339:G350)</f>
        <v>0</v>
      </c>
      <c r="H351" s="1391" t="e">
        <f t="shared" si="15"/>
        <v>#DIV/0!</v>
      </c>
    </row>
    <row r="352" spans="1:8" s="1292" customFormat="1" ht="15" x14ac:dyDescent="0.25">
      <c r="A352" s="1392"/>
      <c r="B352" s="1392"/>
      <c r="C352" s="1392"/>
      <c r="D352" s="1392"/>
      <c r="E352" s="1393"/>
      <c r="F352" s="1393"/>
      <c r="G352" s="1393"/>
      <c r="H352" s="1418"/>
    </row>
    <row r="353" spans="1:8" ht="15" x14ac:dyDescent="0.25">
      <c r="A353" s="1377" t="s">
        <v>1354</v>
      </c>
    </row>
    <row r="354" spans="1:8" ht="15.75" thickBot="1" x14ac:dyDescent="0.3">
      <c r="A354" s="1377" t="s">
        <v>455</v>
      </c>
      <c r="H354" s="1459" t="s">
        <v>148</v>
      </c>
    </row>
    <row r="355" spans="1:8" s="1292" customFormat="1" ht="25.5" thickTop="1" thickBot="1" x14ac:dyDescent="0.25">
      <c r="A355" s="1378" t="s">
        <v>149</v>
      </c>
      <c r="B355" s="1379" t="s">
        <v>688</v>
      </c>
      <c r="C355" s="1379" t="s">
        <v>345</v>
      </c>
      <c r="D355" s="1380" t="s">
        <v>151</v>
      </c>
      <c r="E355" s="1402" t="s">
        <v>569</v>
      </c>
      <c r="F355" s="1402" t="s">
        <v>570</v>
      </c>
      <c r="G355" s="1403" t="s">
        <v>797</v>
      </c>
      <c r="H355" s="1404" t="s">
        <v>798</v>
      </c>
    </row>
    <row r="356" spans="1:8" s="1292" customFormat="1" ht="13.5" thickTop="1" thickBot="1" x14ac:dyDescent="0.25">
      <c r="A356" s="1297">
        <v>1</v>
      </c>
      <c r="B356" s="1296">
        <v>2</v>
      </c>
      <c r="C356" s="1296">
        <v>3</v>
      </c>
      <c r="D356" s="1296">
        <v>4</v>
      </c>
      <c r="E356" s="1295">
        <v>5</v>
      </c>
      <c r="F356" s="1295">
        <v>6</v>
      </c>
      <c r="G356" s="1446">
        <v>7</v>
      </c>
      <c r="H356" s="1468" t="s">
        <v>54</v>
      </c>
    </row>
    <row r="357" spans="1:8" s="1292" customFormat="1" ht="15.75" hidden="1" thickTop="1" x14ac:dyDescent="0.2">
      <c r="A357" s="1384">
        <v>4357</v>
      </c>
      <c r="B357" s="1385">
        <v>5137</v>
      </c>
      <c r="C357" s="1538">
        <v>36100874</v>
      </c>
      <c r="D357" s="1405" t="s">
        <v>142</v>
      </c>
      <c r="E357" s="1414"/>
      <c r="F357" s="1414"/>
      <c r="G357" s="1414"/>
      <c r="H357" s="1390" t="e">
        <f t="shared" ref="H357:H368" si="16">G357/F357*100</f>
        <v>#DIV/0!</v>
      </c>
    </row>
    <row r="358" spans="1:8" s="1292" customFormat="1" ht="15.75" hidden="1" thickTop="1" x14ac:dyDescent="0.2">
      <c r="A358" s="1384">
        <v>4357</v>
      </c>
      <c r="B358" s="1385">
        <v>5137</v>
      </c>
      <c r="C358" s="1538">
        <v>36113003</v>
      </c>
      <c r="D358" s="1405" t="s">
        <v>142</v>
      </c>
      <c r="E358" s="1414"/>
      <c r="F358" s="1414"/>
      <c r="G358" s="1414"/>
      <c r="H358" s="1390" t="e">
        <f t="shared" si="16"/>
        <v>#DIV/0!</v>
      </c>
    </row>
    <row r="359" spans="1:8" s="1292" customFormat="1" ht="15.75" hidden="1" thickTop="1" x14ac:dyDescent="0.2">
      <c r="A359" s="1384">
        <v>4357</v>
      </c>
      <c r="B359" s="1385">
        <v>5137</v>
      </c>
      <c r="C359" s="1538">
        <v>36513003</v>
      </c>
      <c r="D359" s="1405" t="s">
        <v>142</v>
      </c>
      <c r="E359" s="1414"/>
      <c r="F359" s="1414"/>
      <c r="G359" s="1414"/>
      <c r="H359" s="1390" t="e">
        <f t="shared" si="16"/>
        <v>#DIV/0!</v>
      </c>
    </row>
    <row r="360" spans="1:8" s="1292" customFormat="1" ht="15.75" hidden="1" thickTop="1" x14ac:dyDescent="0.2">
      <c r="A360" s="1384">
        <v>4357</v>
      </c>
      <c r="B360" s="1385">
        <v>5153</v>
      </c>
      <c r="C360" s="1538">
        <v>36100874</v>
      </c>
      <c r="D360" s="1405" t="s">
        <v>1100</v>
      </c>
      <c r="E360" s="1414"/>
      <c r="F360" s="1414"/>
      <c r="G360" s="1414"/>
      <c r="H360" s="1390" t="e">
        <f t="shared" si="16"/>
        <v>#DIV/0!</v>
      </c>
    </row>
    <row r="361" spans="1:8" s="1292" customFormat="1" ht="15.75" hidden="1" thickTop="1" x14ac:dyDescent="0.2">
      <c r="A361" s="1384">
        <v>4357</v>
      </c>
      <c r="B361" s="1385">
        <v>5154</v>
      </c>
      <c r="C361" s="1538">
        <v>36100874</v>
      </c>
      <c r="D361" s="1405" t="s">
        <v>274</v>
      </c>
      <c r="E361" s="1414"/>
      <c r="F361" s="1414"/>
      <c r="G361" s="1414"/>
      <c r="H361" s="1390" t="e">
        <f t="shared" si="16"/>
        <v>#DIV/0!</v>
      </c>
    </row>
    <row r="362" spans="1:8" s="1292" customFormat="1" ht="15.75" hidden="1" thickTop="1" x14ac:dyDescent="0.2">
      <c r="A362" s="1384">
        <v>4357</v>
      </c>
      <c r="B362" s="1385">
        <v>6121</v>
      </c>
      <c r="C362" s="1538">
        <v>36100874</v>
      </c>
      <c r="D362" s="1405" t="s">
        <v>548</v>
      </c>
      <c r="E362" s="1414"/>
      <c r="F362" s="1414"/>
      <c r="G362" s="1414"/>
      <c r="H362" s="1390" t="e">
        <f t="shared" si="16"/>
        <v>#DIV/0!</v>
      </c>
    </row>
    <row r="363" spans="1:8" s="1292" customFormat="1" ht="16.5" thickTop="1" thickBot="1" x14ac:dyDescent="0.25">
      <c r="A363" s="1384">
        <v>3636</v>
      </c>
      <c r="B363" s="1385">
        <v>5153</v>
      </c>
      <c r="C363" s="1529" t="s">
        <v>2078</v>
      </c>
      <c r="D363" s="1405" t="s">
        <v>1100</v>
      </c>
      <c r="E363" s="1414">
        <v>0</v>
      </c>
      <c r="F363" s="1414">
        <v>10</v>
      </c>
      <c r="G363" s="1414">
        <v>5</v>
      </c>
      <c r="H363" s="1390">
        <f t="shared" si="16"/>
        <v>50</v>
      </c>
    </row>
    <row r="364" spans="1:8" s="1292" customFormat="1" ht="15.75" hidden="1" thickBot="1" x14ac:dyDescent="0.25">
      <c r="A364" s="1384">
        <v>4357</v>
      </c>
      <c r="B364" s="1385">
        <v>6121</v>
      </c>
      <c r="C364" s="1538">
        <v>36113899</v>
      </c>
      <c r="D364" s="1405" t="s">
        <v>548</v>
      </c>
      <c r="E364" s="1414"/>
      <c r="F364" s="1414"/>
      <c r="G364" s="1414"/>
      <c r="H364" s="1390" t="e">
        <f t="shared" si="16"/>
        <v>#DIV/0!</v>
      </c>
    </row>
    <row r="365" spans="1:8" s="1292" customFormat="1" ht="15.75" hidden="1" customHeight="1" x14ac:dyDescent="0.2">
      <c r="A365" s="1384">
        <v>4357</v>
      </c>
      <c r="B365" s="1385">
        <v>6121</v>
      </c>
      <c r="C365" s="1538">
        <v>36513899</v>
      </c>
      <c r="D365" s="1405" t="s">
        <v>548</v>
      </c>
      <c r="E365" s="1414"/>
      <c r="F365" s="1414"/>
      <c r="G365" s="1414"/>
      <c r="H365" s="1390" t="e">
        <f t="shared" si="16"/>
        <v>#DIV/0!</v>
      </c>
    </row>
    <row r="366" spans="1:8" s="1292" customFormat="1" ht="15.75" hidden="1" customHeight="1" x14ac:dyDescent="0.2">
      <c r="A366" s="1384">
        <v>4357</v>
      </c>
      <c r="B366" s="1385">
        <v>6122</v>
      </c>
      <c r="C366" s="1538">
        <v>36113899</v>
      </c>
      <c r="D366" s="1405" t="s">
        <v>549</v>
      </c>
      <c r="E366" s="1414"/>
      <c r="F366" s="1414"/>
      <c r="G366" s="1414"/>
      <c r="H366" s="1390" t="e">
        <f t="shared" si="16"/>
        <v>#DIV/0!</v>
      </c>
    </row>
    <row r="367" spans="1:8" s="1292" customFormat="1" ht="15.75" hidden="1" customHeight="1" thickBot="1" x14ac:dyDescent="0.25">
      <c r="A367" s="1384">
        <v>4357</v>
      </c>
      <c r="B367" s="1385">
        <v>6122</v>
      </c>
      <c r="C367" s="1538">
        <v>36513899</v>
      </c>
      <c r="D367" s="1405" t="s">
        <v>549</v>
      </c>
      <c r="E367" s="1414"/>
      <c r="F367" s="1414"/>
      <c r="G367" s="1414"/>
      <c r="H367" s="1390" t="e">
        <f t="shared" si="16"/>
        <v>#DIV/0!</v>
      </c>
    </row>
    <row r="368" spans="1:8" s="1292" customFormat="1" ht="16.5" thickTop="1" thickBot="1" x14ac:dyDescent="0.3">
      <c r="A368" s="3219" t="s">
        <v>690</v>
      </c>
      <c r="B368" s="3220"/>
      <c r="C368" s="3220"/>
      <c r="D368" s="3220"/>
      <c r="E368" s="1387">
        <f>SUM(E357:E367)</f>
        <v>0</v>
      </c>
      <c r="F368" s="1387">
        <f>SUM(F357:F367)</f>
        <v>10</v>
      </c>
      <c r="G368" s="1387">
        <f>SUM(G357:G367)</f>
        <v>5</v>
      </c>
      <c r="H368" s="1391">
        <f t="shared" si="16"/>
        <v>50</v>
      </c>
    </row>
    <row r="369" spans="1:8" s="1292" customFormat="1" ht="14.25" customHeight="1" thickTop="1" x14ac:dyDescent="0.25">
      <c r="A369" s="1375"/>
      <c r="B369" s="1371"/>
      <c r="C369" s="1371"/>
      <c r="D369" s="1372"/>
      <c r="E369" s="1398"/>
      <c r="F369" s="1398"/>
      <c r="G369" s="1398"/>
      <c r="H369" s="1372"/>
    </row>
    <row r="370" spans="1:8" ht="15" hidden="1" x14ac:dyDescent="0.25">
      <c r="A370" s="1377" t="s">
        <v>1508</v>
      </c>
    </row>
    <row r="371" spans="1:8" ht="15" hidden="1" x14ac:dyDescent="0.25">
      <c r="A371" s="1377" t="s">
        <v>1509</v>
      </c>
      <c r="H371" s="1459" t="s">
        <v>148</v>
      </c>
    </row>
    <row r="372" spans="1:8" s="1292" customFormat="1" ht="25.5" hidden="1" thickTop="1" thickBot="1" x14ac:dyDescent="0.25">
      <c r="A372" s="1378" t="s">
        <v>149</v>
      </c>
      <c r="B372" s="1379" t="s">
        <v>688</v>
      </c>
      <c r="C372" s="1379" t="s">
        <v>345</v>
      </c>
      <c r="D372" s="1380" t="s">
        <v>151</v>
      </c>
      <c r="E372" s="1402" t="s">
        <v>569</v>
      </c>
      <c r="F372" s="1402" t="s">
        <v>570</v>
      </c>
      <c r="G372" s="1403" t="s">
        <v>797</v>
      </c>
      <c r="H372" s="1404" t="s">
        <v>798</v>
      </c>
    </row>
    <row r="373" spans="1:8" s="1292" customFormat="1" ht="13.5" hidden="1" thickTop="1" thickBot="1" x14ac:dyDescent="0.25">
      <c r="A373" s="1297">
        <v>1</v>
      </c>
      <c r="B373" s="1296">
        <v>2</v>
      </c>
      <c r="C373" s="1296">
        <v>3</v>
      </c>
      <c r="D373" s="1296">
        <v>4</v>
      </c>
      <c r="E373" s="1295">
        <v>5</v>
      </c>
      <c r="F373" s="1295">
        <v>6</v>
      </c>
      <c r="G373" s="1446">
        <v>7</v>
      </c>
      <c r="H373" s="1468" t="s">
        <v>54</v>
      </c>
    </row>
    <row r="374" spans="1:8" s="1292" customFormat="1" ht="15.75" hidden="1" customHeight="1" thickTop="1" x14ac:dyDescent="0.2">
      <c r="A374" s="1384">
        <v>2143</v>
      </c>
      <c r="B374" s="1385">
        <v>5169</v>
      </c>
      <c r="C374" s="1385">
        <v>53100870</v>
      </c>
      <c r="D374" s="1405" t="s">
        <v>548</v>
      </c>
      <c r="E374" s="1414">
        <v>0</v>
      </c>
      <c r="F374" s="1414"/>
      <c r="G374" s="1414"/>
      <c r="H374" s="1390" t="e">
        <f>G374/F374*100</f>
        <v>#DIV/0!</v>
      </c>
    </row>
    <row r="375" spans="1:8" s="1292" customFormat="1" ht="15.75" hidden="1" customHeight="1" x14ac:dyDescent="0.2">
      <c r="A375" s="1384">
        <v>2143</v>
      </c>
      <c r="B375" s="1385">
        <v>5169</v>
      </c>
      <c r="C375" s="1385">
        <v>53100874</v>
      </c>
      <c r="D375" s="1405" t="s">
        <v>548</v>
      </c>
      <c r="E375" s="1414">
        <v>0</v>
      </c>
      <c r="F375" s="1414"/>
      <c r="G375" s="1414"/>
      <c r="H375" s="1390" t="e">
        <f>G375/F375*100</f>
        <v>#DIV/0!</v>
      </c>
    </row>
    <row r="376" spans="1:8" s="1292" customFormat="1" ht="15.75" hidden="1" customHeight="1" thickBot="1" x14ac:dyDescent="0.25">
      <c r="A376" s="1384">
        <v>2143</v>
      </c>
      <c r="B376" s="1385">
        <v>5169</v>
      </c>
      <c r="C376" s="1385">
        <v>53190877</v>
      </c>
      <c r="D376" s="1405" t="s">
        <v>548</v>
      </c>
      <c r="E376" s="1414">
        <v>0</v>
      </c>
      <c r="F376" s="1414"/>
      <c r="G376" s="1414"/>
      <c r="H376" s="1390" t="e">
        <f>G376/F376*100</f>
        <v>#DIV/0!</v>
      </c>
    </row>
    <row r="377" spans="1:8" s="1292" customFormat="1" ht="15.75" hidden="1" customHeight="1" thickBot="1" x14ac:dyDescent="0.25">
      <c r="A377" s="1384">
        <v>3122</v>
      </c>
      <c r="B377" s="1385">
        <v>6121</v>
      </c>
      <c r="C377" s="1385">
        <v>83515835</v>
      </c>
      <c r="D377" s="1405" t="s">
        <v>548</v>
      </c>
      <c r="E377" s="1414">
        <v>0</v>
      </c>
      <c r="F377" s="1414"/>
      <c r="G377" s="1414"/>
      <c r="H377" s="1390" t="e">
        <f>G377/F377*100</f>
        <v>#DIV/0!</v>
      </c>
    </row>
    <row r="378" spans="1:8" s="1292" customFormat="1" ht="16.5" hidden="1" thickTop="1" thickBot="1" x14ac:dyDescent="0.3">
      <c r="A378" s="3219" t="s">
        <v>690</v>
      </c>
      <c r="B378" s="3220"/>
      <c r="C378" s="3220"/>
      <c r="D378" s="3220"/>
      <c r="E378" s="1387">
        <f>SUM(E374:E377)</f>
        <v>0</v>
      </c>
      <c r="F378" s="1387">
        <f>SUM(F374:F377)</f>
        <v>0</v>
      </c>
      <c r="G378" s="1387">
        <f>SUM(G374:G377)</f>
        <v>0</v>
      </c>
      <c r="H378" s="1391" t="e">
        <f>G378/F378*100</f>
        <v>#DIV/0!</v>
      </c>
    </row>
    <row r="379" spans="1:8" s="1292" customFormat="1" ht="14.25" hidden="1" customHeight="1" x14ac:dyDescent="0.25">
      <c r="A379" s="1375"/>
      <c r="B379" s="1371"/>
      <c r="C379" s="1371"/>
      <c r="D379" s="1372"/>
      <c r="E379" s="1398"/>
      <c r="F379" s="1398"/>
      <c r="G379" s="1398"/>
      <c r="H379" s="1372"/>
    </row>
    <row r="380" spans="1:8" ht="15" hidden="1" x14ac:dyDescent="0.25">
      <c r="A380" s="1377" t="s">
        <v>1322</v>
      </c>
    </row>
    <row r="381" spans="1:8" ht="15" hidden="1" x14ac:dyDescent="0.25">
      <c r="A381" s="1377" t="s">
        <v>1323</v>
      </c>
      <c r="H381" s="1459" t="s">
        <v>148</v>
      </c>
    </row>
    <row r="382" spans="1:8" s="1292" customFormat="1" ht="25.5" hidden="1" thickTop="1" thickBot="1" x14ac:dyDescent="0.25">
      <c r="A382" s="1378" t="s">
        <v>149</v>
      </c>
      <c r="B382" s="1379" t="s">
        <v>688</v>
      </c>
      <c r="C382" s="1379" t="s">
        <v>345</v>
      </c>
      <c r="D382" s="1380" t="s">
        <v>151</v>
      </c>
      <c r="E382" s="1402" t="s">
        <v>569</v>
      </c>
      <c r="F382" s="1402" t="s">
        <v>570</v>
      </c>
      <c r="G382" s="1403" t="s">
        <v>797</v>
      </c>
      <c r="H382" s="1404" t="s">
        <v>798</v>
      </c>
    </row>
    <row r="383" spans="1:8" s="1292" customFormat="1" ht="13.5" hidden="1" thickTop="1" thickBot="1" x14ac:dyDescent="0.25">
      <c r="A383" s="1297">
        <v>1</v>
      </c>
      <c r="B383" s="1296">
        <v>2</v>
      </c>
      <c r="C383" s="1296">
        <v>3</v>
      </c>
      <c r="D383" s="1296">
        <v>4</v>
      </c>
      <c r="E383" s="1295">
        <v>5</v>
      </c>
      <c r="F383" s="1295">
        <v>6</v>
      </c>
      <c r="G383" s="1446">
        <v>7</v>
      </c>
      <c r="H383" s="1468" t="s">
        <v>54</v>
      </c>
    </row>
    <row r="384" spans="1:8" s="1292" customFormat="1" ht="15.75" hidden="1" customHeight="1" thickTop="1" x14ac:dyDescent="0.2">
      <c r="A384" s="1384">
        <v>3122</v>
      </c>
      <c r="B384" s="1385">
        <v>5139</v>
      </c>
      <c r="C384" s="1531">
        <v>38100880</v>
      </c>
      <c r="D384" s="1405" t="s">
        <v>566</v>
      </c>
      <c r="E384" s="1414"/>
      <c r="F384" s="1414"/>
      <c r="G384" s="1414"/>
      <c r="H384" s="1390">
        <v>0</v>
      </c>
    </row>
    <row r="385" spans="1:8" s="1292" customFormat="1" ht="15.75" hidden="1" customHeight="1" x14ac:dyDescent="0.2">
      <c r="A385" s="1384">
        <v>3122</v>
      </c>
      <c r="B385" s="1385">
        <v>5139</v>
      </c>
      <c r="C385" s="1531">
        <v>38500881</v>
      </c>
      <c r="D385" s="1405" t="s">
        <v>566</v>
      </c>
      <c r="E385" s="1414"/>
      <c r="F385" s="1414"/>
      <c r="G385" s="1414"/>
      <c r="H385" s="1390" t="e">
        <f t="shared" ref="H385:H394" si="17">G385/F385*100</f>
        <v>#DIV/0!</v>
      </c>
    </row>
    <row r="386" spans="1:8" s="1292" customFormat="1" ht="15.75" hidden="1" customHeight="1" x14ac:dyDescent="0.2">
      <c r="A386" s="1384">
        <v>3122</v>
      </c>
      <c r="B386" s="1385">
        <v>5191</v>
      </c>
      <c r="C386" s="1531">
        <v>38100884</v>
      </c>
      <c r="D386" s="1405" t="s">
        <v>1705</v>
      </c>
      <c r="E386" s="1414"/>
      <c r="F386" s="1414"/>
      <c r="G386" s="1414"/>
      <c r="H386" s="1390" t="e">
        <f t="shared" si="17"/>
        <v>#DIV/0!</v>
      </c>
    </row>
    <row r="387" spans="1:8" s="1292" customFormat="1" ht="15.75" hidden="1" customHeight="1" x14ac:dyDescent="0.2">
      <c r="A387" s="1384">
        <v>3122</v>
      </c>
      <c r="B387" s="1385">
        <v>6122</v>
      </c>
      <c r="C387" s="1531">
        <v>38100870</v>
      </c>
      <c r="D387" s="1405" t="s">
        <v>549</v>
      </c>
      <c r="E387" s="1414"/>
      <c r="F387" s="1414"/>
      <c r="G387" s="1414"/>
      <c r="H387" s="1390" t="e">
        <f t="shared" si="17"/>
        <v>#DIV/0!</v>
      </c>
    </row>
    <row r="388" spans="1:8" s="1292" customFormat="1" ht="15.75" hidden="1" customHeight="1" x14ac:dyDescent="0.2">
      <c r="A388" s="1384">
        <v>3122</v>
      </c>
      <c r="B388" s="1385">
        <v>6122</v>
      </c>
      <c r="C388" s="1531">
        <v>38100880</v>
      </c>
      <c r="D388" s="1405" t="s">
        <v>549</v>
      </c>
      <c r="E388" s="1414"/>
      <c r="F388" s="1414"/>
      <c r="G388" s="1414"/>
      <c r="H388" s="1390" t="e">
        <f t="shared" si="17"/>
        <v>#DIV/0!</v>
      </c>
    </row>
    <row r="389" spans="1:8" s="1292" customFormat="1" ht="15.75" hidden="1" customHeight="1" x14ac:dyDescent="0.2">
      <c r="A389" s="1384">
        <v>3122</v>
      </c>
      <c r="B389" s="1385">
        <v>6122</v>
      </c>
      <c r="C389" s="1531">
        <v>38500871</v>
      </c>
      <c r="D389" s="1405" t="s">
        <v>549</v>
      </c>
      <c r="E389" s="1414"/>
      <c r="F389" s="1414"/>
      <c r="G389" s="1414"/>
      <c r="H389" s="1390" t="e">
        <f t="shared" si="17"/>
        <v>#DIV/0!</v>
      </c>
    </row>
    <row r="390" spans="1:8" s="1292" customFormat="1" ht="15.75" hidden="1" customHeight="1" x14ac:dyDescent="0.2">
      <c r="A390" s="1384">
        <v>3122</v>
      </c>
      <c r="B390" s="1385">
        <v>6122</v>
      </c>
      <c r="C390" s="1531">
        <v>38500881</v>
      </c>
      <c r="D390" s="1405" t="s">
        <v>549</v>
      </c>
      <c r="E390" s="1414"/>
      <c r="F390" s="1414"/>
      <c r="G390" s="1414"/>
      <c r="H390" s="1390" t="e">
        <f t="shared" si="17"/>
        <v>#DIV/0!</v>
      </c>
    </row>
    <row r="391" spans="1:8" s="1292" customFormat="1" ht="15.75" hidden="1" customHeight="1" thickBot="1" x14ac:dyDescent="0.25">
      <c r="A391" s="1384">
        <v>3122</v>
      </c>
      <c r="B391" s="1385">
        <v>6122</v>
      </c>
      <c r="C391" s="1531">
        <v>38587505</v>
      </c>
      <c r="D391" s="1405" t="s">
        <v>549</v>
      </c>
      <c r="E391" s="1414"/>
      <c r="F391" s="1414"/>
      <c r="G391" s="1414"/>
      <c r="H391" s="1390" t="e">
        <f t="shared" si="17"/>
        <v>#DIV/0!</v>
      </c>
    </row>
    <row r="392" spans="1:8" s="1292" customFormat="1" ht="15" hidden="1" x14ac:dyDescent="0.2">
      <c r="A392" s="1384">
        <v>3122</v>
      </c>
      <c r="B392" s="1385">
        <v>6121</v>
      </c>
      <c r="C392" s="1385">
        <v>53190877</v>
      </c>
      <c r="D392" s="1405" t="s">
        <v>548</v>
      </c>
      <c r="E392" s="1414">
        <v>0</v>
      </c>
      <c r="F392" s="1414"/>
      <c r="G392" s="1414"/>
      <c r="H392" s="1390" t="e">
        <f t="shared" si="17"/>
        <v>#DIV/0!</v>
      </c>
    </row>
    <row r="393" spans="1:8" s="1292" customFormat="1" ht="15" hidden="1" x14ac:dyDescent="0.2">
      <c r="A393" s="1384">
        <v>3122</v>
      </c>
      <c r="B393" s="1469">
        <v>6121</v>
      </c>
      <c r="C393" s="1538">
        <v>53115835</v>
      </c>
      <c r="D393" s="1405" t="s">
        <v>548</v>
      </c>
      <c r="E393" s="1414">
        <v>0</v>
      </c>
      <c r="F393" s="1414"/>
      <c r="G393" s="1414"/>
      <c r="H393" s="1390" t="e">
        <f t="shared" si="17"/>
        <v>#DIV/0!</v>
      </c>
    </row>
    <row r="394" spans="1:8" s="1292" customFormat="1" ht="16.5" hidden="1" thickTop="1" thickBot="1" x14ac:dyDescent="0.3">
      <c r="A394" s="3219" t="s">
        <v>690</v>
      </c>
      <c r="B394" s="3220"/>
      <c r="C394" s="3220"/>
      <c r="D394" s="3220"/>
      <c r="E394" s="1387">
        <f>SUM(E384:E393)</f>
        <v>0</v>
      </c>
      <c r="F394" s="1387">
        <f>SUM(F384:F393)</f>
        <v>0</v>
      </c>
      <c r="G394" s="1387">
        <f>SUM(G384:G393)</f>
        <v>0</v>
      </c>
      <c r="H394" s="1391" t="e">
        <f t="shared" si="17"/>
        <v>#DIV/0!</v>
      </c>
    </row>
    <row r="395" spans="1:8" s="1292" customFormat="1" ht="14.25" hidden="1" customHeight="1" thickTop="1" x14ac:dyDescent="0.25">
      <c r="A395" s="1375"/>
      <c r="B395" s="1371"/>
      <c r="C395" s="1371"/>
      <c r="D395" s="1372"/>
      <c r="E395" s="1398"/>
      <c r="F395" s="1398"/>
      <c r="G395" s="1398"/>
      <c r="H395" s="1372"/>
    </row>
    <row r="396" spans="1:8" ht="15" x14ac:dyDescent="0.25">
      <c r="A396" s="1377" t="s">
        <v>1324</v>
      </c>
    </row>
    <row r="397" spans="1:8" ht="15.75" thickBot="1" x14ac:dyDescent="0.3">
      <c r="A397" s="1377" t="s">
        <v>1325</v>
      </c>
      <c r="H397" s="1459" t="s">
        <v>148</v>
      </c>
    </row>
    <row r="398" spans="1:8" s="1292" customFormat="1" ht="25.5" thickTop="1" thickBot="1" x14ac:dyDescent="0.25">
      <c r="A398" s="1378" t="s">
        <v>149</v>
      </c>
      <c r="B398" s="1379" t="s">
        <v>688</v>
      </c>
      <c r="C398" s="1379" t="s">
        <v>345</v>
      </c>
      <c r="D398" s="1380" t="s">
        <v>151</v>
      </c>
      <c r="E398" s="1402" t="s">
        <v>569</v>
      </c>
      <c r="F398" s="1402" t="s">
        <v>570</v>
      </c>
      <c r="G398" s="1403" t="s">
        <v>797</v>
      </c>
      <c r="H398" s="1404" t="s">
        <v>798</v>
      </c>
    </row>
    <row r="399" spans="1:8" s="1292" customFormat="1" ht="13.5" thickTop="1" thickBot="1" x14ac:dyDescent="0.25">
      <c r="A399" s="1297">
        <v>1</v>
      </c>
      <c r="B399" s="1296">
        <v>2</v>
      </c>
      <c r="C399" s="1296">
        <v>3</v>
      </c>
      <c r="D399" s="1296">
        <v>4</v>
      </c>
      <c r="E399" s="1295">
        <v>5</v>
      </c>
      <c r="F399" s="1295">
        <v>6</v>
      </c>
      <c r="G399" s="1446">
        <v>7</v>
      </c>
      <c r="H399" s="1468" t="s">
        <v>54</v>
      </c>
    </row>
    <row r="400" spans="1:8" s="1292" customFormat="1" ht="15.75" hidden="1" customHeight="1" thickTop="1" x14ac:dyDescent="0.2">
      <c r="A400" s="1384">
        <v>3122</v>
      </c>
      <c r="B400" s="1385">
        <v>5139</v>
      </c>
      <c r="C400" s="1385">
        <v>38100870</v>
      </c>
      <c r="D400" s="1405" t="s">
        <v>566</v>
      </c>
      <c r="E400" s="1414"/>
      <c r="F400" s="1414"/>
      <c r="G400" s="1414"/>
      <c r="H400" s="1390">
        <v>0</v>
      </c>
    </row>
    <row r="401" spans="1:8" s="1292" customFormat="1" ht="15.75" hidden="1" customHeight="1" x14ac:dyDescent="0.2">
      <c r="A401" s="1384">
        <v>3122</v>
      </c>
      <c r="B401" s="1385">
        <v>5139</v>
      </c>
      <c r="C401" s="1385">
        <v>38500871</v>
      </c>
      <c r="D401" s="1405" t="s">
        <v>566</v>
      </c>
      <c r="E401" s="1414"/>
      <c r="F401" s="1414"/>
      <c r="G401" s="1414"/>
      <c r="H401" s="1390">
        <v>0</v>
      </c>
    </row>
    <row r="402" spans="1:8" s="1292" customFormat="1" ht="15.75" hidden="1" customHeight="1" x14ac:dyDescent="0.2">
      <c r="A402" s="1384">
        <v>3122</v>
      </c>
      <c r="B402" s="1385">
        <v>6122</v>
      </c>
      <c r="C402" s="1385">
        <v>38100870</v>
      </c>
      <c r="D402" s="1405" t="s">
        <v>549</v>
      </c>
      <c r="E402" s="1414"/>
      <c r="F402" s="1414"/>
      <c r="G402" s="1414"/>
      <c r="H402" s="1390" t="e">
        <f t="shared" ref="H402:H410" si="18">G402/F402*100</f>
        <v>#DIV/0!</v>
      </c>
    </row>
    <row r="403" spans="1:8" s="1292" customFormat="1" ht="15.75" hidden="1" customHeight="1" x14ac:dyDescent="0.2">
      <c r="A403" s="1384">
        <v>3122</v>
      </c>
      <c r="B403" s="1385">
        <v>6122</v>
      </c>
      <c r="C403" s="1385">
        <v>38100880</v>
      </c>
      <c r="D403" s="1405" t="s">
        <v>549</v>
      </c>
      <c r="E403" s="1414"/>
      <c r="F403" s="1414"/>
      <c r="G403" s="1414"/>
      <c r="H403" s="1390" t="e">
        <f t="shared" si="18"/>
        <v>#DIV/0!</v>
      </c>
    </row>
    <row r="404" spans="1:8" s="1292" customFormat="1" ht="15.75" customHeight="1" thickTop="1" thickBot="1" x14ac:dyDescent="0.25">
      <c r="A404" s="1384">
        <v>3636</v>
      </c>
      <c r="B404" s="1385">
        <v>5139</v>
      </c>
      <c r="C404" s="1531" t="s">
        <v>2014</v>
      </c>
      <c r="D404" s="1405" t="s">
        <v>566</v>
      </c>
      <c r="E404" s="1414">
        <v>0</v>
      </c>
      <c r="F404" s="1414">
        <v>1</v>
      </c>
      <c r="G404" s="1414">
        <v>1</v>
      </c>
      <c r="H404" s="1390">
        <f t="shared" si="18"/>
        <v>100</v>
      </c>
    </row>
    <row r="405" spans="1:8" s="1292" customFormat="1" ht="15.75" hidden="1" customHeight="1" x14ac:dyDescent="0.2">
      <c r="A405" s="1384">
        <v>3122</v>
      </c>
      <c r="B405" s="1385">
        <v>6122</v>
      </c>
      <c r="C405" s="1385">
        <v>38500871</v>
      </c>
      <c r="D405" s="1405" t="s">
        <v>549</v>
      </c>
      <c r="E405" s="1414"/>
      <c r="F405" s="1414"/>
      <c r="G405" s="1414"/>
      <c r="H405" s="1390" t="e">
        <f t="shared" si="18"/>
        <v>#DIV/0!</v>
      </c>
    </row>
    <row r="406" spans="1:8" s="1292" customFormat="1" ht="15.75" hidden="1" customHeight="1" x14ac:dyDescent="0.2">
      <c r="A406" s="1384">
        <v>3122</v>
      </c>
      <c r="B406" s="1385">
        <v>6122</v>
      </c>
      <c r="C406" s="1385">
        <v>38500881</v>
      </c>
      <c r="D406" s="1405" t="s">
        <v>549</v>
      </c>
      <c r="E406" s="1414"/>
      <c r="F406" s="1414"/>
      <c r="G406" s="1414"/>
      <c r="H406" s="1390" t="e">
        <f t="shared" si="18"/>
        <v>#DIV/0!</v>
      </c>
    </row>
    <row r="407" spans="1:8" s="1292" customFormat="1" ht="15.75" hidden="1" customHeight="1" thickBot="1" x14ac:dyDescent="0.25">
      <c r="A407" s="1384">
        <v>3122</v>
      </c>
      <c r="B407" s="1385">
        <v>6122</v>
      </c>
      <c r="C407" s="1385">
        <v>38587505</v>
      </c>
      <c r="D407" s="1405" t="s">
        <v>549</v>
      </c>
      <c r="E407" s="1414"/>
      <c r="F407" s="1414"/>
      <c r="G407" s="1414"/>
      <c r="H407" s="1390" t="e">
        <f t="shared" si="18"/>
        <v>#DIV/0!</v>
      </c>
    </row>
    <row r="408" spans="1:8" s="1292" customFormat="1" ht="15.75" hidden="1" thickBot="1" x14ac:dyDescent="0.25">
      <c r="A408" s="1384">
        <v>3122</v>
      </c>
      <c r="B408" s="1385">
        <v>6121</v>
      </c>
      <c r="C408" s="1385">
        <v>53190877</v>
      </c>
      <c r="D408" s="1405" t="s">
        <v>548</v>
      </c>
      <c r="E408" s="1414">
        <v>0</v>
      </c>
      <c r="F408" s="1414"/>
      <c r="G408" s="1414"/>
      <c r="H408" s="1390" t="e">
        <f t="shared" si="18"/>
        <v>#DIV/0!</v>
      </c>
    </row>
    <row r="409" spans="1:8" s="1292" customFormat="1" ht="15.75" hidden="1" thickBot="1" x14ac:dyDescent="0.25">
      <c r="A409" s="1384">
        <v>3122</v>
      </c>
      <c r="B409" s="1469">
        <v>6121</v>
      </c>
      <c r="C409" s="1538">
        <v>53115835</v>
      </c>
      <c r="D409" s="1405" t="s">
        <v>548</v>
      </c>
      <c r="E409" s="1414">
        <v>0</v>
      </c>
      <c r="F409" s="1414"/>
      <c r="G409" s="1414"/>
      <c r="H409" s="1390" t="e">
        <f t="shared" si="18"/>
        <v>#DIV/0!</v>
      </c>
    </row>
    <row r="410" spans="1:8" s="1292" customFormat="1" ht="16.5" thickTop="1" thickBot="1" x14ac:dyDescent="0.3">
      <c r="A410" s="3219" t="s">
        <v>690</v>
      </c>
      <c r="B410" s="3220"/>
      <c r="C410" s="3220"/>
      <c r="D410" s="3220"/>
      <c r="E410" s="1387">
        <f>SUM(E400:E409)</f>
        <v>0</v>
      </c>
      <c r="F410" s="1387">
        <f>SUM(F400:F409)</f>
        <v>1</v>
      </c>
      <c r="G410" s="1387">
        <f>SUM(G400:G409)</f>
        <v>1</v>
      </c>
      <c r="H410" s="1391">
        <f t="shared" si="18"/>
        <v>100</v>
      </c>
    </row>
    <row r="411" spans="1:8" s="1292" customFormat="1" ht="14.25" customHeight="1" thickTop="1" x14ac:dyDescent="0.25">
      <c r="A411" s="1375"/>
      <c r="B411" s="1371"/>
      <c r="C411" s="1371"/>
      <c r="D411" s="1372"/>
      <c r="E411" s="1398"/>
      <c r="F411" s="1398"/>
      <c r="G411" s="1398"/>
      <c r="H411" s="1372"/>
    </row>
    <row r="412" spans="1:8" ht="15" x14ac:dyDescent="0.25">
      <c r="A412" s="1377" t="s">
        <v>1326</v>
      </c>
    </row>
    <row r="413" spans="1:8" ht="15.75" thickBot="1" x14ac:dyDescent="0.3">
      <c r="A413" s="1377" t="s">
        <v>1327</v>
      </c>
      <c r="H413" s="1459" t="s">
        <v>148</v>
      </c>
    </row>
    <row r="414" spans="1:8" s="1292" customFormat="1" ht="25.5" thickTop="1" thickBot="1" x14ac:dyDescent="0.25">
      <c r="A414" s="1378" t="s">
        <v>149</v>
      </c>
      <c r="B414" s="1379" t="s">
        <v>688</v>
      </c>
      <c r="C414" s="1379" t="s">
        <v>345</v>
      </c>
      <c r="D414" s="1380" t="s">
        <v>151</v>
      </c>
      <c r="E414" s="1402" t="s">
        <v>569</v>
      </c>
      <c r="F414" s="1402" t="s">
        <v>570</v>
      </c>
      <c r="G414" s="1403" t="s">
        <v>797</v>
      </c>
      <c r="H414" s="1404" t="s">
        <v>798</v>
      </c>
    </row>
    <row r="415" spans="1:8" s="1292" customFormat="1" ht="13.5" thickTop="1" thickBot="1" x14ac:dyDescent="0.25">
      <c r="A415" s="1297">
        <v>1</v>
      </c>
      <c r="B415" s="1296">
        <v>2</v>
      </c>
      <c r="C415" s="1296">
        <v>3</v>
      </c>
      <c r="D415" s="1296">
        <v>4</v>
      </c>
      <c r="E415" s="1295">
        <v>5</v>
      </c>
      <c r="F415" s="1295">
        <v>6</v>
      </c>
      <c r="G415" s="1446">
        <v>7</v>
      </c>
      <c r="H415" s="1468" t="s">
        <v>54</v>
      </c>
    </row>
    <row r="416" spans="1:8" s="1292" customFormat="1" ht="15.75" customHeight="1" thickTop="1" x14ac:dyDescent="0.2">
      <c r="A416" s="1384">
        <v>3122</v>
      </c>
      <c r="B416" s="1385">
        <v>6121</v>
      </c>
      <c r="C416" s="1531" t="s">
        <v>2028</v>
      </c>
      <c r="D416" s="1405" t="s">
        <v>548</v>
      </c>
      <c r="E416" s="1414">
        <v>516</v>
      </c>
      <c r="F416" s="1414">
        <v>0</v>
      </c>
      <c r="G416" s="1414">
        <v>0</v>
      </c>
      <c r="H416" s="1390">
        <v>0</v>
      </c>
    </row>
    <row r="417" spans="1:8" s="1292" customFormat="1" ht="15.75" customHeight="1" x14ac:dyDescent="0.2">
      <c r="A417" s="1384">
        <v>3122</v>
      </c>
      <c r="B417" s="1385">
        <v>6121</v>
      </c>
      <c r="C417" s="1531" t="s">
        <v>2013</v>
      </c>
      <c r="D417" s="1405" t="s">
        <v>548</v>
      </c>
      <c r="E417" s="1414">
        <v>675</v>
      </c>
      <c r="F417" s="1414">
        <v>0</v>
      </c>
      <c r="G417" s="1414">
        <v>0</v>
      </c>
      <c r="H417" s="1390">
        <v>0</v>
      </c>
    </row>
    <row r="418" spans="1:8" s="1292" customFormat="1" ht="15.75" customHeight="1" x14ac:dyDescent="0.2">
      <c r="A418" s="1384">
        <v>3122</v>
      </c>
      <c r="B418" s="1385">
        <v>6122</v>
      </c>
      <c r="C418" s="1531" t="s">
        <v>2028</v>
      </c>
      <c r="D418" s="1405" t="s">
        <v>549</v>
      </c>
      <c r="E418" s="1414">
        <v>0</v>
      </c>
      <c r="F418" s="1414">
        <v>2816</v>
      </c>
      <c r="G418" s="1414">
        <v>2815</v>
      </c>
      <c r="H418" s="1390">
        <f t="shared" ref="H418:H426" si="19">G418/F418*100</f>
        <v>99.96448863636364</v>
      </c>
    </row>
    <row r="419" spans="1:8" s="1292" customFormat="1" ht="15" x14ac:dyDescent="0.2">
      <c r="A419" s="1384">
        <v>3122</v>
      </c>
      <c r="B419" s="1385">
        <v>6122</v>
      </c>
      <c r="C419" s="1531" t="s">
        <v>2010</v>
      </c>
      <c r="D419" s="1405" t="s">
        <v>549</v>
      </c>
      <c r="E419" s="1414">
        <v>0</v>
      </c>
      <c r="F419" s="1414">
        <v>675</v>
      </c>
      <c r="G419" s="1414">
        <v>675</v>
      </c>
      <c r="H419" s="1390">
        <f t="shared" si="19"/>
        <v>100</v>
      </c>
    </row>
    <row r="420" spans="1:8" s="1292" customFormat="1" ht="15.75" thickBot="1" x14ac:dyDescent="0.25">
      <c r="A420" s="1384">
        <v>3122</v>
      </c>
      <c r="B420" s="1385">
        <v>6122</v>
      </c>
      <c r="C420" s="1531" t="s">
        <v>1886</v>
      </c>
      <c r="D420" s="1405" t="s">
        <v>549</v>
      </c>
      <c r="E420" s="1414">
        <v>0</v>
      </c>
      <c r="F420" s="1414">
        <v>7000</v>
      </c>
      <c r="G420" s="1414">
        <v>4309</v>
      </c>
      <c r="H420" s="1390">
        <f t="shared" si="19"/>
        <v>61.557142857142857</v>
      </c>
    </row>
    <row r="421" spans="1:8" s="1292" customFormat="1" ht="15.75" hidden="1" thickBot="1" x14ac:dyDescent="0.25">
      <c r="A421" s="1384">
        <v>3122</v>
      </c>
      <c r="B421" s="1385">
        <v>6122</v>
      </c>
      <c r="C421" s="1385"/>
      <c r="D421" s="1405" t="s">
        <v>549</v>
      </c>
      <c r="E421" s="1414">
        <v>0</v>
      </c>
      <c r="F421" s="1414"/>
      <c r="G421" s="1414"/>
      <c r="H421" s="1390" t="e">
        <f t="shared" si="19"/>
        <v>#DIV/0!</v>
      </c>
    </row>
    <row r="422" spans="1:8" s="1292" customFormat="1" ht="15.75" hidden="1" thickBot="1" x14ac:dyDescent="0.25">
      <c r="A422" s="1384">
        <v>3122</v>
      </c>
      <c r="B422" s="1385">
        <v>6122</v>
      </c>
      <c r="C422" s="1385"/>
      <c r="D422" s="1405" t="s">
        <v>549</v>
      </c>
      <c r="E422" s="1414">
        <v>0</v>
      </c>
      <c r="F422" s="1414"/>
      <c r="G422" s="1414"/>
      <c r="H422" s="1390" t="e">
        <f t="shared" si="19"/>
        <v>#DIV/0!</v>
      </c>
    </row>
    <row r="423" spans="1:8" s="1292" customFormat="1" ht="15.75" hidden="1" thickBot="1" x14ac:dyDescent="0.25">
      <c r="A423" s="1384">
        <v>3122</v>
      </c>
      <c r="B423" s="1385">
        <v>6122</v>
      </c>
      <c r="C423" s="1385"/>
      <c r="D423" s="1405" t="s">
        <v>549</v>
      </c>
      <c r="E423" s="1414">
        <v>0</v>
      </c>
      <c r="F423" s="1414"/>
      <c r="G423" s="1414"/>
      <c r="H423" s="1390" t="e">
        <f t="shared" si="19"/>
        <v>#DIV/0!</v>
      </c>
    </row>
    <row r="424" spans="1:8" s="1292" customFormat="1" ht="15.75" hidden="1" thickBot="1" x14ac:dyDescent="0.25">
      <c r="A424" s="1384">
        <v>3122</v>
      </c>
      <c r="B424" s="1385">
        <v>6121</v>
      </c>
      <c r="C424" s="1385"/>
      <c r="D424" s="1405" t="s">
        <v>548</v>
      </c>
      <c r="E424" s="1414">
        <v>0</v>
      </c>
      <c r="F424" s="1414"/>
      <c r="G424" s="1414"/>
      <c r="H424" s="1390" t="e">
        <f t="shared" si="19"/>
        <v>#DIV/0!</v>
      </c>
    </row>
    <row r="425" spans="1:8" s="1292" customFormat="1" ht="15.75" hidden="1" thickBot="1" x14ac:dyDescent="0.25">
      <c r="A425" s="1384">
        <v>3122</v>
      </c>
      <c r="B425" s="1469">
        <v>6121</v>
      </c>
      <c r="C425" s="1538"/>
      <c r="D425" s="1405" t="s">
        <v>548</v>
      </c>
      <c r="E425" s="1414">
        <v>0</v>
      </c>
      <c r="F425" s="1414"/>
      <c r="G425" s="1414"/>
      <c r="H425" s="1390" t="e">
        <f t="shared" si="19"/>
        <v>#DIV/0!</v>
      </c>
    </row>
    <row r="426" spans="1:8" s="1292" customFormat="1" ht="16.5" thickTop="1" thickBot="1" x14ac:dyDescent="0.3">
      <c r="A426" s="3219" t="s">
        <v>690</v>
      </c>
      <c r="B426" s="3220"/>
      <c r="C426" s="3220"/>
      <c r="D426" s="3220"/>
      <c r="E426" s="1387">
        <f>SUM(E416:E425)</f>
        <v>1191</v>
      </c>
      <c r="F426" s="1387">
        <f>SUM(F416:F425)</f>
        <v>10491</v>
      </c>
      <c r="G426" s="1387">
        <f>SUM(G416:G425)</f>
        <v>7799</v>
      </c>
      <c r="H426" s="1391">
        <f t="shared" si="19"/>
        <v>74.33991039938995</v>
      </c>
    </row>
    <row r="427" spans="1:8" s="1292" customFormat="1" ht="14.25" customHeight="1" thickTop="1" x14ac:dyDescent="0.25">
      <c r="A427" s="1375"/>
      <c r="B427" s="1371"/>
      <c r="C427" s="1371"/>
      <c r="D427" s="1372"/>
      <c r="E427" s="1398"/>
      <c r="F427" s="1398"/>
      <c r="G427" s="1398"/>
      <c r="H427" s="1372"/>
    </row>
    <row r="428" spans="1:8" ht="15" x14ac:dyDescent="0.25">
      <c r="A428" s="1377" t="s">
        <v>1328</v>
      </c>
    </row>
    <row r="429" spans="1:8" ht="15.75" thickBot="1" x14ac:dyDescent="0.3">
      <c r="A429" s="1377" t="s">
        <v>1329</v>
      </c>
      <c r="H429" s="1459" t="s">
        <v>148</v>
      </c>
    </row>
    <row r="430" spans="1:8" s="1292" customFormat="1" ht="25.5" thickTop="1" thickBot="1" x14ac:dyDescent="0.25">
      <c r="A430" s="1378" t="s">
        <v>149</v>
      </c>
      <c r="B430" s="1379" t="s">
        <v>688</v>
      </c>
      <c r="C430" s="1379" t="s">
        <v>345</v>
      </c>
      <c r="D430" s="1380" t="s">
        <v>151</v>
      </c>
      <c r="E430" s="1402" t="s">
        <v>569</v>
      </c>
      <c r="F430" s="1402" t="s">
        <v>570</v>
      </c>
      <c r="G430" s="1403" t="s">
        <v>797</v>
      </c>
      <c r="H430" s="1404" t="s">
        <v>798</v>
      </c>
    </row>
    <row r="431" spans="1:8" s="1292" customFormat="1" ht="13.5" thickTop="1" thickBot="1" x14ac:dyDescent="0.25">
      <c r="A431" s="1297">
        <v>1</v>
      </c>
      <c r="B431" s="1296">
        <v>2</v>
      </c>
      <c r="C431" s="1296">
        <v>3</v>
      </c>
      <c r="D431" s="1296">
        <v>4</v>
      </c>
      <c r="E431" s="1295">
        <v>5</v>
      </c>
      <c r="F431" s="1295">
        <v>6</v>
      </c>
      <c r="G431" s="1446">
        <v>7</v>
      </c>
      <c r="H431" s="1468" t="s">
        <v>54</v>
      </c>
    </row>
    <row r="432" spans="1:8" s="1292" customFormat="1" ht="15.75" hidden="1" customHeight="1" thickTop="1" x14ac:dyDescent="0.2">
      <c r="A432" s="1384">
        <v>3122</v>
      </c>
      <c r="B432" s="1385">
        <v>5137</v>
      </c>
      <c r="C432" s="1385">
        <v>38100880</v>
      </c>
      <c r="D432" s="1405" t="s">
        <v>142</v>
      </c>
      <c r="E432" s="1414"/>
      <c r="F432" s="1414"/>
      <c r="G432" s="1414"/>
      <c r="H432" s="1390" t="e">
        <f>G432/F432*100</f>
        <v>#DIV/0!</v>
      </c>
    </row>
    <row r="433" spans="1:8" s="1292" customFormat="1" ht="15.75" hidden="1" customHeight="1" x14ac:dyDescent="0.2">
      <c r="A433" s="1384">
        <v>3122</v>
      </c>
      <c r="B433" s="1385">
        <v>5137</v>
      </c>
      <c r="C433" s="1385">
        <v>38500881</v>
      </c>
      <c r="D433" s="1405" t="s">
        <v>142</v>
      </c>
      <c r="E433" s="1414"/>
      <c r="F433" s="1414"/>
      <c r="G433" s="1414"/>
      <c r="H433" s="1390" t="e">
        <f>G433/F433*100</f>
        <v>#DIV/0!</v>
      </c>
    </row>
    <row r="434" spans="1:8" s="1292" customFormat="1" ht="15.75" hidden="1" customHeight="1" x14ac:dyDescent="0.2">
      <c r="A434" s="1384">
        <v>3122</v>
      </c>
      <c r="B434" s="1385">
        <v>6121</v>
      </c>
      <c r="C434" s="1385">
        <v>10</v>
      </c>
      <c r="D434" s="1405" t="s">
        <v>548</v>
      </c>
      <c r="E434" s="1414"/>
      <c r="F434" s="1414"/>
      <c r="G434" s="1414"/>
      <c r="H434" s="1390">
        <v>0</v>
      </c>
    </row>
    <row r="435" spans="1:8" s="1292" customFormat="1" ht="15.75" thickTop="1" x14ac:dyDescent="0.2">
      <c r="A435" s="1384">
        <v>3122</v>
      </c>
      <c r="B435" s="1385">
        <v>6122</v>
      </c>
      <c r="C435" s="1531" t="s">
        <v>2010</v>
      </c>
      <c r="D435" s="1405" t="s">
        <v>549</v>
      </c>
      <c r="E435" s="1414">
        <v>668</v>
      </c>
      <c r="F435" s="1414">
        <v>668</v>
      </c>
      <c r="G435" s="1414">
        <v>599</v>
      </c>
      <c r="H435" s="1390">
        <f t="shared" ref="H435:H440" si="20">G435/F435*100</f>
        <v>89.670658682634723</v>
      </c>
    </row>
    <row r="436" spans="1:8" s="1292" customFormat="1" ht="15" x14ac:dyDescent="0.2">
      <c r="A436" s="1384">
        <v>3122</v>
      </c>
      <c r="B436" s="1385">
        <v>6122</v>
      </c>
      <c r="C436" s="1531" t="s">
        <v>2013</v>
      </c>
      <c r="D436" s="1405" t="s">
        <v>549</v>
      </c>
      <c r="E436" s="1414">
        <v>0</v>
      </c>
      <c r="F436" s="1414">
        <v>3787</v>
      </c>
      <c r="G436" s="1414">
        <v>3397</v>
      </c>
      <c r="H436" s="1390">
        <f t="shared" si="20"/>
        <v>89.7016107736995</v>
      </c>
    </row>
    <row r="437" spans="1:8" s="1292" customFormat="1" ht="15" hidden="1" x14ac:dyDescent="0.2">
      <c r="A437" s="1384">
        <v>3122</v>
      </c>
      <c r="B437" s="1385">
        <v>6122</v>
      </c>
      <c r="C437" s="1531">
        <v>38500871</v>
      </c>
      <c r="D437" s="1405" t="s">
        <v>549</v>
      </c>
      <c r="E437" s="1414">
        <v>0</v>
      </c>
      <c r="F437" s="1414"/>
      <c r="G437" s="1414"/>
      <c r="H437" s="1390" t="e">
        <f t="shared" si="20"/>
        <v>#DIV/0!</v>
      </c>
    </row>
    <row r="438" spans="1:8" s="1292" customFormat="1" ht="15" hidden="1" x14ac:dyDescent="0.2">
      <c r="A438" s="1384">
        <v>3122</v>
      </c>
      <c r="B438" s="1385">
        <v>6122</v>
      </c>
      <c r="C438" s="1531">
        <v>38500881</v>
      </c>
      <c r="D438" s="1405" t="s">
        <v>549</v>
      </c>
      <c r="E438" s="1414">
        <v>0</v>
      </c>
      <c r="F438" s="1414"/>
      <c r="G438" s="1414"/>
      <c r="H438" s="1390" t="e">
        <f t="shared" si="20"/>
        <v>#DIV/0!</v>
      </c>
    </row>
    <row r="439" spans="1:8" s="1292" customFormat="1" ht="15" hidden="1" x14ac:dyDescent="0.2">
      <c r="A439" s="1384">
        <v>3122</v>
      </c>
      <c r="B439" s="1385">
        <v>6122</v>
      </c>
      <c r="C439" s="1531">
        <v>38587505</v>
      </c>
      <c r="D439" s="1405" t="s">
        <v>549</v>
      </c>
      <c r="E439" s="1414">
        <v>0</v>
      </c>
      <c r="F439" s="1414"/>
      <c r="G439" s="1414"/>
      <c r="H439" s="1390" t="e">
        <f t="shared" si="20"/>
        <v>#DIV/0!</v>
      </c>
    </row>
    <row r="440" spans="1:8" s="1292" customFormat="1" ht="15" hidden="1" x14ac:dyDescent="0.2">
      <c r="A440" s="1384">
        <v>3122</v>
      </c>
      <c r="B440" s="1385">
        <v>6121</v>
      </c>
      <c r="C440" s="1531">
        <v>53190877</v>
      </c>
      <c r="D440" s="1405" t="s">
        <v>548</v>
      </c>
      <c r="E440" s="1414">
        <v>0</v>
      </c>
      <c r="F440" s="1414"/>
      <c r="G440" s="1414"/>
      <c r="H440" s="1390" t="e">
        <f t="shared" si="20"/>
        <v>#DIV/0!</v>
      </c>
    </row>
    <row r="441" spans="1:8" s="1292" customFormat="1" ht="15.75" thickBot="1" x14ac:dyDescent="0.25">
      <c r="A441" s="1384">
        <v>3122</v>
      </c>
      <c r="B441" s="1469">
        <v>6122</v>
      </c>
      <c r="C441" s="1529" t="s">
        <v>2025</v>
      </c>
      <c r="D441" s="1405" t="s">
        <v>549</v>
      </c>
      <c r="E441" s="1414">
        <v>3787</v>
      </c>
      <c r="F441" s="1414">
        <v>0</v>
      </c>
      <c r="G441" s="1414">
        <v>0</v>
      </c>
      <c r="H441" s="1390">
        <v>0</v>
      </c>
    </row>
    <row r="442" spans="1:8" s="1292" customFormat="1" ht="16.5" thickTop="1" thickBot="1" x14ac:dyDescent="0.3">
      <c r="A442" s="3219" t="s">
        <v>690</v>
      </c>
      <c r="B442" s="3220"/>
      <c r="C442" s="3220"/>
      <c r="D442" s="3220"/>
      <c r="E442" s="1387">
        <f>SUM(E432:E441)</f>
        <v>4455</v>
      </c>
      <c r="F442" s="1387">
        <f>SUM(F432:F441)</f>
        <v>4455</v>
      </c>
      <c r="G442" s="1387">
        <f>SUM(G432:G441)</f>
        <v>3996</v>
      </c>
      <c r="H442" s="1391">
        <f>G442/F442*100</f>
        <v>89.696969696969703</v>
      </c>
    </row>
    <row r="443" spans="1:8" s="1292" customFormat="1" ht="14.25" customHeight="1" thickTop="1" x14ac:dyDescent="0.25">
      <c r="A443" s="1375"/>
      <c r="B443" s="1371"/>
      <c r="C443" s="1371"/>
      <c r="D443" s="1372"/>
      <c r="E443" s="1398"/>
      <c r="F443" s="1398"/>
      <c r="G443" s="1398"/>
      <c r="H443" s="1372"/>
    </row>
    <row r="444" spans="1:8" ht="15" x14ac:dyDescent="0.25">
      <c r="A444" s="1377" t="s">
        <v>1467</v>
      </c>
    </row>
    <row r="445" spans="1:8" ht="15.75" thickBot="1" x14ac:dyDescent="0.3">
      <c r="A445" s="1377" t="s">
        <v>1468</v>
      </c>
      <c r="H445" s="1459" t="s">
        <v>148</v>
      </c>
    </row>
    <row r="446" spans="1:8" s="1292" customFormat="1" ht="25.5" thickTop="1" thickBot="1" x14ac:dyDescent="0.25">
      <c r="A446" s="1378" t="s">
        <v>149</v>
      </c>
      <c r="B446" s="1379" t="s">
        <v>688</v>
      </c>
      <c r="C446" s="1379" t="s">
        <v>345</v>
      </c>
      <c r="D446" s="1380" t="s">
        <v>151</v>
      </c>
      <c r="E446" s="1402" t="s">
        <v>569</v>
      </c>
      <c r="F446" s="1402" t="s">
        <v>570</v>
      </c>
      <c r="G446" s="1403" t="s">
        <v>797</v>
      </c>
      <c r="H446" s="1404" t="s">
        <v>798</v>
      </c>
    </row>
    <row r="447" spans="1:8" s="1292" customFormat="1" ht="13.5" thickTop="1" thickBot="1" x14ac:dyDescent="0.25">
      <c r="A447" s="1297">
        <v>1</v>
      </c>
      <c r="B447" s="1296">
        <v>2</v>
      </c>
      <c r="C447" s="1296">
        <v>3</v>
      </c>
      <c r="D447" s="1296">
        <v>4</v>
      </c>
      <c r="E447" s="1295">
        <v>5</v>
      </c>
      <c r="F447" s="1295">
        <v>6</v>
      </c>
      <c r="G447" s="1446">
        <v>7</v>
      </c>
      <c r="H447" s="1468" t="s">
        <v>54</v>
      </c>
    </row>
    <row r="448" spans="1:8" s="1292" customFormat="1" ht="15.75" hidden="1" thickTop="1" x14ac:dyDescent="0.2">
      <c r="A448" s="1384">
        <v>3122</v>
      </c>
      <c r="B448" s="1385">
        <v>5137</v>
      </c>
      <c r="C448" s="1385">
        <v>38100884</v>
      </c>
      <c r="D448" s="1405" t="s">
        <v>548</v>
      </c>
      <c r="E448" s="1414"/>
      <c r="F448" s="1414"/>
      <c r="G448" s="1414"/>
      <c r="H448" s="1390" t="e">
        <f t="shared" ref="H448:H458" si="21">G448/F448*100</f>
        <v>#DIV/0!</v>
      </c>
    </row>
    <row r="449" spans="1:8" s="1292" customFormat="1" ht="15.75" thickTop="1" x14ac:dyDescent="0.2">
      <c r="A449" s="1384">
        <v>3122</v>
      </c>
      <c r="B449" s="1385">
        <v>5137</v>
      </c>
      <c r="C449" s="1531" t="s">
        <v>2014</v>
      </c>
      <c r="D449" s="1405" t="s">
        <v>142</v>
      </c>
      <c r="E449" s="1414">
        <v>0</v>
      </c>
      <c r="F449" s="1414">
        <v>263</v>
      </c>
      <c r="G449" s="1414">
        <v>263</v>
      </c>
      <c r="H449" s="1390">
        <f t="shared" si="21"/>
        <v>100</v>
      </c>
    </row>
    <row r="450" spans="1:8" s="1292" customFormat="1" ht="15" x14ac:dyDescent="0.2">
      <c r="A450" s="1384">
        <v>3122</v>
      </c>
      <c r="B450" s="1385">
        <v>6121</v>
      </c>
      <c r="C450" s="1531" t="s">
        <v>2010</v>
      </c>
      <c r="D450" s="1405" t="s">
        <v>548</v>
      </c>
      <c r="E450" s="1414">
        <v>13717</v>
      </c>
      <c r="F450" s="1414">
        <v>1830</v>
      </c>
      <c r="G450" s="1414">
        <v>1830</v>
      </c>
      <c r="H450" s="1390">
        <f t="shared" si="21"/>
        <v>100</v>
      </c>
    </row>
    <row r="451" spans="1:8" s="1292" customFormat="1" ht="15" x14ac:dyDescent="0.2">
      <c r="A451" s="1384">
        <v>3122</v>
      </c>
      <c r="B451" s="1385">
        <v>6121</v>
      </c>
      <c r="C451" s="1531" t="s">
        <v>2014</v>
      </c>
      <c r="D451" s="1405" t="s">
        <v>548</v>
      </c>
      <c r="E451" s="1414">
        <v>0</v>
      </c>
      <c r="F451" s="1414">
        <v>6956</v>
      </c>
      <c r="G451" s="1414">
        <v>6956</v>
      </c>
      <c r="H451" s="1390">
        <f t="shared" si="21"/>
        <v>100</v>
      </c>
    </row>
    <row r="452" spans="1:8" s="1292" customFormat="1" ht="15" x14ac:dyDescent="0.2">
      <c r="A452" s="1384">
        <v>3122</v>
      </c>
      <c r="B452" s="1385">
        <v>6121</v>
      </c>
      <c r="C452" s="1531" t="s">
        <v>2013</v>
      </c>
      <c r="D452" s="1405" t="s">
        <v>548</v>
      </c>
      <c r="E452" s="1414">
        <v>0</v>
      </c>
      <c r="F452" s="1414">
        <v>2</v>
      </c>
      <c r="G452" s="1414">
        <v>2</v>
      </c>
      <c r="H452" s="1390">
        <f t="shared" si="21"/>
        <v>100</v>
      </c>
    </row>
    <row r="453" spans="1:8" s="1292" customFormat="1" ht="15" x14ac:dyDescent="0.2">
      <c r="A453" s="1384">
        <v>3122</v>
      </c>
      <c r="B453" s="1385">
        <v>6121</v>
      </c>
      <c r="C453" s="1531" t="s">
        <v>2025</v>
      </c>
      <c r="D453" s="1405" t="s">
        <v>548</v>
      </c>
      <c r="E453" s="1414">
        <v>1039</v>
      </c>
      <c r="F453" s="1414">
        <v>4006</v>
      </c>
      <c r="G453" s="1414">
        <v>4006</v>
      </c>
      <c r="H453" s="1390">
        <f t="shared" si="21"/>
        <v>100</v>
      </c>
    </row>
    <row r="454" spans="1:8" s="1292" customFormat="1" ht="15" x14ac:dyDescent="0.2">
      <c r="A454" s="1384">
        <v>3122</v>
      </c>
      <c r="B454" s="1385">
        <v>6121</v>
      </c>
      <c r="C454" s="1531" t="s">
        <v>1886</v>
      </c>
      <c r="D454" s="1405" t="s">
        <v>548</v>
      </c>
      <c r="E454" s="1414">
        <v>0</v>
      </c>
      <c r="F454" s="1414">
        <v>6364</v>
      </c>
      <c r="G454" s="1414">
        <v>6364</v>
      </c>
      <c r="H454" s="1390">
        <f t="shared" si="21"/>
        <v>100</v>
      </c>
    </row>
    <row r="455" spans="1:8" s="1292" customFormat="1" ht="15" hidden="1" x14ac:dyDescent="0.2">
      <c r="A455" s="1384">
        <v>3122</v>
      </c>
      <c r="B455" s="1385">
        <v>6122</v>
      </c>
      <c r="C455" s="1531">
        <v>38587505</v>
      </c>
      <c r="D455" s="1405" t="s">
        <v>549</v>
      </c>
      <c r="E455" s="1414">
        <v>0</v>
      </c>
      <c r="F455" s="1414"/>
      <c r="G455" s="1414"/>
      <c r="H455" s="1390" t="e">
        <f t="shared" si="21"/>
        <v>#DIV/0!</v>
      </c>
    </row>
    <row r="456" spans="1:8" s="1292" customFormat="1" ht="15.75" thickBot="1" x14ac:dyDescent="0.25">
      <c r="A456" s="1384">
        <v>3122</v>
      </c>
      <c r="B456" s="1385">
        <v>6122</v>
      </c>
      <c r="C456" s="1531" t="s">
        <v>2014</v>
      </c>
      <c r="D456" s="1405" t="s">
        <v>549</v>
      </c>
      <c r="E456" s="1414">
        <v>0</v>
      </c>
      <c r="F456" s="1414">
        <v>85</v>
      </c>
      <c r="G456" s="1414">
        <v>85</v>
      </c>
      <c r="H456" s="1390">
        <f t="shared" si="21"/>
        <v>100</v>
      </c>
    </row>
    <row r="457" spans="1:8" s="1292" customFormat="1" ht="15.75" hidden="1" thickBot="1" x14ac:dyDescent="0.25">
      <c r="A457" s="1384">
        <v>3122</v>
      </c>
      <c r="B457" s="1469">
        <v>6121</v>
      </c>
      <c r="C457" s="1538">
        <v>53115835</v>
      </c>
      <c r="D457" s="1405" t="s">
        <v>548</v>
      </c>
      <c r="E457" s="1414">
        <v>0</v>
      </c>
      <c r="F457" s="1414"/>
      <c r="G457" s="1414"/>
      <c r="H457" s="1390" t="e">
        <f t="shared" si="21"/>
        <v>#DIV/0!</v>
      </c>
    </row>
    <row r="458" spans="1:8" s="1292" customFormat="1" ht="16.5" thickTop="1" thickBot="1" x14ac:dyDescent="0.3">
      <c r="A458" s="3219" t="s">
        <v>690</v>
      </c>
      <c r="B458" s="3220"/>
      <c r="C458" s="3220"/>
      <c r="D458" s="3220"/>
      <c r="E458" s="1387">
        <f>SUM(E448:E457)</f>
        <v>14756</v>
      </c>
      <c r="F458" s="1387">
        <f>SUM(F448:F457)</f>
        <v>19506</v>
      </c>
      <c r="G458" s="1387">
        <f>SUM(G448:G457)</f>
        <v>19506</v>
      </c>
      <c r="H458" s="1391">
        <f t="shared" si="21"/>
        <v>100</v>
      </c>
    </row>
    <row r="459" spans="1:8" s="1292" customFormat="1" ht="14.25" customHeight="1" thickTop="1" x14ac:dyDescent="0.25">
      <c r="A459" s="1375"/>
      <c r="B459" s="1371"/>
      <c r="C459" s="1371"/>
      <c r="D459" s="1372"/>
      <c r="E459" s="1398"/>
      <c r="F459" s="1398"/>
      <c r="G459" s="1398"/>
      <c r="H459" s="1372"/>
    </row>
    <row r="460" spans="1:8" ht="15" x14ac:dyDescent="0.25">
      <c r="A460" s="1377" t="s">
        <v>1469</v>
      </c>
    </row>
    <row r="461" spans="1:8" ht="15.75" thickBot="1" x14ac:dyDescent="0.3">
      <c r="A461" s="1377" t="s">
        <v>1470</v>
      </c>
      <c r="H461" s="1459" t="s">
        <v>148</v>
      </c>
    </row>
    <row r="462" spans="1:8" s="1292" customFormat="1" ht="25.5" thickTop="1" thickBot="1" x14ac:dyDescent="0.25">
      <c r="A462" s="1378" t="s">
        <v>149</v>
      </c>
      <c r="B462" s="1379" t="s">
        <v>688</v>
      </c>
      <c r="C462" s="1379" t="s">
        <v>345</v>
      </c>
      <c r="D462" s="1380" t="s">
        <v>151</v>
      </c>
      <c r="E462" s="1402" t="s">
        <v>569</v>
      </c>
      <c r="F462" s="1402" t="s">
        <v>570</v>
      </c>
      <c r="G462" s="1403" t="s">
        <v>797</v>
      </c>
      <c r="H462" s="1404" t="s">
        <v>798</v>
      </c>
    </row>
    <row r="463" spans="1:8" s="1292" customFormat="1" ht="13.5" thickTop="1" thickBot="1" x14ac:dyDescent="0.25">
      <c r="A463" s="1297">
        <v>1</v>
      </c>
      <c r="B463" s="1296">
        <v>2</v>
      </c>
      <c r="C463" s="1296">
        <v>3</v>
      </c>
      <c r="D463" s="1296">
        <v>4</v>
      </c>
      <c r="E463" s="1295">
        <v>5</v>
      </c>
      <c r="F463" s="1295">
        <v>6</v>
      </c>
      <c r="G463" s="1446">
        <v>7</v>
      </c>
      <c r="H463" s="1468" t="s">
        <v>54</v>
      </c>
    </row>
    <row r="464" spans="1:8" s="1292" customFormat="1" ht="15.75" customHeight="1" thickTop="1" x14ac:dyDescent="0.2">
      <c r="A464" s="1384">
        <v>3122</v>
      </c>
      <c r="B464" s="1385">
        <v>6121</v>
      </c>
      <c r="C464" s="1531" t="s">
        <v>2010</v>
      </c>
      <c r="D464" s="1405" t="s">
        <v>548</v>
      </c>
      <c r="E464" s="1414">
        <v>11623</v>
      </c>
      <c r="F464" s="1414">
        <v>2925</v>
      </c>
      <c r="G464" s="1414">
        <v>2925</v>
      </c>
      <c r="H464" s="1390">
        <f>G464/F464*100</f>
        <v>100</v>
      </c>
    </row>
    <row r="465" spans="1:8" s="1292" customFormat="1" ht="15.75" hidden="1" customHeight="1" x14ac:dyDescent="0.2">
      <c r="A465" s="1384">
        <v>3122</v>
      </c>
      <c r="B465" s="1385">
        <v>6121</v>
      </c>
      <c r="C465" s="1531">
        <v>38500881</v>
      </c>
      <c r="D465" s="1405" t="s">
        <v>548</v>
      </c>
      <c r="E465" s="1414"/>
      <c r="F465" s="1414"/>
      <c r="G465" s="1414"/>
      <c r="H465" s="1390" t="e">
        <f>G465/F465*100</f>
        <v>#DIV/0!</v>
      </c>
    </row>
    <row r="466" spans="1:8" s="1292" customFormat="1" ht="15.75" hidden="1" customHeight="1" x14ac:dyDescent="0.2">
      <c r="A466" s="1384">
        <v>3122</v>
      </c>
      <c r="B466" s="1385">
        <v>6121</v>
      </c>
      <c r="C466" s="1531">
        <v>10</v>
      </c>
      <c r="D466" s="1405" t="s">
        <v>548</v>
      </c>
      <c r="E466" s="1414"/>
      <c r="F466" s="1414"/>
      <c r="G466" s="1414"/>
      <c r="H466" s="1390">
        <v>0</v>
      </c>
    </row>
    <row r="467" spans="1:8" s="1292" customFormat="1" ht="15" hidden="1" x14ac:dyDescent="0.2">
      <c r="A467" s="1384">
        <v>3122</v>
      </c>
      <c r="B467" s="1385">
        <v>6121</v>
      </c>
      <c r="C467" s="1531">
        <v>38100880</v>
      </c>
      <c r="D467" s="1405" t="s">
        <v>548</v>
      </c>
      <c r="E467" s="1414"/>
      <c r="F467" s="1414"/>
      <c r="G467" s="1414"/>
      <c r="H467" s="1390" t="e">
        <f t="shared" ref="H467:H474" si="22">G467/F467*100</f>
        <v>#DIV/0!</v>
      </c>
    </row>
    <row r="468" spans="1:8" s="1292" customFormat="1" ht="15" hidden="1" x14ac:dyDescent="0.2">
      <c r="A468" s="1384">
        <v>3122</v>
      </c>
      <c r="B468" s="1385">
        <v>6121</v>
      </c>
      <c r="C468" s="1531">
        <v>38500881</v>
      </c>
      <c r="D468" s="1405" t="s">
        <v>548</v>
      </c>
      <c r="E468" s="1414"/>
      <c r="F468" s="1414"/>
      <c r="G468" s="1414"/>
      <c r="H468" s="1390" t="e">
        <f t="shared" si="22"/>
        <v>#DIV/0!</v>
      </c>
    </row>
    <row r="469" spans="1:8" s="1292" customFormat="1" ht="15" hidden="1" x14ac:dyDescent="0.2">
      <c r="A469" s="1384">
        <v>3122</v>
      </c>
      <c r="B469" s="1385">
        <v>6121</v>
      </c>
      <c r="C469" s="1531">
        <v>38500871</v>
      </c>
      <c r="D469" s="1405" t="s">
        <v>548</v>
      </c>
      <c r="E469" s="1414">
        <v>0</v>
      </c>
      <c r="F469" s="1414"/>
      <c r="G469" s="1414"/>
      <c r="H469" s="1390" t="e">
        <f t="shared" si="22"/>
        <v>#DIV/0!</v>
      </c>
    </row>
    <row r="470" spans="1:8" s="1292" customFormat="1" ht="15" x14ac:dyDescent="0.2">
      <c r="A470" s="1384">
        <v>3122</v>
      </c>
      <c r="B470" s="1385">
        <v>6121</v>
      </c>
      <c r="C470" s="1531" t="s">
        <v>2014</v>
      </c>
      <c r="D470" s="1405" t="s">
        <v>548</v>
      </c>
      <c r="E470" s="1414">
        <v>0</v>
      </c>
      <c r="F470" s="1414">
        <v>7572</v>
      </c>
      <c r="G470" s="1414">
        <v>7572</v>
      </c>
      <c r="H470" s="1390">
        <f t="shared" si="22"/>
        <v>100</v>
      </c>
    </row>
    <row r="471" spans="1:8" s="1292" customFormat="1" ht="15" x14ac:dyDescent="0.2">
      <c r="A471" s="1384">
        <v>3122</v>
      </c>
      <c r="B471" s="1385">
        <v>6121</v>
      </c>
      <c r="C471" s="1531" t="s">
        <v>2025</v>
      </c>
      <c r="D471" s="1405" t="s">
        <v>548</v>
      </c>
      <c r="E471" s="1414">
        <v>2822</v>
      </c>
      <c r="F471" s="1414">
        <v>5888</v>
      </c>
      <c r="G471" s="1414">
        <v>5888</v>
      </c>
      <c r="H471" s="1390">
        <f t="shared" si="22"/>
        <v>100</v>
      </c>
    </row>
    <row r="472" spans="1:8" s="1292" customFormat="1" ht="15.75" thickBot="1" x14ac:dyDescent="0.25">
      <c r="A472" s="1384">
        <v>3122</v>
      </c>
      <c r="B472" s="1385">
        <v>6121</v>
      </c>
      <c r="C472" s="1531" t="s">
        <v>1886</v>
      </c>
      <c r="D472" s="1405" t="s">
        <v>548</v>
      </c>
      <c r="E472" s="1414">
        <v>0</v>
      </c>
      <c r="F472" s="1414">
        <v>10689</v>
      </c>
      <c r="G472" s="1414">
        <v>10689</v>
      </c>
      <c r="H472" s="1390">
        <f t="shared" si="22"/>
        <v>100</v>
      </c>
    </row>
    <row r="473" spans="1:8" s="1292" customFormat="1" ht="15.75" hidden="1" thickBot="1" x14ac:dyDescent="0.25">
      <c r="A473" s="1384">
        <v>3122</v>
      </c>
      <c r="B473" s="1469">
        <v>6121</v>
      </c>
      <c r="C473" s="1538">
        <v>53115835</v>
      </c>
      <c r="D473" s="1405" t="s">
        <v>548</v>
      </c>
      <c r="E473" s="1414">
        <v>0</v>
      </c>
      <c r="F473" s="1414"/>
      <c r="G473" s="1414"/>
      <c r="H473" s="1390" t="e">
        <f t="shared" si="22"/>
        <v>#DIV/0!</v>
      </c>
    </row>
    <row r="474" spans="1:8" s="1292" customFormat="1" ht="16.5" thickTop="1" thickBot="1" x14ac:dyDescent="0.3">
      <c r="A474" s="3219" t="s">
        <v>690</v>
      </c>
      <c r="B474" s="3220"/>
      <c r="C474" s="3220"/>
      <c r="D474" s="3220"/>
      <c r="E474" s="1387">
        <f>SUM(E464:E473)</f>
        <v>14445</v>
      </c>
      <c r="F474" s="1387">
        <f>SUM(F464:F473)</f>
        <v>27074</v>
      </c>
      <c r="G474" s="1387">
        <f>SUM(G464:G473)</f>
        <v>27074</v>
      </c>
      <c r="H474" s="1391">
        <f t="shared" si="22"/>
        <v>100</v>
      </c>
    </row>
    <row r="475" spans="1:8" s="1292" customFormat="1" ht="14.25" customHeight="1" thickTop="1" x14ac:dyDescent="0.25">
      <c r="A475" s="1375"/>
      <c r="B475" s="1371"/>
      <c r="C475" s="1371"/>
      <c r="D475" s="1372"/>
      <c r="E475" s="1398"/>
      <c r="F475" s="1398"/>
      <c r="G475" s="1398"/>
      <c r="H475" s="1372"/>
    </row>
    <row r="476" spans="1:8" s="1292" customFormat="1" ht="14.25" hidden="1" customHeight="1" x14ac:dyDescent="0.25">
      <c r="A476" s="1375"/>
      <c r="B476" s="1371"/>
      <c r="C476" s="1371"/>
      <c r="D476" s="1372"/>
      <c r="E476" s="1398"/>
      <c r="F476" s="1398"/>
      <c r="G476" s="1398"/>
      <c r="H476" s="1372"/>
    </row>
    <row r="477" spans="1:8" ht="15" hidden="1" x14ac:dyDescent="0.25">
      <c r="A477" s="1377" t="s">
        <v>1330</v>
      </c>
    </row>
    <row r="478" spans="1:8" ht="15" hidden="1" x14ac:dyDescent="0.25">
      <c r="A478" s="1377" t="s">
        <v>1331</v>
      </c>
      <c r="H478" s="1459" t="s">
        <v>148</v>
      </c>
    </row>
    <row r="479" spans="1:8" s="1292" customFormat="1" ht="25.5" hidden="1" thickTop="1" thickBot="1" x14ac:dyDescent="0.25">
      <c r="A479" s="1378" t="s">
        <v>149</v>
      </c>
      <c r="B479" s="1379" t="s">
        <v>688</v>
      </c>
      <c r="C479" s="1379" t="s">
        <v>345</v>
      </c>
      <c r="D479" s="1380" t="s">
        <v>151</v>
      </c>
      <c r="E479" s="1402" t="s">
        <v>569</v>
      </c>
      <c r="F479" s="1402" t="s">
        <v>570</v>
      </c>
      <c r="G479" s="1403" t="s">
        <v>797</v>
      </c>
      <c r="H479" s="1404" t="s">
        <v>798</v>
      </c>
    </row>
    <row r="480" spans="1:8" s="1292" customFormat="1" ht="13.5" hidden="1" thickTop="1" thickBot="1" x14ac:dyDescent="0.25">
      <c r="A480" s="1297">
        <v>1</v>
      </c>
      <c r="B480" s="1296">
        <v>2</v>
      </c>
      <c r="C480" s="1296">
        <v>3</v>
      </c>
      <c r="D480" s="1296">
        <v>4</v>
      </c>
      <c r="E480" s="1295">
        <v>5</v>
      </c>
      <c r="F480" s="1295">
        <v>6</v>
      </c>
      <c r="G480" s="1446">
        <v>7</v>
      </c>
      <c r="H480" s="1468" t="s">
        <v>54</v>
      </c>
    </row>
    <row r="481" spans="1:8" s="1292" customFormat="1" ht="15" hidden="1" x14ac:dyDescent="0.2">
      <c r="A481" s="1384">
        <v>4357</v>
      </c>
      <c r="B481" s="1385">
        <v>5137</v>
      </c>
      <c r="C481" s="1385">
        <v>38100870</v>
      </c>
      <c r="D481" s="1405" t="s">
        <v>142</v>
      </c>
      <c r="E481" s="1414"/>
      <c r="F481" s="1414"/>
      <c r="G481" s="1414"/>
      <c r="H481" s="1390" t="e">
        <f t="shared" ref="H481:H489" si="23">G481/F481*100</f>
        <v>#DIV/0!</v>
      </c>
    </row>
    <row r="482" spans="1:8" s="1292" customFormat="1" ht="15" hidden="1" x14ac:dyDescent="0.2">
      <c r="A482" s="1384">
        <v>4357</v>
      </c>
      <c r="B482" s="1385">
        <v>5137</v>
      </c>
      <c r="C482" s="1385">
        <v>38500871</v>
      </c>
      <c r="D482" s="1405" t="s">
        <v>142</v>
      </c>
      <c r="E482" s="1414"/>
      <c r="F482" s="1414"/>
      <c r="G482" s="1414"/>
      <c r="H482" s="1390" t="e">
        <f t="shared" si="23"/>
        <v>#DIV/0!</v>
      </c>
    </row>
    <row r="483" spans="1:8" s="1292" customFormat="1" ht="15" hidden="1" x14ac:dyDescent="0.2">
      <c r="A483" s="1384">
        <v>4357</v>
      </c>
      <c r="B483" s="1385">
        <v>6121</v>
      </c>
      <c r="C483" s="1385">
        <v>38100870</v>
      </c>
      <c r="D483" s="1405" t="s">
        <v>548</v>
      </c>
      <c r="E483" s="1414"/>
      <c r="F483" s="1414"/>
      <c r="G483" s="1414"/>
      <c r="H483" s="1390" t="e">
        <f t="shared" si="23"/>
        <v>#DIV/0!</v>
      </c>
    </row>
    <row r="484" spans="1:8" s="1292" customFormat="1" ht="15" hidden="1" x14ac:dyDescent="0.2">
      <c r="A484" s="1384">
        <v>4357</v>
      </c>
      <c r="B484" s="1385">
        <v>6121</v>
      </c>
      <c r="C484" s="1385">
        <v>38100874</v>
      </c>
      <c r="D484" s="1405" t="s">
        <v>548</v>
      </c>
      <c r="E484" s="1414"/>
      <c r="F484" s="1414"/>
      <c r="G484" s="1414"/>
      <c r="H484" s="1390" t="e">
        <f t="shared" si="23"/>
        <v>#DIV/0!</v>
      </c>
    </row>
    <row r="485" spans="1:8" s="1292" customFormat="1" ht="15" hidden="1" x14ac:dyDescent="0.2">
      <c r="A485" s="1384">
        <v>4357</v>
      </c>
      <c r="B485" s="1385">
        <v>6121</v>
      </c>
      <c r="C485" s="1385">
        <v>38500871</v>
      </c>
      <c r="D485" s="1405" t="s">
        <v>548</v>
      </c>
      <c r="E485" s="1414"/>
      <c r="F485" s="1414"/>
      <c r="G485" s="1414"/>
      <c r="H485" s="1390" t="e">
        <f t="shared" si="23"/>
        <v>#DIV/0!</v>
      </c>
    </row>
    <row r="486" spans="1:8" s="1292" customFormat="1" ht="15" hidden="1" x14ac:dyDescent="0.2">
      <c r="A486" s="1384">
        <v>4357</v>
      </c>
      <c r="B486" s="1385">
        <v>6121</v>
      </c>
      <c r="C486" s="1385">
        <v>38587505</v>
      </c>
      <c r="D486" s="1405" t="s">
        <v>548</v>
      </c>
      <c r="E486" s="1414"/>
      <c r="F486" s="1414"/>
      <c r="G486" s="1414"/>
      <c r="H486" s="1390" t="e">
        <f t="shared" si="23"/>
        <v>#DIV/0!</v>
      </c>
    </row>
    <row r="487" spans="1:8" s="1292" customFormat="1" ht="15" hidden="1" x14ac:dyDescent="0.2">
      <c r="A487" s="1384">
        <v>4357</v>
      </c>
      <c r="B487" s="1385">
        <v>6122</v>
      </c>
      <c r="C487" s="1385">
        <v>38100870</v>
      </c>
      <c r="D487" s="1405" t="s">
        <v>1706</v>
      </c>
      <c r="E487" s="1414"/>
      <c r="F487" s="1414"/>
      <c r="G487" s="1414"/>
      <c r="H487" s="1390" t="e">
        <f t="shared" si="23"/>
        <v>#DIV/0!</v>
      </c>
    </row>
    <row r="488" spans="1:8" s="1292" customFormat="1" ht="15.75" hidden="1" customHeight="1" thickBot="1" x14ac:dyDescent="0.25">
      <c r="A488" s="1384">
        <v>4357</v>
      </c>
      <c r="B488" s="1385">
        <v>6122</v>
      </c>
      <c r="C488" s="1385">
        <v>38500871</v>
      </c>
      <c r="D488" s="1405" t="s">
        <v>1706</v>
      </c>
      <c r="E488" s="1414"/>
      <c r="F488" s="1414"/>
      <c r="G488" s="1414"/>
      <c r="H488" s="1390" t="e">
        <f t="shared" si="23"/>
        <v>#DIV/0!</v>
      </c>
    </row>
    <row r="489" spans="1:8" s="1292" customFormat="1" ht="16.5" hidden="1" thickTop="1" thickBot="1" x14ac:dyDescent="0.3">
      <c r="A489" s="3219" t="s">
        <v>690</v>
      </c>
      <c r="B489" s="3220"/>
      <c r="C489" s="3220"/>
      <c r="D489" s="3220"/>
      <c r="E489" s="1387">
        <f>SUM(E486:E488)</f>
        <v>0</v>
      </c>
      <c r="F489" s="1387">
        <f>SUM(F481:F488)</f>
        <v>0</v>
      </c>
      <c r="G489" s="1387">
        <f>SUM(G481:G488)</f>
        <v>0</v>
      </c>
      <c r="H489" s="1391" t="e">
        <f t="shared" si="23"/>
        <v>#DIV/0!</v>
      </c>
    </row>
    <row r="490" spans="1:8" s="1292" customFormat="1" ht="15" hidden="1" x14ac:dyDescent="0.25">
      <c r="A490" s="1392"/>
      <c r="B490" s="1392"/>
      <c r="C490" s="1392"/>
      <c r="D490" s="1392"/>
      <c r="E490" s="1393"/>
      <c r="F490" s="1393"/>
      <c r="G490" s="1393"/>
      <c r="H490" s="1418"/>
    </row>
    <row r="491" spans="1:8" ht="15" hidden="1" customHeight="1" x14ac:dyDescent="0.25">
      <c r="A491" s="1377" t="s">
        <v>464</v>
      </c>
    </row>
    <row r="492" spans="1:8" ht="15" hidden="1" x14ac:dyDescent="0.25">
      <c r="A492" s="1377" t="s">
        <v>465</v>
      </c>
      <c r="H492" s="1459" t="s">
        <v>148</v>
      </c>
    </row>
    <row r="493" spans="1:8" s="1292" customFormat="1" ht="25.5" hidden="1" thickTop="1" thickBot="1" x14ac:dyDescent="0.25">
      <c r="A493" s="1378" t="s">
        <v>149</v>
      </c>
      <c r="B493" s="1379" t="s">
        <v>688</v>
      </c>
      <c r="C493" s="1379" t="s">
        <v>345</v>
      </c>
      <c r="D493" s="1380" t="s">
        <v>151</v>
      </c>
      <c r="E493" s="1402" t="s">
        <v>569</v>
      </c>
      <c r="F493" s="1402" t="s">
        <v>570</v>
      </c>
      <c r="G493" s="1403" t="s">
        <v>797</v>
      </c>
      <c r="H493" s="1404" t="s">
        <v>798</v>
      </c>
    </row>
    <row r="494" spans="1:8" s="1292" customFormat="1" ht="13.5" hidden="1" thickTop="1" thickBot="1" x14ac:dyDescent="0.25">
      <c r="A494" s="1297">
        <v>1</v>
      </c>
      <c r="B494" s="1296">
        <v>2</v>
      </c>
      <c r="C494" s="1296">
        <v>3</v>
      </c>
      <c r="D494" s="1296">
        <v>4</v>
      </c>
      <c r="E494" s="1295">
        <v>5</v>
      </c>
      <c r="F494" s="1295">
        <v>6</v>
      </c>
      <c r="G494" s="1446">
        <v>7</v>
      </c>
      <c r="H494" s="1468" t="s">
        <v>54</v>
      </c>
    </row>
    <row r="495" spans="1:8" s="1292" customFormat="1" ht="15.75" hidden="1" customHeight="1" thickTop="1" x14ac:dyDescent="0.2">
      <c r="A495" s="1384">
        <v>4357</v>
      </c>
      <c r="B495" s="1385">
        <v>5169</v>
      </c>
      <c r="C495" s="1385">
        <v>53100880</v>
      </c>
      <c r="D495" s="1405" t="s">
        <v>769</v>
      </c>
      <c r="E495" s="1414"/>
      <c r="F495" s="1414"/>
      <c r="G495" s="1414"/>
      <c r="H495" s="1390" t="e">
        <f>G495/F495*100</f>
        <v>#DIV/0!</v>
      </c>
    </row>
    <row r="496" spans="1:8" s="1292" customFormat="1" ht="15.75" hidden="1" customHeight="1" x14ac:dyDescent="0.2">
      <c r="A496" s="1384">
        <v>4357</v>
      </c>
      <c r="B496" s="1385">
        <v>5169</v>
      </c>
      <c r="C496" s="1385">
        <v>53100882</v>
      </c>
      <c r="D496" s="1405" t="s">
        <v>769</v>
      </c>
      <c r="E496" s="1414"/>
      <c r="F496" s="1414"/>
      <c r="G496" s="1414"/>
      <c r="H496" s="1390" t="e">
        <f>G496/F496*100</f>
        <v>#DIV/0!</v>
      </c>
    </row>
    <row r="497" spans="1:8" s="1292" customFormat="1" ht="15.75" hidden="1" customHeight="1" x14ac:dyDescent="0.2">
      <c r="A497" s="1384">
        <v>4357</v>
      </c>
      <c r="B497" s="1385">
        <v>5169</v>
      </c>
      <c r="C497" s="1385">
        <v>53500881</v>
      </c>
      <c r="D497" s="1405" t="s">
        <v>769</v>
      </c>
      <c r="E497" s="1414"/>
      <c r="F497" s="1414"/>
      <c r="G497" s="1414"/>
      <c r="H497" s="1390" t="e">
        <f>G497/F497*100</f>
        <v>#DIV/0!</v>
      </c>
    </row>
    <row r="498" spans="1:8" s="1292" customFormat="1" ht="15.75" hidden="1" customHeight="1" x14ac:dyDescent="0.2">
      <c r="A498" s="1384">
        <v>4357</v>
      </c>
      <c r="B498" s="1385">
        <v>6121</v>
      </c>
      <c r="C498" s="1385">
        <v>53100880</v>
      </c>
      <c r="D498" s="1405" t="s">
        <v>548</v>
      </c>
      <c r="E498" s="1414"/>
      <c r="F498" s="1414"/>
      <c r="G498" s="1414"/>
      <c r="H498" s="1390" t="e">
        <f>G498/F498*100</f>
        <v>#DIV/0!</v>
      </c>
    </row>
    <row r="499" spans="1:8" s="1292" customFormat="1" ht="15.75" hidden="1" customHeight="1" thickBot="1" x14ac:dyDescent="0.25">
      <c r="A499" s="1384">
        <v>4357</v>
      </c>
      <c r="B499" s="1385">
        <v>6121</v>
      </c>
      <c r="C499" s="1385">
        <v>53100884</v>
      </c>
      <c r="D499" s="1405" t="s">
        <v>548</v>
      </c>
      <c r="E499" s="1414"/>
      <c r="F499" s="1414"/>
      <c r="G499" s="1414"/>
      <c r="H499" s="1396" t="e">
        <f>G499/F499*100</f>
        <v>#DIV/0!</v>
      </c>
    </row>
    <row r="500" spans="1:8" s="1292" customFormat="1" ht="12" hidden="1" x14ac:dyDescent="0.2">
      <c r="A500" s="1700"/>
      <c r="B500" s="1425"/>
      <c r="C500" s="1425"/>
      <c r="D500" s="1425"/>
      <c r="E500" s="1701"/>
      <c r="F500" s="1701"/>
      <c r="G500" s="1702"/>
      <c r="H500" s="1703"/>
    </row>
    <row r="501" spans="1:8" s="1292" customFormat="1" ht="16.5" hidden="1" thickTop="1" thickBot="1" x14ac:dyDescent="0.3">
      <c r="A501" s="3219" t="s">
        <v>690</v>
      </c>
      <c r="B501" s="3220"/>
      <c r="C501" s="3220"/>
      <c r="D501" s="3220"/>
      <c r="E501" s="1387">
        <f>SUM(E495:E500)</f>
        <v>0</v>
      </c>
      <c r="F501" s="1387">
        <f>SUM(F495:F500)</f>
        <v>0</v>
      </c>
      <c r="G501" s="1387">
        <f>SUM(G495:G500)</f>
        <v>0</v>
      </c>
      <c r="H501" s="1396" t="e">
        <f>G501/F501*100</f>
        <v>#DIV/0!</v>
      </c>
    </row>
    <row r="502" spans="1:8" s="1292" customFormat="1" ht="14.25" hidden="1" customHeight="1" thickTop="1" x14ac:dyDescent="0.25">
      <c r="A502" s="1375"/>
      <c r="B502" s="1371"/>
      <c r="C502" s="1371"/>
      <c r="D502" s="1372"/>
      <c r="E502" s="1398"/>
      <c r="F502" s="1398"/>
      <c r="G502" s="1398"/>
      <c r="H502" s="1372"/>
    </row>
    <row r="503" spans="1:8" ht="15" customHeight="1" x14ac:dyDescent="0.25">
      <c r="A503" s="1377" t="s">
        <v>1338</v>
      </c>
    </row>
    <row r="504" spans="1:8" ht="15.75" thickBot="1" x14ac:dyDescent="0.3">
      <c r="A504" s="1377" t="s">
        <v>1339</v>
      </c>
      <c r="H504" s="1459" t="s">
        <v>148</v>
      </c>
    </row>
    <row r="505" spans="1:8" s="1292" customFormat="1" ht="25.5" thickTop="1" thickBot="1" x14ac:dyDescent="0.25">
      <c r="A505" s="1378" t="s">
        <v>149</v>
      </c>
      <c r="B505" s="1379" t="s">
        <v>688</v>
      </c>
      <c r="C505" s="1379" t="s">
        <v>345</v>
      </c>
      <c r="D505" s="1380" t="s">
        <v>151</v>
      </c>
      <c r="E505" s="1402" t="s">
        <v>569</v>
      </c>
      <c r="F505" s="1402" t="s">
        <v>570</v>
      </c>
      <c r="G505" s="1403" t="s">
        <v>797</v>
      </c>
      <c r="H505" s="1404" t="s">
        <v>798</v>
      </c>
    </row>
    <row r="506" spans="1:8" s="1292" customFormat="1" ht="13.5" thickTop="1" thickBot="1" x14ac:dyDescent="0.25">
      <c r="A506" s="1297">
        <v>1</v>
      </c>
      <c r="B506" s="1296">
        <v>2</v>
      </c>
      <c r="C506" s="1296">
        <v>3</v>
      </c>
      <c r="D506" s="1296">
        <v>4</v>
      </c>
      <c r="E506" s="1295">
        <v>5</v>
      </c>
      <c r="F506" s="1295">
        <v>6</v>
      </c>
      <c r="G506" s="1446">
        <v>7</v>
      </c>
      <c r="H506" s="1468" t="s">
        <v>54</v>
      </c>
    </row>
    <row r="507" spans="1:8" s="1292" customFormat="1" ht="15.75" customHeight="1" thickTop="1" x14ac:dyDescent="0.2">
      <c r="A507" s="1384">
        <v>4356</v>
      </c>
      <c r="B507" s="1385">
        <v>5137</v>
      </c>
      <c r="C507" s="1531" t="s">
        <v>2077</v>
      </c>
      <c r="D507" s="1405" t="s">
        <v>142</v>
      </c>
      <c r="E507" s="1414">
        <v>0</v>
      </c>
      <c r="F507" s="1414">
        <v>396</v>
      </c>
      <c r="G507" s="1414">
        <v>0</v>
      </c>
      <c r="H507" s="1390">
        <v>0</v>
      </c>
    </row>
    <row r="508" spans="1:8" s="1292" customFormat="1" ht="15.75" customHeight="1" x14ac:dyDescent="0.2">
      <c r="A508" s="1384">
        <v>4356</v>
      </c>
      <c r="B508" s="1385">
        <v>6121</v>
      </c>
      <c r="C508" s="1531" t="s">
        <v>1886</v>
      </c>
      <c r="D508" s="1405" t="s">
        <v>548</v>
      </c>
      <c r="E508" s="1414">
        <v>0</v>
      </c>
      <c r="F508" s="1414">
        <v>18487</v>
      </c>
      <c r="G508" s="1414">
        <v>16062</v>
      </c>
      <c r="H508" s="1390">
        <f t="shared" ref="H508:H515" si="24">G508/F508*100</f>
        <v>86.882674311678471</v>
      </c>
    </row>
    <row r="509" spans="1:8" s="1292" customFormat="1" ht="15.75" customHeight="1" x14ac:dyDescent="0.2">
      <c r="A509" s="1384">
        <v>4357</v>
      </c>
      <c r="B509" s="1385">
        <v>5137</v>
      </c>
      <c r="C509" s="1531" t="s">
        <v>2010</v>
      </c>
      <c r="D509" s="1405" t="s">
        <v>142</v>
      </c>
      <c r="E509" s="1414">
        <v>0</v>
      </c>
      <c r="F509" s="1414">
        <v>218</v>
      </c>
      <c r="G509" s="1414">
        <v>218</v>
      </c>
      <c r="H509" s="1390">
        <f t="shared" si="24"/>
        <v>100</v>
      </c>
    </row>
    <row r="510" spans="1:8" s="1292" customFormat="1" ht="15.75" customHeight="1" x14ac:dyDescent="0.2">
      <c r="A510" s="1384">
        <v>4357</v>
      </c>
      <c r="B510" s="1385">
        <v>5137</v>
      </c>
      <c r="C510" s="1531" t="s">
        <v>2013</v>
      </c>
      <c r="D510" s="1405" t="s">
        <v>142</v>
      </c>
      <c r="E510" s="1414">
        <v>0</v>
      </c>
      <c r="F510" s="1414">
        <v>652</v>
      </c>
      <c r="G510" s="1414">
        <v>652</v>
      </c>
      <c r="H510" s="1390">
        <f t="shared" si="24"/>
        <v>100</v>
      </c>
    </row>
    <row r="511" spans="1:8" s="1292" customFormat="1" ht="15" x14ac:dyDescent="0.2">
      <c r="A511" s="1384">
        <v>4357</v>
      </c>
      <c r="B511" s="1385">
        <v>6121</v>
      </c>
      <c r="C511" s="1531" t="s">
        <v>2010</v>
      </c>
      <c r="D511" s="1405" t="s">
        <v>548</v>
      </c>
      <c r="E511" s="1414">
        <v>7349</v>
      </c>
      <c r="F511" s="1414">
        <v>7116</v>
      </c>
      <c r="G511" s="1414">
        <v>6699</v>
      </c>
      <c r="H511" s="1390">
        <f t="shared" si="24"/>
        <v>94.139966273187184</v>
      </c>
    </row>
    <row r="512" spans="1:8" s="1292" customFormat="1" ht="15" x14ac:dyDescent="0.2">
      <c r="A512" s="1384">
        <v>4357</v>
      </c>
      <c r="B512" s="1385">
        <v>6121</v>
      </c>
      <c r="C512" s="1531" t="s">
        <v>2013</v>
      </c>
      <c r="D512" s="1405" t="s">
        <v>548</v>
      </c>
      <c r="E512" s="1414">
        <v>3909</v>
      </c>
      <c r="F512" s="1414">
        <v>3208</v>
      </c>
      <c r="G512" s="1453">
        <v>3078</v>
      </c>
      <c r="H512" s="1390">
        <f t="shared" si="24"/>
        <v>95.947630922693278</v>
      </c>
    </row>
    <row r="513" spans="1:8" s="1292" customFormat="1" ht="15" x14ac:dyDescent="0.2">
      <c r="A513" s="1384">
        <v>4357</v>
      </c>
      <c r="B513" s="1385">
        <v>6122</v>
      </c>
      <c r="C513" s="1531" t="s">
        <v>2010</v>
      </c>
      <c r="D513" s="1405" t="s">
        <v>549</v>
      </c>
      <c r="E513" s="1414">
        <v>0</v>
      </c>
      <c r="F513" s="1414">
        <v>16</v>
      </c>
      <c r="G513" s="1453">
        <v>16</v>
      </c>
      <c r="H513" s="1390">
        <f t="shared" si="24"/>
        <v>100</v>
      </c>
    </row>
    <row r="514" spans="1:8" s="1292" customFormat="1" ht="15.75" thickBot="1" x14ac:dyDescent="0.25">
      <c r="A514" s="1384">
        <v>4357</v>
      </c>
      <c r="B514" s="1385">
        <v>6122</v>
      </c>
      <c r="C514" s="1531" t="s">
        <v>2013</v>
      </c>
      <c r="D514" s="1405" t="s">
        <v>549</v>
      </c>
      <c r="E514" s="1414">
        <v>0</v>
      </c>
      <c r="F514" s="1414">
        <v>49</v>
      </c>
      <c r="G514" s="1414">
        <v>49</v>
      </c>
      <c r="H514" s="1390">
        <f t="shared" si="24"/>
        <v>100</v>
      </c>
    </row>
    <row r="515" spans="1:8" s="1292" customFormat="1" ht="16.5" thickTop="1" thickBot="1" x14ac:dyDescent="0.3">
      <c r="A515" s="3219" t="s">
        <v>690</v>
      </c>
      <c r="B515" s="3220"/>
      <c r="C515" s="3220"/>
      <c r="D515" s="3220"/>
      <c r="E515" s="1387">
        <f>SUM(E507:E514)</f>
        <v>11258</v>
      </c>
      <c r="F515" s="1387">
        <f>SUM(F507:F514)</f>
        <v>30142</v>
      </c>
      <c r="G515" s="1387">
        <f>SUM(G507:G514)</f>
        <v>26774</v>
      </c>
      <c r="H515" s="1391">
        <f t="shared" si="24"/>
        <v>88.826222546612698</v>
      </c>
    </row>
    <row r="516" spans="1:8" s="1292" customFormat="1" ht="14.25" customHeight="1" thickTop="1" x14ac:dyDescent="0.25">
      <c r="A516" s="1375"/>
      <c r="B516" s="1371"/>
      <c r="C516" s="1371"/>
      <c r="D516" s="1372"/>
      <c r="E516" s="1398"/>
      <c r="F516" s="1398"/>
      <c r="G516" s="1398"/>
      <c r="H516" s="1372"/>
    </row>
    <row r="517" spans="1:8" ht="15" customHeight="1" x14ac:dyDescent="0.25">
      <c r="A517" s="1377" t="s">
        <v>1471</v>
      </c>
    </row>
    <row r="518" spans="1:8" ht="15.75" thickBot="1" x14ac:dyDescent="0.3">
      <c r="A518" s="1377" t="s">
        <v>1472</v>
      </c>
      <c r="H518" s="1459" t="s">
        <v>148</v>
      </c>
    </row>
    <row r="519" spans="1:8" s="1292" customFormat="1" ht="25.5" thickTop="1" thickBot="1" x14ac:dyDescent="0.25">
      <c r="A519" s="1378" t="s">
        <v>149</v>
      </c>
      <c r="B519" s="1379" t="s">
        <v>688</v>
      </c>
      <c r="C519" s="1379" t="s">
        <v>345</v>
      </c>
      <c r="D519" s="1380" t="s">
        <v>151</v>
      </c>
      <c r="E519" s="1402" t="s">
        <v>569</v>
      </c>
      <c r="F519" s="1402" t="s">
        <v>570</v>
      </c>
      <c r="G519" s="1403" t="s">
        <v>797</v>
      </c>
      <c r="H519" s="1404" t="s">
        <v>798</v>
      </c>
    </row>
    <row r="520" spans="1:8" s="1292" customFormat="1" ht="13.5" thickTop="1" thickBot="1" x14ac:dyDescent="0.25">
      <c r="A520" s="1297">
        <v>1</v>
      </c>
      <c r="B520" s="1296">
        <v>2</v>
      </c>
      <c r="C520" s="1296">
        <v>3</v>
      </c>
      <c r="D520" s="1296">
        <v>4</v>
      </c>
      <c r="E520" s="1295">
        <v>5</v>
      </c>
      <c r="F520" s="1295">
        <v>6</v>
      </c>
      <c r="G520" s="1446">
        <v>7</v>
      </c>
      <c r="H520" s="1468" t="s">
        <v>54</v>
      </c>
    </row>
    <row r="521" spans="1:8" s="1292" customFormat="1" ht="15.75" customHeight="1" thickTop="1" x14ac:dyDescent="0.2">
      <c r="A521" s="1384">
        <v>4357</v>
      </c>
      <c r="B521" s="1385">
        <v>6121</v>
      </c>
      <c r="C521" s="1531" t="s">
        <v>2010</v>
      </c>
      <c r="D521" s="1405" t="s">
        <v>548</v>
      </c>
      <c r="E521" s="1414">
        <v>5020</v>
      </c>
      <c r="F521" s="1414">
        <v>4526</v>
      </c>
      <c r="G521" s="1414">
        <v>4491</v>
      </c>
      <c r="H521" s="1390">
        <f>G521/F521*100</f>
        <v>99.22669023420238</v>
      </c>
    </row>
    <row r="522" spans="1:8" s="1292" customFormat="1" ht="15.75" customHeight="1" x14ac:dyDescent="0.2">
      <c r="A522" s="1384">
        <v>4357</v>
      </c>
      <c r="B522" s="1385">
        <v>6121</v>
      </c>
      <c r="C522" s="1531" t="s">
        <v>2014</v>
      </c>
      <c r="D522" s="1405" t="s">
        <v>548</v>
      </c>
      <c r="E522" s="1414">
        <v>0</v>
      </c>
      <c r="F522" s="1414">
        <v>2818</v>
      </c>
      <c r="G522" s="1414">
        <v>2414</v>
      </c>
      <c r="H522" s="1390">
        <f>G522/F522*100</f>
        <v>85.663591199432219</v>
      </c>
    </row>
    <row r="523" spans="1:8" s="1292" customFormat="1" ht="15.75" customHeight="1" x14ac:dyDescent="0.2">
      <c r="A523" s="1384">
        <v>4357</v>
      </c>
      <c r="B523" s="1385">
        <v>6121</v>
      </c>
      <c r="C523" s="1531" t="s">
        <v>2013</v>
      </c>
      <c r="D523" s="1405" t="s">
        <v>548</v>
      </c>
      <c r="E523" s="1414">
        <v>2776</v>
      </c>
      <c r="F523" s="1414">
        <v>7666</v>
      </c>
      <c r="G523" s="1414">
        <v>7266</v>
      </c>
      <c r="H523" s="1390">
        <f>G523/F523*100</f>
        <v>94.782154969997393</v>
      </c>
    </row>
    <row r="524" spans="1:8" s="1292" customFormat="1" ht="15.75" customHeight="1" thickBot="1" x14ac:dyDescent="0.25">
      <c r="A524" s="1384">
        <v>4357</v>
      </c>
      <c r="B524" s="1385">
        <v>6121</v>
      </c>
      <c r="C524" s="1531" t="s">
        <v>1886</v>
      </c>
      <c r="D524" s="1405" t="s">
        <v>548</v>
      </c>
      <c r="E524" s="1414">
        <v>0</v>
      </c>
      <c r="F524" s="1414">
        <v>23000</v>
      </c>
      <c r="G524" s="1414">
        <v>18121</v>
      </c>
      <c r="H524" s="1390">
        <f>G524/F524*100</f>
        <v>78.786956521739128</v>
      </c>
    </row>
    <row r="525" spans="1:8" s="1292" customFormat="1" ht="15.75" hidden="1" customHeight="1" thickBot="1" x14ac:dyDescent="0.25">
      <c r="A525" s="1384">
        <v>4357</v>
      </c>
      <c r="B525" s="1385">
        <v>6121</v>
      </c>
      <c r="C525" s="1385">
        <v>38587505</v>
      </c>
      <c r="D525" s="1405" t="s">
        <v>548</v>
      </c>
      <c r="E525" s="1414">
        <v>0</v>
      </c>
      <c r="F525" s="1414">
        <v>0</v>
      </c>
      <c r="G525" s="1414">
        <v>0</v>
      </c>
      <c r="H525" s="1396" t="e">
        <f>G525/F525*100</f>
        <v>#DIV/0!</v>
      </c>
    </row>
    <row r="526" spans="1:8" s="1292" customFormat="1" hidden="1" thickBot="1" x14ac:dyDescent="0.25">
      <c r="A526" s="1700"/>
      <c r="B526" s="1425"/>
      <c r="C526" s="1425"/>
      <c r="D526" s="1425"/>
      <c r="E526" s="1701"/>
      <c r="F526" s="1701"/>
      <c r="G526" s="1702"/>
      <c r="H526" s="1703"/>
    </row>
    <row r="527" spans="1:8" s="1292" customFormat="1" ht="16.5" thickTop="1" thickBot="1" x14ac:dyDescent="0.3">
      <c r="A527" s="3219" t="s">
        <v>690</v>
      </c>
      <c r="B527" s="3220"/>
      <c r="C527" s="3220"/>
      <c r="D527" s="3220"/>
      <c r="E527" s="1387">
        <f>SUM(E521:E526)</f>
        <v>7796</v>
      </c>
      <c r="F527" s="1387">
        <f>SUM(F521:F526)</f>
        <v>38010</v>
      </c>
      <c r="G527" s="1387">
        <f>SUM(G521:G526)</f>
        <v>32292</v>
      </c>
      <c r="H527" s="1391">
        <f>G527/F527*100</f>
        <v>84.956590370955013</v>
      </c>
    </row>
    <row r="528" spans="1:8" s="1292" customFormat="1" ht="14.25" customHeight="1" thickTop="1" x14ac:dyDescent="0.25">
      <c r="A528" s="1375"/>
      <c r="B528" s="1371"/>
      <c r="C528" s="1371"/>
      <c r="D528" s="1372"/>
      <c r="E528" s="1398"/>
      <c r="F528" s="1398"/>
      <c r="G528" s="1398"/>
      <c r="H528" s="1372"/>
    </row>
    <row r="529" spans="1:8" ht="15" customHeight="1" x14ac:dyDescent="0.25">
      <c r="A529" s="1377" t="s">
        <v>1707</v>
      </c>
    </row>
    <row r="530" spans="1:8" ht="15.75" thickBot="1" x14ac:dyDescent="0.3">
      <c r="A530" s="1377" t="s">
        <v>1708</v>
      </c>
      <c r="H530" s="1459" t="s">
        <v>148</v>
      </c>
    </row>
    <row r="531" spans="1:8" s="1292" customFormat="1" ht="25.5" thickTop="1" thickBot="1" x14ac:dyDescent="0.25">
      <c r="A531" s="1378" t="s">
        <v>149</v>
      </c>
      <c r="B531" s="1379" t="s">
        <v>688</v>
      </c>
      <c r="C531" s="1379" t="s">
        <v>345</v>
      </c>
      <c r="D531" s="1380" t="s">
        <v>151</v>
      </c>
      <c r="E531" s="1402" t="s">
        <v>569</v>
      </c>
      <c r="F531" s="1402" t="s">
        <v>570</v>
      </c>
      <c r="G531" s="1403" t="s">
        <v>797</v>
      </c>
      <c r="H531" s="1404" t="s">
        <v>798</v>
      </c>
    </row>
    <row r="532" spans="1:8" s="1292" customFormat="1" ht="13.5" thickTop="1" thickBot="1" x14ac:dyDescent="0.25">
      <c r="A532" s="1297">
        <v>1</v>
      </c>
      <c r="B532" s="1296">
        <v>2</v>
      </c>
      <c r="C532" s="1296">
        <v>3</v>
      </c>
      <c r="D532" s="1296">
        <v>4</v>
      </c>
      <c r="E532" s="1295">
        <v>5</v>
      </c>
      <c r="F532" s="1295">
        <v>6</v>
      </c>
      <c r="G532" s="1446">
        <v>7</v>
      </c>
      <c r="H532" s="1468" t="s">
        <v>54</v>
      </c>
    </row>
    <row r="533" spans="1:8" s="1292" customFormat="1" ht="15.75" thickTop="1" x14ac:dyDescent="0.2">
      <c r="A533" s="1384">
        <v>3315</v>
      </c>
      <c r="B533" s="1385">
        <v>5137</v>
      </c>
      <c r="C533" s="1531" t="s">
        <v>2010</v>
      </c>
      <c r="D533" s="1405" t="s">
        <v>142</v>
      </c>
      <c r="E533" s="1414">
        <v>0</v>
      </c>
      <c r="F533" s="1414">
        <v>8</v>
      </c>
      <c r="G533" s="1414">
        <v>7</v>
      </c>
      <c r="H533" s="1390">
        <f>G533/F533*100</f>
        <v>87.5</v>
      </c>
    </row>
    <row r="534" spans="1:8" s="1292" customFormat="1" ht="15" x14ac:dyDescent="0.2">
      <c r="A534" s="1384">
        <v>3315</v>
      </c>
      <c r="B534" s="1385">
        <v>5137</v>
      </c>
      <c r="C534" s="1531" t="s">
        <v>2013</v>
      </c>
      <c r="D534" s="1405" t="s">
        <v>142</v>
      </c>
      <c r="E534" s="1414">
        <v>0</v>
      </c>
      <c r="F534" s="1414">
        <v>42</v>
      </c>
      <c r="G534" s="1414">
        <v>39</v>
      </c>
      <c r="H534" s="1390">
        <f>G534/F534*100</f>
        <v>92.857142857142861</v>
      </c>
    </row>
    <row r="535" spans="1:8" s="1292" customFormat="1" ht="15" x14ac:dyDescent="0.2">
      <c r="A535" s="1384">
        <v>3315</v>
      </c>
      <c r="B535" s="1385">
        <v>6121</v>
      </c>
      <c r="C535" s="1531" t="s">
        <v>2010</v>
      </c>
      <c r="D535" s="1405" t="s">
        <v>548</v>
      </c>
      <c r="E535" s="1414">
        <v>8893</v>
      </c>
      <c r="F535" s="1414">
        <v>3362</v>
      </c>
      <c r="G535" s="1414">
        <v>3323</v>
      </c>
      <c r="H535" s="1390">
        <f>G535/F535*100</f>
        <v>98.839976204640095</v>
      </c>
    </row>
    <row r="536" spans="1:8" s="1292" customFormat="1" ht="15" x14ac:dyDescent="0.2">
      <c r="A536" s="1384">
        <v>3315</v>
      </c>
      <c r="B536" s="1385">
        <v>6121</v>
      </c>
      <c r="C536" s="1531" t="s">
        <v>2014</v>
      </c>
      <c r="D536" s="1405" t="s">
        <v>548</v>
      </c>
      <c r="E536" s="1414">
        <v>0</v>
      </c>
      <c r="F536" s="1414">
        <v>4879</v>
      </c>
      <c r="G536" s="1414">
        <v>4588</v>
      </c>
      <c r="H536" s="1390">
        <f>G536/F536*100</f>
        <v>94.035663045706087</v>
      </c>
    </row>
    <row r="537" spans="1:8" s="1292" customFormat="1" ht="15" x14ac:dyDescent="0.2">
      <c r="A537" s="1384">
        <v>3315</v>
      </c>
      <c r="B537" s="1385">
        <v>6121</v>
      </c>
      <c r="C537" s="1531" t="s">
        <v>2013</v>
      </c>
      <c r="D537" s="1405" t="s">
        <v>548</v>
      </c>
      <c r="E537" s="1414">
        <v>0</v>
      </c>
      <c r="F537" s="1414">
        <v>4983</v>
      </c>
      <c r="G537" s="1414">
        <v>4763</v>
      </c>
      <c r="H537" s="1390">
        <f>G537/F537*100</f>
        <v>95.584988962472409</v>
      </c>
    </row>
    <row r="538" spans="1:8" s="1292" customFormat="1" ht="15" x14ac:dyDescent="0.2">
      <c r="A538" s="1384">
        <v>3315</v>
      </c>
      <c r="B538" s="1385">
        <v>6121</v>
      </c>
      <c r="C538" s="1531" t="s">
        <v>2025</v>
      </c>
      <c r="D538" s="1405" t="s">
        <v>548</v>
      </c>
      <c r="E538" s="1414">
        <v>2000</v>
      </c>
      <c r="F538" s="1414">
        <v>0</v>
      </c>
      <c r="G538" s="1414">
        <v>0</v>
      </c>
      <c r="H538" s="1390">
        <v>0</v>
      </c>
    </row>
    <row r="539" spans="1:8" s="1292" customFormat="1" ht="15" x14ac:dyDescent="0.2">
      <c r="A539" s="1384">
        <v>3315</v>
      </c>
      <c r="B539" s="1385">
        <v>6121</v>
      </c>
      <c r="C539" s="1531" t="s">
        <v>1886</v>
      </c>
      <c r="D539" s="1405" t="s">
        <v>548</v>
      </c>
      <c r="E539" s="1414">
        <v>0</v>
      </c>
      <c r="F539" s="1414">
        <v>17975</v>
      </c>
      <c r="G539" s="1414">
        <v>14065</v>
      </c>
      <c r="H539" s="1390">
        <f>G539/F539*100</f>
        <v>78.247566063977743</v>
      </c>
    </row>
    <row r="540" spans="1:8" s="1292" customFormat="1" ht="15" x14ac:dyDescent="0.2">
      <c r="A540" s="1384">
        <v>3315</v>
      </c>
      <c r="B540" s="1385">
        <v>6122</v>
      </c>
      <c r="C540" s="1531" t="s">
        <v>2010</v>
      </c>
      <c r="D540" s="1405" t="s">
        <v>549</v>
      </c>
      <c r="E540" s="1414">
        <v>0</v>
      </c>
      <c r="F540" s="1414">
        <v>81</v>
      </c>
      <c r="G540" s="1414">
        <v>75</v>
      </c>
      <c r="H540" s="1390">
        <f>G540/F540*100</f>
        <v>92.592592592592595</v>
      </c>
    </row>
    <row r="541" spans="1:8" s="1292" customFormat="1" ht="15" x14ac:dyDescent="0.2">
      <c r="A541" s="1384">
        <v>3315</v>
      </c>
      <c r="B541" s="1385">
        <v>6122</v>
      </c>
      <c r="C541" s="1531" t="s">
        <v>2014</v>
      </c>
      <c r="D541" s="1405" t="s">
        <v>549</v>
      </c>
      <c r="E541" s="1414">
        <v>0</v>
      </c>
      <c r="F541" s="1414">
        <v>127</v>
      </c>
      <c r="G541" s="1414">
        <v>123</v>
      </c>
      <c r="H541" s="1390">
        <f>G541/F541*100</f>
        <v>96.850393700787393</v>
      </c>
    </row>
    <row r="542" spans="1:8" s="1292" customFormat="1" ht="15.75" thickBot="1" x14ac:dyDescent="0.25">
      <c r="A542" s="1384">
        <v>3315</v>
      </c>
      <c r="B542" s="1385">
        <v>6122</v>
      </c>
      <c r="C542" s="1531" t="s">
        <v>2013</v>
      </c>
      <c r="D542" s="1405" t="s">
        <v>549</v>
      </c>
      <c r="E542" s="1414">
        <v>0</v>
      </c>
      <c r="F542" s="1414">
        <v>461</v>
      </c>
      <c r="G542" s="1414">
        <v>428</v>
      </c>
      <c r="H542" s="1390">
        <f>G542/F542*100</f>
        <v>92.841648590021691</v>
      </c>
    </row>
    <row r="543" spans="1:8" s="1292" customFormat="1" ht="16.5" thickTop="1" thickBot="1" x14ac:dyDescent="0.3">
      <c r="A543" s="3219" t="s">
        <v>690</v>
      </c>
      <c r="B543" s="3220"/>
      <c r="C543" s="3220"/>
      <c r="D543" s="3220"/>
      <c r="E543" s="1387">
        <f>SUM(E533:E542)</f>
        <v>10893</v>
      </c>
      <c r="F543" s="1387">
        <f>SUM(F533:F542)</f>
        <v>31918</v>
      </c>
      <c r="G543" s="1387">
        <f>SUM(G533:G542)</f>
        <v>27411</v>
      </c>
      <c r="H543" s="1391">
        <f>G543/F543*100</f>
        <v>85.879441067736067</v>
      </c>
    </row>
    <row r="544" spans="1:8" s="1292" customFormat="1" ht="14.25" customHeight="1" thickTop="1" x14ac:dyDescent="0.25">
      <c r="A544" s="1375"/>
      <c r="B544" s="1371"/>
      <c r="C544" s="1371"/>
      <c r="D544" s="1372"/>
      <c r="E544" s="1398"/>
      <c r="F544" s="1398"/>
      <c r="G544" s="1398"/>
      <c r="H544" s="1372"/>
    </row>
    <row r="545" spans="1:8" ht="15" customHeight="1" x14ac:dyDescent="0.25">
      <c r="A545" s="1377" t="s">
        <v>1498</v>
      </c>
    </row>
    <row r="546" spans="1:8" ht="15.75" thickBot="1" x14ac:dyDescent="0.3">
      <c r="A546" s="1377" t="s">
        <v>970</v>
      </c>
      <c r="H546" s="1459" t="s">
        <v>148</v>
      </c>
    </row>
    <row r="547" spans="1:8" s="1292" customFormat="1" ht="25.5" thickTop="1" thickBot="1" x14ac:dyDescent="0.25">
      <c r="A547" s="1378" t="s">
        <v>149</v>
      </c>
      <c r="B547" s="1379" t="s">
        <v>688</v>
      </c>
      <c r="C547" s="1379" t="s">
        <v>345</v>
      </c>
      <c r="D547" s="1380" t="s">
        <v>151</v>
      </c>
      <c r="E547" s="1402" t="s">
        <v>569</v>
      </c>
      <c r="F547" s="1402" t="s">
        <v>570</v>
      </c>
      <c r="G547" s="1403" t="s">
        <v>797</v>
      </c>
      <c r="H547" s="1404" t="s">
        <v>798</v>
      </c>
    </row>
    <row r="548" spans="1:8" s="1292" customFormat="1" ht="13.5" thickTop="1" thickBot="1" x14ac:dyDescent="0.25">
      <c r="A548" s="1297">
        <v>1</v>
      </c>
      <c r="B548" s="1296">
        <v>2</v>
      </c>
      <c r="C548" s="1296">
        <v>3</v>
      </c>
      <c r="D548" s="1296">
        <v>4</v>
      </c>
      <c r="E548" s="1295">
        <v>5</v>
      </c>
      <c r="F548" s="1295">
        <v>6</v>
      </c>
      <c r="G548" s="1446">
        <v>7</v>
      </c>
      <c r="H548" s="1468" t="s">
        <v>54</v>
      </c>
    </row>
    <row r="549" spans="1:8" s="1292" customFormat="1" ht="15.75" hidden="1" customHeight="1" x14ac:dyDescent="0.2">
      <c r="A549" s="1384">
        <v>4357</v>
      </c>
      <c r="B549" s="1385">
        <v>6121</v>
      </c>
      <c r="C549" s="1385">
        <v>11</v>
      </c>
      <c r="D549" s="1405" t="s">
        <v>548</v>
      </c>
      <c r="E549" s="1414"/>
      <c r="F549" s="1414"/>
      <c r="G549" s="1414"/>
      <c r="H549" s="1390">
        <v>0</v>
      </c>
    </row>
    <row r="550" spans="1:8" s="1292" customFormat="1" ht="15.75" hidden="1" thickTop="1" x14ac:dyDescent="0.2">
      <c r="A550" s="1384">
        <v>3523</v>
      </c>
      <c r="B550" s="1385">
        <v>5169</v>
      </c>
      <c r="C550" s="1385">
        <v>60100884</v>
      </c>
      <c r="D550" s="1405" t="s">
        <v>769</v>
      </c>
      <c r="E550" s="1414"/>
      <c r="F550" s="1414"/>
      <c r="G550" s="1414"/>
      <c r="H550" s="1390" t="e">
        <f>G550/F550*100</f>
        <v>#DIV/0!</v>
      </c>
    </row>
    <row r="551" spans="1:8" s="1292" customFormat="1" ht="15.75" hidden="1" customHeight="1" x14ac:dyDescent="0.2">
      <c r="A551" s="1384">
        <v>3523</v>
      </c>
      <c r="B551" s="1385">
        <v>6121</v>
      </c>
      <c r="C551" s="1385">
        <v>14</v>
      </c>
      <c r="D551" s="1405" t="s">
        <v>548</v>
      </c>
      <c r="E551" s="1414"/>
      <c r="F551" s="1414"/>
      <c r="G551" s="1414"/>
      <c r="H551" s="1390">
        <v>0</v>
      </c>
    </row>
    <row r="552" spans="1:8" s="1292" customFormat="1" ht="15.75" hidden="1" customHeight="1" x14ac:dyDescent="0.2">
      <c r="A552" s="1384">
        <v>4357</v>
      </c>
      <c r="B552" s="1385">
        <v>6121</v>
      </c>
      <c r="C552" s="1385">
        <v>38500881</v>
      </c>
      <c r="D552" s="1405" t="s">
        <v>548</v>
      </c>
      <c r="E552" s="1414"/>
      <c r="F552" s="1414"/>
      <c r="G552" s="1414"/>
      <c r="H552" s="1390" t="e">
        <f>G552/F552*100</f>
        <v>#DIV/0!</v>
      </c>
    </row>
    <row r="553" spans="1:8" s="1292" customFormat="1" ht="15.75" hidden="1" customHeight="1" x14ac:dyDescent="0.2">
      <c r="A553" s="1384">
        <v>4357</v>
      </c>
      <c r="B553" s="1385">
        <v>6121</v>
      </c>
      <c r="C553" s="1385">
        <v>38587505</v>
      </c>
      <c r="D553" s="1405" t="s">
        <v>548</v>
      </c>
      <c r="E553" s="1414"/>
      <c r="F553" s="1414"/>
      <c r="G553" s="1414"/>
      <c r="H553" s="1396" t="e">
        <f>G553/F553*100</f>
        <v>#DIV/0!</v>
      </c>
    </row>
    <row r="554" spans="1:8" s="1292" customFormat="1" ht="15.75" customHeight="1" thickTop="1" thickBot="1" x14ac:dyDescent="0.25">
      <c r="A554" s="1384">
        <v>3523</v>
      </c>
      <c r="B554" s="1385">
        <v>6121</v>
      </c>
      <c r="C554" s="1531" t="s">
        <v>2076</v>
      </c>
      <c r="D554" s="1405" t="s">
        <v>548</v>
      </c>
      <c r="E554" s="1414">
        <v>0</v>
      </c>
      <c r="F554" s="1414">
        <v>91</v>
      </c>
      <c r="G554" s="1414">
        <v>91</v>
      </c>
      <c r="H554" s="1390">
        <f>G554/F554*100</f>
        <v>100</v>
      </c>
    </row>
    <row r="555" spans="1:8" s="1292" customFormat="1" ht="16.5" thickTop="1" thickBot="1" x14ac:dyDescent="0.3">
      <c r="A555" s="3219" t="s">
        <v>690</v>
      </c>
      <c r="B555" s="3220"/>
      <c r="C555" s="3220"/>
      <c r="D555" s="3220"/>
      <c r="E555" s="1387">
        <f>SUM(E549:E554)</f>
        <v>0</v>
      </c>
      <c r="F555" s="1387">
        <f>SUM(F549:F554)</f>
        <v>91</v>
      </c>
      <c r="G555" s="1387">
        <f>SUM(G549:G554)</f>
        <v>91</v>
      </c>
      <c r="H555" s="1391">
        <f>G555/F555*100</f>
        <v>100</v>
      </c>
    </row>
    <row r="556" spans="1:8" s="1292" customFormat="1" ht="14.25" customHeight="1" thickTop="1" x14ac:dyDescent="0.25">
      <c r="A556" s="1375"/>
      <c r="B556" s="1371"/>
      <c r="C556" s="1371"/>
      <c r="D556" s="1372"/>
      <c r="E556" s="1398"/>
      <c r="F556" s="1398"/>
      <c r="G556" s="1398"/>
      <c r="H556" s="1372"/>
    </row>
    <row r="557" spans="1:8" ht="31.5" customHeight="1" x14ac:dyDescent="0.25">
      <c r="A557" s="3226" t="s">
        <v>2075</v>
      </c>
      <c r="B557" s="3227"/>
      <c r="C557" s="3227"/>
      <c r="D557" s="3227"/>
      <c r="E557" s="3227"/>
      <c r="F557" s="3227"/>
      <c r="G557" s="3227"/>
      <c r="H557" s="3227"/>
    </row>
    <row r="558" spans="1:8" ht="15.75" thickBot="1" x14ac:dyDescent="0.3">
      <c r="A558" s="1377" t="s">
        <v>2074</v>
      </c>
      <c r="H558" s="1459" t="s">
        <v>148</v>
      </c>
    </row>
    <row r="559" spans="1:8" s="1292" customFormat="1" ht="25.5" thickTop="1" thickBot="1" x14ac:dyDescent="0.25">
      <c r="A559" s="1378" t="s">
        <v>149</v>
      </c>
      <c r="B559" s="1379" t="s">
        <v>688</v>
      </c>
      <c r="C559" s="1379" t="s">
        <v>345</v>
      </c>
      <c r="D559" s="1380" t="s">
        <v>151</v>
      </c>
      <c r="E559" s="1402" t="s">
        <v>569</v>
      </c>
      <c r="F559" s="1402" t="s">
        <v>570</v>
      </c>
      <c r="G559" s="1403" t="s">
        <v>797</v>
      </c>
      <c r="H559" s="1404" t="s">
        <v>798</v>
      </c>
    </row>
    <row r="560" spans="1:8" s="1292" customFormat="1" ht="15.75" customHeight="1" thickTop="1" thickBot="1" x14ac:dyDescent="0.25">
      <c r="A560" s="1384">
        <v>3523</v>
      </c>
      <c r="B560" s="1385">
        <v>6121</v>
      </c>
      <c r="C560" s="1531" t="s">
        <v>1931</v>
      </c>
      <c r="D560" s="1405" t="s">
        <v>548</v>
      </c>
      <c r="E560" s="1414">
        <v>0</v>
      </c>
      <c r="F560" s="1414">
        <v>500</v>
      </c>
      <c r="G560" s="1414">
        <v>277</v>
      </c>
      <c r="H560" s="1390">
        <f>G560/F560*100</f>
        <v>55.400000000000006</v>
      </c>
    </row>
    <row r="561" spans="1:13" s="1292" customFormat="1" ht="16.5" thickTop="1" thickBot="1" x14ac:dyDescent="0.3">
      <c r="A561" s="3219" t="s">
        <v>690</v>
      </c>
      <c r="B561" s="3220"/>
      <c r="C561" s="3220"/>
      <c r="D561" s="3220"/>
      <c r="E561" s="1387">
        <f>SUM(E560:E560)</f>
        <v>0</v>
      </c>
      <c r="F561" s="1387">
        <f>SUM(F560:F560)</f>
        <v>500</v>
      </c>
      <c r="G561" s="1387">
        <f>SUM(G560:G560)</f>
        <v>277</v>
      </c>
      <c r="H561" s="1391">
        <f>G561/F561*100</f>
        <v>55.400000000000006</v>
      </c>
    </row>
    <row r="562" spans="1:13" s="1292" customFormat="1" ht="18.75" thickTop="1" x14ac:dyDescent="0.25">
      <c r="A562" s="1375"/>
      <c r="B562" s="1371"/>
      <c r="C562" s="1371"/>
      <c r="D562" s="1372"/>
      <c r="E562" s="1398"/>
      <c r="F562" s="1398"/>
      <c r="G562" s="1398"/>
      <c r="H562" s="1372"/>
    </row>
    <row r="563" spans="1:13" ht="31.5" customHeight="1" x14ac:dyDescent="0.25">
      <c r="A563" s="3226" t="s">
        <v>2073</v>
      </c>
      <c r="B563" s="3227"/>
      <c r="C563" s="3227"/>
      <c r="D563" s="3227"/>
      <c r="E563" s="3227"/>
      <c r="F563" s="3227"/>
      <c r="G563" s="3227"/>
      <c r="H563" s="3227"/>
    </row>
    <row r="564" spans="1:13" ht="15.75" thickBot="1" x14ac:dyDescent="0.3">
      <c r="A564" s="1377" t="s">
        <v>2072</v>
      </c>
      <c r="H564" s="1459" t="s">
        <v>148</v>
      </c>
    </row>
    <row r="565" spans="1:13" s="1292" customFormat="1" ht="25.5" thickTop="1" thickBot="1" x14ac:dyDescent="0.25">
      <c r="A565" s="1378" t="s">
        <v>149</v>
      </c>
      <c r="B565" s="1379" t="s">
        <v>688</v>
      </c>
      <c r="C565" s="1379" t="s">
        <v>345</v>
      </c>
      <c r="D565" s="1380" t="s">
        <v>151</v>
      </c>
      <c r="E565" s="1402" t="s">
        <v>569</v>
      </c>
      <c r="F565" s="1402" t="s">
        <v>570</v>
      </c>
      <c r="G565" s="1403" t="s">
        <v>797</v>
      </c>
      <c r="H565" s="1404" t="s">
        <v>798</v>
      </c>
    </row>
    <row r="566" spans="1:13" s="1292" customFormat="1" ht="15.75" customHeight="1" thickTop="1" thickBot="1" x14ac:dyDescent="0.25">
      <c r="A566" s="1384">
        <v>3523</v>
      </c>
      <c r="B566" s="1385">
        <v>6121</v>
      </c>
      <c r="C566" s="1531" t="s">
        <v>1931</v>
      </c>
      <c r="D566" s="1405" t="s">
        <v>548</v>
      </c>
      <c r="E566" s="1414">
        <v>0</v>
      </c>
      <c r="F566" s="1414">
        <v>1000</v>
      </c>
      <c r="G566" s="1414">
        <v>332</v>
      </c>
      <c r="H566" s="1390">
        <f>G566/F566*100</f>
        <v>33.200000000000003</v>
      </c>
    </row>
    <row r="567" spans="1:13" s="1292" customFormat="1" ht="16.5" thickTop="1" thickBot="1" x14ac:dyDescent="0.3">
      <c r="A567" s="3219" t="s">
        <v>690</v>
      </c>
      <c r="B567" s="3220"/>
      <c r="C567" s="3220"/>
      <c r="D567" s="3220"/>
      <c r="E567" s="1387">
        <f>SUM(E566:E566)</f>
        <v>0</v>
      </c>
      <c r="F567" s="1387">
        <f>SUM(F566:F566)</f>
        <v>1000</v>
      </c>
      <c r="G567" s="1387">
        <f>SUM(G566:G566)</f>
        <v>332</v>
      </c>
      <c r="H567" s="1391">
        <f>G567/F567*100</f>
        <v>33.200000000000003</v>
      </c>
    </row>
    <row r="568" spans="1:13" s="1292" customFormat="1" ht="18.75" thickTop="1" x14ac:dyDescent="0.25">
      <c r="A568" s="1375"/>
      <c r="B568" s="1371"/>
      <c r="C568" s="1371"/>
      <c r="D568" s="1372"/>
      <c r="E568" s="1398"/>
      <c r="F568" s="1398"/>
      <c r="G568" s="1398"/>
      <c r="H568" s="1372"/>
    </row>
    <row r="569" spans="1:13" s="1292" customFormat="1" ht="30" customHeight="1" x14ac:dyDescent="0.25">
      <c r="A569" s="3225" t="s">
        <v>2071</v>
      </c>
      <c r="B569" s="3225"/>
      <c r="C569" s="3225"/>
      <c r="D569" s="3225"/>
      <c r="E569" s="3225"/>
      <c r="F569" s="3225"/>
      <c r="G569" s="3225"/>
      <c r="H569" s="3225"/>
      <c r="I569" s="2840"/>
      <c r="J569" s="2840"/>
      <c r="K569" s="2840"/>
      <c r="L569" s="2840"/>
      <c r="M569" s="2840"/>
    </row>
    <row r="570" spans="1:13" s="1292" customFormat="1" ht="15.75" thickBot="1" x14ac:dyDescent="0.3">
      <c r="A570" s="1490" t="s">
        <v>2070</v>
      </c>
      <c r="B570" s="1490"/>
      <c r="C570" s="1490"/>
      <c r="D570" s="2840"/>
      <c r="E570" s="2839"/>
      <c r="F570" s="2839"/>
      <c r="G570" s="2839"/>
      <c r="H570" s="2838" t="s">
        <v>148</v>
      </c>
      <c r="I570" s="2840"/>
      <c r="J570" s="2840"/>
      <c r="K570" s="2840"/>
      <c r="L570" s="2840"/>
      <c r="M570" s="2840"/>
    </row>
    <row r="571" spans="1:13" s="1292" customFormat="1" ht="25.5" thickTop="1" thickBot="1" x14ac:dyDescent="0.25">
      <c r="A571" s="1495" t="s">
        <v>149</v>
      </c>
      <c r="B571" s="1496" t="s">
        <v>688</v>
      </c>
      <c r="C571" s="1496" t="s">
        <v>345</v>
      </c>
      <c r="D571" s="1497" t="s">
        <v>151</v>
      </c>
      <c r="E571" s="1498" t="s">
        <v>569</v>
      </c>
      <c r="F571" s="1498" t="s">
        <v>570</v>
      </c>
      <c r="G571" s="1499" t="s">
        <v>797</v>
      </c>
      <c r="H571" s="2837" t="s">
        <v>798</v>
      </c>
      <c r="I571" s="2841"/>
      <c r="J571" s="2841"/>
      <c r="K571" s="2841"/>
      <c r="L571" s="2841"/>
      <c r="M571" s="2841"/>
    </row>
    <row r="572" spans="1:13" s="1292" customFormat="1" ht="16.5" thickTop="1" thickBot="1" x14ac:dyDescent="0.25">
      <c r="A572" s="2836">
        <v>3533</v>
      </c>
      <c r="B572" s="2835">
        <v>6121</v>
      </c>
      <c r="C572" s="2834" t="s">
        <v>1931</v>
      </c>
      <c r="D572" s="1516" t="s">
        <v>548</v>
      </c>
      <c r="E572" s="1508">
        <v>0</v>
      </c>
      <c r="F572" s="1508">
        <v>200</v>
      </c>
      <c r="G572" s="1508">
        <v>24</v>
      </c>
      <c r="H572" s="2833">
        <f>G572/F572*100</f>
        <v>12</v>
      </c>
      <c r="I572" s="2841"/>
      <c r="J572" s="2841"/>
      <c r="K572" s="2841"/>
      <c r="L572" s="2841"/>
      <c r="M572" s="2841"/>
    </row>
    <row r="573" spans="1:13" s="1292" customFormat="1" ht="16.5" thickTop="1" thickBot="1" x14ac:dyDescent="0.3">
      <c r="A573" s="3228" t="s">
        <v>690</v>
      </c>
      <c r="B573" s="3229"/>
      <c r="C573" s="3229"/>
      <c r="D573" s="3230"/>
      <c r="E573" s="1514">
        <v>0</v>
      </c>
      <c r="F573" s="1514">
        <f>F572</f>
        <v>200</v>
      </c>
      <c r="G573" s="1514">
        <f>G572</f>
        <v>24</v>
      </c>
      <c r="H573" s="1515">
        <f>G573/F573*100</f>
        <v>12</v>
      </c>
      <c r="I573" s="2841"/>
      <c r="J573" s="2841"/>
      <c r="K573" s="2841"/>
      <c r="L573" s="2841"/>
      <c r="M573" s="2841"/>
    </row>
    <row r="574" spans="1:13" s="1292" customFormat="1" ht="18.75" thickTop="1" x14ac:dyDescent="0.25">
      <c r="A574" s="1375"/>
      <c r="B574" s="1371"/>
      <c r="C574" s="1371"/>
      <c r="D574" s="1372"/>
      <c r="E574" s="1398"/>
      <c r="F574" s="1398"/>
      <c r="G574" s="1398"/>
      <c r="H574" s="1372"/>
    </row>
    <row r="575" spans="1:13" s="1292" customFormat="1" ht="30" customHeight="1" x14ac:dyDescent="0.25">
      <c r="A575" s="3225" t="s">
        <v>2069</v>
      </c>
      <c r="B575" s="3225"/>
      <c r="C575" s="3225"/>
      <c r="D575" s="3225"/>
      <c r="E575" s="3225"/>
      <c r="F575" s="3225"/>
      <c r="G575" s="3225"/>
      <c r="H575" s="3225"/>
      <c r="I575" s="2840"/>
      <c r="J575" s="2840"/>
      <c r="K575" s="2840"/>
      <c r="L575" s="2840"/>
      <c r="M575" s="2840"/>
    </row>
    <row r="576" spans="1:13" s="1292" customFormat="1" ht="15.75" thickBot="1" x14ac:dyDescent="0.3">
      <c r="A576" s="1490" t="s">
        <v>2068</v>
      </c>
      <c r="B576" s="1490"/>
      <c r="C576" s="1490"/>
      <c r="D576" s="2840"/>
      <c r="E576" s="2839"/>
      <c r="F576" s="2839"/>
      <c r="G576" s="2839"/>
      <c r="H576" s="2838" t="s">
        <v>148</v>
      </c>
      <c r="I576" s="2840"/>
      <c r="J576" s="2840"/>
      <c r="K576" s="2840"/>
      <c r="L576" s="2840"/>
      <c r="M576" s="2840"/>
    </row>
    <row r="577" spans="1:13" s="1292" customFormat="1" ht="25.5" thickTop="1" thickBot="1" x14ac:dyDescent="0.25">
      <c r="A577" s="1495" t="s">
        <v>149</v>
      </c>
      <c r="B577" s="1496" t="s">
        <v>688</v>
      </c>
      <c r="C577" s="1496" t="s">
        <v>345</v>
      </c>
      <c r="D577" s="1497" t="s">
        <v>151</v>
      </c>
      <c r="E577" s="1498" t="s">
        <v>569</v>
      </c>
      <c r="F577" s="1498" t="s">
        <v>570</v>
      </c>
      <c r="G577" s="1499" t="s">
        <v>797</v>
      </c>
      <c r="H577" s="2837" t="s">
        <v>798</v>
      </c>
      <c r="I577" s="2841"/>
      <c r="J577" s="2841"/>
      <c r="K577" s="2841"/>
      <c r="L577" s="2841"/>
      <c r="M577" s="2841"/>
    </row>
    <row r="578" spans="1:13" s="1292" customFormat="1" ht="16.5" thickTop="1" thickBot="1" x14ac:dyDescent="0.25">
      <c r="A578" s="2836">
        <v>3523</v>
      </c>
      <c r="B578" s="2835">
        <v>6122</v>
      </c>
      <c r="C578" s="2834" t="s">
        <v>1931</v>
      </c>
      <c r="D578" s="1516" t="s">
        <v>549</v>
      </c>
      <c r="E578" s="1508">
        <v>0</v>
      </c>
      <c r="F578" s="1508">
        <v>210</v>
      </c>
      <c r="G578" s="1508">
        <v>0</v>
      </c>
      <c r="H578" s="2833">
        <f>G578/F578*100</f>
        <v>0</v>
      </c>
      <c r="I578" s="2841"/>
      <c r="J578" s="2841"/>
      <c r="K578" s="2841"/>
      <c r="L578" s="2841"/>
      <c r="M578" s="2841"/>
    </row>
    <row r="579" spans="1:13" s="1292" customFormat="1" ht="16.5" thickTop="1" thickBot="1" x14ac:dyDescent="0.3">
      <c r="A579" s="3228" t="s">
        <v>690</v>
      </c>
      <c r="B579" s="3229"/>
      <c r="C579" s="3229"/>
      <c r="D579" s="3230"/>
      <c r="E579" s="1514">
        <v>0</v>
      </c>
      <c r="F579" s="1514">
        <f>F578</f>
        <v>210</v>
      </c>
      <c r="G579" s="1514">
        <f>G578</f>
        <v>0</v>
      </c>
      <c r="H579" s="1515">
        <f>G579/F579*100</f>
        <v>0</v>
      </c>
      <c r="I579" s="2841"/>
      <c r="J579" s="2841"/>
      <c r="K579" s="2841"/>
      <c r="L579" s="2841"/>
      <c r="M579" s="2841"/>
    </row>
    <row r="580" spans="1:13" s="1292" customFormat="1" ht="18.75" thickTop="1" x14ac:dyDescent="0.25">
      <c r="A580" s="1375"/>
      <c r="B580" s="1371"/>
      <c r="C580" s="1371"/>
      <c r="D580" s="1372"/>
      <c r="E580" s="1398"/>
      <c r="F580" s="1398"/>
      <c r="G580" s="1398"/>
      <c r="H580" s="1372"/>
    </row>
    <row r="581" spans="1:13" s="1292" customFormat="1" ht="30" customHeight="1" x14ac:dyDescent="0.25">
      <c r="A581" s="3225" t="s">
        <v>2067</v>
      </c>
      <c r="B581" s="3225"/>
      <c r="C581" s="3225"/>
      <c r="D581" s="3225"/>
      <c r="E581" s="3225"/>
      <c r="F581" s="3225"/>
      <c r="G581" s="3225"/>
      <c r="H581" s="3225"/>
      <c r="I581" s="2840"/>
      <c r="J581" s="2840"/>
      <c r="K581" s="2840"/>
      <c r="L581" s="2840"/>
      <c r="M581" s="2840"/>
    </row>
    <row r="582" spans="1:13" s="1292" customFormat="1" ht="15.75" thickBot="1" x14ac:dyDescent="0.3">
      <c r="A582" s="1490" t="s">
        <v>2066</v>
      </c>
      <c r="B582" s="1490"/>
      <c r="C582" s="1490"/>
      <c r="D582" s="2840"/>
      <c r="E582" s="2839"/>
      <c r="F582" s="2839"/>
      <c r="G582" s="2839"/>
      <c r="H582" s="2838" t="s">
        <v>148</v>
      </c>
      <c r="I582" s="2840"/>
      <c r="J582" s="2840"/>
      <c r="K582" s="2840"/>
      <c r="L582" s="2840"/>
      <c r="M582" s="2840"/>
    </row>
    <row r="583" spans="1:13" s="1292" customFormat="1" ht="25.5" thickTop="1" thickBot="1" x14ac:dyDescent="0.25">
      <c r="A583" s="1495" t="s">
        <v>149</v>
      </c>
      <c r="B583" s="1496" t="s">
        <v>688</v>
      </c>
      <c r="C583" s="1496" t="s">
        <v>345</v>
      </c>
      <c r="D583" s="1497" t="s">
        <v>151</v>
      </c>
      <c r="E583" s="1498" t="s">
        <v>569</v>
      </c>
      <c r="F583" s="1498" t="s">
        <v>570</v>
      </c>
      <c r="G583" s="1499" t="s">
        <v>797</v>
      </c>
      <c r="H583" s="2837" t="s">
        <v>798</v>
      </c>
      <c r="I583" s="2841"/>
      <c r="J583" s="2841"/>
      <c r="K583" s="2841"/>
      <c r="L583" s="2841"/>
      <c r="M583" s="2841"/>
    </row>
    <row r="584" spans="1:13" s="1292" customFormat="1" ht="16.5" thickTop="1" thickBot="1" x14ac:dyDescent="0.25">
      <c r="A584" s="2836">
        <v>3523</v>
      </c>
      <c r="B584" s="2835">
        <v>6111</v>
      </c>
      <c r="C584" s="2834" t="s">
        <v>1931</v>
      </c>
      <c r="D584" s="1516" t="s">
        <v>812</v>
      </c>
      <c r="E584" s="1508">
        <v>0</v>
      </c>
      <c r="F584" s="1508">
        <v>600</v>
      </c>
      <c r="G584" s="1508">
        <v>0</v>
      </c>
      <c r="H584" s="2833">
        <f>G584/F584*100</f>
        <v>0</v>
      </c>
      <c r="I584" s="2841"/>
      <c r="J584" s="2841"/>
      <c r="K584" s="2841"/>
      <c r="L584" s="2841"/>
      <c r="M584" s="2841"/>
    </row>
    <row r="585" spans="1:13" s="1292" customFormat="1" ht="16.5" thickTop="1" thickBot="1" x14ac:dyDescent="0.3">
      <c r="A585" s="3228" t="s">
        <v>690</v>
      </c>
      <c r="B585" s="3229"/>
      <c r="C585" s="3229"/>
      <c r="D585" s="3230"/>
      <c r="E585" s="1514">
        <v>0</v>
      </c>
      <c r="F585" s="1514">
        <f>F584</f>
        <v>600</v>
      </c>
      <c r="G585" s="1514">
        <f>G584</f>
        <v>0</v>
      </c>
      <c r="H585" s="1515">
        <f>G585/F585*100</f>
        <v>0</v>
      </c>
      <c r="I585" s="2841"/>
      <c r="J585" s="2841"/>
      <c r="K585" s="2841"/>
      <c r="L585" s="2841"/>
      <c r="M585" s="2841"/>
    </row>
    <row r="586" spans="1:13" s="1292" customFormat="1" ht="18.75" thickTop="1" x14ac:dyDescent="0.25">
      <c r="A586" s="1375"/>
      <c r="B586" s="1371"/>
      <c r="C586" s="1371"/>
      <c r="D586" s="1372"/>
      <c r="E586" s="1398"/>
      <c r="F586" s="1398"/>
      <c r="G586" s="1398"/>
      <c r="H586" s="1372"/>
    </row>
    <row r="587" spans="1:13" s="1292" customFormat="1" ht="15" x14ac:dyDescent="0.25">
      <c r="A587" s="3225" t="s">
        <v>2065</v>
      </c>
      <c r="B587" s="3225"/>
      <c r="C587" s="3225"/>
      <c r="D587" s="3225"/>
      <c r="E587" s="3225"/>
      <c r="F587" s="3225"/>
      <c r="G587" s="3225"/>
      <c r="H587" s="3225"/>
    </row>
    <row r="588" spans="1:13" s="1292" customFormat="1" ht="15.75" thickBot="1" x14ac:dyDescent="0.3">
      <c r="A588" s="1490" t="s">
        <v>2064</v>
      </c>
      <c r="B588" s="1490"/>
      <c r="C588" s="1490"/>
      <c r="D588" s="2840"/>
      <c r="E588" s="2839"/>
      <c r="F588" s="2839"/>
      <c r="G588" s="2839"/>
      <c r="H588" s="2838" t="s">
        <v>148</v>
      </c>
    </row>
    <row r="589" spans="1:13" s="1292" customFormat="1" ht="25.5" thickTop="1" thickBot="1" x14ac:dyDescent="0.25">
      <c r="A589" s="1495" t="s">
        <v>149</v>
      </c>
      <c r="B589" s="1496" t="s">
        <v>688</v>
      </c>
      <c r="C589" s="1496" t="s">
        <v>345</v>
      </c>
      <c r="D589" s="1497" t="s">
        <v>151</v>
      </c>
      <c r="E589" s="1498" t="s">
        <v>569</v>
      </c>
      <c r="F589" s="1498" t="s">
        <v>570</v>
      </c>
      <c r="G589" s="1499" t="s">
        <v>797</v>
      </c>
      <c r="H589" s="2837" t="s">
        <v>798</v>
      </c>
    </row>
    <row r="590" spans="1:13" s="1292" customFormat="1" ht="16.5" thickTop="1" thickBot="1" x14ac:dyDescent="0.25">
      <c r="A590" s="2836">
        <v>3523</v>
      </c>
      <c r="B590" s="2835">
        <v>6122</v>
      </c>
      <c r="C590" s="2834" t="s">
        <v>1931</v>
      </c>
      <c r="D590" s="1516" t="s">
        <v>549</v>
      </c>
      <c r="E590" s="1508">
        <v>0</v>
      </c>
      <c r="F590" s="1508">
        <v>600</v>
      </c>
      <c r="G590" s="1508">
        <v>0</v>
      </c>
      <c r="H590" s="2833">
        <f>G590/F590*100</f>
        <v>0</v>
      </c>
    </row>
    <row r="591" spans="1:13" s="1292" customFormat="1" ht="16.5" thickTop="1" thickBot="1" x14ac:dyDescent="0.3">
      <c r="A591" s="3228" t="s">
        <v>690</v>
      </c>
      <c r="B591" s="3229"/>
      <c r="C591" s="3229"/>
      <c r="D591" s="3230"/>
      <c r="E591" s="1514">
        <v>0</v>
      </c>
      <c r="F591" s="1514">
        <f>F590</f>
        <v>600</v>
      </c>
      <c r="G591" s="1514">
        <f>G590</f>
        <v>0</v>
      </c>
      <c r="H591" s="1515">
        <f>G591/F591*100</f>
        <v>0</v>
      </c>
    </row>
    <row r="592" spans="1:13" s="1292" customFormat="1" ht="18.75" thickTop="1" x14ac:dyDescent="0.25">
      <c r="A592" s="1375"/>
      <c r="B592" s="1371"/>
      <c r="C592" s="1371"/>
      <c r="D592" s="1372"/>
      <c r="E592" s="1398"/>
      <c r="F592" s="1398"/>
      <c r="G592" s="1398"/>
      <c r="H592" s="1372"/>
    </row>
    <row r="593" spans="1:8" s="1292" customFormat="1" ht="15" x14ac:dyDescent="0.25">
      <c r="A593" s="3225" t="s">
        <v>2063</v>
      </c>
      <c r="B593" s="3225"/>
      <c r="C593" s="3225"/>
      <c r="D593" s="3225"/>
      <c r="E593" s="3225"/>
      <c r="F593" s="3225"/>
      <c r="G593" s="3225"/>
      <c r="H593" s="3225"/>
    </row>
    <row r="594" spans="1:8" s="1292" customFormat="1" ht="15.75" thickBot="1" x14ac:dyDescent="0.3">
      <c r="A594" s="1490" t="s">
        <v>2062</v>
      </c>
      <c r="B594" s="1490"/>
      <c r="C594" s="1490"/>
      <c r="D594" s="2840"/>
      <c r="E594" s="2839"/>
      <c r="F594" s="2839"/>
      <c r="G594" s="2839"/>
      <c r="H594" s="2838" t="s">
        <v>148</v>
      </c>
    </row>
    <row r="595" spans="1:8" s="1292" customFormat="1" ht="25.5" thickTop="1" thickBot="1" x14ac:dyDescent="0.25">
      <c r="A595" s="1495" t="s">
        <v>149</v>
      </c>
      <c r="B595" s="1496" t="s">
        <v>688</v>
      </c>
      <c r="C595" s="1496" t="s">
        <v>345</v>
      </c>
      <c r="D595" s="1497" t="s">
        <v>151</v>
      </c>
      <c r="E595" s="1498" t="s">
        <v>569</v>
      </c>
      <c r="F595" s="1498" t="s">
        <v>570</v>
      </c>
      <c r="G595" s="1499" t="s">
        <v>797</v>
      </c>
      <c r="H595" s="2837" t="s">
        <v>798</v>
      </c>
    </row>
    <row r="596" spans="1:8" s="1292" customFormat="1" ht="16.5" thickTop="1" thickBot="1" x14ac:dyDescent="0.25">
      <c r="A596" s="2836">
        <v>3523</v>
      </c>
      <c r="B596" s="2835">
        <v>6125</v>
      </c>
      <c r="C596" s="2834" t="s">
        <v>1931</v>
      </c>
      <c r="D596" s="1516" t="s">
        <v>161</v>
      </c>
      <c r="E596" s="1508">
        <v>0</v>
      </c>
      <c r="F596" s="1508">
        <v>200</v>
      </c>
      <c r="G596" s="1508">
        <v>0</v>
      </c>
      <c r="H596" s="2833">
        <f>G596/F596*100</f>
        <v>0</v>
      </c>
    </row>
    <row r="597" spans="1:8" s="1292" customFormat="1" ht="16.5" thickTop="1" thickBot="1" x14ac:dyDescent="0.3">
      <c r="A597" s="3228" t="s">
        <v>690</v>
      </c>
      <c r="B597" s="3229"/>
      <c r="C597" s="3229"/>
      <c r="D597" s="3230"/>
      <c r="E597" s="1514">
        <v>0</v>
      </c>
      <c r="F597" s="1514">
        <f>F596</f>
        <v>200</v>
      </c>
      <c r="G597" s="1514">
        <f>G596</f>
        <v>0</v>
      </c>
      <c r="H597" s="1515">
        <f>G597/F597*100</f>
        <v>0</v>
      </c>
    </row>
    <row r="598" spans="1:8" s="1292" customFormat="1" ht="18.75" thickTop="1" x14ac:dyDescent="0.25">
      <c r="A598" s="1375"/>
      <c r="B598" s="1371"/>
      <c r="C598" s="1371"/>
      <c r="D598" s="1372"/>
      <c r="E598" s="1398"/>
      <c r="F598" s="1398"/>
      <c r="G598" s="1398"/>
      <c r="H598" s="1372"/>
    </row>
    <row r="599" spans="1:8" s="1292" customFormat="1" ht="15" x14ac:dyDescent="0.25">
      <c r="A599" s="3225" t="s">
        <v>2061</v>
      </c>
      <c r="B599" s="3225"/>
      <c r="C599" s="3225"/>
      <c r="D599" s="3225"/>
      <c r="E599" s="3225"/>
      <c r="F599" s="3225"/>
      <c r="G599" s="3225"/>
      <c r="H599" s="3225"/>
    </row>
    <row r="600" spans="1:8" s="1292" customFormat="1" ht="15.75" thickBot="1" x14ac:dyDescent="0.3">
      <c r="A600" s="1490" t="s">
        <v>2060</v>
      </c>
      <c r="B600" s="1490"/>
      <c r="C600" s="1490"/>
      <c r="D600" s="2840"/>
      <c r="E600" s="2839"/>
      <c r="F600" s="2839"/>
      <c r="G600" s="2839"/>
      <c r="H600" s="2838" t="s">
        <v>148</v>
      </c>
    </row>
    <row r="601" spans="1:8" s="1292" customFormat="1" ht="25.5" thickTop="1" thickBot="1" x14ac:dyDescent="0.25">
      <c r="A601" s="1495" t="s">
        <v>149</v>
      </c>
      <c r="B601" s="1496" t="s">
        <v>688</v>
      </c>
      <c r="C601" s="1496" t="s">
        <v>345</v>
      </c>
      <c r="D601" s="1497" t="s">
        <v>151</v>
      </c>
      <c r="E601" s="1498" t="s">
        <v>569</v>
      </c>
      <c r="F601" s="1498" t="s">
        <v>570</v>
      </c>
      <c r="G601" s="1499" t="s">
        <v>797</v>
      </c>
      <c r="H601" s="2837" t="s">
        <v>798</v>
      </c>
    </row>
    <row r="602" spans="1:8" s="1292" customFormat="1" ht="16.5" thickTop="1" thickBot="1" x14ac:dyDescent="0.25">
      <c r="A602" s="2836">
        <v>3533</v>
      </c>
      <c r="B602" s="2835">
        <v>6125</v>
      </c>
      <c r="C602" s="2834" t="s">
        <v>1931</v>
      </c>
      <c r="D602" s="1516" t="s">
        <v>161</v>
      </c>
      <c r="E602" s="1508">
        <v>0</v>
      </c>
      <c r="F602" s="1508">
        <v>300</v>
      </c>
      <c r="G602" s="1508">
        <v>0</v>
      </c>
      <c r="H602" s="2833">
        <f>G602/F602*100</f>
        <v>0</v>
      </c>
    </row>
    <row r="603" spans="1:8" s="1292" customFormat="1" ht="16.5" thickTop="1" thickBot="1" x14ac:dyDescent="0.3">
      <c r="A603" s="3228" t="s">
        <v>690</v>
      </c>
      <c r="B603" s="3229"/>
      <c r="C603" s="3229"/>
      <c r="D603" s="3230"/>
      <c r="E603" s="1514">
        <v>0</v>
      </c>
      <c r="F603" s="1514">
        <f>F602</f>
        <v>300</v>
      </c>
      <c r="G603" s="1514">
        <f>G602</f>
        <v>0</v>
      </c>
      <c r="H603" s="1515">
        <f>G603/F603*100</f>
        <v>0</v>
      </c>
    </row>
    <row r="604" spans="1:8" s="1292" customFormat="1" ht="18.75" thickTop="1" x14ac:dyDescent="0.25">
      <c r="A604" s="1375"/>
      <c r="B604" s="1371"/>
      <c r="C604" s="1371"/>
      <c r="D604" s="1372"/>
      <c r="E604" s="1398"/>
      <c r="F604" s="1398"/>
      <c r="G604" s="1398"/>
      <c r="H604" s="1372"/>
    </row>
    <row r="605" spans="1:8" s="1292" customFormat="1" ht="15" x14ac:dyDescent="0.25">
      <c r="A605" s="3225" t="s">
        <v>2059</v>
      </c>
      <c r="B605" s="3225"/>
      <c r="C605" s="3225"/>
      <c r="D605" s="3225"/>
      <c r="E605" s="3225"/>
      <c r="F605" s="3225"/>
      <c r="G605" s="3225"/>
      <c r="H605" s="3225"/>
    </row>
    <row r="606" spans="1:8" s="1292" customFormat="1" ht="15.75" thickBot="1" x14ac:dyDescent="0.3">
      <c r="A606" s="1490" t="s">
        <v>2058</v>
      </c>
      <c r="B606" s="1490"/>
      <c r="C606" s="1490"/>
      <c r="D606" s="2840"/>
      <c r="E606" s="2839"/>
      <c r="F606" s="2839"/>
      <c r="G606" s="2839"/>
      <c r="H606" s="2838" t="s">
        <v>148</v>
      </c>
    </row>
    <row r="607" spans="1:8" s="1292" customFormat="1" ht="25.5" thickTop="1" thickBot="1" x14ac:dyDescent="0.25">
      <c r="A607" s="1495" t="s">
        <v>149</v>
      </c>
      <c r="B607" s="1496" t="s">
        <v>688</v>
      </c>
      <c r="C607" s="1496" t="s">
        <v>345</v>
      </c>
      <c r="D607" s="1497" t="s">
        <v>151</v>
      </c>
      <c r="E607" s="1498" t="s">
        <v>569</v>
      </c>
      <c r="F607" s="1498" t="s">
        <v>570</v>
      </c>
      <c r="G607" s="1499" t="s">
        <v>797</v>
      </c>
      <c r="H607" s="2837" t="s">
        <v>798</v>
      </c>
    </row>
    <row r="608" spans="1:8" s="1292" customFormat="1" ht="16.5" thickTop="1" thickBot="1" x14ac:dyDescent="0.25">
      <c r="A608" s="2836">
        <v>3533</v>
      </c>
      <c r="B608" s="2835">
        <v>6125</v>
      </c>
      <c r="C608" s="2834" t="s">
        <v>1931</v>
      </c>
      <c r="D608" s="1516" t="s">
        <v>161</v>
      </c>
      <c r="E608" s="1508">
        <v>0</v>
      </c>
      <c r="F608" s="1508">
        <v>120</v>
      </c>
      <c r="G608" s="1508">
        <v>0</v>
      </c>
      <c r="H608" s="2833">
        <f>G608/F608*100</f>
        <v>0</v>
      </c>
    </row>
    <row r="609" spans="1:8" s="1292" customFormat="1" ht="16.5" thickTop="1" thickBot="1" x14ac:dyDescent="0.3">
      <c r="A609" s="3228" t="s">
        <v>690</v>
      </c>
      <c r="B609" s="3229"/>
      <c r="C609" s="3229"/>
      <c r="D609" s="3230"/>
      <c r="E609" s="1514">
        <v>0</v>
      </c>
      <c r="F609" s="1514">
        <f>F608</f>
        <v>120</v>
      </c>
      <c r="G609" s="1514">
        <f>G608</f>
        <v>0</v>
      </c>
      <c r="H609" s="1515">
        <f>G609/F609*100</f>
        <v>0</v>
      </c>
    </row>
    <row r="610" spans="1:8" s="1292" customFormat="1" ht="18.75" thickTop="1" x14ac:dyDescent="0.25">
      <c r="A610" s="1375"/>
      <c r="B610" s="1371"/>
      <c r="C610" s="1371"/>
      <c r="D610" s="1372"/>
      <c r="E610" s="1398"/>
      <c r="F610" s="1398"/>
      <c r="G610" s="1398"/>
      <c r="H610" s="1372"/>
    </row>
    <row r="611" spans="1:8" s="1292" customFormat="1" ht="15" x14ac:dyDescent="0.25">
      <c r="A611" s="3225" t="s">
        <v>2057</v>
      </c>
      <c r="B611" s="3225"/>
      <c r="C611" s="3225"/>
      <c r="D611" s="3225"/>
      <c r="E611" s="3225"/>
      <c r="F611" s="3225"/>
      <c r="G611" s="3225"/>
      <c r="H611" s="3225"/>
    </row>
    <row r="612" spans="1:8" s="1292" customFormat="1" ht="15.75" thickBot="1" x14ac:dyDescent="0.3">
      <c r="A612" s="1490" t="s">
        <v>2056</v>
      </c>
      <c r="B612" s="1490"/>
      <c r="C612" s="1490"/>
      <c r="D612" s="2840"/>
      <c r="E612" s="2839"/>
      <c r="F612" s="2839"/>
      <c r="G612" s="2839"/>
      <c r="H612" s="2838" t="s">
        <v>148</v>
      </c>
    </row>
    <row r="613" spans="1:8" s="1292" customFormat="1" ht="25.5" thickTop="1" thickBot="1" x14ac:dyDescent="0.25">
      <c r="A613" s="1495" t="s">
        <v>149</v>
      </c>
      <c r="B613" s="1496" t="s">
        <v>688</v>
      </c>
      <c r="C613" s="1496" t="s">
        <v>345</v>
      </c>
      <c r="D613" s="1497" t="s">
        <v>151</v>
      </c>
      <c r="E613" s="1498" t="s">
        <v>569</v>
      </c>
      <c r="F613" s="1498" t="s">
        <v>570</v>
      </c>
      <c r="G613" s="1499" t="s">
        <v>797</v>
      </c>
      <c r="H613" s="2837" t="s">
        <v>798</v>
      </c>
    </row>
    <row r="614" spans="1:8" s="1292" customFormat="1" ht="16.5" thickTop="1" thickBot="1" x14ac:dyDescent="0.25">
      <c r="A614" s="2836">
        <v>3533</v>
      </c>
      <c r="B614" s="2835">
        <v>6125</v>
      </c>
      <c r="C614" s="2834" t="s">
        <v>1931</v>
      </c>
      <c r="D614" s="1516" t="s">
        <v>161</v>
      </c>
      <c r="E614" s="1508">
        <v>0</v>
      </c>
      <c r="F614" s="1508">
        <v>120</v>
      </c>
      <c r="G614" s="1508">
        <v>0</v>
      </c>
      <c r="H614" s="2833">
        <f>G614/F614*100</f>
        <v>0</v>
      </c>
    </row>
    <row r="615" spans="1:8" s="1292" customFormat="1" ht="16.5" thickTop="1" thickBot="1" x14ac:dyDescent="0.3">
      <c r="A615" s="3228" t="s">
        <v>690</v>
      </c>
      <c r="B615" s="3229"/>
      <c r="C615" s="3229"/>
      <c r="D615" s="3230"/>
      <c r="E615" s="1514">
        <v>0</v>
      </c>
      <c r="F615" s="1514">
        <f>F614</f>
        <v>120</v>
      </c>
      <c r="G615" s="1514">
        <f>G614</f>
        <v>0</v>
      </c>
      <c r="H615" s="1515">
        <f>G615/F615*100</f>
        <v>0</v>
      </c>
    </row>
    <row r="616" spans="1:8" s="1292" customFormat="1" ht="18.75" thickTop="1" x14ac:dyDescent="0.25">
      <c r="A616" s="1375"/>
      <c r="B616" s="1371"/>
      <c r="C616" s="1371"/>
      <c r="D616" s="1372"/>
      <c r="E616" s="1398"/>
      <c r="F616" s="1398"/>
      <c r="G616" s="1398"/>
      <c r="H616" s="1372"/>
    </row>
    <row r="617" spans="1:8" s="1292" customFormat="1" ht="15" x14ac:dyDescent="0.25">
      <c r="A617" s="3225" t="s">
        <v>2055</v>
      </c>
      <c r="B617" s="3225"/>
      <c r="C617" s="3225"/>
      <c r="D617" s="3225"/>
      <c r="E617" s="3225"/>
      <c r="F617" s="3225"/>
      <c r="G617" s="3225"/>
      <c r="H617" s="3225"/>
    </row>
    <row r="618" spans="1:8" s="1292" customFormat="1" ht="15.75" thickBot="1" x14ac:dyDescent="0.3">
      <c r="A618" s="1490" t="s">
        <v>2054</v>
      </c>
      <c r="B618" s="1490"/>
      <c r="C618" s="1490"/>
      <c r="D618" s="2840"/>
      <c r="E618" s="2839"/>
      <c r="F618" s="2839"/>
      <c r="G618" s="2839"/>
      <c r="H618" s="2838" t="s">
        <v>148</v>
      </c>
    </row>
    <row r="619" spans="1:8" s="1292" customFormat="1" ht="25.5" thickTop="1" thickBot="1" x14ac:dyDescent="0.25">
      <c r="A619" s="1495" t="s">
        <v>149</v>
      </c>
      <c r="B619" s="1496" t="s">
        <v>688</v>
      </c>
      <c r="C619" s="1496" t="s">
        <v>345</v>
      </c>
      <c r="D619" s="1497" t="s">
        <v>151</v>
      </c>
      <c r="E619" s="1498" t="s">
        <v>569</v>
      </c>
      <c r="F619" s="1498" t="s">
        <v>570</v>
      </c>
      <c r="G619" s="1499" t="s">
        <v>797</v>
      </c>
      <c r="H619" s="2837" t="s">
        <v>798</v>
      </c>
    </row>
    <row r="620" spans="1:8" s="1292" customFormat="1" ht="16.5" thickTop="1" thickBot="1" x14ac:dyDescent="0.25">
      <c r="A620" s="2836">
        <v>3533</v>
      </c>
      <c r="B620" s="2835">
        <v>6111</v>
      </c>
      <c r="C620" s="2834" t="s">
        <v>1931</v>
      </c>
      <c r="D620" s="1516" t="s">
        <v>812</v>
      </c>
      <c r="E620" s="1508">
        <v>0</v>
      </c>
      <c r="F620" s="1508">
        <v>120</v>
      </c>
      <c r="G620" s="1508">
        <v>0</v>
      </c>
      <c r="H620" s="2833">
        <f>G620/F620*100</f>
        <v>0</v>
      </c>
    </row>
    <row r="621" spans="1:8" s="1292" customFormat="1" ht="16.5" thickTop="1" thickBot="1" x14ac:dyDescent="0.3">
      <c r="A621" s="3228" t="s">
        <v>690</v>
      </c>
      <c r="B621" s="3229"/>
      <c r="C621" s="3229"/>
      <c r="D621" s="3230"/>
      <c r="E621" s="1514">
        <v>0</v>
      </c>
      <c r="F621" s="1514">
        <f>F620</f>
        <v>120</v>
      </c>
      <c r="G621" s="1514">
        <f>G620</f>
        <v>0</v>
      </c>
      <c r="H621" s="1515">
        <f>G621/F621*100</f>
        <v>0</v>
      </c>
    </row>
    <row r="622" spans="1:8" s="1292" customFormat="1" ht="18.75" thickTop="1" x14ac:dyDescent="0.25">
      <c r="A622" s="1375"/>
      <c r="B622" s="1371"/>
      <c r="C622" s="1371"/>
      <c r="D622" s="1372"/>
      <c r="E622" s="1398"/>
      <c r="F622" s="1398"/>
      <c r="G622" s="1398"/>
      <c r="H622" s="1372"/>
    </row>
    <row r="623" spans="1:8" s="1292" customFormat="1" ht="15" x14ac:dyDescent="0.25">
      <c r="A623" s="3225" t="s">
        <v>2053</v>
      </c>
      <c r="B623" s="3225"/>
      <c r="C623" s="3225"/>
      <c r="D623" s="3225"/>
      <c r="E623" s="3225"/>
      <c r="F623" s="3225"/>
      <c r="G623" s="3225"/>
      <c r="H623" s="3225"/>
    </row>
    <row r="624" spans="1:8" s="1292" customFormat="1" ht="15.75" thickBot="1" x14ac:dyDescent="0.3">
      <c r="A624" s="1490" t="s">
        <v>2052</v>
      </c>
      <c r="B624" s="1490"/>
      <c r="C624" s="1490"/>
      <c r="D624" s="2840"/>
      <c r="E624" s="2839"/>
      <c r="F624" s="2839"/>
      <c r="G624" s="2839"/>
      <c r="H624" s="2838" t="s">
        <v>148</v>
      </c>
    </row>
    <row r="625" spans="1:8" s="1292" customFormat="1" ht="25.5" thickTop="1" thickBot="1" x14ac:dyDescent="0.25">
      <c r="A625" s="1495" t="s">
        <v>149</v>
      </c>
      <c r="B625" s="1496" t="s">
        <v>688</v>
      </c>
      <c r="C625" s="1496" t="s">
        <v>345</v>
      </c>
      <c r="D625" s="1497" t="s">
        <v>151</v>
      </c>
      <c r="E625" s="1498" t="s">
        <v>569</v>
      </c>
      <c r="F625" s="1498" t="s">
        <v>570</v>
      </c>
      <c r="G625" s="1499" t="s">
        <v>797</v>
      </c>
      <c r="H625" s="2837" t="s">
        <v>798</v>
      </c>
    </row>
    <row r="626" spans="1:8" s="1292" customFormat="1" ht="16.5" thickTop="1" thickBot="1" x14ac:dyDescent="0.25">
      <c r="A626" s="2836">
        <v>3522</v>
      </c>
      <c r="B626" s="2835">
        <v>6122</v>
      </c>
      <c r="C626" s="2834" t="s">
        <v>1931</v>
      </c>
      <c r="D626" s="1516" t="s">
        <v>549</v>
      </c>
      <c r="E626" s="1508">
        <v>0</v>
      </c>
      <c r="F626" s="1508">
        <v>420</v>
      </c>
      <c r="G626" s="1508">
        <v>0</v>
      </c>
      <c r="H626" s="2833">
        <f>G626/F626*100</f>
        <v>0</v>
      </c>
    </row>
    <row r="627" spans="1:8" s="1292" customFormat="1" ht="16.5" thickTop="1" thickBot="1" x14ac:dyDescent="0.3">
      <c r="A627" s="3228" t="s">
        <v>690</v>
      </c>
      <c r="B627" s="3229"/>
      <c r="C627" s="3229"/>
      <c r="D627" s="3230"/>
      <c r="E627" s="1514">
        <v>0</v>
      </c>
      <c r="F627" s="1514">
        <f>F626</f>
        <v>420</v>
      </c>
      <c r="G627" s="1514">
        <f>G626</f>
        <v>0</v>
      </c>
      <c r="H627" s="1515">
        <f>G627/F627*100</f>
        <v>0</v>
      </c>
    </row>
    <row r="628" spans="1:8" s="1292" customFormat="1" ht="18.75" thickTop="1" x14ac:dyDescent="0.25">
      <c r="A628" s="1375"/>
      <c r="B628" s="1371"/>
      <c r="C628" s="1371"/>
      <c r="D628" s="1372"/>
      <c r="E628" s="1398"/>
      <c r="F628" s="1398"/>
      <c r="G628" s="1398"/>
      <c r="H628" s="1372"/>
    </row>
    <row r="629" spans="1:8" s="1292" customFormat="1" ht="15" x14ac:dyDescent="0.25">
      <c r="A629" s="3225" t="s">
        <v>2051</v>
      </c>
      <c r="B629" s="3225"/>
      <c r="C629" s="3225"/>
      <c r="D629" s="3225"/>
      <c r="E629" s="3225"/>
      <c r="F629" s="3225"/>
      <c r="G629" s="3225"/>
      <c r="H629" s="3225"/>
    </row>
    <row r="630" spans="1:8" s="1292" customFormat="1" ht="15.75" thickBot="1" x14ac:dyDescent="0.3">
      <c r="A630" s="1490" t="s">
        <v>2050</v>
      </c>
      <c r="B630" s="1490"/>
      <c r="C630" s="1490"/>
      <c r="D630" s="2840"/>
      <c r="E630" s="2839"/>
      <c r="F630" s="2839"/>
      <c r="G630" s="2839"/>
      <c r="H630" s="2838" t="s">
        <v>148</v>
      </c>
    </row>
    <row r="631" spans="1:8" s="1292" customFormat="1" ht="25.5" thickTop="1" thickBot="1" x14ac:dyDescent="0.25">
      <c r="A631" s="1495" t="s">
        <v>149</v>
      </c>
      <c r="B631" s="1496" t="s">
        <v>688</v>
      </c>
      <c r="C631" s="1496" t="s">
        <v>345</v>
      </c>
      <c r="D631" s="1497" t="s">
        <v>151</v>
      </c>
      <c r="E631" s="1498" t="s">
        <v>569</v>
      </c>
      <c r="F631" s="1498" t="s">
        <v>570</v>
      </c>
      <c r="G631" s="1499" t="s">
        <v>797</v>
      </c>
      <c r="H631" s="2837" t="s">
        <v>798</v>
      </c>
    </row>
    <row r="632" spans="1:8" s="1292" customFormat="1" ht="16.5" thickTop="1" thickBot="1" x14ac:dyDescent="0.25">
      <c r="A632" s="2836">
        <v>3522</v>
      </c>
      <c r="B632" s="2835">
        <v>6122</v>
      </c>
      <c r="C632" s="2834" t="s">
        <v>1931</v>
      </c>
      <c r="D632" s="1516" t="s">
        <v>549</v>
      </c>
      <c r="E632" s="1508">
        <v>0</v>
      </c>
      <c r="F632" s="1508">
        <v>614</v>
      </c>
      <c r="G632" s="1508">
        <v>0</v>
      </c>
      <c r="H632" s="2833">
        <f>G632/F632*100</f>
        <v>0</v>
      </c>
    </row>
    <row r="633" spans="1:8" s="1292" customFormat="1" ht="16.5" thickTop="1" thickBot="1" x14ac:dyDescent="0.3">
      <c r="A633" s="3228" t="s">
        <v>690</v>
      </c>
      <c r="B633" s="3229"/>
      <c r="C633" s="3229"/>
      <c r="D633" s="3230"/>
      <c r="E633" s="1514">
        <v>0</v>
      </c>
      <c r="F633" s="1514">
        <f>F632</f>
        <v>614</v>
      </c>
      <c r="G633" s="1514">
        <f>G632</f>
        <v>0</v>
      </c>
      <c r="H633" s="1515">
        <f>G633/F633*100</f>
        <v>0</v>
      </c>
    </row>
    <row r="634" spans="1:8" s="1292" customFormat="1" ht="18.75" thickTop="1" x14ac:dyDescent="0.25">
      <c r="A634" s="1375"/>
      <c r="B634" s="1371"/>
      <c r="C634" s="1371"/>
      <c r="D634" s="1372"/>
      <c r="E634" s="1398"/>
      <c r="F634" s="1398"/>
      <c r="G634" s="1398"/>
      <c r="H634" s="1372"/>
    </row>
    <row r="635" spans="1:8" s="1292" customFormat="1" ht="15" x14ac:dyDescent="0.25">
      <c r="A635" s="3225" t="s">
        <v>2049</v>
      </c>
      <c r="B635" s="3225"/>
      <c r="C635" s="3225"/>
      <c r="D635" s="3225"/>
      <c r="E635" s="3225"/>
      <c r="F635" s="3225"/>
      <c r="G635" s="3225"/>
      <c r="H635" s="3225"/>
    </row>
    <row r="636" spans="1:8" s="1292" customFormat="1" ht="15.75" thickBot="1" x14ac:dyDescent="0.3">
      <c r="A636" s="1490" t="s">
        <v>2048</v>
      </c>
      <c r="B636" s="1490"/>
      <c r="C636" s="1490"/>
      <c r="D636" s="2840"/>
      <c r="E636" s="2839"/>
      <c r="F636" s="2839"/>
      <c r="G636" s="2839"/>
      <c r="H636" s="2838" t="s">
        <v>148</v>
      </c>
    </row>
    <row r="637" spans="1:8" s="1292" customFormat="1" ht="25.5" thickTop="1" thickBot="1" x14ac:dyDescent="0.25">
      <c r="A637" s="1495" t="s">
        <v>149</v>
      </c>
      <c r="B637" s="1496" t="s">
        <v>688</v>
      </c>
      <c r="C637" s="1496" t="s">
        <v>345</v>
      </c>
      <c r="D637" s="1497" t="s">
        <v>151</v>
      </c>
      <c r="E637" s="1498" t="s">
        <v>569</v>
      </c>
      <c r="F637" s="1498" t="s">
        <v>570</v>
      </c>
      <c r="G637" s="1499" t="s">
        <v>797</v>
      </c>
      <c r="H637" s="2837" t="s">
        <v>798</v>
      </c>
    </row>
    <row r="638" spans="1:8" s="1292" customFormat="1" ht="16.5" thickTop="1" thickBot="1" x14ac:dyDescent="0.25">
      <c r="A638" s="2836">
        <v>3522</v>
      </c>
      <c r="B638" s="2835">
        <v>6122</v>
      </c>
      <c r="C638" s="2834" t="s">
        <v>1931</v>
      </c>
      <c r="D638" s="1516" t="s">
        <v>549</v>
      </c>
      <c r="E638" s="1508">
        <v>0</v>
      </c>
      <c r="F638" s="1508">
        <v>320</v>
      </c>
      <c r="G638" s="1508">
        <v>0</v>
      </c>
      <c r="H638" s="2833">
        <f>G638/F638*100</f>
        <v>0</v>
      </c>
    </row>
    <row r="639" spans="1:8" s="1292" customFormat="1" ht="16.5" thickTop="1" thickBot="1" x14ac:dyDescent="0.3">
      <c r="A639" s="3228" t="s">
        <v>690</v>
      </c>
      <c r="B639" s="3229"/>
      <c r="C639" s="3229"/>
      <c r="D639" s="3230"/>
      <c r="E639" s="1514">
        <v>0</v>
      </c>
      <c r="F639" s="1514">
        <f>F638</f>
        <v>320</v>
      </c>
      <c r="G639" s="1514">
        <f>G638</f>
        <v>0</v>
      </c>
      <c r="H639" s="1515">
        <f>G639/F639*100</f>
        <v>0</v>
      </c>
    </row>
    <row r="640" spans="1:8" s="1292" customFormat="1" ht="18.75" thickTop="1" x14ac:dyDescent="0.25">
      <c r="A640" s="1375"/>
      <c r="B640" s="1371"/>
      <c r="C640" s="1371"/>
      <c r="D640" s="1372"/>
      <c r="E640" s="1398"/>
      <c r="F640" s="1398"/>
      <c r="G640" s="1398"/>
      <c r="H640" s="1372"/>
    </row>
    <row r="641" spans="1:8" s="1292" customFormat="1" ht="15" x14ac:dyDescent="0.25">
      <c r="A641" s="3225" t="s">
        <v>2047</v>
      </c>
      <c r="B641" s="3225"/>
      <c r="C641" s="3225"/>
      <c r="D641" s="3225"/>
      <c r="E641" s="3225"/>
      <c r="F641" s="3225"/>
      <c r="G641" s="3225"/>
      <c r="H641" s="3225"/>
    </row>
    <row r="642" spans="1:8" s="1292" customFormat="1" ht="15.75" thickBot="1" x14ac:dyDescent="0.3">
      <c r="A642" s="1490" t="s">
        <v>2046</v>
      </c>
      <c r="B642" s="1490"/>
      <c r="C642" s="1490"/>
      <c r="D642" s="2840"/>
      <c r="E642" s="2839"/>
      <c r="F642" s="2839"/>
      <c r="G642" s="2839"/>
      <c r="H642" s="2838" t="s">
        <v>148</v>
      </c>
    </row>
    <row r="643" spans="1:8" s="1292" customFormat="1" ht="25.5" thickTop="1" thickBot="1" x14ac:dyDescent="0.25">
      <c r="A643" s="1495" t="s">
        <v>149</v>
      </c>
      <c r="B643" s="1496" t="s">
        <v>688</v>
      </c>
      <c r="C643" s="1496" t="s">
        <v>345</v>
      </c>
      <c r="D643" s="1497" t="s">
        <v>151</v>
      </c>
      <c r="E643" s="1498" t="s">
        <v>569</v>
      </c>
      <c r="F643" s="1498" t="s">
        <v>570</v>
      </c>
      <c r="G643" s="1499" t="s">
        <v>797</v>
      </c>
      <c r="H643" s="2837" t="s">
        <v>798</v>
      </c>
    </row>
    <row r="644" spans="1:8" s="1292" customFormat="1" ht="16.5" thickTop="1" thickBot="1" x14ac:dyDescent="0.25">
      <c r="A644" s="2836">
        <v>3522</v>
      </c>
      <c r="B644" s="2835">
        <v>6122</v>
      </c>
      <c r="C644" s="2834" t="s">
        <v>1931</v>
      </c>
      <c r="D644" s="1516" t="s">
        <v>549</v>
      </c>
      <c r="E644" s="1508">
        <v>0</v>
      </c>
      <c r="F644" s="1508">
        <v>560</v>
      </c>
      <c r="G644" s="1508">
        <v>0</v>
      </c>
      <c r="H644" s="2833">
        <f>G644/F644*100</f>
        <v>0</v>
      </c>
    </row>
    <row r="645" spans="1:8" s="1292" customFormat="1" ht="16.5" thickTop="1" thickBot="1" x14ac:dyDescent="0.3">
      <c r="A645" s="3228" t="s">
        <v>690</v>
      </c>
      <c r="B645" s="3229"/>
      <c r="C645" s="3229"/>
      <c r="D645" s="3230"/>
      <c r="E645" s="1514">
        <v>0</v>
      </c>
      <c r="F645" s="1514">
        <f>F644</f>
        <v>560</v>
      </c>
      <c r="G645" s="1514">
        <f>G644</f>
        <v>0</v>
      </c>
      <c r="H645" s="1515">
        <f>G645/F645*100</f>
        <v>0</v>
      </c>
    </row>
    <row r="646" spans="1:8" s="1292" customFormat="1" ht="18.75" thickTop="1" x14ac:dyDescent="0.25">
      <c r="A646" s="1375"/>
      <c r="B646" s="1371"/>
      <c r="C646" s="1371"/>
      <c r="D646" s="1372"/>
      <c r="E646" s="1398"/>
      <c r="F646" s="1398"/>
      <c r="G646" s="1398"/>
      <c r="H646" s="1372"/>
    </row>
    <row r="647" spans="1:8" ht="15" customHeight="1" x14ac:dyDescent="0.25">
      <c r="A647" s="1377" t="s">
        <v>2045</v>
      </c>
    </row>
    <row r="648" spans="1:8" ht="15.75" thickBot="1" x14ac:dyDescent="0.3">
      <c r="A648" s="1377" t="s">
        <v>2044</v>
      </c>
      <c r="H648" s="1459" t="s">
        <v>148</v>
      </c>
    </row>
    <row r="649" spans="1:8" s="1292" customFormat="1" ht="25.5" thickTop="1" thickBot="1" x14ac:dyDescent="0.25">
      <c r="A649" s="1378" t="s">
        <v>149</v>
      </c>
      <c r="B649" s="1379" t="s">
        <v>688</v>
      </c>
      <c r="C649" s="1379" t="s">
        <v>345</v>
      </c>
      <c r="D649" s="1380" t="s">
        <v>151</v>
      </c>
      <c r="E649" s="1402" t="s">
        <v>569</v>
      </c>
      <c r="F649" s="1402" t="s">
        <v>570</v>
      </c>
      <c r="G649" s="1403" t="s">
        <v>797</v>
      </c>
      <c r="H649" s="1404" t="s">
        <v>798</v>
      </c>
    </row>
    <row r="650" spans="1:8" s="1292" customFormat="1" ht="13.5" thickTop="1" thickBot="1" x14ac:dyDescent="0.25">
      <c r="A650" s="1297">
        <v>1</v>
      </c>
      <c r="B650" s="1296">
        <v>2</v>
      </c>
      <c r="C650" s="1296">
        <v>3</v>
      </c>
      <c r="D650" s="1296">
        <v>4</v>
      </c>
      <c r="E650" s="1295">
        <v>5</v>
      </c>
      <c r="F650" s="1295">
        <v>6</v>
      </c>
      <c r="G650" s="1446">
        <v>7</v>
      </c>
      <c r="H650" s="1468" t="s">
        <v>54</v>
      </c>
    </row>
    <row r="651" spans="1:8" s="1292" customFormat="1" ht="15.75" thickTop="1" x14ac:dyDescent="0.2">
      <c r="A651" s="1384">
        <v>3539</v>
      </c>
      <c r="B651" s="1385">
        <v>5137</v>
      </c>
      <c r="C651" s="1531" t="s">
        <v>2043</v>
      </c>
      <c r="D651" s="1405" t="s">
        <v>142</v>
      </c>
      <c r="E651" s="1414">
        <v>0</v>
      </c>
      <c r="F651" s="1414">
        <v>1</v>
      </c>
      <c r="G651" s="1414">
        <v>1</v>
      </c>
      <c r="H651" s="1390">
        <f>G651/F651*100</f>
        <v>100</v>
      </c>
    </row>
    <row r="652" spans="1:8" s="1292" customFormat="1" ht="15" x14ac:dyDescent="0.2">
      <c r="A652" s="1384">
        <v>3539</v>
      </c>
      <c r="B652" s="1385">
        <v>5137</v>
      </c>
      <c r="C652" s="1531" t="s">
        <v>2042</v>
      </c>
      <c r="D652" s="1405" t="s">
        <v>142</v>
      </c>
      <c r="E652" s="1414">
        <v>0</v>
      </c>
      <c r="F652" s="1414">
        <v>3</v>
      </c>
      <c r="G652" s="1414">
        <v>3</v>
      </c>
      <c r="H652" s="1390">
        <f>G652/F652*100</f>
        <v>100</v>
      </c>
    </row>
    <row r="653" spans="1:8" s="1292" customFormat="1" ht="15" x14ac:dyDescent="0.2">
      <c r="A653" s="1384">
        <v>3539</v>
      </c>
      <c r="B653" s="1385">
        <v>5139</v>
      </c>
      <c r="C653" s="1531" t="s">
        <v>2043</v>
      </c>
      <c r="D653" s="1405" t="s">
        <v>566</v>
      </c>
      <c r="E653" s="1414">
        <v>0</v>
      </c>
      <c r="F653" s="1414">
        <v>0</v>
      </c>
      <c r="G653" s="1414">
        <v>0</v>
      </c>
      <c r="H653" s="1390">
        <v>0</v>
      </c>
    </row>
    <row r="654" spans="1:8" s="1292" customFormat="1" ht="15" x14ac:dyDescent="0.2">
      <c r="A654" s="1384">
        <v>3539</v>
      </c>
      <c r="B654" s="1385">
        <v>5139</v>
      </c>
      <c r="C654" s="1531" t="s">
        <v>2042</v>
      </c>
      <c r="D654" s="1405" t="s">
        <v>566</v>
      </c>
      <c r="E654" s="1414">
        <v>0</v>
      </c>
      <c r="F654" s="1414">
        <v>0</v>
      </c>
      <c r="G654" s="1414">
        <v>0</v>
      </c>
      <c r="H654" s="1390">
        <v>0</v>
      </c>
    </row>
    <row r="655" spans="1:8" s="1292" customFormat="1" ht="15" x14ac:dyDescent="0.2">
      <c r="A655" s="1384">
        <v>3539</v>
      </c>
      <c r="B655" s="1385">
        <v>6111</v>
      </c>
      <c r="C655" s="1531" t="s">
        <v>2043</v>
      </c>
      <c r="D655" s="1405" t="s">
        <v>812</v>
      </c>
      <c r="E655" s="1414">
        <v>0</v>
      </c>
      <c r="F655" s="1414">
        <v>683</v>
      </c>
      <c r="G655" s="1414">
        <v>683</v>
      </c>
      <c r="H655" s="1390">
        <f>G655/F655*100</f>
        <v>100</v>
      </c>
    </row>
    <row r="656" spans="1:8" s="1292" customFormat="1" ht="15" x14ac:dyDescent="0.2">
      <c r="A656" s="1384">
        <v>3539</v>
      </c>
      <c r="B656" s="1385">
        <v>6111</v>
      </c>
      <c r="C656" s="1531" t="s">
        <v>2042</v>
      </c>
      <c r="D656" s="1405" t="s">
        <v>812</v>
      </c>
      <c r="E656" s="1414">
        <v>0</v>
      </c>
      <c r="F656" s="1414">
        <v>3871</v>
      </c>
      <c r="G656" s="1414">
        <v>3871</v>
      </c>
      <c r="H656" s="1390">
        <f>G656/F656*100</f>
        <v>100</v>
      </c>
    </row>
    <row r="657" spans="1:8" s="1292" customFormat="1" ht="15" x14ac:dyDescent="0.2">
      <c r="A657" s="1384">
        <v>3539</v>
      </c>
      <c r="B657" s="1385">
        <v>6122</v>
      </c>
      <c r="C657" s="1531" t="s">
        <v>2043</v>
      </c>
      <c r="D657" s="1405" t="s">
        <v>549</v>
      </c>
      <c r="E657" s="1414">
        <v>0</v>
      </c>
      <c r="F657" s="1414">
        <v>403</v>
      </c>
      <c r="G657" s="1414">
        <v>0</v>
      </c>
      <c r="H657" s="1390">
        <f>G657/F657*100</f>
        <v>0</v>
      </c>
    </row>
    <row r="658" spans="1:8" s="1292" customFormat="1" ht="15" x14ac:dyDescent="0.2">
      <c r="A658" s="1384">
        <v>3539</v>
      </c>
      <c r="B658" s="1385">
        <v>6122</v>
      </c>
      <c r="C658" s="1531" t="s">
        <v>2042</v>
      </c>
      <c r="D658" s="1405" t="s">
        <v>549</v>
      </c>
      <c r="E658" s="1414">
        <v>0</v>
      </c>
      <c r="F658" s="1414">
        <v>2284</v>
      </c>
      <c r="G658" s="1414">
        <v>0</v>
      </c>
      <c r="H658" s="1390">
        <f>G658/F658*100</f>
        <v>0</v>
      </c>
    </row>
    <row r="659" spans="1:8" s="1292" customFormat="1" ht="15" x14ac:dyDescent="0.2">
      <c r="A659" s="1384">
        <v>3539</v>
      </c>
      <c r="B659" s="1385">
        <v>6122</v>
      </c>
      <c r="C659" s="1531" t="s">
        <v>2010</v>
      </c>
      <c r="D659" s="1405" t="s">
        <v>549</v>
      </c>
      <c r="E659" s="1414">
        <v>1126</v>
      </c>
      <c r="F659" s="1414">
        <v>0</v>
      </c>
      <c r="G659" s="1414">
        <v>0</v>
      </c>
      <c r="H659" s="1390">
        <v>0</v>
      </c>
    </row>
    <row r="660" spans="1:8" s="1292" customFormat="1" ht="15" x14ac:dyDescent="0.2">
      <c r="A660" s="1384">
        <v>3539</v>
      </c>
      <c r="B660" s="1385">
        <v>6122</v>
      </c>
      <c r="C660" s="1531" t="s">
        <v>2025</v>
      </c>
      <c r="D660" s="1405" t="s">
        <v>549</v>
      </c>
      <c r="E660" s="1414">
        <v>6379</v>
      </c>
      <c r="F660" s="1414">
        <v>0</v>
      </c>
      <c r="G660" s="1414">
        <v>0</v>
      </c>
      <c r="H660" s="1390">
        <v>0</v>
      </c>
    </row>
    <row r="661" spans="1:8" s="1292" customFormat="1" ht="15" x14ac:dyDescent="0.2">
      <c r="A661" s="1384">
        <v>3539</v>
      </c>
      <c r="B661" s="1385">
        <v>6125</v>
      </c>
      <c r="C661" s="1531" t="s">
        <v>2043</v>
      </c>
      <c r="D661" s="1405" t="s">
        <v>161</v>
      </c>
      <c r="E661" s="1414">
        <v>0</v>
      </c>
      <c r="F661" s="1414">
        <v>39</v>
      </c>
      <c r="G661" s="1414">
        <v>39</v>
      </c>
      <c r="H661" s="1390">
        <f>G661/F661*100</f>
        <v>100</v>
      </c>
    </row>
    <row r="662" spans="1:8" s="1292" customFormat="1" ht="15.75" thickBot="1" x14ac:dyDescent="0.25">
      <c r="A662" s="1384">
        <v>3539</v>
      </c>
      <c r="B662" s="1385">
        <v>6125</v>
      </c>
      <c r="C662" s="1531" t="s">
        <v>2042</v>
      </c>
      <c r="D662" s="1405" t="s">
        <v>161</v>
      </c>
      <c r="E662" s="1414">
        <v>0</v>
      </c>
      <c r="F662" s="1414">
        <v>220</v>
      </c>
      <c r="G662" s="1414">
        <v>220</v>
      </c>
      <c r="H662" s="1390">
        <f>G662/F662*100</f>
        <v>100</v>
      </c>
    </row>
    <row r="663" spans="1:8" s="1292" customFormat="1" ht="16.5" thickTop="1" thickBot="1" x14ac:dyDescent="0.3">
      <c r="A663" s="3219" t="s">
        <v>690</v>
      </c>
      <c r="B663" s="3220"/>
      <c r="C663" s="3220"/>
      <c r="D663" s="3220"/>
      <c r="E663" s="1387">
        <f>SUM(E651:E662)</f>
        <v>7505</v>
      </c>
      <c r="F663" s="1387">
        <f>SUM(F651:F662)</f>
        <v>7504</v>
      </c>
      <c r="G663" s="1387">
        <f>SUM(G651:G662)</f>
        <v>4817</v>
      </c>
      <c r="H663" s="1391">
        <f>G663/F663*100</f>
        <v>64.192430703624737</v>
      </c>
    </row>
    <row r="664" spans="1:8" s="1292" customFormat="1" ht="18.75" thickTop="1" x14ac:dyDescent="0.25">
      <c r="A664" s="1375"/>
      <c r="B664" s="1371"/>
      <c r="C664" s="1371"/>
      <c r="D664" s="1372"/>
      <c r="E664" s="1398"/>
      <c r="F664" s="1398"/>
      <c r="G664" s="1398"/>
      <c r="H664" s="1372"/>
    </row>
    <row r="665" spans="1:8" s="1292" customFormat="1" ht="18" hidden="1" x14ac:dyDescent="0.25">
      <c r="A665" s="1375"/>
      <c r="B665" s="1371"/>
      <c r="C665" s="1371"/>
      <c r="D665" s="1372"/>
      <c r="E665" s="1398"/>
      <c r="F665" s="1398"/>
      <c r="G665" s="1398"/>
      <c r="H665" s="1372"/>
    </row>
    <row r="666" spans="1:8" s="1292" customFormat="1" ht="18" hidden="1" x14ac:dyDescent="0.25">
      <c r="A666" s="1375"/>
      <c r="B666" s="1371"/>
      <c r="C666" s="1371"/>
      <c r="D666" s="1372"/>
      <c r="E666" s="1398"/>
      <c r="F666" s="1398"/>
      <c r="G666" s="1398"/>
      <c r="H666" s="1372"/>
    </row>
    <row r="667" spans="1:8" s="1292" customFormat="1" ht="18" hidden="1" x14ac:dyDescent="0.25">
      <c r="A667" s="1375"/>
      <c r="B667" s="1371"/>
      <c r="C667" s="1371"/>
      <c r="D667" s="1372"/>
      <c r="E667" s="1398"/>
      <c r="F667" s="1398"/>
      <c r="G667" s="1398"/>
      <c r="H667" s="1372"/>
    </row>
    <row r="668" spans="1:8" s="1292" customFormat="1" ht="18" hidden="1" x14ac:dyDescent="0.25">
      <c r="A668" s="1375"/>
      <c r="B668" s="1371"/>
      <c r="C668" s="1371"/>
      <c r="D668" s="1372"/>
      <c r="E668" s="1398"/>
      <c r="F668" s="1398"/>
      <c r="G668" s="1398"/>
      <c r="H668" s="1372"/>
    </row>
    <row r="669" spans="1:8" s="1292" customFormat="1" ht="18" hidden="1" x14ac:dyDescent="0.25">
      <c r="A669" s="1375"/>
      <c r="B669" s="1371"/>
      <c r="C669" s="1371"/>
      <c r="D669" s="1372"/>
      <c r="E669" s="1398"/>
      <c r="F669" s="1398"/>
      <c r="G669" s="1398"/>
      <c r="H669" s="1372"/>
    </row>
    <row r="670" spans="1:8" s="1292" customFormat="1" ht="18" hidden="1" x14ac:dyDescent="0.25">
      <c r="A670" s="1375"/>
      <c r="B670" s="1371"/>
      <c r="C670" s="1371"/>
      <c r="D670" s="1372"/>
      <c r="E670" s="1398"/>
      <c r="F670" s="1398"/>
      <c r="G670" s="1398"/>
      <c r="H670" s="1372"/>
    </row>
    <row r="671" spans="1:8" s="1292" customFormat="1" ht="18" hidden="1" x14ac:dyDescent="0.25">
      <c r="A671" s="1375"/>
      <c r="B671" s="1371"/>
      <c r="C671" s="1371"/>
      <c r="D671" s="1372"/>
      <c r="E671" s="1398"/>
      <c r="F671" s="1398"/>
      <c r="G671" s="1398"/>
      <c r="H671" s="1372"/>
    </row>
    <row r="672" spans="1:8" s="1292" customFormat="1" ht="18" hidden="1" x14ac:dyDescent="0.25">
      <c r="A672" s="1375"/>
      <c r="B672" s="1371"/>
      <c r="C672" s="1371"/>
      <c r="D672" s="1372"/>
      <c r="E672" s="1398"/>
      <c r="F672" s="1398"/>
      <c r="G672" s="1398"/>
      <c r="H672" s="1372"/>
    </row>
    <row r="673" spans="1:8" s="1292" customFormat="1" ht="18" hidden="1" x14ac:dyDescent="0.25">
      <c r="A673" s="1375"/>
      <c r="B673" s="1371"/>
      <c r="C673" s="1371"/>
      <c r="D673" s="1372"/>
      <c r="E673" s="1398"/>
      <c r="F673" s="1398"/>
      <c r="G673" s="1398"/>
      <c r="H673" s="1372"/>
    </row>
    <row r="674" spans="1:8" s="1292" customFormat="1" ht="18" hidden="1" x14ac:dyDescent="0.25">
      <c r="A674" s="1375"/>
      <c r="B674" s="1371"/>
      <c r="C674" s="1371"/>
      <c r="D674" s="1372"/>
      <c r="E674" s="1398"/>
      <c r="F674" s="1398"/>
      <c r="G674" s="1398"/>
      <c r="H674" s="1372"/>
    </row>
    <row r="675" spans="1:8" s="1292" customFormat="1" ht="18" hidden="1" x14ac:dyDescent="0.25">
      <c r="A675" s="1375"/>
      <c r="B675" s="1371"/>
      <c r="C675" s="1371"/>
      <c r="D675" s="1372"/>
      <c r="E675" s="1398"/>
      <c r="F675" s="1398"/>
      <c r="G675" s="1398"/>
      <c r="H675" s="1372"/>
    </row>
    <row r="676" spans="1:8" s="1292" customFormat="1" ht="18" hidden="1" x14ac:dyDescent="0.25">
      <c r="A676" s="1375"/>
      <c r="B676" s="1371"/>
      <c r="C676" s="1371"/>
      <c r="D676" s="1372"/>
      <c r="E676" s="1398"/>
      <c r="F676" s="1398"/>
      <c r="G676" s="1398"/>
      <c r="H676" s="1372"/>
    </row>
    <row r="677" spans="1:8" s="1292" customFormat="1" ht="18" hidden="1" x14ac:dyDescent="0.25">
      <c r="A677" s="1375"/>
      <c r="B677" s="1371"/>
      <c r="C677" s="1371"/>
      <c r="D677" s="1372"/>
      <c r="E677" s="1398"/>
      <c r="F677" s="1398"/>
      <c r="G677" s="1398"/>
      <c r="H677" s="1372"/>
    </row>
    <row r="678" spans="1:8" s="1292" customFormat="1" ht="18" hidden="1" x14ac:dyDescent="0.25">
      <c r="A678" s="1375"/>
      <c r="B678" s="1371"/>
      <c r="C678" s="1371"/>
      <c r="D678" s="1372"/>
      <c r="E678" s="1398"/>
      <c r="F678" s="1398"/>
      <c r="G678" s="1398"/>
      <c r="H678" s="1372"/>
    </row>
    <row r="679" spans="1:8" s="1292" customFormat="1" ht="18" hidden="1" x14ac:dyDescent="0.25">
      <c r="A679" s="1375"/>
      <c r="B679" s="1371"/>
      <c r="C679" s="1371"/>
      <c r="D679" s="1372"/>
      <c r="E679" s="1398"/>
      <c r="F679" s="1398"/>
      <c r="G679" s="1398"/>
      <c r="H679" s="1372"/>
    </row>
    <row r="680" spans="1:8" s="1292" customFormat="1" ht="18" hidden="1" x14ac:dyDescent="0.25">
      <c r="A680" s="1375"/>
      <c r="B680" s="1371"/>
      <c r="C680" s="1371"/>
      <c r="D680" s="1372"/>
      <c r="E680" s="1398"/>
      <c r="F680" s="1398"/>
      <c r="G680" s="1398"/>
      <c r="H680" s="1372"/>
    </row>
    <row r="681" spans="1:8" s="1292" customFormat="1" ht="18" hidden="1" x14ac:dyDescent="0.25">
      <c r="A681" s="1375"/>
      <c r="B681" s="1371"/>
      <c r="C681" s="1371"/>
      <c r="D681" s="1372"/>
      <c r="E681" s="1398"/>
      <c r="F681" s="1398"/>
      <c r="G681" s="1398"/>
      <c r="H681" s="1372"/>
    </row>
    <row r="682" spans="1:8" s="1292" customFormat="1" ht="18" hidden="1" x14ac:dyDescent="0.25">
      <c r="A682" s="1375"/>
      <c r="B682" s="1371"/>
      <c r="C682" s="1371"/>
      <c r="D682" s="1372"/>
      <c r="E682" s="1398"/>
      <c r="F682" s="1398"/>
      <c r="G682" s="1398"/>
      <c r="H682" s="1372"/>
    </row>
    <row r="683" spans="1:8" s="1292" customFormat="1" ht="18" hidden="1" x14ac:dyDescent="0.25">
      <c r="A683" s="1375"/>
      <c r="B683" s="1371"/>
      <c r="C683" s="1371"/>
      <c r="D683" s="1372"/>
      <c r="E683" s="1398"/>
      <c r="F683" s="1398"/>
      <c r="G683" s="1398"/>
      <c r="H683" s="1372"/>
    </row>
    <row r="684" spans="1:8" s="1292" customFormat="1" ht="18" hidden="1" x14ac:dyDescent="0.25">
      <c r="A684" s="1375"/>
      <c r="B684" s="1371"/>
      <c r="C684" s="1371"/>
      <c r="D684" s="1372"/>
      <c r="E684" s="1398"/>
      <c r="F684" s="1398"/>
      <c r="G684" s="1398"/>
      <c r="H684" s="1372"/>
    </row>
    <row r="685" spans="1:8" s="1292" customFormat="1" ht="15" x14ac:dyDescent="0.25">
      <c r="A685" s="1392"/>
      <c r="B685" s="1392"/>
      <c r="C685" s="1392"/>
      <c r="D685" s="1392"/>
      <c r="E685" s="1393"/>
      <c r="F685" s="1393"/>
      <c r="G685" s="1393"/>
      <c r="H685" s="1418"/>
    </row>
    <row r="686" spans="1:8" ht="15" hidden="1" x14ac:dyDescent="0.25">
      <c r="A686" s="1377" t="s">
        <v>1511</v>
      </c>
    </row>
    <row r="687" spans="1:8" ht="1.5" hidden="1" customHeight="1" thickBot="1" x14ac:dyDescent="0.3">
      <c r="A687" s="1377"/>
      <c r="H687" s="1459" t="s">
        <v>148</v>
      </c>
    </row>
    <row r="688" spans="1:8" s="1292" customFormat="1" ht="25.5" hidden="1" thickTop="1" thickBot="1" x14ac:dyDescent="0.25">
      <c r="A688" s="1378" t="s">
        <v>149</v>
      </c>
      <c r="B688" s="1379" t="s">
        <v>688</v>
      </c>
      <c r="C688" s="1379" t="s">
        <v>345</v>
      </c>
      <c r="D688" s="1380" t="s">
        <v>151</v>
      </c>
      <c r="E688" s="1402" t="s">
        <v>569</v>
      </c>
      <c r="F688" s="1402" t="s">
        <v>570</v>
      </c>
      <c r="G688" s="1403" t="s">
        <v>797</v>
      </c>
      <c r="H688" s="1404" t="s">
        <v>798</v>
      </c>
    </row>
    <row r="689" spans="1:11" s="1292" customFormat="1" ht="13.5" hidden="1" thickTop="1" thickBot="1" x14ac:dyDescent="0.25">
      <c r="A689" s="1297">
        <v>1</v>
      </c>
      <c r="B689" s="1296">
        <v>2</v>
      </c>
      <c r="C689" s="1296">
        <v>3</v>
      </c>
      <c r="D689" s="1296">
        <v>4</v>
      </c>
      <c r="E689" s="1295">
        <v>5</v>
      </c>
      <c r="F689" s="1295">
        <v>6</v>
      </c>
      <c r="G689" s="1446">
        <v>7</v>
      </c>
      <c r="H689" s="1468" t="s">
        <v>54</v>
      </c>
    </row>
    <row r="690" spans="1:11" s="1292" customFormat="1" ht="15" hidden="1" x14ac:dyDescent="0.2">
      <c r="A690" s="1384">
        <v>2143</v>
      </c>
      <c r="B690" s="1385">
        <v>5169</v>
      </c>
      <c r="C690" s="1385"/>
      <c r="D690" s="1405" t="s">
        <v>769</v>
      </c>
      <c r="E690" s="1414"/>
      <c r="F690" s="1414">
        <v>0</v>
      </c>
      <c r="G690" s="1414">
        <v>0</v>
      </c>
      <c r="H690" s="1390">
        <v>0</v>
      </c>
    </row>
    <row r="691" spans="1:11" s="1292" customFormat="1" ht="15" hidden="1" x14ac:dyDescent="0.2">
      <c r="A691" s="1384">
        <v>3122</v>
      </c>
      <c r="B691" s="1385">
        <v>6122</v>
      </c>
      <c r="C691" s="1385"/>
      <c r="D691" s="1405" t="s">
        <v>549</v>
      </c>
      <c r="E691" s="1414">
        <v>0</v>
      </c>
      <c r="F691" s="1414"/>
      <c r="G691" s="1414"/>
      <c r="H691" s="1390" t="e">
        <f>G691/F691*100</f>
        <v>#DIV/0!</v>
      </c>
    </row>
    <row r="692" spans="1:11" s="1292" customFormat="1" ht="16.5" hidden="1" thickTop="1" thickBot="1" x14ac:dyDescent="0.3">
      <c r="A692" s="3219" t="s">
        <v>690</v>
      </c>
      <c r="B692" s="3220"/>
      <c r="C692" s="3220"/>
      <c r="D692" s="3220"/>
      <c r="E692" s="1387">
        <f>SUM(E690:E691)</f>
        <v>0</v>
      </c>
      <c r="F692" s="1387">
        <f>SUM(F690:F691)</f>
        <v>0</v>
      </c>
      <c r="G692" s="1387">
        <f>SUM(G690:G691)</f>
        <v>0</v>
      </c>
      <c r="H692" s="1391">
        <v>0</v>
      </c>
    </row>
    <row r="693" spans="1:11" s="1292" customFormat="1" ht="14.25" customHeight="1" x14ac:dyDescent="0.25">
      <c r="A693" s="1375"/>
      <c r="B693" s="1371"/>
      <c r="C693" s="1371"/>
      <c r="D693" s="1372"/>
      <c r="E693" s="1398"/>
      <c r="F693" s="1398"/>
      <c r="G693" s="1398"/>
      <c r="H693" s="1372"/>
    </row>
    <row r="694" spans="1:11" ht="15" hidden="1" x14ac:dyDescent="0.25">
      <c r="A694" s="1377" t="s">
        <v>1355</v>
      </c>
    </row>
    <row r="695" spans="1:11" ht="15" hidden="1" x14ac:dyDescent="0.25">
      <c r="A695" s="1377" t="s">
        <v>1356</v>
      </c>
      <c r="H695" s="1459" t="s">
        <v>148</v>
      </c>
    </row>
    <row r="696" spans="1:11" s="1292" customFormat="1" ht="25.5" hidden="1" thickTop="1" thickBot="1" x14ac:dyDescent="0.25">
      <c r="A696" s="1378" t="s">
        <v>149</v>
      </c>
      <c r="B696" s="1379" t="s">
        <v>688</v>
      </c>
      <c r="C696" s="1379" t="s">
        <v>345</v>
      </c>
      <c r="D696" s="1380" t="s">
        <v>151</v>
      </c>
      <c r="E696" s="1402" t="s">
        <v>569</v>
      </c>
      <c r="F696" s="1402" t="s">
        <v>570</v>
      </c>
      <c r="G696" s="1403" t="s">
        <v>797</v>
      </c>
      <c r="H696" s="1404" t="s">
        <v>798</v>
      </c>
    </row>
    <row r="697" spans="1:11" s="1292" customFormat="1" ht="13.5" hidden="1" thickTop="1" thickBot="1" x14ac:dyDescent="0.25">
      <c r="A697" s="1297">
        <v>1</v>
      </c>
      <c r="B697" s="1296">
        <v>2</v>
      </c>
      <c r="C697" s="1296">
        <v>3</v>
      </c>
      <c r="D697" s="1296">
        <v>4</v>
      </c>
      <c r="E697" s="1295">
        <v>5</v>
      </c>
      <c r="F697" s="1295">
        <v>6</v>
      </c>
      <c r="G697" s="1446">
        <v>7</v>
      </c>
      <c r="H697" s="1468" t="s">
        <v>54</v>
      </c>
    </row>
    <row r="698" spans="1:11" s="1292" customFormat="1" ht="15" hidden="1" x14ac:dyDescent="0.2">
      <c r="A698" s="1384">
        <v>4357</v>
      </c>
      <c r="B698" s="1385">
        <v>5137</v>
      </c>
      <c r="C698" s="1385">
        <v>36113003</v>
      </c>
      <c r="D698" s="1405" t="s">
        <v>142</v>
      </c>
      <c r="E698" s="1414"/>
      <c r="F698" s="1414"/>
      <c r="G698" s="1414"/>
      <c r="H698" s="1390" t="e">
        <f t="shared" ref="H698:H703" si="25">G698/F698*100</f>
        <v>#DIV/0!</v>
      </c>
    </row>
    <row r="699" spans="1:11" s="1292" customFormat="1" ht="15" hidden="1" x14ac:dyDescent="0.2">
      <c r="A699" s="1384">
        <v>4357</v>
      </c>
      <c r="B699" s="1385">
        <v>5137</v>
      </c>
      <c r="C699" s="1385">
        <v>36513003</v>
      </c>
      <c r="D699" s="1405"/>
      <c r="E699" s="1414"/>
      <c r="F699" s="1414"/>
      <c r="G699" s="1414"/>
      <c r="H699" s="1390" t="e">
        <f t="shared" si="25"/>
        <v>#DIV/0!</v>
      </c>
    </row>
    <row r="700" spans="1:11" s="1292" customFormat="1" ht="15" hidden="1" x14ac:dyDescent="0.2">
      <c r="A700" s="1384">
        <v>4357</v>
      </c>
      <c r="B700" s="1385">
        <v>6121</v>
      </c>
      <c r="C700" s="1385">
        <v>36100874</v>
      </c>
      <c r="D700" s="1405" t="s">
        <v>548</v>
      </c>
      <c r="E700" s="1414"/>
      <c r="F700" s="1414"/>
      <c r="G700" s="1414"/>
      <c r="H700" s="1390" t="e">
        <f t="shared" si="25"/>
        <v>#DIV/0!</v>
      </c>
      <c r="K700" s="1292">
        <v>207865</v>
      </c>
    </row>
    <row r="701" spans="1:11" s="1292" customFormat="1" ht="15" hidden="1" x14ac:dyDescent="0.2">
      <c r="A701" s="1384">
        <v>4357</v>
      </c>
      <c r="B701" s="1385">
        <v>6121</v>
      </c>
      <c r="C701" s="1385">
        <v>36113899</v>
      </c>
      <c r="D701" s="1405" t="s">
        <v>548</v>
      </c>
      <c r="E701" s="1414"/>
      <c r="F701" s="1414"/>
      <c r="G701" s="1414"/>
      <c r="H701" s="1390" t="e">
        <f t="shared" si="25"/>
        <v>#DIV/0!</v>
      </c>
      <c r="I701" s="1704" t="e">
        <f>E52+E53+E54+E55+E57+E60+E75+E107+E108+E164+E165+E168+E169+E171+E172+E173+E174+#REF!+#REF!+#REF!+E249+E250+E251+E252+E267+E318+E319+E320+E321+#REF!+#REF!+#REF!+#REF!+#REF!+E339+#REF!+E340+E341+E342+#REF!+E343+E344+E345+E346+E347+E348+#REF!+#REF!+#REF!+#REF!+E495+E496+E497+E498+#REF!+#REF!+#REF!+#REF!+#REF!+#REF!+#REF!+#REF!+E690+E698+E699+#REF!+#REF!+#REF!+#REF!</f>
        <v>#REF!</v>
      </c>
      <c r="J701" s="1704" t="e">
        <f>F52+F53+F54+F55+F57+F60+F75+F107+F108+F164+F165+F168+F169+F171+F172+F173+F174+#REF!+#REF!+#REF!+F249+F250+F251+F252+F267+F318+F319+F320+F321+#REF!+#REF!+#REF!+#REF!+#REF!+F339+#REF!+F340+F341+F342+#REF!+F343+F344+F345+F346+F347+F348+#REF!+#REF!+#REF!+#REF!+F495+F496+F497+F498+#REF!+#REF!+#REF!+#REF!+#REF!+#REF!+#REF!+#REF!+F690+F698+F699+#REF!+#REF!+#REF!+#REF!</f>
        <v>#REF!</v>
      </c>
      <c r="K701" s="1704" t="e">
        <f>G52+G53+G54+G55+G57+G60+G75+G107+G108+G164+G165+G168+G169+G171+G172+G173+G174+#REF!+#REF!+#REF!+G249+G250+G251+G252+G267+G318+G319+G320+G321+#REF!+#REF!+#REF!+#REF!+#REF!+G339+#REF!+G340+G341+G342+#REF!+G343+G344+G345+G346+G347+G348+#REF!+#REF!+#REF!+#REF!+G495+G496+G497+G498+#REF!+#REF!+#REF!+#REF!+#REF!+#REF!+#REF!+#REF!+G690+G698+G699+#REF!+#REF!+#REF!+#REF!</f>
        <v>#REF!</v>
      </c>
    </row>
    <row r="702" spans="1:11" s="1292" customFormat="1" ht="15" hidden="1" x14ac:dyDescent="0.2">
      <c r="A702" s="1384">
        <v>4357</v>
      </c>
      <c r="B702" s="1385">
        <v>6121</v>
      </c>
      <c r="C702" s="1385">
        <v>36513899</v>
      </c>
      <c r="D702" s="1405" t="s">
        <v>548</v>
      </c>
      <c r="E702" s="1414"/>
      <c r="F702" s="1414"/>
      <c r="G702" s="1414"/>
      <c r="H702" s="1390" t="e">
        <f t="shared" si="25"/>
        <v>#DIV/0!</v>
      </c>
      <c r="J702" s="1704" t="e">
        <f>F109+F110+F111+F112+F113+F114+F115+F140+#REF!+#REF!+#REF!+#REF!+#REF!+F220+F256+F349+F350+#REF!+#REF!+#REF!+#REF!+#REF!+#REF!+#REF!+F365+F366+F367+#REF!+#REF!+#REF!+F374+F375+F376+F384+F391+F486+F488+F499+#REF!+#REF!+#REF!+#REF!+#REF!+F700+F701+F702</f>
        <v>#REF!</v>
      </c>
      <c r="K702" s="1704" t="e">
        <f>G109+G110+G111+G112+G113+G114+G115+G140+#REF!+#REF!+#REF!+#REF!+#REF!+G220+G256+G349+G350+#REF!+#REF!+#REF!+#REF!+#REF!+#REF!+#REF!+G365+G366+G367+#REF!+#REF!+#REF!+G374+G375+G376+G384+G391+G486+G488+G499+#REF!+#REF!+#REF!+#REF!+#REF!+G700+G701+G702</f>
        <v>#REF!</v>
      </c>
    </row>
    <row r="703" spans="1:11" s="1292" customFormat="1" ht="16.5" hidden="1" thickTop="1" thickBot="1" x14ac:dyDescent="0.3">
      <c r="A703" s="3219" t="s">
        <v>690</v>
      </c>
      <c r="B703" s="3220"/>
      <c r="C703" s="3220"/>
      <c r="D703" s="3220"/>
      <c r="E703" s="1387">
        <f>SUM(E698:E702)</f>
        <v>0</v>
      </c>
      <c r="F703" s="1387">
        <f>SUM(F698:F702)</f>
        <v>0</v>
      </c>
      <c r="G703" s="1387">
        <f>SUM(G698:G702)</f>
        <v>0</v>
      </c>
      <c r="H703" s="1391" t="e">
        <f t="shared" si="25"/>
        <v>#DIV/0!</v>
      </c>
      <c r="J703" s="1704" t="e">
        <f>F703+F692+#REF!+#REF!+#REF!+F501+F489+F394+F378+F368+F351+F322+F268+F257+F242+F175+F145+F116+F82+F15</f>
        <v>#REF!</v>
      </c>
      <c r="K703" s="1704" t="e">
        <f>G703+G692+#REF!+#REF!+#REF!+G501+G489+G394+G378+G368+G351+G322+G268+G257+G242+G175+G145+G116+G82+G15</f>
        <v>#REF!</v>
      </c>
    </row>
    <row r="704" spans="1:11" s="1292" customFormat="1" ht="14.25" customHeight="1" x14ac:dyDescent="0.25">
      <c r="A704" s="1375"/>
      <c r="B704" s="1371"/>
      <c r="C704" s="1371"/>
      <c r="D704" s="1372"/>
      <c r="E704" s="1398"/>
      <c r="F704" s="1398"/>
      <c r="G704" s="1398"/>
      <c r="H704" s="1372"/>
    </row>
    <row r="705" spans="1:13" s="1292" customFormat="1" ht="14.25" customHeight="1" x14ac:dyDescent="0.25">
      <c r="A705" s="1375"/>
      <c r="B705" s="1371"/>
      <c r="C705" s="1371"/>
      <c r="D705" s="1372"/>
      <c r="E705" s="1398"/>
      <c r="F705" s="1398"/>
      <c r="G705" s="1398"/>
      <c r="H705" s="1372"/>
    </row>
    <row r="706" spans="1:13" s="1292" customFormat="1" ht="13.5" customHeight="1" x14ac:dyDescent="0.25">
      <c r="A706" s="1375"/>
      <c r="B706" s="1371"/>
      <c r="C706" s="1371"/>
      <c r="D706" s="1372"/>
      <c r="E706" s="1398"/>
      <c r="F706" s="1398"/>
      <c r="G706" s="1398"/>
      <c r="H706" s="1372"/>
    </row>
    <row r="707" spans="1:13" s="1292" customFormat="1" ht="6.75" customHeight="1" x14ac:dyDescent="0.25">
      <c r="A707" s="1375"/>
      <c r="B707" s="1371"/>
      <c r="C707" s="1371"/>
      <c r="D707" s="1372"/>
      <c r="E707" s="1398"/>
      <c r="F707" s="1398"/>
      <c r="G707" s="1398"/>
      <c r="H707" s="1372"/>
    </row>
    <row r="708" spans="1:13" ht="6.75" customHeight="1" x14ac:dyDescent="0.2"/>
    <row r="709" spans="1:13" ht="16.5" x14ac:dyDescent="0.25">
      <c r="A709" s="1429" t="s">
        <v>423</v>
      </c>
      <c r="B709" s="1430"/>
      <c r="C709" s="1431"/>
      <c r="D709" s="1432"/>
      <c r="E709" s="1433">
        <f>SUM(E710:E712)</f>
        <v>263958</v>
      </c>
      <c r="F709" s="1433">
        <f>F710+F711+F712+F713</f>
        <v>359168</v>
      </c>
      <c r="G709" s="1433">
        <f>G710+G711+G712+G713</f>
        <v>394659</v>
      </c>
      <c r="H709" s="1452">
        <f>G709/F709*100</f>
        <v>109.88144823592303</v>
      </c>
      <c r="J709" s="1435">
        <f>J710+J711+J712</f>
        <v>263958000</v>
      </c>
      <c r="K709" s="1435">
        <f>K710+K711+K712</f>
        <v>359167686.67000002</v>
      </c>
      <c r="L709" s="1435">
        <f>L710+L711+L712</f>
        <v>394659318.23000002</v>
      </c>
    </row>
    <row r="710" spans="1:13" ht="15" x14ac:dyDescent="0.2">
      <c r="A710" s="1263" t="s">
        <v>242</v>
      </c>
      <c r="B710" s="1265"/>
      <c r="C710" s="1261"/>
      <c r="D710" s="1436"/>
      <c r="E710" s="1264">
        <f>E88+E90+E122+E123+E164+E165+E166+E167+E168+E169+E171+E172+E173+E174+E181+E182+E183+E184+E195+E196+E197+E198+E199+E200+E263+E264+E265+E266+E274+E275+E363+E449+E507+E509+E510+E533+E534+E651+E652+E653+E654</f>
        <v>6170</v>
      </c>
      <c r="F710" s="1264">
        <f>F88+F90+F122+F123+F164+F165+F166+F167+F168+F169+F171+F172+F173+F174+F181+F182+F183+F184+F195+F196+F197+F198+F199+F200+F263+F264+F265+F266+F274+F275+F363+F449+F507+F509+F510+F533+F534+F651+F652+F653+F654</f>
        <v>13657</v>
      </c>
      <c r="G710" s="1264">
        <f>G88+G90+G122+G123+G164+G165+G166+G167+G168+G169+G171+G172+G173+G174+G181+G182+G183+G184+G195+G196+G197+G198+G199+G200+G263+G264+G265+G266+G274+G275+G363+G449+G507+G509+G510+G533+G534+G651+G652+G653+G654+G12-1</f>
        <v>12545</v>
      </c>
      <c r="H710" s="1451">
        <f>G710/F710*100</f>
        <v>91.857655414805592</v>
      </c>
      <c r="J710" s="1437">
        <v>6170000</v>
      </c>
      <c r="K710" s="1437">
        <v>13656994.369999999</v>
      </c>
      <c r="L710" s="1437">
        <f>12546000.66-546.56</f>
        <v>12545454.1</v>
      </c>
      <c r="M710" s="1373"/>
    </row>
    <row r="711" spans="1:13" ht="15" x14ac:dyDescent="0.2">
      <c r="A711" s="1263" t="s">
        <v>243</v>
      </c>
      <c r="B711" s="1262"/>
      <c r="C711" s="1261"/>
      <c r="D711" s="1438"/>
      <c r="E711" s="1264">
        <f>E92+E93+E95+E96+E97+E98+E99+E124+E125+E126+E127+E128+E130+E131+E132+E140+E141+E142+E143+E144+E151+E152+E153+E154+E201+E202+E203+E204+E205+E206+E207+E208+E209+E210+E211+E212+E276+E277+E278+E279+E280+E281+E282+E283+E291+E292+E293+E294+E301+E302+E303+E304+E305+E404+E416+E417+E418+E419+E420+E435+E436+E441+E450+E451+E452+E453+E454+E456+E464+E470+E471+E472+E508+E511+E512+E513+E514+E521+E522+E523+E524+E535+E536+E537+E538+E539+E540+E541+E542+E554+E560+E566+E572+E578+E584+E590+E596+E602+E608+E614+E620+E626+E632+E638+E644+E655+E656+E657+E658+E659+E660+E661+E662</f>
        <v>257788</v>
      </c>
      <c r="F711" s="1264">
        <f>F92+F93+F95+F96+F97+F98+F99+F124+F125+F126+F127+F128+F130+F131+F132+F140+F141+F142+F143+F144+F151+F152+F153+F154+F201+F202+F203+F204+F205+F206+F207+F208+F209+F210+F211+F212+F276+F277+F278+F279+F280+F281+F282+F283+F291+F292+F293+F294+F301+F302+F303+F304+F305+F404+F416+F417+F418+F419+F420+F435+F436+F441+F450+F451+F452+F453+F454+F456+F464+F470+F471+F472+F508+F511+F512+F513+F514+F521+F522+F523+F524+F535+F536+F537+F538+F539+F540+F541+F542+F554+F560+F566+F572+F578+F584+F590+F596+F602+F608+F614+F620+F626+F632+F638+F644+F655+F656+F657+F658+F659+F660+F661+F662</f>
        <v>345511</v>
      </c>
      <c r="G711" s="1264">
        <f>G92+G93+G95+G96+G97+G98+G99+G124+G125+G126+G127+G128+G130+G131+G132+G140+G141+G142+G143+G144+G151+G152+G153+G154+G201+G202+G203+G204+G205+G206+G207+G208+G209+G210+G211+G212+G276+G277+G278+G279+G280+G281+G282+G283+G291+G292+G293+G294+G301+G302+G303+G304+G305+G404+G416+G417+G418+G419+G420+G435+G436+G441+G450+G451+G452+G453+G454+G456+G464+G470+G471+G472+G508+G511+G512+G513+G514+G521+G522+G523+G524+G535+G536+G537+G538+G539+G540+G541+G542+G554+G560+G566+G572+G578+G584+G590+G596+G602+G608+G614+G620+G626+G632+G638+G644+G655+G656+G657+G658+G659+G660+G661+G662</f>
        <v>310833</v>
      </c>
      <c r="H711" s="1451">
        <f>G711/F711*100</f>
        <v>89.96327179163616</v>
      </c>
      <c r="J711" s="1437">
        <v>257788000</v>
      </c>
      <c r="K711" s="1437">
        <v>345510692.30000001</v>
      </c>
      <c r="L711" s="1437">
        <v>310832978.01999998</v>
      </c>
      <c r="M711" s="1373"/>
    </row>
    <row r="712" spans="1:13" ht="15" x14ac:dyDescent="0.2">
      <c r="A712" s="1263" t="s">
        <v>424</v>
      </c>
      <c r="B712" s="1262"/>
      <c r="C712" s="1261"/>
      <c r="D712" s="1438"/>
      <c r="E712" s="1264">
        <f>E14</f>
        <v>0</v>
      </c>
      <c r="F712" s="1264">
        <f>F14</f>
        <v>0</v>
      </c>
      <c r="G712" s="1264">
        <f>G14</f>
        <v>71281</v>
      </c>
      <c r="H712" s="1451">
        <v>0</v>
      </c>
      <c r="J712" s="1437">
        <v>0</v>
      </c>
      <c r="K712" s="1437">
        <v>0</v>
      </c>
      <c r="L712" s="1437">
        <v>71280886.109999999</v>
      </c>
    </row>
    <row r="713" spans="1:13" ht="15" x14ac:dyDescent="0.2">
      <c r="A713" s="1263"/>
      <c r="B713" s="1262"/>
      <c r="C713" s="1261"/>
      <c r="D713" s="1438"/>
      <c r="E713" s="1264"/>
      <c r="F713" s="1264"/>
      <c r="G713" s="1264"/>
      <c r="H713" s="1260"/>
    </row>
    <row r="714" spans="1:13" ht="24" customHeight="1" thickBot="1" x14ac:dyDescent="0.4">
      <c r="A714" s="3148" t="s">
        <v>281</v>
      </c>
      <c r="B714" s="3148"/>
      <c r="C714" s="3148"/>
      <c r="D714" s="3148"/>
      <c r="E714" s="1258">
        <f>SUM(E709)</f>
        <v>263958</v>
      </c>
      <c r="F714" s="1258">
        <f>SUM(F709)</f>
        <v>359168</v>
      </c>
      <c r="G714" s="1258">
        <f>SUM(G709)</f>
        <v>394659</v>
      </c>
      <c r="H714" s="1257">
        <f>(G714/F714)*100</f>
        <v>109.88144823592303</v>
      </c>
    </row>
    <row r="715" spans="1:13" ht="13.5" thickTop="1" x14ac:dyDescent="0.2"/>
  </sheetData>
  <mergeCells count="72">
    <mergeCell ref="A641:H641"/>
    <mergeCell ref="A645:D645"/>
    <mergeCell ref="A663:D663"/>
    <mergeCell ref="A623:H623"/>
    <mergeCell ref="A627:D627"/>
    <mergeCell ref="A629:H629"/>
    <mergeCell ref="A633:D633"/>
    <mergeCell ref="A635:H635"/>
    <mergeCell ref="A639:D639"/>
    <mergeCell ref="A609:D609"/>
    <mergeCell ref="A611:H611"/>
    <mergeCell ref="A615:D615"/>
    <mergeCell ref="A617:H617"/>
    <mergeCell ref="A621:D621"/>
    <mergeCell ref="A591:D591"/>
    <mergeCell ref="A593:H593"/>
    <mergeCell ref="A597:D597"/>
    <mergeCell ref="A599:H599"/>
    <mergeCell ref="A603:D603"/>
    <mergeCell ref="A605:H605"/>
    <mergeCell ref="A46:D46"/>
    <mergeCell ref="A82:D82"/>
    <mergeCell ref="A101:D101"/>
    <mergeCell ref="A116:D116"/>
    <mergeCell ref="A133:D133"/>
    <mergeCell ref="A145:D145"/>
    <mergeCell ref="A295:D295"/>
    <mergeCell ref="A306:D306"/>
    <mergeCell ref="A322:D322"/>
    <mergeCell ref="A333:D333"/>
    <mergeCell ref="A155:D155"/>
    <mergeCell ref="A501:D501"/>
    <mergeCell ref="A515:D515"/>
    <mergeCell ref="A351:D351"/>
    <mergeCell ref="A175:D175"/>
    <mergeCell ref="A1:H1"/>
    <mergeCell ref="A15:D15"/>
    <mergeCell ref="A24:D24"/>
    <mergeCell ref="A32:D32"/>
    <mergeCell ref="A39:D39"/>
    <mergeCell ref="A189:D189"/>
    <mergeCell ref="A213:D213"/>
    <mergeCell ref="A242:D242"/>
    <mergeCell ref="A257:D257"/>
    <mergeCell ref="A268:D268"/>
    <mergeCell ref="A284:D284"/>
    <mergeCell ref="A527:D527"/>
    <mergeCell ref="A368:D368"/>
    <mergeCell ref="A378:D378"/>
    <mergeCell ref="A394:D394"/>
    <mergeCell ref="A410:D410"/>
    <mergeCell ref="A426:D426"/>
    <mergeCell ref="A442:D442"/>
    <mergeCell ref="A458:D458"/>
    <mergeCell ref="A474:D474"/>
    <mergeCell ref="A489:D489"/>
    <mergeCell ref="A587:H587"/>
    <mergeCell ref="A692:D692"/>
    <mergeCell ref="A703:D703"/>
    <mergeCell ref="A714:D714"/>
    <mergeCell ref="A543:D543"/>
    <mergeCell ref="A555:D555"/>
    <mergeCell ref="A561:D561"/>
    <mergeCell ref="A557:H557"/>
    <mergeCell ref="A563:H563"/>
    <mergeCell ref="A567:D567"/>
    <mergeCell ref="A569:H569"/>
    <mergeCell ref="A573:D573"/>
    <mergeCell ref="A575:H575"/>
    <mergeCell ref="A579:D579"/>
    <mergeCell ref="A581:H581"/>
    <mergeCell ref="A585:D585"/>
  </mergeCells>
  <pageMargins left="0.98425196850393704" right="0.78740157480314965" top="0.98425196850393704" bottom="0.98425196850393704" header="0.51181102362204722" footer="0.51181102362204722"/>
  <pageSetup paperSize="9" scale="65" firstPageNumber="142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rowBreaks count="6" manualBreakCount="6">
    <brk id="155" max="7" man="1"/>
    <brk id="268" max="7" man="1"/>
    <brk id="426" max="7" man="1"/>
    <brk id="527" max="7" man="1"/>
    <brk id="592" max="7" man="1"/>
    <brk id="646" max="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50"/>
  <sheetViews>
    <sheetView showGridLines="0"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4.7109375" style="1371" customWidth="1"/>
    <col min="2" max="2" width="6.140625" style="1371" customWidth="1"/>
    <col min="3" max="3" width="9.5703125" style="1371" customWidth="1"/>
    <col min="4" max="4" width="42" style="1372" customWidth="1"/>
    <col min="5" max="5" width="15.42578125" style="1398" customWidth="1"/>
    <col min="6" max="6" width="15.85546875" style="1398" customWidth="1"/>
    <col min="7" max="7" width="14.42578125" style="1398" customWidth="1"/>
    <col min="8" max="8" width="8.140625" style="1372" customWidth="1"/>
    <col min="9" max="9" width="14.28515625" style="1372" bestFit="1" customWidth="1"/>
    <col min="10" max="10" width="9.140625" style="1372"/>
    <col min="11" max="12" width="17.28515625" style="1372" bestFit="1" customWidth="1"/>
    <col min="13" max="256" width="9.140625" style="1372"/>
    <col min="257" max="257" width="4.7109375" style="1372" customWidth="1"/>
    <col min="258" max="258" width="6.140625" style="1372" customWidth="1"/>
    <col min="259" max="259" width="8.7109375" style="1372" customWidth="1"/>
    <col min="260" max="260" width="42" style="1372" customWidth="1"/>
    <col min="261" max="261" width="10.42578125" style="1372" customWidth="1"/>
    <col min="262" max="262" width="15.85546875" style="1372" customWidth="1"/>
    <col min="263" max="263" width="14.42578125" style="1372" customWidth="1"/>
    <col min="264" max="264" width="6.42578125" style="1372" customWidth="1"/>
    <col min="265" max="265" width="14.28515625" style="1372" bestFit="1" customWidth="1"/>
    <col min="266" max="266" width="9.140625" style="1372"/>
    <col min="267" max="268" width="17.28515625" style="1372" bestFit="1" customWidth="1"/>
    <col min="269" max="512" width="9.140625" style="1372"/>
    <col min="513" max="513" width="4.7109375" style="1372" customWidth="1"/>
    <col min="514" max="514" width="6.140625" style="1372" customWidth="1"/>
    <col min="515" max="515" width="8.7109375" style="1372" customWidth="1"/>
    <col min="516" max="516" width="42" style="1372" customWidth="1"/>
    <col min="517" max="517" width="10.42578125" style="1372" customWidth="1"/>
    <col min="518" max="518" width="15.85546875" style="1372" customWidth="1"/>
    <col min="519" max="519" width="14.42578125" style="1372" customWidth="1"/>
    <col min="520" max="520" width="6.42578125" style="1372" customWidth="1"/>
    <col min="521" max="521" width="14.28515625" style="1372" bestFit="1" customWidth="1"/>
    <col min="522" max="522" width="9.140625" style="1372"/>
    <col min="523" max="524" width="17.28515625" style="1372" bestFit="1" customWidth="1"/>
    <col min="525" max="768" width="9.140625" style="1372"/>
    <col min="769" max="769" width="4.7109375" style="1372" customWidth="1"/>
    <col min="770" max="770" width="6.140625" style="1372" customWidth="1"/>
    <col min="771" max="771" width="8.7109375" style="1372" customWidth="1"/>
    <col min="772" max="772" width="42" style="1372" customWidth="1"/>
    <col min="773" max="773" width="10.42578125" style="1372" customWidth="1"/>
    <col min="774" max="774" width="15.85546875" style="1372" customWidth="1"/>
    <col min="775" max="775" width="14.42578125" style="1372" customWidth="1"/>
    <col min="776" max="776" width="6.42578125" style="1372" customWidth="1"/>
    <col min="777" max="777" width="14.28515625" style="1372" bestFit="1" customWidth="1"/>
    <col min="778" max="778" width="9.140625" style="1372"/>
    <col min="779" max="780" width="17.28515625" style="1372" bestFit="1" customWidth="1"/>
    <col min="781" max="1024" width="9.140625" style="1372"/>
    <col min="1025" max="1025" width="4.7109375" style="1372" customWidth="1"/>
    <col min="1026" max="1026" width="6.140625" style="1372" customWidth="1"/>
    <col min="1027" max="1027" width="8.7109375" style="1372" customWidth="1"/>
    <col min="1028" max="1028" width="42" style="1372" customWidth="1"/>
    <col min="1029" max="1029" width="10.42578125" style="1372" customWidth="1"/>
    <col min="1030" max="1030" width="15.85546875" style="1372" customWidth="1"/>
    <col min="1031" max="1031" width="14.42578125" style="1372" customWidth="1"/>
    <col min="1032" max="1032" width="6.42578125" style="1372" customWidth="1"/>
    <col min="1033" max="1033" width="14.28515625" style="1372" bestFit="1" customWidth="1"/>
    <col min="1034" max="1034" width="9.140625" style="1372"/>
    <col min="1035" max="1036" width="17.28515625" style="1372" bestFit="1" customWidth="1"/>
    <col min="1037" max="1280" width="9.140625" style="1372"/>
    <col min="1281" max="1281" width="4.7109375" style="1372" customWidth="1"/>
    <col min="1282" max="1282" width="6.140625" style="1372" customWidth="1"/>
    <col min="1283" max="1283" width="8.7109375" style="1372" customWidth="1"/>
    <col min="1284" max="1284" width="42" style="1372" customWidth="1"/>
    <col min="1285" max="1285" width="10.42578125" style="1372" customWidth="1"/>
    <col min="1286" max="1286" width="15.85546875" style="1372" customWidth="1"/>
    <col min="1287" max="1287" width="14.42578125" style="1372" customWidth="1"/>
    <col min="1288" max="1288" width="6.42578125" style="1372" customWidth="1"/>
    <col min="1289" max="1289" width="14.28515625" style="1372" bestFit="1" customWidth="1"/>
    <col min="1290" max="1290" width="9.140625" style="1372"/>
    <col min="1291" max="1292" width="17.28515625" style="1372" bestFit="1" customWidth="1"/>
    <col min="1293" max="1536" width="9.140625" style="1372"/>
    <col min="1537" max="1537" width="4.7109375" style="1372" customWidth="1"/>
    <col min="1538" max="1538" width="6.140625" style="1372" customWidth="1"/>
    <col min="1539" max="1539" width="8.7109375" style="1372" customWidth="1"/>
    <col min="1540" max="1540" width="42" style="1372" customWidth="1"/>
    <col min="1541" max="1541" width="10.42578125" style="1372" customWidth="1"/>
    <col min="1542" max="1542" width="15.85546875" style="1372" customWidth="1"/>
    <col min="1543" max="1543" width="14.42578125" style="1372" customWidth="1"/>
    <col min="1544" max="1544" width="6.42578125" style="1372" customWidth="1"/>
    <col min="1545" max="1545" width="14.28515625" style="1372" bestFit="1" customWidth="1"/>
    <col min="1546" max="1546" width="9.140625" style="1372"/>
    <col min="1547" max="1548" width="17.28515625" style="1372" bestFit="1" customWidth="1"/>
    <col min="1549" max="1792" width="9.140625" style="1372"/>
    <col min="1793" max="1793" width="4.7109375" style="1372" customWidth="1"/>
    <col min="1794" max="1794" width="6.140625" style="1372" customWidth="1"/>
    <col min="1795" max="1795" width="8.7109375" style="1372" customWidth="1"/>
    <col min="1796" max="1796" width="42" style="1372" customWidth="1"/>
    <col min="1797" max="1797" width="10.42578125" style="1372" customWidth="1"/>
    <col min="1798" max="1798" width="15.85546875" style="1372" customWidth="1"/>
    <col min="1799" max="1799" width="14.42578125" style="1372" customWidth="1"/>
    <col min="1800" max="1800" width="6.42578125" style="1372" customWidth="1"/>
    <col min="1801" max="1801" width="14.28515625" style="1372" bestFit="1" customWidth="1"/>
    <col min="1802" max="1802" width="9.140625" style="1372"/>
    <col min="1803" max="1804" width="17.28515625" style="1372" bestFit="1" customWidth="1"/>
    <col min="1805" max="2048" width="9.140625" style="1372"/>
    <col min="2049" max="2049" width="4.7109375" style="1372" customWidth="1"/>
    <col min="2050" max="2050" width="6.140625" style="1372" customWidth="1"/>
    <col min="2051" max="2051" width="8.7109375" style="1372" customWidth="1"/>
    <col min="2052" max="2052" width="42" style="1372" customWidth="1"/>
    <col min="2053" max="2053" width="10.42578125" style="1372" customWidth="1"/>
    <col min="2054" max="2054" width="15.85546875" style="1372" customWidth="1"/>
    <col min="2055" max="2055" width="14.42578125" style="1372" customWidth="1"/>
    <col min="2056" max="2056" width="6.42578125" style="1372" customWidth="1"/>
    <col min="2057" max="2057" width="14.28515625" style="1372" bestFit="1" customWidth="1"/>
    <col min="2058" max="2058" width="9.140625" style="1372"/>
    <col min="2059" max="2060" width="17.28515625" style="1372" bestFit="1" customWidth="1"/>
    <col min="2061" max="2304" width="9.140625" style="1372"/>
    <col min="2305" max="2305" width="4.7109375" style="1372" customWidth="1"/>
    <col min="2306" max="2306" width="6.140625" style="1372" customWidth="1"/>
    <col min="2307" max="2307" width="8.7109375" style="1372" customWidth="1"/>
    <col min="2308" max="2308" width="42" style="1372" customWidth="1"/>
    <col min="2309" max="2309" width="10.42578125" style="1372" customWidth="1"/>
    <col min="2310" max="2310" width="15.85546875" style="1372" customWidth="1"/>
    <col min="2311" max="2311" width="14.42578125" style="1372" customWidth="1"/>
    <col min="2312" max="2312" width="6.42578125" style="1372" customWidth="1"/>
    <col min="2313" max="2313" width="14.28515625" style="1372" bestFit="1" customWidth="1"/>
    <col min="2314" max="2314" width="9.140625" style="1372"/>
    <col min="2315" max="2316" width="17.28515625" style="1372" bestFit="1" customWidth="1"/>
    <col min="2317" max="2560" width="9.140625" style="1372"/>
    <col min="2561" max="2561" width="4.7109375" style="1372" customWidth="1"/>
    <col min="2562" max="2562" width="6.140625" style="1372" customWidth="1"/>
    <col min="2563" max="2563" width="8.7109375" style="1372" customWidth="1"/>
    <col min="2564" max="2564" width="42" style="1372" customWidth="1"/>
    <col min="2565" max="2565" width="10.42578125" style="1372" customWidth="1"/>
    <col min="2566" max="2566" width="15.85546875" style="1372" customWidth="1"/>
    <col min="2567" max="2567" width="14.42578125" style="1372" customWidth="1"/>
    <col min="2568" max="2568" width="6.42578125" style="1372" customWidth="1"/>
    <col min="2569" max="2569" width="14.28515625" style="1372" bestFit="1" customWidth="1"/>
    <col min="2570" max="2570" width="9.140625" style="1372"/>
    <col min="2571" max="2572" width="17.28515625" style="1372" bestFit="1" customWidth="1"/>
    <col min="2573" max="2816" width="9.140625" style="1372"/>
    <col min="2817" max="2817" width="4.7109375" style="1372" customWidth="1"/>
    <col min="2818" max="2818" width="6.140625" style="1372" customWidth="1"/>
    <col min="2819" max="2819" width="8.7109375" style="1372" customWidth="1"/>
    <col min="2820" max="2820" width="42" style="1372" customWidth="1"/>
    <col min="2821" max="2821" width="10.42578125" style="1372" customWidth="1"/>
    <col min="2822" max="2822" width="15.85546875" style="1372" customWidth="1"/>
    <col min="2823" max="2823" width="14.42578125" style="1372" customWidth="1"/>
    <col min="2824" max="2824" width="6.42578125" style="1372" customWidth="1"/>
    <col min="2825" max="2825" width="14.28515625" style="1372" bestFit="1" customWidth="1"/>
    <col min="2826" max="2826" width="9.140625" style="1372"/>
    <col min="2827" max="2828" width="17.28515625" style="1372" bestFit="1" customWidth="1"/>
    <col min="2829" max="3072" width="9.140625" style="1372"/>
    <col min="3073" max="3073" width="4.7109375" style="1372" customWidth="1"/>
    <col min="3074" max="3074" width="6.140625" style="1372" customWidth="1"/>
    <col min="3075" max="3075" width="8.7109375" style="1372" customWidth="1"/>
    <col min="3076" max="3076" width="42" style="1372" customWidth="1"/>
    <col min="3077" max="3077" width="10.42578125" style="1372" customWidth="1"/>
    <col min="3078" max="3078" width="15.85546875" style="1372" customWidth="1"/>
    <col min="3079" max="3079" width="14.42578125" style="1372" customWidth="1"/>
    <col min="3080" max="3080" width="6.42578125" style="1372" customWidth="1"/>
    <col min="3081" max="3081" width="14.28515625" style="1372" bestFit="1" customWidth="1"/>
    <col min="3082" max="3082" width="9.140625" style="1372"/>
    <col min="3083" max="3084" width="17.28515625" style="1372" bestFit="1" customWidth="1"/>
    <col min="3085" max="3328" width="9.140625" style="1372"/>
    <col min="3329" max="3329" width="4.7109375" style="1372" customWidth="1"/>
    <col min="3330" max="3330" width="6.140625" style="1372" customWidth="1"/>
    <col min="3331" max="3331" width="8.7109375" style="1372" customWidth="1"/>
    <col min="3332" max="3332" width="42" style="1372" customWidth="1"/>
    <col min="3333" max="3333" width="10.42578125" style="1372" customWidth="1"/>
    <col min="3334" max="3334" width="15.85546875" style="1372" customWidth="1"/>
    <col min="3335" max="3335" width="14.42578125" style="1372" customWidth="1"/>
    <col min="3336" max="3336" width="6.42578125" style="1372" customWidth="1"/>
    <col min="3337" max="3337" width="14.28515625" style="1372" bestFit="1" customWidth="1"/>
    <col min="3338" max="3338" width="9.140625" style="1372"/>
    <col min="3339" max="3340" width="17.28515625" style="1372" bestFit="1" customWidth="1"/>
    <col min="3341" max="3584" width="9.140625" style="1372"/>
    <col min="3585" max="3585" width="4.7109375" style="1372" customWidth="1"/>
    <col min="3586" max="3586" width="6.140625" style="1372" customWidth="1"/>
    <col min="3587" max="3587" width="8.7109375" style="1372" customWidth="1"/>
    <col min="3588" max="3588" width="42" style="1372" customWidth="1"/>
    <col min="3589" max="3589" width="10.42578125" style="1372" customWidth="1"/>
    <col min="3590" max="3590" width="15.85546875" style="1372" customWidth="1"/>
    <col min="3591" max="3591" width="14.42578125" style="1372" customWidth="1"/>
    <col min="3592" max="3592" width="6.42578125" style="1372" customWidth="1"/>
    <col min="3593" max="3593" width="14.28515625" style="1372" bestFit="1" customWidth="1"/>
    <col min="3594" max="3594" width="9.140625" style="1372"/>
    <col min="3595" max="3596" width="17.28515625" style="1372" bestFit="1" customWidth="1"/>
    <col min="3597" max="3840" width="9.140625" style="1372"/>
    <col min="3841" max="3841" width="4.7109375" style="1372" customWidth="1"/>
    <col min="3842" max="3842" width="6.140625" style="1372" customWidth="1"/>
    <col min="3843" max="3843" width="8.7109375" style="1372" customWidth="1"/>
    <col min="3844" max="3844" width="42" style="1372" customWidth="1"/>
    <col min="3845" max="3845" width="10.42578125" style="1372" customWidth="1"/>
    <col min="3846" max="3846" width="15.85546875" style="1372" customWidth="1"/>
    <col min="3847" max="3847" width="14.42578125" style="1372" customWidth="1"/>
    <col min="3848" max="3848" width="6.42578125" style="1372" customWidth="1"/>
    <col min="3849" max="3849" width="14.28515625" style="1372" bestFit="1" customWidth="1"/>
    <col min="3850" max="3850" width="9.140625" style="1372"/>
    <col min="3851" max="3852" width="17.28515625" style="1372" bestFit="1" customWidth="1"/>
    <col min="3853" max="4096" width="9.140625" style="1372"/>
    <col min="4097" max="4097" width="4.7109375" style="1372" customWidth="1"/>
    <col min="4098" max="4098" width="6.140625" style="1372" customWidth="1"/>
    <col min="4099" max="4099" width="8.7109375" style="1372" customWidth="1"/>
    <col min="4100" max="4100" width="42" style="1372" customWidth="1"/>
    <col min="4101" max="4101" width="10.42578125" style="1372" customWidth="1"/>
    <col min="4102" max="4102" width="15.85546875" style="1372" customWidth="1"/>
    <col min="4103" max="4103" width="14.42578125" style="1372" customWidth="1"/>
    <col min="4104" max="4104" width="6.42578125" style="1372" customWidth="1"/>
    <col min="4105" max="4105" width="14.28515625" style="1372" bestFit="1" customWidth="1"/>
    <col min="4106" max="4106" width="9.140625" style="1372"/>
    <col min="4107" max="4108" width="17.28515625" style="1372" bestFit="1" customWidth="1"/>
    <col min="4109" max="4352" width="9.140625" style="1372"/>
    <col min="4353" max="4353" width="4.7109375" style="1372" customWidth="1"/>
    <col min="4354" max="4354" width="6.140625" style="1372" customWidth="1"/>
    <col min="4355" max="4355" width="8.7109375" style="1372" customWidth="1"/>
    <col min="4356" max="4356" width="42" style="1372" customWidth="1"/>
    <col min="4357" max="4357" width="10.42578125" style="1372" customWidth="1"/>
    <col min="4358" max="4358" width="15.85546875" style="1372" customWidth="1"/>
    <col min="4359" max="4359" width="14.42578125" style="1372" customWidth="1"/>
    <col min="4360" max="4360" width="6.42578125" style="1372" customWidth="1"/>
    <col min="4361" max="4361" width="14.28515625" style="1372" bestFit="1" customWidth="1"/>
    <col min="4362" max="4362" width="9.140625" style="1372"/>
    <col min="4363" max="4364" width="17.28515625" style="1372" bestFit="1" customWidth="1"/>
    <col min="4365" max="4608" width="9.140625" style="1372"/>
    <col min="4609" max="4609" width="4.7109375" style="1372" customWidth="1"/>
    <col min="4610" max="4610" width="6.140625" style="1372" customWidth="1"/>
    <col min="4611" max="4611" width="8.7109375" style="1372" customWidth="1"/>
    <col min="4612" max="4612" width="42" style="1372" customWidth="1"/>
    <col min="4613" max="4613" width="10.42578125" style="1372" customWidth="1"/>
    <col min="4614" max="4614" width="15.85546875" style="1372" customWidth="1"/>
    <col min="4615" max="4615" width="14.42578125" style="1372" customWidth="1"/>
    <col min="4616" max="4616" width="6.42578125" style="1372" customWidth="1"/>
    <col min="4617" max="4617" width="14.28515625" style="1372" bestFit="1" customWidth="1"/>
    <col min="4618" max="4618" width="9.140625" style="1372"/>
    <col min="4619" max="4620" width="17.28515625" style="1372" bestFit="1" customWidth="1"/>
    <col min="4621" max="4864" width="9.140625" style="1372"/>
    <col min="4865" max="4865" width="4.7109375" style="1372" customWidth="1"/>
    <col min="4866" max="4866" width="6.140625" style="1372" customWidth="1"/>
    <col min="4867" max="4867" width="8.7109375" style="1372" customWidth="1"/>
    <col min="4868" max="4868" width="42" style="1372" customWidth="1"/>
    <col min="4869" max="4869" width="10.42578125" style="1372" customWidth="1"/>
    <col min="4870" max="4870" width="15.85546875" style="1372" customWidth="1"/>
    <col min="4871" max="4871" width="14.42578125" style="1372" customWidth="1"/>
    <col min="4872" max="4872" width="6.42578125" style="1372" customWidth="1"/>
    <col min="4873" max="4873" width="14.28515625" style="1372" bestFit="1" customWidth="1"/>
    <col min="4874" max="4874" width="9.140625" style="1372"/>
    <col min="4875" max="4876" width="17.28515625" style="1372" bestFit="1" customWidth="1"/>
    <col min="4877" max="5120" width="9.140625" style="1372"/>
    <col min="5121" max="5121" width="4.7109375" style="1372" customWidth="1"/>
    <col min="5122" max="5122" width="6.140625" style="1372" customWidth="1"/>
    <col min="5123" max="5123" width="8.7109375" style="1372" customWidth="1"/>
    <col min="5124" max="5124" width="42" style="1372" customWidth="1"/>
    <col min="5125" max="5125" width="10.42578125" style="1372" customWidth="1"/>
    <col min="5126" max="5126" width="15.85546875" style="1372" customWidth="1"/>
    <col min="5127" max="5127" width="14.42578125" style="1372" customWidth="1"/>
    <col min="5128" max="5128" width="6.42578125" style="1372" customWidth="1"/>
    <col min="5129" max="5129" width="14.28515625" style="1372" bestFit="1" customWidth="1"/>
    <col min="5130" max="5130" width="9.140625" style="1372"/>
    <col min="5131" max="5132" width="17.28515625" style="1372" bestFit="1" customWidth="1"/>
    <col min="5133" max="5376" width="9.140625" style="1372"/>
    <col min="5377" max="5377" width="4.7109375" style="1372" customWidth="1"/>
    <col min="5378" max="5378" width="6.140625" style="1372" customWidth="1"/>
    <col min="5379" max="5379" width="8.7109375" style="1372" customWidth="1"/>
    <col min="5380" max="5380" width="42" style="1372" customWidth="1"/>
    <col min="5381" max="5381" width="10.42578125" style="1372" customWidth="1"/>
    <col min="5382" max="5382" width="15.85546875" style="1372" customWidth="1"/>
    <col min="5383" max="5383" width="14.42578125" style="1372" customWidth="1"/>
    <col min="5384" max="5384" width="6.42578125" style="1372" customWidth="1"/>
    <col min="5385" max="5385" width="14.28515625" style="1372" bestFit="1" customWidth="1"/>
    <col min="5386" max="5386" width="9.140625" style="1372"/>
    <col min="5387" max="5388" width="17.28515625" style="1372" bestFit="1" customWidth="1"/>
    <col min="5389" max="5632" width="9.140625" style="1372"/>
    <col min="5633" max="5633" width="4.7109375" style="1372" customWidth="1"/>
    <col min="5634" max="5634" width="6.140625" style="1372" customWidth="1"/>
    <col min="5635" max="5635" width="8.7109375" style="1372" customWidth="1"/>
    <col min="5636" max="5636" width="42" style="1372" customWidth="1"/>
    <col min="5637" max="5637" width="10.42578125" style="1372" customWidth="1"/>
    <col min="5638" max="5638" width="15.85546875" style="1372" customWidth="1"/>
    <col min="5639" max="5639" width="14.42578125" style="1372" customWidth="1"/>
    <col min="5640" max="5640" width="6.42578125" style="1372" customWidth="1"/>
    <col min="5641" max="5641" width="14.28515625" style="1372" bestFit="1" customWidth="1"/>
    <col min="5642" max="5642" width="9.140625" style="1372"/>
    <col min="5643" max="5644" width="17.28515625" style="1372" bestFit="1" customWidth="1"/>
    <col min="5645" max="5888" width="9.140625" style="1372"/>
    <col min="5889" max="5889" width="4.7109375" style="1372" customWidth="1"/>
    <col min="5890" max="5890" width="6.140625" style="1372" customWidth="1"/>
    <col min="5891" max="5891" width="8.7109375" style="1372" customWidth="1"/>
    <col min="5892" max="5892" width="42" style="1372" customWidth="1"/>
    <col min="5893" max="5893" width="10.42578125" style="1372" customWidth="1"/>
    <col min="5894" max="5894" width="15.85546875" style="1372" customWidth="1"/>
    <col min="5895" max="5895" width="14.42578125" style="1372" customWidth="1"/>
    <col min="5896" max="5896" width="6.42578125" style="1372" customWidth="1"/>
    <col min="5897" max="5897" width="14.28515625" style="1372" bestFit="1" customWidth="1"/>
    <col min="5898" max="5898" width="9.140625" style="1372"/>
    <col min="5899" max="5900" width="17.28515625" style="1372" bestFit="1" customWidth="1"/>
    <col min="5901" max="6144" width="9.140625" style="1372"/>
    <col min="6145" max="6145" width="4.7109375" style="1372" customWidth="1"/>
    <col min="6146" max="6146" width="6.140625" style="1372" customWidth="1"/>
    <col min="6147" max="6147" width="8.7109375" style="1372" customWidth="1"/>
    <col min="6148" max="6148" width="42" style="1372" customWidth="1"/>
    <col min="6149" max="6149" width="10.42578125" style="1372" customWidth="1"/>
    <col min="6150" max="6150" width="15.85546875" style="1372" customWidth="1"/>
    <col min="6151" max="6151" width="14.42578125" style="1372" customWidth="1"/>
    <col min="6152" max="6152" width="6.42578125" style="1372" customWidth="1"/>
    <col min="6153" max="6153" width="14.28515625" style="1372" bestFit="1" customWidth="1"/>
    <col min="6154" max="6154" width="9.140625" style="1372"/>
    <col min="6155" max="6156" width="17.28515625" style="1372" bestFit="1" customWidth="1"/>
    <col min="6157" max="6400" width="9.140625" style="1372"/>
    <col min="6401" max="6401" width="4.7109375" style="1372" customWidth="1"/>
    <col min="6402" max="6402" width="6.140625" style="1372" customWidth="1"/>
    <col min="6403" max="6403" width="8.7109375" style="1372" customWidth="1"/>
    <col min="6404" max="6404" width="42" style="1372" customWidth="1"/>
    <col min="6405" max="6405" width="10.42578125" style="1372" customWidth="1"/>
    <col min="6406" max="6406" width="15.85546875" style="1372" customWidth="1"/>
    <col min="6407" max="6407" width="14.42578125" style="1372" customWidth="1"/>
    <col min="6408" max="6408" width="6.42578125" style="1372" customWidth="1"/>
    <col min="6409" max="6409" width="14.28515625" style="1372" bestFit="1" customWidth="1"/>
    <col min="6410" max="6410" width="9.140625" style="1372"/>
    <col min="6411" max="6412" width="17.28515625" style="1372" bestFit="1" customWidth="1"/>
    <col min="6413" max="6656" width="9.140625" style="1372"/>
    <col min="6657" max="6657" width="4.7109375" style="1372" customWidth="1"/>
    <col min="6658" max="6658" width="6.140625" style="1372" customWidth="1"/>
    <col min="6659" max="6659" width="8.7109375" style="1372" customWidth="1"/>
    <col min="6660" max="6660" width="42" style="1372" customWidth="1"/>
    <col min="6661" max="6661" width="10.42578125" style="1372" customWidth="1"/>
    <col min="6662" max="6662" width="15.85546875" style="1372" customWidth="1"/>
    <col min="6663" max="6663" width="14.42578125" style="1372" customWidth="1"/>
    <col min="6664" max="6664" width="6.42578125" style="1372" customWidth="1"/>
    <col min="6665" max="6665" width="14.28515625" style="1372" bestFit="1" customWidth="1"/>
    <col min="6666" max="6666" width="9.140625" style="1372"/>
    <col min="6667" max="6668" width="17.28515625" style="1372" bestFit="1" customWidth="1"/>
    <col min="6669" max="6912" width="9.140625" style="1372"/>
    <col min="6913" max="6913" width="4.7109375" style="1372" customWidth="1"/>
    <col min="6914" max="6914" width="6.140625" style="1372" customWidth="1"/>
    <col min="6915" max="6915" width="8.7109375" style="1372" customWidth="1"/>
    <col min="6916" max="6916" width="42" style="1372" customWidth="1"/>
    <col min="6917" max="6917" width="10.42578125" style="1372" customWidth="1"/>
    <col min="6918" max="6918" width="15.85546875" style="1372" customWidth="1"/>
    <col min="6919" max="6919" width="14.42578125" style="1372" customWidth="1"/>
    <col min="6920" max="6920" width="6.42578125" style="1372" customWidth="1"/>
    <col min="6921" max="6921" width="14.28515625" style="1372" bestFit="1" customWidth="1"/>
    <col min="6922" max="6922" width="9.140625" style="1372"/>
    <col min="6923" max="6924" width="17.28515625" style="1372" bestFit="1" customWidth="1"/>
    <col min="6925" max="7168" width="9.140625" style="1372"/>
    <col min="7169" max="7169" width="4.7109375" style="1372" customWidth="1"/>
    <col min="7170" max="7170" width="6.140625" style="1372" customWidth="1"/>
    <col min="7171" max="7171" width="8.7109375" style="1372" customWidth="1"/>
    <col min="7172" max="7172" width="42" style="1372" customWidth="1"/>
    <col min="7173" max="7173" width="10.42578125" style="1372" customWidth="1"/>
    <col min="7174" max="7174" width="15.85546875" style="1372" customWidth="1"/>
    <col min="7175" max="7175" width="14.42578125" style="1372" customWidth="1"/>
    <col min="7176" max="7176" width="6.42578125" style="1372" customWidth="1"/>
    <col min="7177" max="7177" width="14.28515625" style="1372" bestFit="1" customWidth="1"/>
    <col min="7178" max="7178" width="9.140625" style="1372"/>
    <col min="7179" max="7180" width="17.28515625" style="1372" bestFit="1" customWidth="1"/>
    <col min="7181" max="7424" width="9.140625" style="1372"/>
    <col min="7425" max="7425" width="4.7109375" style="1372" customWidth="1"/>
    <col min="7426" max="7426" width="6.140625" style="1372" customWidth="1"/>
    <col min="7427" max="7427" width="8.7109375" style="1372" customWidth="1"/>
    <col min="7428" max="7428" width="42" style="1372" customWidth="1"/>
    <col min="7429" max="7429" width="10.42578125" style="1372" customWidth="1"/>
    <col min="7430" max="7430" width="15.85546875" style="1372" customWidth="1"/>
    <col min="7431" max="7431" width="14.42578125" style="1372" customWidth="1"/>
    <col min="7432" max="7432" width="6.42578125" style="1372" customWidth="1"/>
    <col min="7433" max="7433" width="14.28515625" style="1372" bestFit="1" customWidth="1"/>
    <col min="7434" max="7434" width="9.140625" style="1372"/>
    <col min="7435" max="7436" width="17.28515625" style="1372" bestFit="1" customWidth="1"/>
    <col min="7437" max="7680" width="9.140625" style="1372"/>
    <col min="7681" max="7681" width="4.7109375" style="1372" customWidth="1"/>
    <col min="7682" max="7682" width="6.140625" style="1372" customWidth="1"/>
    <col min="7683" max="7683" width="8.7109375" style="1372" customWidth="1"/>
    <col min="7684" max="7684" width="42" style="1372" customWidth="1"/>
    <col min="7685" max="7685" width="10.42578125" style="1372" customWidth="1"/>
    <col min="7686" max="7686" width="15.85546875" style="1372" customWidth="1"/>
    <col min="7687" max="7687" width="14.42578125" style="1372" customWidth="1"/>
    <col min="7688" max="7688" width="6.42578125" style="1372" customWidth="1"/>
    <col min="7689" max="7689" width="14.28515625" style="1372" bestFit="1" customWidth="1"/>
    <col min="7690" max="7690" width="9.140625" style="1372"/>
    <col min="7691" max="7692" width="17.28515625" style="1372" bestFit="1" customWidth="1"/>
    <col min="7693" max="7936" width="9.140625" style="1372"/>
    <col min="7937" max="7937" width="4.7109375" style="1372" customWidth="1"/>
    <col min="7938" max="7938" width="6.140625" style="1372" customWidth="1"/>
    <col min="7939" max="7939" width="8.7109375" style="1372" customWidth="1"/>
    <col min="7940" max="7940" width="42" style="1372" customWidth="1"/>
    <col min="7941" max="7941" width="10.42578125" style="1372" customWidth="1"/>
    <col min="7942" max="7942" width="15.85546875" style="1372" customWidth="1"/>
    <col min="7943" max="7943" width="14.42578125" style="1372" customWidth="1"/>
    <col min="7944" max="7944" width="6.42578125" style="1372" customWidth="1"/>
    <col min="7945" max="7945" width="14.28515625" style="1372" bestFit="1" customWidth="1"/>
    <col min="7946" max="7946" width="9.140625" style="1372"/>
    <col min="7947" max="7948" width="17.28515625" style="1372" bestFit="1" customWidth="1"/>
    <col min="7949" max="8192" width="9.140625" style="1372"/>
    <col min="8193" max="8193" width="4.7109375" style="1372" customWidth="1"/>
    <col min="8194" max="8194" width="6.140625" style="1372" customWidth="1"/>
    <col min="8195" max="8195" width="8.7109375" style="1372" customWidth="1"/>
    <col min="8196" max="8196" width="42" style="1372" customWidth="1"/>
    <col min="8197" max="8197" width="10.42578125" style="1372" customWidth="1"/>
    <col min="8198" max="8198" width="15.85546875" style="1372" customWidth="1"/>
    <col min="8199" max="8199" width="14.42578125" style="1372" customWidth="1"/>
    <col min="8200" max="8200" width="6.42578125" style="1372" customWidth="1"/>
    <col min="8201" max="8201" width="14.28515625" style="1372" bestFit="1" customWidth="1"/>
    <col min="8202" max="8202" width="9.140625" style="1372"/>
    <col min="8203" max="8204" width="17.28515625" style="1372" bestFit="1" customWidth="1"/>
    <col min="8205" max="8448" width="9.140625" style="1372"/>
    <col min="8449" max="8449" width="4.7109375" style="1372" customWidth="1"/>
    <col min="8450" max="8450" width="6.140625" style="1372" customWidth="1"/>
    <col min="8451" max="8451" width="8.7109375" style="1372" customWidth="1"/>
    <col min="8452" max="8452" width="42" style="1372" customWidth="1"/>
    <col min="8453" max="8453" width="10.42578125" style="1372" customWidth="1"/>
    <col min="8454" max="8454" width="15.85546875" style="1372" customWidth="1"/>
    <col min="8455" max="8455" width="14.42578125" style="1372" customWidth="1"/>
    <col min="8456" max="8456" width="6.42578125" style="1372" customWidth="1"/>
    <col min="8457" max="8457" width="14.28515625" style="1372" bestFit="1" customWidth="1"/>
    <col min="8458" max="8458" width="9.140625" style="1372"/>
    <col min="8459" max="8460" width="17.28515625" style="1372" bestFit="1" customWidth="1"/>
    <col min="8461" max="8704" width="9.140625" style="1372"/>
    <col min="8705" max="8705" width="4.7109375" style="1372" customWidth="1"/>
    <col min="8706" max="8706" width="6.140625" style="1372" customWidth="1"/>
    <col min="8707" max="8707" width="8.7109375" style="1372" customWidth="1"/>
    <col min="8708" max="8708" width="42" style="1372" customWidth="1"/>
    <col min="8709" max="8709" width="10.42578125" style="1372" customWidth="1"/>
    <col min="8710" max="8710" width="15.85546875" style="1372" customWidth="1"/>
    <col min="8711" max="8711" width="14.42578125" style="1372" customWidth="1"/>
    <col min="8712" max="8712" width="6.42578125" style="1372" customWidth="1"/>
    <col min="8713" max="8713" width="14.28515625" style="1372" bestFit="1" customWidth="1"/>
    <col min="8714" max="8714" width="9.140625" style="1372"/>
    <col min="8715" max="8716" width="17.28515625" style="1372" bestFit="1" customWidth="1"/>
    <col min="8717" max="8960" width="9.140625" style="1372"/>
    <col min="8961" max="8961" width="4.7109375" style="1372" customWidth="1"/>
    <col min="8962" max="8962" width="6.140625" style="1372" customWidth="1"/>
    <col min="8963" max="8963" width="8.7109375" style="1372" customWidth="1"/>
    <col min="8964" max="8964" width="42" style="1372" customWidth="1"/>
    <col min="8965" max="8965" width="10.42578125" style="1372" customWidth="1"/>
    <col min="8966" max="8966" width="15.85546875" style="1372" customWidth="1"/>
    <col min="8967" max="8967" width="14.42578125" style="1372" customWidth="1"/>
    <col min="8968" max="8968" width="6.42578125" style="1372" customWidth="1"/>
    <col min="8969" max="8969" width="14.28515625" style="1372" bestFit="1" customWidth="1"/>
    <col min="8970" max="8970" width="9.140625" style="1372"/>
    <col min="8971" max="8972" width="17.28515625" style="1372" bestFit="1" customWidth="1"/>
    <col min="8973" max="9216" width="9.140625" style="1372"/>
    <col min="9217" max="9217" width="4.7109375" style="1372" customWidth="1"/>
    <col min="9218" max="9218" width="6.140625" style="1372" customWidth="1"/>
    <col min="9219" max="9219" width="8.7109375" style="1372" customWidth="1"/>
    <col min="9220" max="9220" width="42" style="1372" customWidth="1"/>
    <col min="9221" max="9221" width="10.42578125" style="1372" customWidth="1"/>
    <col min="9222" max="9222" width="15.85546875" style="1372" customWidth="1"/>
    <col min="9223" max="9223" width="14.42578125" style="1372" customWidth="1"/>
    <col min="9224" max="9224" width="6.42578125" style="1372" customWidth="1"/>
    <col min="9225" max="9225" width="14.28515625" style="1372" bestFit="1" customWidth="1"/>
    <col min="9226" max="9226" width="9.140625" style="1372"/>
    <col min="9227" max="9228" width="17.28515625" style="1372" bestFit="1" customWidth="1"/>
    <col min="9229" max="9472" width="9.140625" style="1372"/>
    <col min="9473" max="9473" width="4.7109375" style="1372" customWidth="1"/>
    <col min="9474" max="9474" width="6.140625" style="1372" customWidth="1"/>
    <col min="9475" max="9475" width="8.7109375" style="1372" customWidth="1"/>
    <col min="9476" max="9476" width="42" style="1372" customWidth="1"/>
    <col min="9477" max="9477" width="10.42578125" style="1372" customWidth="1"/>
    <col min="9478" max="9478" width="15.85546875" style="1372" customWidth="1"/>
    <col min="9479" max="9479" width="14.42578125" style="1372" customWidth="1"/>
    <col min="9480" max="9480" width="6.42578125" style="1372" customWidth="1"/>
    <col min="9481" max="9481" width="14.28515625" style="1372" bestFit="1" customWidth="1"/>
    <col min="9482" max="9482" width="9.140625" style="1372"/>
    <col min="9483" max="9484" width="17.28515625" style="1372" bestFit="1" customWidth="1"/>
    <col min="9485" max="9728" width="9.140625" style="1372"/>
    <col min="9729" max="9729" width="4.7109375" style="1372" customWidth="1"/>
    <col min="9730" max="9730" width="6.140625" style="1372" customWidth="1"/>
    <col min="9731" max="9731" width="8.7109375" style="1372" customWidth="1"/>
    <col min="9732" max="9732" width="42" style="1372" customWidth="1"/>
    <col min="9733" max="9733" width="10.42578125" style="1372" customWidth="1"/>
    <col min="9734" max="9734" width="15.85546875" style="1372" customWidth="1"/>
    <col min="9735" max="9735" width="14.42578125" style="1372" customWidth="1"/>
    <col min="9736" max="9736" width="6.42578125" style="1372" customWidth="1"/>
    <col min="9737" max="9737" width="14.28515625" style="1372" bestFit="1" customWidth="1"/>
    <col min="9738" max="9738" width="9.140625" style="1372"/>
    <col min="9739" max="9740" width="17.28515625" style="1372" bestFit="1" customWidth="1"/>
    <col min="9741" max="9984" width="9.140625" style="1372"/>
    <col min="9985" max="9985" width="4.7109375" style="1372" customWidth="1"/>
    <col min="9986" max="9986" width="6.140625" style="1372" customWidth="1"/>
    <col min="9987" max="9987" width="8.7109375" style="1372" customWidth="1"/>
    <col min="9988" max="9988" width="42" style="1372" customWidth="1"/>
    <col min="9989" max="9989" width="10.42578125" style="1372" customWidth="1"/>
    <col min="9990" max="9990" width="15.85546875" style="1372" customWidth="1"/>
    <col min="9991" max="9991" width="14.42578125" style="1372" customWidth="1"/>
    <col min="9992" max="9992" width="6.42578125" style="1372" customWidth="1"/>
    <col min="9993" max="9993" width="14.28515625" style="1372" bestFit="1" customWidth="1"/>
    <col min="9994" max="9994" width="9.140625" style="1372"/>
    <col min="9995" max="9996" width="17.28515625" style="1372" bestFit="1" customWidth="1"/>
    <col min="9997" max="10240" width="9.140625" style="1372"/>
    <col min="10241" max="10241" width="4.7109375" style="1372" customWidth="1"/>
    <col min="10242" max="10242" width="6.140625" style="1372" customWidth="1"/>
    <col min="10243" max="10243" width="8.7109375" style="1372" customWidth="1"/>
    <col min="10244" max="10244" width="42" style="1372" customWidth="1"/>
    <col min="10245" max="10245" width="10.42578125" style="1372" customWidth="1"/>
    <col min="10246" max="10246" width="15.85546875" style="1372" customWidth="1"/>
    <col min="10247" max="10247" width="14.42578125" style="1372" customWidth="1"/>
    <col min="10248" max="10248" width="6.42578125" style="1372" customWidth="1"/>
    <col min="10249" max="10249" width="14.28515625" style="1372" bestFit="1" customWidth="1"/>
    <col min="10250" max="10250" width="9.140625" style="1372"/>
    <col min="10251" max="10252" width="17.28515625" style="1372" bestFit="1" customWidth="1"/>
    <col min="10253" max="10496" width="9.140625" style="1372"/>
    <col min="10497" max="10497" width="4.7109375" style="1372" customWidth="1"/>
    <col min="10498" max="10498" width="6.140625" style="1372" customWidth="1"/>
    <col min="10499" max="10499" width="8.7109375" style="1372" customWidth="1"/>
    <col min="10500" max="10500" width="42" style="1372" customWidth="1"/>
    <col min="10501" max="10501" width="10.42578125" style="1372" customWidth="1"/>
    <col min="10502" max="10502" width="15.85546875" style="1372" customWidth="1"/>
    <col min="10503" max="10503" width="14.42578125" style="1372" customWidth="1"/>
    <col min="10504" max="10504" width="6.42578125" style="1372" customWidth="1"/>
    <col min="10505" max="10505" width="14.28515625" style="1372" bestFit="1" customWidth="1"/>
    <col min="10506" max="10506" width="9.140625" style="1372"/>
    <col min="10507" max="10508" width="17.28515625" style="1372" bestFit="1" customWidth="1"/>
    <col min="10509" max="10752" width="9.140625" style="1372"/>
    <col min="10753" max="10753" width="4.7109375" style="1372" customWidth="1"/>
    <col min="10754" max="10754" width="6.140625" style="1372" customWidth="1"/>
    <col min="10755" max="10755" width="8.7109375" style="1372" customWidth="1"/>
    <col min="10756" max="10756" width="42" style="1372" customWidth="1"/>
    <col min="10757" max="10757" width="10.42578125" style="1372" customWidth="1"/>
    <col min="10758" max="10758" width="15.85546875" style="1372" customWidth="1"/>
    <col min="10759" max="10759" width="14.42578125" style="1372" customWidth="1"/>
    <col min="10760" max="10760" width="6.42578125" style="1372" customWidth="1"/>
    <col min="10761" max="10761" width="14.28515625" style="1372" bestFit="1" customWidth="1"/>
    <col min="10762" max="10762" width="9.140625" style="1372"/>
    <col min="10763" max="10764" width="17.28515625" style="1372" bestFit="1" customWidth="1"/>
    <col min="10765" max="11008" width="9.140625" style="1372"/>
    <col min="11009" max="11009" width="4.7109375" style="1372" customWidth="1"/>
    <col min="11010" max="11010" width="6.140625" style="1372" customWidth="1"/>
    <col min="11011" max="11011" width="8.7109375" style="1372" customWidth="1"/>
    <col min="11012" max="11012" width="42" style="1372" customWidth="1"/>
    <col min="11013" max="11013" width="10.42578125" style="1372" customWidth="1"/>
    <col min="11014" max="11014" width="15.85546875" style="1372" customWidth="1"/>
    <col min="11015" max="11015" width="14.42578125" style="1372" customWidth="1"/>
    <col min="11016" max="11016" width="6.42578125" style="1372" customWidth="1"/>
    <col min="11017" max="11017" width="14.28515625" style="1372" bestFit="1" customWidth="1"/>
    <col min="11018" max="11018" width="9.140625" style="1372"/>
    <col min="11019" max="11020" width="17.28515625" style="1372" bestFit="1" customWidth="1"/>
    <col min="11021" max="11264" width="9.140625" style="1372"/>
    <col min="11265" max="11265" width="4.7109375" style="1372" customWidth="1"/>
    <col min="11266" max="11266" width="6.140625" style="1372" customWidth="1"/>
    <col min="11267" max="11267" width="8.7109375" style="1372" customWidth="1"/>
    <col min="11268" max="11268" width="42" style="1372" customWidth="1"/>
    <col min="11269" max="11269" width="10.42578125" style="1372" customWidth="1"/>
    <col min="11270" max="11270" width="15.85546875" style="1372" customWidth="1"/>
    <col min="11271" max="11271" width="14.42578125" style="1372" customWidth="1"/>
    <col min="11272" max="11272" width="6.42578125" style="1372" customWidth="1"/>
    <col min="11273" max="11273" width="14.28515625" style="1372" bestFit="1" customWidth="1"/>
    <col min="11274" max="11274" width="9.140625" style="1372"/>
    <col min="11275" max="11276" width="17.28515625" style="1372" bestFit="1" customWidth="1"/>
    <col min="11277" max="11520" width="9.140625" style="1372"/>
    <col min="11521" max="11521" width="4.7109375" style="1372" customWidth="1"/>
    <col min="11522" max="11522" width="6.140625" style="1372" customWidth="1"/>
    <col min="11523" max="11523" width="8.7109375" style="1372" customWidth="1"/>
    <col min="11524" max="11524" width="42" style="1372" customWidth="1"/>
    <col min="11525" max="11525" width="10.42578125" style="1372" customWidth="1"/>
    <col min="11526" max="11526" width="15.85546875" style="1372" customWidth="1"/>
    <col min="11527" max="11527" width="14.42578125" style="1372" customWidth="1"/>
    <col min="11528" max="11528" width="6.42578125" style="1372" customWidth="1"/>
    <col min="11529" max="11529" width="14.28515625" style="1372" bestFit="1" customWidth="1"/>
    <col min="11530" max="11530" width="9.140625" style="1372"/>
    <col min="11531" max="11532" width="17.28515625" style="1372" bestFit="1" customWidth="1"/>
    <col min="11533" max="11776" width="9.140625" style="1372"/>
    <col min="11777" max="11777" width="4.7109375" style="1372" customWidth="1"/>
    <col min="11778" max="11778" width="6.140625" style="1372" customWidth="1"/>
    <col min="11779" max="11779" width="8.7109375" style="1372" customWidth="1"/>
    <col min="11780" max="11780" width="42" style="1372" customWidth="1"/>
    <col min="11781" max="11781" width="10.42578125" style="1372" customWidth="1"/>
    <col min="11782" max="11782" width="15.85546875" style="1372" customWidth="1"/>
    <col min="11783" max="11783" width="14.42578125" style="1372" customWidth="1"/>
    <col min="11784" max="11784" width="6.42578125" style="1372" customWidth="1"/>
    <col min="11785" max="11785" width="14.28515625" style="1372" bestFit="1" customWidth="1"/>
    <col min="11786" max="11786" width="9.140625" style="1372"/>
    <col min="11787" max="11788" width="17.28515625" style="1372" bestFit="1" customWidth="1"/>
    <col min="11789" max="12032" width="9.140625" style="1372"/>
    <col min="12033" max="12033" width="4.7109375" style="1372" customWidth="1"/>
    <col min="12034" max="12034" width="6.140625" style="1372" customWidth="1"/>
    <col min="12035" max="12035" width="8.7109375" style="1372" customWidth="1"/>
    <col min="12036" max="12036" width="42" style="1372" customWidth="1"/>
    <col min="12037" max="12037" width="10.42578125" style="1372" customWidth="1"/>
    <col min="12038" max="12038" width="15.85546875" style="1372" customWidth="1"/>
    <col min="12039" max="12039" width="14.42578125" style="1372" customWidth="1"/>
    <col min="12040" max="12040" width="6.42578125" style="1372" customWidth="1"/>
    <col min="12041" max="12041" width="14.28515625" style="1372" bestFit="1" customWidth="1"/>
    <col min="12042" max="12042" width="9.140625" style="1372"/>
    <col min="12043" max="12044" width="17.28515625" style="1372" bestFit="1" customWidth="1"/>
    <col min="12045" max="12288" width="9.140625" style="1372"/>
    <col min="12289" max="12289" width="4.7109375" style="1372" customWidth="1"/>
    <col min="12290" max="12290" width="6.140625" style="1372" customWidth="1"/>
    <col min="12291" max="12291" width="8.7109375" style="1372" customWidth="1"/>
    <col min="12292" max="12292" width="42" style="1372" customWidth="1"/>
    <col min="12293" max="12293" width="10.42578125" style="1372" customWidth="1"/>
    <col min="12294" max="12294" width="15.85546875" style="1372" customWidth="1"/>
    <col min="12295" max="12295" width="14.42578125" style="1372" customWidth="1"/>
    <col min="12296" max="12296" width="6.42578125" style="1372" customWidth="1"/>
    <col min="12297" max="12297" width="14.28515625" style="1372" bestFit="1" customWidth="1"/>
    <col min="12298" max="12298" width="9.140625" style="1372"/>
    <col min="12299" max="12300" width="17.28515625" style="1372" bestFit="1" customWidth="1"/>
    <col min="12301" max="12544" width="9.140625" style="1372"/>
    <col min="12545" max="12545" width="4.7109375" style="1372" customWidth="1"/>
    <col min="12546" max="12546" width="6.140625" style="1372" customWidth="1"/>
    <col min="12547" max="12547" width="8.7109375" style="1372" customWidth="1"/>
    <col min="12548" max="12548" width="42" style="1372" customWidth="1"/>
    <col min="12549" max="12549" width="10.42578125" style="1372" customWidth="1"/>
    <col min="12550" max="12550" width="15.85546875" style="1372" customWidth="1"/>
    <col min="12551" max="12551" width="14.42578125" style="1372" customWidth="1"/>
    <col min="12552" max="12552" width="6.42578125" style="1372" customWidth="1"/>
    <col min="12553" max="12553" width="14.28515625" style="1372" bestFit="1" customWidth="1"/>
    <col min="12554" max="12554" width="9.140625" style="1372"/>
    <col min="12555" max="12556" width="17.28515625" style="1372" bestFit="1" customWidth="1"/>
    <col min="12557" max="12800" width="9.140625" style="1372"/>
    <col min="12801" max="12801" width="4.7109375" style="1372" customWidth="1"/>
    <col min="12802" max="12802" width="6.140625" style="1372" customWidth="1"/>
    <col min="12803" max="12803" width="8.7109375" style="1372" customWidth="1"/>
    <col min="12804" max="12804" width="42" style="1372" customWidth="1"/>
    <col min="12805" max="12805" width="10.42578125" style="1372" customWidth="1"/>
    <col min="12806" max="12806" width="15.85546875" style="1372" customWidth="1"/>
    <col min="12807" max="12807" width="14.42578125" style="1372" customWidth="1"/>
    <col min="12808" max="12808" width="6.42578125" style="1372" customWidth="1"/>
    <col min="12809" max="12809" width="14.28515625" style="1372" bestFit="1" customWidth="1"/>
    <col min="12810" max="12810" width="9.140625" style="1372"/>
    <col min="12811" max="12812" width="17.28515625" style="1372" bestFit="1" customWidth="1"/>
    <col min="12813" max="13056" width="9.140625" style="1372"/>
    <col min="13057" max="13057" width="4.7109375" style="1372" customWidth="1"/>
    <col min="13058" max="13058" width="6.140625" style="1372" customWidth="1"/>
    <col min="13059" max="13059" width="8.7109375" style="1372" customWidth="1"/>
    <col min="13060" max="13060" width="42" style="1372" customWidth="1"/>
    <col min="13061" max="13061" width="10.42578125" style="1372" customWidth="1"/>
    <col min="13062" max="13062" width="15.85546875" style="1372" customWidth="1"/>
    <col min="13063" max="13063" width="14.42578125" style="1372" customWidth="1"/>
    <col min="13064" max="13064" width="6.42578125" style="1372" customWidth="1"/>
    <col min="13065" max="13065" width="14.28515625" style="1372" bestFit="1" customWidth="1"/>
    <col min="13066" max="13066" width="9.140625" style="1372"/>
    <col min="13067" max="13068" width="17.28515625" style="1372" bestFit="1" customWidth="1"/>
    <col min="13069" max="13312" width="9.140625" style="1372"/>
    <col min="13313" max="13313" width="4.7109375" style="1372" customWidth="1"/>
    <col min="13314" max="13314" width="6.140625" style="1372" customWidth="1"/>
    <col min="13315" max="13315" width="8.7109375" style="1372" customWidth="1"/>
    <col min="13316" max="13316" width="42" style="1372" customWidth="1"/>
    <col min="13317" max="13317" width="10.42578125" style="1372" customWidth="1"/>
    <col min="13318" max="13318" width="15.85546875" style="1372" customWidth="1"/>
    <col min="13319" max="13319" width="14.42578125" style="1372" customWidth="1"/>
    <col min="13320" max="13320" width="6.42578125" style="1372" customWidth="1"/>
    <col min="13321" max="13321" width="14.28515625" style="1372" bestFit="1" customWidth="1"/>
    <col min="13322" max="13322" width="9.140625" style="1372"/>
    <col min="13323" max="13324" width="17.28515625" style="1372" bestFit="1" customWidth="1"/>
    <col min="13325" max="13568" width="9.140625" style="1372"/>
    <col min="13569" max="13569" width="4.7109375" style="1372" customWidth="1"/>
    <col min="13570" max="13570" width="6.140625" style="1372" customWidth="1"/>
    <col min="13571" max="13571" width="8.7109375" style="1372" customWidth="1"/>
    <col min="13572" max="13572" width="42" style="1372" customWidth="1"/>
    <col min="13573" max="13573" width="10.42578125" style="1372" customWidth="1"/>
    <col min="13574" max="13574" width="15.85546875" style="1372" customWidth="1"/>
    <col min="13575" max="13575" width="14.42578125" style="1372" customWidth="1"/>
    <col min="13576" max="13576" width="6.42578125" style="1372" customWidth="1"/>
    <col min="13577" max="13577" width="14.28515625" style="1372" bestFit="1" customWidth="1"/>
    <col min="13578" max="13578" width="9.140625" style="1372"/>
    <col min="13579" max="13580" width="17.28515625" style="1372" bestFit="1" customWidth="1"/>
    <col min="13581" max="13824" width="9.140625" style="1372"/>
    <col min="13825" max="13825" width="4.7109375" style="1372" customWidth="1"/>
    <col min="13826" max="13826" width="6.140625" style="1372" customWidth="1"/>
    <col min="13827" max="13827" width="8.7109375" style="1372" customWidth="1"/>
    <col min="13828" max="13828" width="42" style="1372" customWidth="1"/>
    <col min="13829" max="13829" width="10.42578125" style="1372" customWidth="1"/>
    <col min="13830" max="13830" width="15.85546875" style="1372" customWidth="1"/>
    <col min="13831" max="13831" width="14.42578125" style="1372" customWidth="1"/>
    <col min="13832" max="13832" width="6.42578125" style="1372" customWidth="1"/>
    <col min="13833" max="13833" width="14.28515625" style="1372" bestFit="1" customWidth="1"/>
    <col min="13834" max="13834" width="9.140625" style="1372"/>
    <col min="13835" max="13836" width="17.28515625" style="1372" bestFit="1" customWidth="1"/>
    <col min="13837" max="14080" width="9.140625" style="1372"/>
    <col min="14081" max="14081" width="4.7109375" style="1372" customWidth="1"/>
    <col min="14082" max="14082" width="6.140625" style="1372" customWidth="1"/>
    <col min="14083" max="14083" width="8.7109375" style="1372" customWidth="1"/>
    <col min="14084" max="14084" width="42" style="1372" customWidth="1"/>
    <col min="14085" max="14085" width="10.42578125" style="1372" customWidth="1"/>
    <col min="14086" max="14086" width="15.85546875" style="1372" customWidth="1"/>
    <col min="14087" max="14087" width="14.42578125" style="1372" customWidth="1"/>
    <col min="14088" max="14088" width="6.42578125" style="1372" customWidth="1"/>
    <col min="14089" max="14089" width="14.28515625" style="1372" bestFit="1" customWidth="1"/>
    <col min="14090" max="14090" width="9.140625" style="1372"/>
    <col min="14091" max="14092" width="17.28515625" style="1372" bestFit="1" customWidth="1"/>
    <col min="14093" max="14336" width="9.140625" style="1372"/>
    <col min="14337" max="14337" width="4.7109375" style="1372" customWidth="1"/>
    <col min="14338" max="14338" width="6.140625" style="1372" customWidth="1"/>
    <col min="14339" max="14339" width="8.7109375" style="1372" customWidth="1"/>
    <col min="14340" max="14340" width="42" style="1372" customWidth="1"/>
    <col min="14341" max="14341" width="10.42578125" style="1372" customWidth="1"/>
    <col min="14342" max="14342" width="15.85546875" style="1372" customWidth="1"/>
    <col min="14343" max="14343" width="14.42578125" style="1372" customWidth="1"/>
    <col min="14344" max="14344" width="6.42578125" style="1372" customWidth="1"/>
    <col min="14345" max="14345" width="14.28515625" style="1372" bestFit="1" customWidth="1"/>
    <col min="14346" max="14346" width="9.140625" style="1372"/>
    <col min="14347" max="14348" width="17.28515625" style="1372" bestFit="1" customWidth="1"/>
    <col min="14349" max="14592" width="9.140625" style="1372"/>
    <col min="14593" max="14593" width="4.7109375" style="1372" customWidth="1"/>
    <col min="14594" max="14594" width="6.140625" style="1372" customWidth="1"/>
    <col min="14595" max="14595" width="8.7109375" style="1372" customWidth="1"/>
    <col min="14596" max="14596" width="42" style="1372" customWidth="1"/>
    <col min="14597" max="14597" width="10.42578125" style="1372" customWidth="1"/>
    <col min="14598" max="14598" width="15.85546875" style="1372" customWidth="1"/>
    <col min="14599" max="14599" width="14.42578125" style="1372" customWidth="1"/>
    <col min="14600" max="14600" width="6.42578125" style="1372" customWidth="1"/>
    <col min="14601" max="14601" width="14.28515625" style="1372" bestFit="1" customWidth="1"/>
    <col min="14602" max="14602" width="9.140625" style="1372"/>
    <col min="14603" max="14604" width="17.28515625" style="1372" bestFit="1" customWidth="1"/>
    <col min="14605" max="14848" width="9.140625" style="1372"/>
    <col min="14849" max="14849" width="4.7109375" style="1372" customWidth="1"/>
    <col min="14850" max="14850" width="6.140625" style="1372" customWidth="1"/>
    <col min="14851" max="14851" width="8.7109375" style="1372" customWidth="1"/>
    <col min="14852" max="14852" width="42" style="1372" customWidth="1"/>
    <col min="14853" max="14853" width="10.42578125" style="1372" customWidth="1"/>
    <col min="14854" max="14854" width="15.85546875" style="1372" customWidth="1"/>
    <col min="14855" max="14855" width="14.42578125" style="1372" customWidth="1"/>
    <col min="14856" max="14856" width="6.42578125" style="1372" customWidth="1"/>
    <col min="14857" max="14857" width="14.28515625" style="1372" bestFit="1" customWidth="1"/>
    <col min="14858" max="14858" width="9.140625" style="1372"/>
    <col min="14859" max="14860" width="17.28515625" style="1372" bestFit="1" customWidth="1"/>
    <col min="14861" max="15104" width="9.140625" style="1372"/>
    <col min="15105" max="15105" width="4.7109375" style="1372" customWidth="1"/>
    <col min="15106" max="15106" width="6.140625" style="1372" customWidth="1"/>
    <col min="15107" max="15107" width="8.7109375" style="1372" customWidth="1"/>
    <col min="15108" max="15108" width="42" style="1372" customWidth="1"/>
    <col min="15109" max="15109" width="10.42578125" style="1372" customWidth="1"/>
    <col min="15110" max="15110" width="15.85546875" style="1372" customWidth="1"/>
    <col min="15111" max="15111" width="14.42578125" style="1372" customWidth="1"/>
    <col min="15112" max="15112" width="6.42578125" style="1372" customWidth="1"/>
    <col min="15113" max="15113" width="14.28515625" style="1372" bestFit="1" customWidth="1"/>
    <col min="15114" max="15114" width="9.140625" style="1372"/>
    <col min="15115" max="15116" width="17.28515625" style="1372" bestFit="1" customWidth="1"/>
    <col min="15117" max="15360" width="9.140625" style="1372"/>
    <col min="15361" max="15361" width="4.7109375" style="1372" customWidth="1"/>
    <col min="15362" max="15362" width="6.140625" style="1372" customWidth="1"/>
    <col min="15363" max="15363" width="8.7109375" style="1372" customWidth="1"/>
    <col min="15364" max="15364" width="42" style="1372" customWidth="1"/>
    <col min="15365" max="15365" width="10.42578125" style="1372" customWidth="1"/>
    <col min="15366" max="15366" width="15.85546875" style="1372" customWidth="1"/>
    <col min="15367" max="15367" width="14.42578125" style="1372" customWidth="1"/>
    <col min="15368" max="15368" width="6.42578125" style="1372" customWidth="1"/>
    <col min="15369" max="15369" width="14.28515625" style="1372" bestFit="1" customWidth="1"/>
    <col min="15370" max="15370" width="9.140625" style="1372"/>
    <col min="15371" max="15372" width="17.28515625" style="1372" bestFit="1" customWidth="1"/>
    <col min="15373" max="15616" width="9.140625" style="1372"/>
    <col min="15617" max="15617" width="4.7109375" style="1372" customWidth="1"/>
    <col min="15618" max="15618" width="6.140625" style="1372" customWidth="1"/>
    <col min="15619" max="15619" width="8.7109375" style="1372" customWidth="1"/>
    <col min="15620" max="15620" width="42" style="1372" customWidth="1"/>
    <col min="15621" max="15621" width="10.42578125" style="1372" customWidth="1"/>
    <col min="15622" max="15622" width="15.85546875" style="1372" customWidth="1"/>
    <col min="15623" max="15623" width="14.42578125" style="1372" customWidth="1"/>
    <col min="15624" max="15624" width="6.42578125" style="1372" customWidth="1"/>
    <col min="15625" max="15625" width="14.28515625" style="1372" bestFit="1" customWidth="1"/>
    <col min="15626" max="15626" width="9.140625" style="1372"/>
    <col min="15627" max="15628" width="17.28515625" style="1372" bestFit="1" customWidth="1"/>
    <col min="15629" max="15872" width="9.140625" style="1372"/>
    <col min="15873" max="15873" width="4.7109375" style="1372" customWidth="1"/>
    <col min="15874" max="15874" width="6.140625" style="1372" customWidth="1"/>
    <col min="15875" max="15875" width="8.7109375" style="1372" customWidth="1"/>
    <col min="15876" max="15876" width="42" style="1372" customWidth="1"/>
    <col min="15877" max="15877" width="10.42578125" style="1372" customWidth="1"/>
    <col min="15878" max="15878" width="15.85546875" style="1372" customWidth="1"/>
    <col min="15879" max="15879" width="14.42578125" style="1372" customWidth="1"/>
    <col min="15880" max="15880" width="6.42578125" style="1372" customWidth="1"/>
    <col min="15881" max="15881" width="14.28515625" style="1372" bestFit="1" customWidth="1"/>
    <col min="15882" max="15882" width="9.140625" style="1372"/>
    <col min="15883" max="15884" width="17.28515625" style="1372" bestFit="1" customWidth="1"/>
    <col min="15885" max="16128" width="9.140625" style="1372"/>
    <col min="16129" max="16129" width="4.7109375" style="1372" customWidth="1"/>
    <col min="16130" max="16130" width="6.140625" style="1372" customWidth="1"/>
    <col min="16131" max="16131" width="8.7109375" style="1372" customWidth="1"/>
    <col min="16132" max="16132" width="42" style="1372" customWidth="1"/>
    <col min="16133" max="16133" width="10.42578125" style="1372" customWidth="1"/>
    <col min="16134" max="16134" width="15.85546875" style="1372" customWidth="1"/>
    <col min="16135" max="16135" width="14.42578125" style="1372" customWidth="1"/>
    <col min="16136" max="16136" width="6.42578125" style="1372" customWidth="1"/>
    <col min="16137" max="16137" width="14.28515625" style="1372" bestFit="1" customWidth="1"/>
    <col min="16138" max="16138" width="9.140625" style="1372"/>
    <col min="16139" max="16140" width="17.28515625" style="1372" bestFit="1" customWidth="1"/>
    <col min="16141" max="16384" width="9.140625" style="1372"/>
  </cols>
  <sheetData>
    <row r="1" spans="1:8" ht="19.5" customHeight="1" thickBot="1" x14ac:dyDescent="0.25">
      <c r="A1" s="3221" t="s">
        <v>282</v>
      </c>
      <c r="B1" s="3221"/>
      <c r="C1" s="3221"/>
      <c r="D1" s="3221"/>
      <c r="E1" s="3221"/>
      <c r="F1" s="3221"/>
      <c r="G1" s="3221"/>
      <c r="H1" s="3221"/>
    </row>
    <row r="2" spans="1:8" ht="19.5" customHeight="1" x14ac:dyDescent="0.25">
      <c r="A2" s="1539"/>
      <c r="B2" s="1919"/>
      <c r="C2" s="1919"/>
      <c r="D2" s="1919"/>
      <c r="E2" s="1919"/>
      <c r="F2" s="1919"/>
      <c r="G2" s="1919"/>
      <c r="H2" s="1445" t="s">
        <v>283</v>
      </c>
    </row>
    <row r="3" spans="1:8" ht="19.5" customHeight="1" x14ac:dyDescent="0.2">
      <c r="A3" s="1337" t="s">
        <v>336</v>
      </c>
      <c r="B3" s="1919"/>
      <c r="C3" s="1370" t="s">
        <v>2009</v>
      </c>
      <c r="D3" s="1336"/>
      <c r="E3" s="1919"/>
      <c r="F3" s="1919"/>
      <c r="G3" s="1919"/>
      <c r="H3" s="1919"/>
    </row>
    <row r="4" spans="1:8" ht="19.5" customHeight="1" x14ac:dyDescent="0.25">
      <c r="A4" s="1539"/>
      <c r="B4" s="1919"/>
      <c r="C4" s="1370" t="s">
        <v>1450</v>
      </c>
      <c r="D4" s="1254"/>
      <c r="E4" s="1919"/>
      <c r="F4" s="1919"/>
      <c r="G4" s="1919"/>
      <c r="H4" s="1919"/>
    </row>
    <row r="5" spans="1:8" ht="19.5" hidden="1" customHeight="1" x14ac:dyDescent="0.25">
      <c r="A5" s="1539"/>
      <c r="B5" s="1919"/>
      <c r="C5" s="1370"/>
      <c r="D5" s="1919"/>
      <c r="E5" s="1919"/>
      <c r="F5" s="1919"/>
      <c r="G5" s="1919"/>
      <c r="H5" s="1919"/>
    </row>
    <row r="6" spans="1:8" ht="18" x14ac:dyDescent="0.25">
      <c r="A6" s="1375" t="s">
        <v>284</v>
      </c>
      <c r="B6" s="1400"/>
      <c r="C6" s="1400"/>
      <c r="D6" s="1400"/>
      <c r="E6" s="1400"/>
      <c r="F6" s="1400"/>
      <c r="G6" s="1400"/>
      <c r="H6" s="1445"/>
    </row>
    <row r="7" spans="1:8" ht="18" x14ac:dyDescent="0.25">
      <c r="A7" s="1375"/>
      <c r="B7" s="1400"/>
      <c r="C7" s="1400"/>
      <c r="D7" s="1400"/>
      <c r="E7" s="1400"/>
      <c r="F7" s="1400"/>
      <c r="G7" s="1400"/>
      <c r="H7" s="1445"/>
    </row>
    <row r="8" spans="1:8" ht="18" x14ac:dyDescent="0.25">
      <c r="A8" s="1377" t="s">
        <v>1340</v>
      </c>
      <c r="B8" s="1400"/>
      <c r="C8" s="1400"/>
      <c r="D8" s="1400"/>
      <c r="E8" s="1400"/>
      <c r="F8" s="1400"/>
      <c r="G8" s="1400"/>
      <c r="H8" s="1445"/>
    </row>
    <row r="9" spans="1:8" ht="15.75" thickBot="1" x14ac:dyDescent="0.3">
      <c r="A9" s="1377" t="s">
        <v>1341</v>
      </c>
      <c r="H9" s="1459" t="s">
        <v>148</v>
      </c>
    </row>
    <row r="10" spans="1:8" s="1292" customFormat="1" ht="25.5" thickTop="1" thickBot="1" x14ac:dyDescent="0.25">
      <c r="A10" s="1378" t="s">
        <v>149</v>
      </c>
      <c r="B10" s="1379" t="s">
        <v>688</v>
      </c>
      <c r="C10" s="1379" t="s">
        <v>345</v>
      </c>
      <c r="D10" s="1380" t="s">
        <v>151</v>
      </c>
      <c r="E10" s="1402" t="s">
        <v>569</v>
      </c>
      <c r="F10" s="1402" t="s">
        <v>570</v>
      </c>
      <c r="G10" s="1403" t="s">
        <v>797</v>
      </c>
      <c r="H10" s="1404" t="s">
        <v>798</v>
      </c>
    </row>
    <row r="11" spans="1:8" s="1292" customFormat="1" ht="13.5" thickTop="1" thickBot="1" x14ac:dyDescent="0.25">
      <c r="A11" s="1297">
        <v>1</v>
      </c>
      <c r="B11" s="1296">
        <v>2</v>
      </c>
      <c r="C11" s="1296">
        <v>3</v>
      </c>
      <c r="D11" s="1296">
        <v>4</v>
      </c>
      <c r="E11" s="1295">
        <v>5</v>
      </c>
      <c r="F11" s="1295">
        <v>6</v>
      </c>
      <c r="G11" s="1446">
        <v>7</v>
      </c>
      <c r="H11" s="1468" t="s">
        <v>54</v>
      </c>
    </row>
    <row r="12" spans="1:8" ht="15.75" customHeight="1" thickTop="1" x14ac:dyDescent="0.2">
      <c r="A12" s="1399">
        <v>4344</v>
      </c>
      <c r="B12" s="1386">
        <v>5169</v>
      </c>
      <c r="C12" s="2847" t="s">
        <v>1768</v>
      </c>
      <c r="D12" s="1405" t="s">
        <v>769</v>
      </c>
      <c r="E12" s="1401">
        <v>0</v>
      </c>
      <c r="F12" s="1401">
        <v>264</v>
      </c>
      <c r="G12" s="1401">
        <v>114</v>
      </c>
      <c r="H12" s="1388">
        <f t="shared" ref="H12:H29" si="0">G12/F12*100</f>
        <v>43.18181818181818</v>
      </c>
    </row>
    <row r="13" spans="1:8" ht="15.75" customHeight="1" x14ac:dyDescent="0.2">
      <c r="A13" s="1384">
        <v>4344</v>
      </c>
      <c r="B13" s="1385">
        <v>5169</v>
      </c>
      <c r="C13" s="1531" t="s">
        <v>1769</v>
      </c>
      <c r="D13" s="1405" t="s">
        <v>769</v>
      </c>
      <c r="E13" s="1414">
        <v>0</v>
      </c>
      <c r="F13" s="1414">
        <v>1494</v>
      </c>
      <c r="G13" s="1414">
        <v>643</v>
      </c>
      <c r="H13" s="1390">
        <f t="shared" si="0"/>
        <v>43.038821954484604</v>
      </c>
    </row>
    <row r="14" spans="1:8" ht="15.75" hidden="1" customHeight="1" x14ac:dyDescent="0.2">
      <c r="A14" s="1384">
        <v>4374</v>
      </c>
      <c r="B14" s="1385">
        <v>5169</v>
      </c>
      <c r="C14" s="1531">
        <v>33113233</v>
      </c>
      <c r="D14" s="1405" t="s">
        <v>769</v>
      </c>
      <c r="E14" s="1414"/>
      <c r="F14" s="1414"/>
      <c r="G14" s="1414"/>
      <c r="H14" s="1390" t="e">
        <f t="shared" si="0"/>
        <v>#DIV/0!</v>
      </c>
    </row>
    <row r="15" spans="1:8" ht="15.75" hidden="1" customHeight="1" x14ac:dyDescent="0.2">
      <c r="A15" s="1384">
        <v>4374</v>
      </c>
      <c r="B15" s="1385">
        <v>5169</v>
      </c>
      <c r="C15" s="1531">
        <v>33513233</v>
      </c>
      <c r="D15" s="1405" t="s">
        <v>769</v>
      </c>
      <c r="E15" s="1414"/>
      <c r="F15" s="1414"/>
      <c r="G15" s="1414"/>
      <c r="H15" s="1390" t="e">
        <f t="shared" si="0"/>
        <v>#DIV/0!</v>
      </c>
    </row>
    <row r="16" spans="1:8" ht="15.75" hidden="1" customHeight="1" x14ac:dyDescent="0.2">
      <c r="A16" s="1384">
        <v>4371</v>
      </c>
      <c r="B16" s="1385">
        <v>5169</v>
      </c>
      <c r="C16" s="1531">
        <v>33113233</v>
      </c>
      <c r="D16" s="1405" t="s">
        <v>769</v>
      </c>
      <c r="E16" s="1414"/>
      <c r="F16" s="1414"/>
      <c r="G16" s="1414"/>
      <c r="H16" s="1390" t="e">
        <f t="shared" si="0"/>
        <v>#DIV/0!</v>
      </c>
    </row>
    <row r="17" spans="1:8" ht="15.75" hidden="1" customHeight="1" x14ac:dyDescent="0.2">
      <c r="A17" s="1384">
        <v>4371</v>
      </c>
      <c r="B17" s="1385">
        <v>5169</v>
      </c>
      <c r="C17" s="1531">
        <v>33513233</v>
      </c>
      <c r="D17" s="1405" t="s">
        <v>769</v>
      </c>
      <c r="E17" s="1414"/>
      <c r="F17" s="1414"/>
      <c r="G17" s="1414"/>
      <c r="H17" s="1390" t="e">
        <f t="shared" si="0"/>
        <v>#DIV/0!</v>
      </c>
    </row>
    <row r="18" spans="1:8" ht="15.75" hidden="1" customHeight="1" x14ac:dyDescent="0.2">
      <c r="A18" s="1384">
        <v>4372</v>
      </c>
      <c r="B18" s="1385">
        <v>5169</v>
      </c>
      <c r="C18" s="1531">
        <v>33113233</v>
      </c>
      <c r="D18" s="1405" t="s">
        <v>769</v>
      </c>
      <c r="E18" s="1414"/>
      <c r="F18" s="1414"/>
      <c r="G18" s="1414"/>
      <c r="H18" s="1390" t="e">
        <f t="shared" si="0"/>
        <v>#DIV/0!</v>
      </c>
    </row>
    <row r="19" spans="1:8" ht="15.75" hidden="1" customHeight="1" x14ac:dyDescent="0.2">
      <c r="A19" s="1384">
        <v>4372</v>
      </c>
      <c r="B19" s="1385">
        <v>5169</v>
      </c>
      <c r="C19" s="1531">
        <v>33513233</v>
      </c>
      <c r="D19" s="1405" t="s">
        <v>769</v>
      </c>
      <c r="E19" s="1414"/>
      <c r="F19" s="1414"/>
      <c r="G19" s="1414"/>
      <c r="H19" s="1390" t="e">
        <f t="shared" si="0"/>
        <v>#DIV/0!</v>
      </c>
    </row>
    <row r="20" spans="1:8" ht="15.75" hidden="1" customHeight="1" x14ac:dyDescent="0.2">
      <c r="A20" s="1384">
        <v>4373</v>
      </c>
      <c r="B20" s="1385">
        <v>5169</v>
      </c>
      <c r="C20" s="1531">
        <v>33113233</v>
      </c>
      <c r="D20" s="1405" t="s">
        <v>769</v>
      </c>
      <c r="E20" s="1414"/>
      <c r="F20" s="1414"/>
      <c r="G20" s="1414"/>
      <c r="H20" s="1390" t="e">
        <f t="shared" si="0"/>
        <v>#DIV/0!</v>
      </c>
    </row>
    <row r="21" spans="1:8" ht="15.75" hidden="1" customHeight="1" x14ac:dyDescent="0.2">
      <c r="A21" s="1384">
        <v>4373</v>
      </c>
      <c r="B21" s="1385">
        <v>5169</v>
      </c>
      <c r="C21" s="1531">
        <v>33513233</v>
      </c>
      <c r="D21" s="1405" t="s">
        <v>769</v>
      </c>
      <c r="E21" s="1414"/>
      <c r="F21" s="1414"/>
      <c r="G21" s="1414"/>
      <c r="H21" s="1390" t="e">
        <f t="shared" si="0"/>
        <v>#DIV/0!</v>
      </c>
    </row>
    <row r="22" spans="1:8" ht="15.75" customHeight="1" x14ac:dyDescent="0.2">
      <c r="A22" s="1384">
        <v>4374</v>
      </c>
      <c r="B22" s="1385">
        <v>5169</v>
      </c>
      <c r="C22" s="1531" t="s">
        <v>1768</v>
      </c>
      <c r="D22" s="1405" t="s">
        <v>769</v>
      </c>
      <c r="E22" s="1414">
        <v>0</v>
      </c>
      <c r="F22" s="1414">
        <v>617</v>
      </c>
      <c r="G22" s="1414">
        <v>455</v>
      </c>
      <c r="H22" s="1390">
        <f t="shared" si="0"/>
        <v>73.743922204213945</v>
      </c>
    </row>
    <row r="23" spans="1:8" ht="15.75" customHeight="1" x14ac:dyDescent="0.2">
      <c r="A23" s="1384">
        <v>4374</v>
      </c>
      <c r="B23" s="1385">
        <v>5169</v>
      </c>
      <c r="C23" s="1531" t="s">
        <v>1769</v>
      </c>
      <c r="D23" s="1405" t="s">
        <v>769</v>
      </c>
      <c r="E23" s="1414">
        <v>0</v>
      </c>
      <c r="F23" s="1414">
        <v>3499</v>
      </c>
      <c r="G23" s="1414">
        <v>2577</v>
      </c>
      <c r="H23" s="1390">
        <f t="shared" si="0"/>
        <v>73.649614175478703</v>
      </c>
    </row>
    <row r="24" spans="1:8" ht="15" x14ac:dyDescent="0.2">
      <c r="A24" s="1384">
        <v>4379</v>
      </c>
      <c r="B24" s="1385">
        <v>5136</v>
      </c>
      <c r="C24" s="1531" t="s">
        <v>1768</v>
      </c>
      <c r="D24" s="1405" t="s">
        <v>552</v>
      </c>
      <c r="E24" s="1414">
        <v>0</v>
      </c>
      <c r="F24" s="1414">
        <v>3</v>
      </c>
      <c r="G24" s="1414">
        <v>0</v>
      </c>
      <c r="H24" s="1390">
        <f t="shared" si="0"/>
        <v>0</v>
      </c>
    </row>
    <row r="25" spans="1:8" ht="15" x14ac:dyDescent="0.2">
      <c r="A25" s="1384">
        <v>4379</v>
      </c>
      <c r="B25" s="1385">
        <v>5136</v>
      </c>
      <c r="C25" s="1531" t="s">
        <v>1769</v>
      </c>
      <c r="D25" s="1405" t="s">
        <v>552</v>
      </c>
      <c r="E25" s="1414">
        <v>0</v>
      </c>
      <c r="F25" s="1414">
        <v>20</v>
      </c>
      <c r="G25" s="1414">
        <v>0</v>
      </c>
      <c r="H25" s="1390">
        <f t="shared" si="0"/>
        <v>0</v>
      </c>
    </row>
    <row r="26" spans="1:8" ht="15" x14ac:dyDescent="0.2">
      <c r="A26" s="1384">
        <v>4379</v>
      </c>
      <c r="B26" s="1385">
        <v>5139</v>
      </c>
      <c r="C26" s="1531" t="s">
        <v>1768</v>
      </c>
      <c r="D26" s="1405" t="s">
        <v>566</v>
      </c>
      <c r="E26" s="1414">
        <v>0</v>
      </c>
      <c r="F26" s="1414">
        <v>4</v>
      </c>
      <c r="G26" s="1414">
        <v>3</v>
      </c>
      <c r="H26" s="1390">
        <f t="shared" si="0"/>
        <v>75</v>
      </c>
    </row>
    <row r="27" spans="1:8" ht="15" x14ac:dyDescent="0.2">
      <c r="A27" s="1384">
        <v>4379</v>
      </c>
      <c r="B27" s="1385">
        <v>5139</v>
      </c>
      <c r="C27" s="1531" t="s">
        <v>1769</v>
      </c>
      <c r="D27" s="1405" t="s">
        <v>566</v>
      </c>
      <c r="E27" s="1414">
        <v>0</v>
      </c>
      <c r="F27" s="1414">
        <v>20</v>
      </c>
      <c r="G27" s="1414">
        <v>19</v>
      </c>
      <c r="H27" s="1390">
        <f t="shared" si="0"/>
        <v>95</v>
      </c>
    </row>
    <row r="28" spans="1:8" ht="15.75" customHeight="1" x14ac:dyDescent="0.2">
      <c r="A28" s="1384">
        <v>4379</v>
      </c>
      <c r="B28" s="1385">
        <v>5164</v>
      </c>
      <c r="C28" s="1531" t="s">
        <v>1768</v>
      </c>
      <c r="D28" s="1405" t="s">
        <v>157</v>
      </c>
      <c r="E28" s="1414">
        <v>0</v>
      </c>
      <c r="F28" s="1414">
        <v>3</v>
      </c>
      <c r="G28" s="1414">
        <v>0</v>
      </c>
      <c r="H28" s="1390">
        <f t="shared" si="0"/>
        <v>0</v>
      </c>
    </row>
    <row r="29" spans="1:8" ht="15.75" customHeight="1" x14ac:dyDescent="0.2">
      <c r="A29" s="1384">
        <v>4379</v>
      </c>
      <c r="B29" s="1385">
        <v>5164</v>
      </c>
      <c r="C29" s="1531" t="s">
        <v>1769</v>
      </c>
      <c r="D29" s="1405" t="s">
        <v>157</v>
      </c>
      <c r="E29" s="1414">
        <v>0</v>
      </c>
      <c r="F29" s="1414">
        <v>17</v>
      </c>
      <c r="G29" s="1414">
        <v>0</v>
      </c>
      <c r="H29" s="1390">
        <f t="shared" si="0"/>
        <v>0</v>
      </c>
    </row>
    <row r="30" spans="1:8" ht="15.75" hidden="1" customHeight="1" x14ac:dyDescent="0.2">
      <c r="A30" s="1384">
        <v>4379</v>
      </c>
      <c r="B30" s="1385">
        <v>5137</v>
      </c>
      <c r="C30" s="1531">
        <v>33113233</v>
      </c>
      <c r="D30" s="1405" t="s">
        <v>142</v>
      </c>
      <c r="E30" s="1414"/>
      <c r="F30" s="1414"/>
      <c r="G30" s="1414"/>
      <c r="H30" s="1390">
        <v>0</v>
      </c>
    </row>
    <row r="31" spans="1:8" ht="15.75" hidden="1" customHeight="1" x14ac:dyDescent="0.2">
      <c r="A31" s="1384">
        <v>4379</v>
      </c>
      <c r="B31" s="1385">
        <v>5137</v>
      </c>
      <c r="C31" s="1531">
        <v>33513233</v>
      </c>
      <c r="D31" s="1405" t="s">
        <v>142</v>
      </c>
      <c r="E31" s="1414"/>
      <c r="F31" s="1414"/>
      <c r="G31" s="1414"/>
      <c r="H31" s="1390">
        <v>0</v>
      </c>
    </row>
    <row r="32" spans="1:8" ht="15.75" hidden="1" customHeight="1" x14ac:dyDescent="0.2">
      <c r="A32" s="1384">
        <v>4379</v>
      </c>
      <c r="B32" s="1385">
        <v>5139</v>
      </c>
      <c r="C32" s="1531">
        <v>33113233</v>
      </c>
      <c r="D32" s="1405" t="s">
        <v>692</v>
      </c>
      <c r="E32" s="1414"/>
      <c r="F32" s="1414"/>
      <c r="G32" s="1414"/>
      <c r="H32" s="1390">
        <v>0</v>
      </c>
    </row>
    <row r="33" spans="1:8" ht="15.75" hidden="1" customHeight="1" x14ac:dyDescent="0.2">
      <c r="A33" s="1384">
        <v>4379</v>
      </c>
      <c r="B33" s="1385">
        <v>5139</v>
      </c>
      <c r="C33" s="1531">
        <v>33513233</v>
      </c>
      <c r="D33" s="1405" t="s">
        <v>692</v>
      </c>
      <c r="E33" s="1414"/>
      <c r="F33" s="1414"/>
      <c r="G33" s="1414"/>
      <c r="H33" s="1390" t="e">
        <f>G33/F33*100</f>
        <v>#DIV/0!</v>
      </c>
    </row>
    <row r="34" spans="1:8" ht="15.75" hidden="1" customHeight="1" x14ac:dyDescent="0.2">
      <c r="A34" s="1384">
        <v>4379</v>
      </c>
      <c r="B34" s="1385">
        <v>5163</v>
      </c>
      <c r="C34" s="1531">
        <v>33113233</v>
      </c>
      <c r="D34" s="1405" t="s">
        <v>807</v>
      </c>
      <c r="E34" s="1414"/>
      <c r="F34" s="1414"/>
      <c r="G34" s="1414"/>
      <c r="H34" s="1390">
        <v>0</v>
      </c>
    </row>
    <row r="35" spans="1:8" ht="15.75" hidden="1" customHeight="1" x14ac:dyDescent="0.2">
      <c r="A35" s="1384">
        <v>4379</v>
      </c>
      <c r="B35" s="1385">
        <v>5163</v>
      </c>
      <c r="C35" s="1531">
        <v>33513233</v>
      </c>
      <c r="D35" s="1405" t="s">
        <v>807</v>
      </c>
      <c r="E35" s="1414"/>
      <c r="F35" s="1414"/>
      <c r="G35" s="1414"/>
      <c r="H35" s="1390" t="e">
        <f t="shared" ref="H35:H59" si="1">G35/F35*100</f>
        <v>#DIV/0!</v>
      </c>
    </row>
    <row r="36" spans="1:8" ht="15.75" hidden="1" customHeight="1" x14ac:dyDescent="0.2">
      <c r="A36" s="1384">
        <v>4379</v>
      </c>
      <c r="B36" s="1385">
        <v>5164</v>
      </c>
      <c r="C36" s="1531">
        <v>33113233</v>
      </c>
      <c r="D36" s="1405" t="s">
        <v>157</v>
      </c>
      <c r="E36" s="1414"/>
      <c r="F36" s="1414"/>
      <c r="G36" s="1414"/>
      <c r="H36" s="1390" t="e">
        <f t="shared" si="1"/>
        <v>#DIV/0!</v>
      </c>
    </row>
    <row r="37" spans="1:8" ht="15.75" hidden="1" customHeight="1" x14ac:dyDescent="0.2">
      <c r="A37" s="1384">
        <v>4379</v>
      </c>
      <c r="B37" s="1385">
        <v>5164</v>
      </c>
      <c r="C37" s="1531">
        <v>33513233</v>
      </c>
      <c r="D37" s="1405" t="s">
        <v>157</v>
      </c>
      <c r="E37" s="1414"/>
      <c r="F37" s="1414"/>
      <c r="G37" s="1414"/>
      <c r="H37" s="1390" t="e">
        <f t="shared" si="1"/>
        <v>#DIV/0!</v>
      </c>
    </row>
    <row r="38" spans="1:8" s="1415" customFormat="1" ht="15.75" customHeight="1" x14ac:dyDescent="0.2">
      <c r="A38" s="1463">
        <v>4379</v>
      </c>
      <c r="B38" s="1469">
        <v>5166</v>
      </c>
      <c r="C38" s="1529" t="s">
        <v>1768</v>
      </c>
      <c r="D38" s="1405" t="s">
        <v>553</v>
      </c>
      <c r="E38" s="1414">
        <v>0</v>
      </c>
      <c r="F38" s="1414">
        <v>27</v>
      </c>
      <c r="G38" s="1414">
        <v>12</v>
      </c>
      <c r="H38" s="1390">
        <f t="shared" si="1"/>
        <v>44.444444444444443</v>
      </c>
    </row>
    <row r="39" spans="1:8" s="1415" customFormat="1" ht="15.75" customHeight="1" x14ac:dyDescent="0.2">
      <c r="A39" s="1463">
        <v>4379</v>
      </c>
      <c r="B39" s="1469">
        <v>5166</v>
      </c>
      <c r="C39" s="1529" t="s">
        <v>1769</v>
      </c>
      <c r="D39" s="1405" t="s">
        <v>553</v>
      </c>
      <c r="E39" s="1414">
        <v>0</v>
      </c>
      <c r="F39" s="1414">
        <v>153</v>
      </c>
      <c r="G39" s="1414">
        <v>65</v>
      </c>
      <c r="H39" s="1390">
        <f t="shared" si="1"/>
        <v>42.483660130718953</v>
      </c>
    </row>
    <row r="40" spans="1:8" ht="15.75" customHeight="1" x14ac:dyDescent="0.2">
      <c r="A40" s="1384">
        <v>4379</v>
      </c>
      <c r="B40" s="1385">
        <v>5169</v>
      </c>
      <c r="C40" s="1531" t="s">
        <v>1768</v>
      </c>
      <c r="D40" s="1405" t="s">
        <v>769</v>
      </c>
      <c r="E40" s="1414">
        <v>0</v>
      </c>
      <c r="F40" s="1414">
        <v>61</v>
      </c>
      <c r="G40" s="1414">
        <v>0</v>
      </c>
      <c r="H40" s="1390">
        <f t="shared" si="1"/>
        <v>0</v>
      </c>
    </row>
    <row r="41" spans="1:8" ht="15.75" customHeight="1" x14ac:dyDescent="0.2">
      <c r="A41" s="1384">
        <v>4379</v>
      </c>
      <c r="B41" s="1385">
        <v>5169</v>
      </c>
      <c r="C41" s="1531" t="s">
        <v>1769</v>
      </c>
      <c r="D41" s="1405" t="s">
        <v>769</v>
      </c>
      <c r="E41" s="1414">
        <v>0</v>
      </c>
      <c r="F41" s="1414">
        <v>343</v>
      </c>
      <c r="G41" s="1414">
        <v>0</v>
      </c>
      <c r="H41" s="1390">
        <f t="shared" si="1"/>
        <v>0</v>
      </c>
    </row>
    <row r="42" spans="1:8" ht="15.75" customHeight="1" x14ac:dyDescent="0.2">
      <c r="A42" s="1384">
        <v>4379</v>
      </c>
      <c r="B42" s="1385">
        <v>5175</v>
      </c>
      <c r="C42" s="1531" t="s">
        <v>1768</v>
      </c>
      <c r="D42" s="1405" t="s">
        <v>605</v>
      </c>
      <c r="E42" s="1414">
        <v>0</v>
      </c>
      <c r="F42" s="1414">
        <v>7</v>
      </c>
      <c r="G42" s="1414">
        <v>1</v>
      </c>
      <c r="H42" s="1390">
        <f t="shared" si="1"/>
        <v>14.285714285714285</v>
      </c>
    </row>
    <row r="43" spans="1:8" ht="15.75" customHeight="1" x14ac:dyDescent="0.2">
      <c r="A43" s="1384">
        <v>4379</v>
      </c>
      <c r="B43" s="1385">
        <v>5175</v>
      </c>
      <c r="C43" s="1531" t="s">
        <v>1769</v>
      </c>
      <c r="D43" s="1405" t="s">
        <v>605</v>
      </c>
      <c r="E43" s="1414">
        <v>0</v>
      </c>
      <c r="F43" s="1414">
        <v>43</v>
      </c>
      <c r="G43" s="1414">
        <v>7</v>
      </c>
      <c r="H43" s="1390">
        <f t="shared" si="1"/>
        <v>16.279069767441861</v>
      </c>
    </row>
    <row r="44" spans="1:8" ht="15.75" hidden="1" customHeight="1" x14ac:dyDescent="0.2">
      <c r="A44" s="1384">
        <v>4379</v>
      </c>
      <c r="B44" s="1385">
        <v>5901</v>
      </c>
      <c r="C44" s="1531" t="s">
        <v>1768</v>
      </c>
      <c r="D44" s="1405" t="s">
        <v>547</v>
      </c>
      <c r="E44" s="1414"/>
      <c r="F44" s="1414"/>
      <c r="G44" s="1414"/>
      <c r="H44" s="1390" t="e">
        <f t="shared" si="1"/>
        <v>#DIV/0!</v>
      </c>
    </row>
    <row r="45" spans="1:8" ht="15" hidden="1" x14ac:dyDescent="0.2">
      <c r="A45" s="1384">
        <v>4379</v>
      </c>
      <c r="B45" s="1385">
        <v>5901</v>
      </c>
      <c r="C45" s="1531" t="s">
        <v>1769</v>
      </c>
      <c r="D45" s="1405" t="s">
        <v>1239</v>
      </c>
      <c r="E45" s="1414"/>
      <c r="F45" s="1414"/>
      <c r="G45" s="1414"/>
      <c r="H45" s="1390" t="e">
        <f t="shared" si="1"/>
        <v>#DIV/0!</v>
      </c>
    </row>
    <row r="46" spans="1:8" ht="15.75" customHeight="1" x14ac:dyDescent="0.2">
      <c r="A46" s="1463">
        <v>6172</v>
      </c>
      <c r="B46" s="1469">
        <v>5011</v>
      </c>
      <c r="C46" s="1529" t="s">
        <v>1768</v>
      </c>
      <c r="D46" s="1405" t="s">
        <v>189</v>
      </c>
      <c r="E46" s="1414">
        <v>0</v>
      </c>
      <c r="F46" s="1414">
        <v>27</v>
      </c>
      <c r="G46" s="1414">
        <v>21</v>
      </c>
      <c r="H46" s="1390">
        <f t="shared" si="1"/>
        <v>77.777777777777786</v>
      </c>
    </row>
    <row r="47" spans="1:8" ht="15.75" customHeight="1" x14ac:dyDescent="0.2">
      <c r="A47" s="1463">
        <v>6172</v>
      </c>
      <c r="B47" s="1469">
        <v>5011</v>
      </c>
      <c r="C47" s="1529" t="s">
        <v>1769</v>
      </c>
      <c r="D47" s="1405" t="s">
        <v>189</v>
      </c>
      <c r="E47" s="1414">
        <v>0</v>
      </c>
      <c r="F47" s="1414">
        <v>154</v>
      </c>
      <c r="G47" s="1414">
        <v>116</v>
      </c>
      <c r="H47" s="1390">
        <f t="shared" si="1"/>
        <v>75.324675324675326</v>
      </c>
    </row>
    <row r="48" spans="1:8" ht="15.75" customHeight="1" x14ac:dyDescent="0.2">
      <c r="A48" s="1384">
        <v>6172</v>
      </c>
      <c r="B48" s="1385">
        <v>5021</v>
      </c>
      <c r="C48" s="1531" t="s">
        <v>1768</v>
      </c>
      <c r="D48" s="1405" t="s">
        <v>356</v>
      </c>
      <c r="E48" s="1414">
        <v>0</v>
      </c>
      <c r="F48" s="1414">
        <v>5</v>
      </c>
      <c r="G48" s="1414">
        <v>5</v>
      </c>
      <c r="H48" s="1390">
        <f t="shared" si="1"/>
        <v>100</v>
      </c>
    </row>
    <row r="49" spans="1:8" ht="15.75" customHeight="1" x14ac:dyDescent="0.2">
      <c r="A49" s="1384">
        <v>6172</v>
      </c>
      <c r="B49" s="1385">
        <v>5021</v>
      </c>
      <c r="C49" s="1531" t="s">
        <v>1769</v>
      </c>
      <c r="D49" s="1405" t="s">
        <v>356</v>
      </c>
      <c r="E49" s="1414">
        <v>0</v>
      </c>
      <c r="F49" s="1414">
        <v>30</v>
      </c>
      <c r="G49" s="1414">
        <v>28</v>
      </c>
      <c r="H49" s="1390">
        <f t="shared" si="1"/>
        <v>93.333333333333329</v>
      </c>
    </row>
    <row r="50" spans="1:8" s="1415" customFormat="1" ht="45" x14ac:dyDescent="0.2">
      <c r="A50" s="1463">
        <v>6172</v>
      </c>
      <c r="B50" s="1469">
        <v>5031</v>
      </c>
      <c r="C50" s="1529" t="s">
        <v>1768</v>
      </c>
      <c r="D50" s="1405" t="s">
        <v>1165</v>
      </c>
      <c r="E50" s="1414">
        <v>0</v>
      </c>
      <c r="F50" s="1414">
        <v>8</v>
      </c>
      <c r="G50" s="1414">
        <v>7</v>
      </c>
      <c r="H50" s="1390">
        <f t="shared" si="1"/>
        <v>87.5</v>
      </c>
    </row>
    <row r="51" spans="1:8" s="1415" customFormat="1" ht="45" x14ac:dyDescent="0.2">
      <c r="A51" s="1463">
        <v>6172</v>
      </c>
      <c r="B51" s="1469">
        <v>5031</v>
      </c>
      <c r="C51" s="1529" t="s">
        <v>1769</v>
      </c>
      <c r="D51" s="1405" t="s">
        <v>1165</v>
      </c>
      <c r="E51" s="1414">
        <v>0</v>
      </c>
      <c r="F51" s="1414">
        <v>46</v>
      </c>
      <c r="G51" s="1414">
        <v>36</v>
      </c>
      <c r="H51" s="1390">
        <f t="shared" si="1"/>
        <v>78.260869565217391</v>
      </c>
    </row>
    <row r="52" spans="1:8" s="1415" customFormat="1" ht="30" x14ac:dyDescent="0.2">
      <c r="A52" s="1463">
        <v>6172</v>
      </c>
      <c r="B52" s="1469">
        <v>5032</v>
      </c>
      <c r="C52" s="1529" t="s">
        <v>1768</v>
      </c>
      <c r="D52" s="1405" t="s">
        <v>1166</v>
      </c>
      <c r="E52" s="1414">
        <v>0</v>
      </c>
      <c r="F52" s="1414">
        <v>3</v>
      </c>
      <c r="G52" s="1414">
        <v>2</v>
      </c>
      <c r="H52" s="1390">
        <f t="shared" si="1"/>
        <v>66.666666666666657</v>
      </c>
    </row>
    <row r="53" spans="1:8" s="1415" customFormat="1" ht="30" x14ac:dyDescent="0.2">
      <c r="A53" s="1463">
        <v>6172</v>
      </c>
      <c r="B53" s="1469">
        <v>5032</v>
      </c>
      <c r="C53" s="1529" t="s">
        <v>1769</v>
      </c>
      <c r="D53" s="1405" t="s">
        <v>1166</v>
      </c>
      <c r="E53" s="1414">
        <v>0</v>
      </c>
      <c r="F53" s="1705">
        <v>17</v>
      </c>
      <c r="G53" s="1414">
        <v>13</v>
      </c>
      <c r="H53" s="1706">
        <f t="shared" si="1"/>
        <v>76.470588235294116</v>
      </c>
    </row>
    <row r="54" spans="1:8" s="1473" customFormat="1" ht="15" hidden="1" x14ac:dyDescent="0.2">
      <c r="A54" s="1463">
        <v>6172</v>
      </c>
      <c r="B54" s="1469">
        <v>5137</v>
      </c>
      <c r="C54" s="1529">
        <v>33113233</v>
      </c>
      <c r="D54" s="1405" t="s">
        <v>142</v>
      </c>
      <c r="E54" s="1414"/>
      <c r="F54" s="1474"/>
      <c r="G54" s="1705"/>
      <c r="H54" s="1706" t="e">
        <f t="shared" si="1"/>
        <v>#DIV/0!</v>
      </c>
    </row>
    <row r="55" spans="1:8" s="1473" customFormat="1" ht="15" hidden="1" x14ac:dyDescent="0.2">
      <c r="A55" s="1463">
        <v>6172</v>
      </c>
      <c r="B55" s="1469">
        <v>5137</v>
      </c>
      <c r="C55" s="1529">
        <v>33513233</v>
      </c>
      <c r="D55" s="1405" t="s">
        <v>142</v>
      </c>
      <c r="E55" s="1414"/>
      <c r="F55" s="1474"/>
      <c r="G55" s="1705"/>
      <c r="H55" s="1706" t="e">
        <f t="shared" si="1"/>
        <v>#DIV/0!</v>
      </c>
    </row>
    <row r="56" spans="1:8" s="1415" customFormat="1" ht="15" hidden="1" x14ac:dyDescent="0.2">
      <c r="A56" s="1463">
        <v>6172</v>
      </c>
      <c r="B56" s="1471">
        <v>5139</v>
      </c>
      <c r="C56" s="1529" t="s">
        <v>1768</v>
      </c>
      <c r="D56" s="1405" t="s">
        <v>692</v>
      </c>
      <c r="E56" s="1414"/>
      <c r="F56" s="1414"/>
      <c r="G56" s="1705"/>
      <c r="H56" s="1706" t="e">
        <f t="shared" si="1"/>
        <v>#DIV/0!</v>
      </c>
    </row>
    <row r="57" spans="1:8" s="1415" customFormat="1" ht="15" hidden="1" x14ac:dyDescent="0.2">
      <c r="A57" s="1463">
        <v>6172</v>
      </c>
      <c r="B57" s="1471">
        <v>5139</v>
      </c>
      <c r="C57" s="1531" t="s">
        <v>1769</v>
      </c>
      <c r="D57" s="1405" t="s">
        <v>692</v>
      </c>
      <c r="E57" s="1414"/>
      <c r="F57" s="1414"/>
      <c r="G57" s="1705"/>
      <c r="H57" s="1706" t="e">
        <f t="shared" si="1"/>
        <v>#DIV/0!</v>
      </c>
    </row>
    <row r="58" spans="1:8" ht="15" hidden="1" x14ac:dyDescent="0.2">
      <c r="A58" s="1463">
        <v>6172</v>
      </c>
      <c r="B58" s="1471">
        <v>5156</v>
      </c>
      <c r="C58" s="1529">
        <v>33113233</v>
      </c>
      <c r="D58" s="1405" t="s">
        <v>275</v>
      </c>
      <c r="E58" s="1414"/>
      <c r="F58" s="1414"/>
      <c r="G58" s="1705"/>
      <c r="H58" s="1706" t="e">
        <f t="shared" si="1"/>
        <v>#DIV/0!</v>
      </c>
    </row>
    <row r="59" spans="1:8" ht="15" hidden="1" x14ac:dyDescent="0.2">
      <c r="A59" s="1463">
        <v>6172</v>
      </c>
      <c r="B59" s="1471">
        <v>5156</v>
      </c>
      <c r="C59" s="1529">
        <v>33513233</v>
      </c>
      <c r="D59" s="1405" t="s">
        <v>275</v>
      </c>
      <c r="E59" s="1414"/>
      <c r="F59" s="1414"/>
      <c r="G59" s="1705"/>
      <c r="H59" s="1706" t="e">
        <f t="shared" si="1"/>
        <v>#DIV/0!</v>
      </c>
    </row>
    <row r="60" spans="1:8" ht="15.75" customHeight="1" x14ac:dyDescent="0.2">
      <c r="A60" s="1463">
        <v>6172</v>
      </c>
      <c r="B60" s="1469">
        <v>5162</v>
      </c>
      <c r="C60" s="1529" t="s">
        <v>1768</v>
      </c>
      <c r="D60" s="1405" t="s">
        <v>780</v>
      </c>
      <c r="E60" s="1705">
        <v>0</v>
      </c>
      <c r="F60" s="1414">
        <v>0</v>
      </c>
      <c r="G60" s="1705">
        <v>0</v>
      </c>
      <c r="H60" s="1706">
        <v>0</v>
      </c>
    </row>
    <row r="61" spans="1:8" ht="15.75" customHeight="1" x14ac:dyDescent="0.2">
      <c r="A61" s="1463">
        <v>6172</v>
      </c>
      <c r="B61" s="1469">
        <v>5162</v>
      </c>
      <c r="C61" s="1529" t="s">
        <v>1769</v>
      </c>
      <c r="D61" s="1405" t="s">
        <v>780</v>
      </c>
      <c r="E61" s="1414">
        <v>0</v>
      </c>
      <c r="F61" s="1414">
        <v>1</v>
      </c>
      <c r="G61" s="1414">
        <v>0</v>
      </c>
      <c r="H61" s="1390">
        <f>G61/F61*100</f>
        <v>0</v>
      </c>
    </row>
    <row r="62" spans="1:8" ht="15.75" customHeight="1" x14ac:dyDescent="0.2">
      <c r="A62" s="1384">
        <v>6172</v>
      </c>
      <c r="B62" s="1385">
        <v>5173</v>
      </c>
      <c r="C62" s="1531" t="s">
        <v>1768</v>
      </c>
      <c r="D62" s="1405" t="s">
        <v>1038</v>
      </c>
      <c r="E62" s="1414">
        <v>0</v>
      </c>
      <c r="F62" s="1414">
        <v>2</v>
      </c>
      <c r="G62" s="1414">
        <v>0</v>
      </c>
      <c r="H62" s="1390">
        <f>G62/F62*100</f>
        <v>0</v>
      </c>
    </row>
    <row r="63" spans="1:8" ht="15.75" customHeight="1" x14ac:dyDescent="0.2">
      <c r="A63" s="1384">
        <v>6172</v>
      </c>
      <c r="B63" s="1385">
        <v>5173</v>
      </c>
      <c r="C63" s="1531" t="s">
        <v>1769</v>
      </c>
      <c r="D63" s="1405" t="s">
        <v>1038</v>
      </c>
      <c r="E63" s="1414">
        <v>0</v>
      </c>
      <c r="F63" s="1414">
        <v>13</v>
      </c>
      <c r="G63" s="1414">
        <v>0</v>
      </c>
      <c r="H63" s="1390">
        <f>G63/F63*100</f>
        <v>0</v>
      </c>
    </row>
    <row r="64" spans="1:8" s="1415" customFormat="1" ht="15.75" customHeight="1" x14ac:dyDescent="0.2">
      <c r="A64" s="1463">
        <v>6172</v>
      </c>
      <c r="B64" s="1469">
        <v>5424</v>
      </c>
      <c r="C64" s="1529" t="s">
        <v>1768</v>
      </c>
      <c r="D64" s="1405" t="s">
        <v>587</v>
      </c>
      <c r="E64" s="1414">
        <v>0</v>
      </c>
      <c r="F64" s="1414">
        <v>9</v>
      </c>
      <c r="G64" s="1414">
        <v>0</v>
      </c>
      <c r="H64" s="1390">
        <f>G64/F64*100</f>
        <v>0</v>
      </c>
    </row>
    <row r="65" spans="1:12" s="1415" customFormat="1" ht="15.75" customHeight="1" thickBot="1" x14ac:dyDescent="0.25">
      <c r="A65" s="1463">
        <v>6172</v>
      </c>
      <c r="B65" s="1469">
        <v>5424</v>
      </c>
      <c r="C65" s="1529" t="s">
        <v>1769</v>
      </c>
      <c r="D65" s="1405" t="s">
        <v>587</v>
      </c>
      <c r="E65" s="1414">
        <v>0</v>
      </c>
      <c r="F65" s="1414">
        <v>51</v>
      </c>
      <c r="G65" s="1414">
        <v>0</v>
      </c>
      <c r="H65" s="1390">
        <f>G65/F65*100</f>
        <v>0</v>
      </c>
    </row>
    <row r="66" spans="1:12" s="1415" customFormat="1" ht="15.75" hidden="1" customHeight="1" thickBot="1" x14ac:dyDescent="0.25">
      <c r="A66" s="1463">
        <v>6330</v>
      </c>
      <c r="B66" s="1469">
        <v>5345</v>
      </c>
      <c r="C66" s="1470"/>
      <c r="D66" s="1405" t="s">
        <v>693</v>
      </c>
      <c r="E66" s="1414">
        <v>0</v>
      </c>
      <c r="F66" s="1414">
        <v>0</v>
      </c>
      <c r="G66" s="1414">
        <v>0</v>
      </c>
      <c r="H66" s="1396">
        <v>0</v>
      </c>
    </row>
    <row r="67" spans="1:12" s="1397" customFormat="1" ht="16.5" thickTop="1" thickBot="1" x14ac:dyDescent="0.3">
      <c r="A67" s="3219" t="s">
        <v>690</v>
      </c>
      <c r="B67" s="3220"/>
      <c r="C67" s="3220"/>
      <c r="D67" s="3220"/>
      <c r="E67" s="1387">
        <f>SUM(E54:E65,E12:E53)</f>
        <v>0</v>
      </c>
      <c r="F67" s="1387">
        <f>SUM(F54:F66,F12:F53)</f>
        <v>6941</v>
      </c>
      <c r="G67" s="1387">
        <f>SUM(G12:G65)</f>
        <v>4124</v>
      </c>
      <c r="H67" s="1391">
        <f>G67/F67*100</f>
        <v>59.415069874657831</v>
      </c>
      <c r="I67" s="1476"/>
    </row>
    <row r="68" spans="1:12" ht="13.5" thickTop="1" x14ac:dyDescent="0.2">
      <c r="I68" s="1398"/>
      <c r="L68" s="1419"/>
    </row>
    <row r="69" spans="1:12" x14ac:dyDescent="0.2">
      <c r="I69" s="1398"/>
    </row>
    <row r="70" spans="1:12" ht="15" x14ac:dyDescent="0.25">
      <c r="A70" s="1377" t="s">
        <v>1709</v>
      </c>
      <c r="I70" s="1398"/>
    </row>
    <row r="71" spans="1:12" ht="15.75" thickBot="1" x14ac:dyDescent="0.3">
      <c r="A71" s="1377" t="s">
        <v>1710</v>
      </c>
      <c r="H71" s="1459" t="s">
        <v>148</v>
      </c>
      <c r="I71" s="1398"/>
    </row>
    <row r="72" spans="1:12" s="1292" customFormat="1" ht="25.5" thickTop="1" thickBot="1" x14ac:dyDescent="0.25">
      <c r="A72" s="1378" t="s">
        <v>149</v>
      </c>
      <c r="B72" s="1379" t="s">
        <v>688</v>
      </c>
      <c r="C72" s="1379" t="s">
        <v>345</v>
      </c>
      <c r="D72" s="1380" t="s">
        <v>151</v>
      </c>
      <c r="E72" s="1402" t="s">
        <v>569</v>
      </c>
      <c r="F72" s="1402" t="s">
        <v>570</v>
      </c>
      <c r="G72" s="1403" t="s">
        <v>797</v>
      </c>
      <c r="H72" s="1404" t="s">
        <v>798</v>
      </c>
    </row>
    <row r="73" spans="1:12" s="1292" customFormat="1" ht="13.5" thickTop="1" thickBot="1" x14ac:dyDescent="0.25">
      <c r="A73" s="1297">
        <v>1</v>
      </c>
      <c r="B73" s="1296">
        <v>2</v>
      </c>
      <c r="C73" s="1296">
        <v>3</v>
      </c>
      <c r="D73" s="1296">
        <v>4</v>
      </c>
      <c r="E73" s="1295">
        <v>5</v>
      </c>
      <c r="F73" s="1295">
        <v>6</v>
      </c>
      <c r="G73" s="1446">
        <v>7</v>
      </c>
      <c r="H73" s="1468" t="s">
        <v>54</v>
      </c>
    </row>
    <row r="74" spans="1:12" ht="15.75" thickTop="1" x14ac:dyDescent="0.2">
      <c r="A74" s="1384">
        <v>4344</v>
      </c>
      <c r="B74" s="1385">
        <v>5169</v>
      </c>
      <c r="C74" s="1531" t="s">
        <v>1768</v>
      </c>
      <c r="D74" s="1405" t="s">
        <v>769</v>
      </c>
      <c r="E74" s="1414">
        <v>0</v>
      </c>
      <c r="F74" s="1414">
        <v>1136</v>
      </c>
      <c r="G74" s="1414">
        <v>1106</v>
      </c>
      <c r="H74" s="1390">
        <f t="shared" ref="H74:H96" si="2">G74/F74*100</f>
        <v>97.359154929577457</v>
      </c>
    </row>
    <row r="75" spans="1:12" ht="15" x14ac:dyDescent="0.2">
      <c r="A75" s="1384">
        <v>4344</v>
      </c>
      <c r="B75" s="1385">
        <v>5169</v>
      </c>
      <c r="C75" s="1531" t="s">
        <v>1769</v>
      </c>
      <c r="D75" s="1405" t="s">
        <v>769</v>
      </c>
      <c r="E75" s="1414">
        <v>0</v>
      </c>
      <c r="F75" s="1414">
        <v>6435</v>
      </c>
      <c r="G75" s="1414">
        <v>6267</v>
      </c>
      <c r="H75" s="1390">
        <f t="shared" si="2"/>
        <v>97.389277389277382</v>
      </c>
    </row>
    <row r="76" spans="1:12" ht="15" x14ac:dyDescent="0.2">
      <c r="A76" s="1384">
        <v>4374</v>
      </c>
      <c r="B76" s="1385">
        <v>5169</v>
      </c>
      <c r="C76" s="1531" t="s">
        <v>1768</v>
      </c>
      <c r="D76" s="1405" t="s">
        <v>142</v>
      </c>
      <c r="E76" s="1414">
        <v>0</v>
      </c>
      <c r="F76" s="1414">
        <v>4674</v>
      </c>
      <c r="G76" s="1414">
        <v>4668</v>
      </c>
      <c r="H76" s="1390">
        <f t="shared" si="2"/>
        <v>99.871630295250327</v>
      </c>
    </row>
    <row r="77" spans="1:12" ht="15" x14ac:dyDescent="0.2">
      <c r="A77" s="1384">
        <v>4374</v>
      </c>
      <c r="B77" s="1385">
        <v>5169</v>
      </c>
      <c r="C77" s="1531" t="s">
        <v>1769</v>
      </c>
      <c r="D77" s="1405" t="s">
        <v>142</v>
      </c>
      <c r="E77" s="1414">
        <v>0</v>
      </c>
      <c r="F77" s="1414">
        <v>26484</v>
      </c>
      <c r="G77" s="1414">
        <v>26454</v>
      </c>
      <c r="H77" s="1390">
        <f t="shared" si="2"/>
        <v>99.886724059809694</v>
      </c>
    </row>
    <row r="78" spans="1:12" ht="15" x14ac:dyDescent="0.2">
      <c r="A78" s="1384">
        <v>4379</v>
      </c>
      <c r="B78" s="1385">
        <v>5139</v>
      </c>
      <c r="C78" s="1531" t="s">
        <v>1768</v>
      </c>
      <c r="D78" s="1405" t="s">
        <v>156</v>
      </c>
      <c r="E78" s="1414">
        <v>0</v>
      </c>
      <c r="F78" s="1414">
        <v>1</v>
      </c>
      <c r="G78" s="1414">
        <v>1</v>
      </c>
      <c r="H78" s="1390">
        <f t="shared" si="2"/>
        <v>100</v>
      </c>
    </row>
    <row r="79" spans="1:12" ht="15" x14ac:dyDescent="0.2">
      <c r="A79" s="1384">
        <v>4379</v>
      </c>
      <c r="B79" s="1385">
        <v>5139</v>
      </c>
      <c r="C79" s="1531" t="s">
        <v>1769</v>
      </c>
      <c r="D79" s="1405" t="s">
        <v>156</v>
      </c>
      <c r="E79" s="1414">
        <v>0</v>
      </c>
      <c r="F79" s="1414">
        <v>8</v>
      </c>
      <c r="G79" s="1414">
        <v>8</v>
      </c>
      <c r="H79" s="1390">
        <f t="shared" si="2"/>
        <v>100</v>
      </c>
    </row>
    <row r="80" spans="1:12" ht="30" hidden="1" x14ac:dyDescent="0.2">
      <c r="A80" s="1384">
        <v>4379</v>
      </c>
      <c r="B80" s="1385">
        <v>5166</v>
      </c>
      <c r="C80" s="1531" t="s">
        <v>1768</v>
      </c>
      <c r="D80" s="1405" t="s">
        <v>553</v>
      </c>
      <c r="E80" s="1414">
        <v>0</v>
      </c>
      <c r="F80" s="1414"/>
      <c r="G80" s="1414"/>
      <c r="H80" s="1390" t="e">
        <f t="shared" si="2"/>
        <v>#DIV/0!</v>
      </c>
    </row>
    <row r="81" spans="1:8" ht="30" hidden="1" x14ac:dyDescent="0.2">
      <c r="A81" s="1384">
        <v>4379</v>
      </c>
      <c r="B81" s="1385">
        <v>5166</v>
      </c>
      <c r="C81" s="1531" t="s">
        <v>1769</v>
      </c>
      <c r="D81" s="1405" t="s">
        <v>553</v>
      </c>
      <c r="E81" s="1414">
        <v>0</v>
      </c>
      <c r="F81" s="1414"/>
      <c r="G81" s="1414"/>
      <c r="H81" s="1390" t="e">
        <f t="shared" si="2"/>
        <v>#DIV/0!</v>
      </c>
    </row>
    <row r="82" spans="1:8" ht="15" hidden="1" x14ac:dyDescent="0.2">
      <c r="A82" s="1384">
        <v>4379</v>
      </c>
      <c r="B82" s="1385">
        <v>5169</v>
      </c>
      <c r="C82" s="1531" t="s">
        <v>1768</v>
      </c>
      <c r="D82" s="1405" t="s">
        <v>769</v>
      </c>
      <c r="E82" s="1414">
        <v>0</v>
      </c>
      <c r="F82" s="1414"/>
      <c r="G82" s="1414"/>
      <c r="H82" s="1390" t="e">
        <f t="shared" si="2"/>
        <v>#DIV/0!</v>
      </c>
    </row>
    <row r="83" spans="1:8" ht="15" hidden="1" x14ac:dyDescent="0.2">
      <c r="A83" s="1384">
        <v>4379</v>
      </c>
      <c r="B83" s="1385">
        <v>5169</v>
      </c>
      <c r="C83" s="1531" t="s">
        <v>1769</v>
      </c>
      <c r="D83" s="1405" t="s">
        <v>769</v>
      </c>
      <c r="E83" s="1414">
        <v>0</v>
      </c>
      <c r="F83" s="1414"/>
      <c r="G83" s="1414"/>
      <c r="H83" s="1390" t="e">
        <f t="shared" si="2"/>
        <v>#DIV/0!</v>
      </c>
    </row>
    <row r="84" spans="1:8" ht="15" hidden="1" x14ac:dyDescent="0.2">
      <c r="A84" s="1384">
        <v>4379</v>
      </c>
      <c r="B84" s="1385">
        <v>5175</v>
      </c>
      <c r="C84" s="1531" t="s">
        <v>1768</v>
      </c>
      <c r="D84" s="1405" t="s">
        <v>605</v>
      </c>
      <c r="E84" s="1414">
        <v>0</v>
      </c>
      <c r="F84" s="1414"/>
      <c r="G84" s="1414"/>
      <c r="H84" s="1390" t="e">
        <f t="shared" si="2"/>
        <v>#DIV/0!</v>
      </c>
    </row>
    <row r="85" spans="1:8" ht="15" hidden="1" x14ac:dyDescent="0.2">
      <c r="A85" s="1384">
        <v>4379</v>
      </c>
      <c r="B85" s="1385">
        <v>5175</v>
      </c>
      <c r="C85" s="1531" t="s">
        <v>1769</v>
      </c>
      <c r="D85" s="1405" t="s">
        <v>605</v>
      </c>
      <c r="E85" s="1414">
        <v>0</v>
      </c>
      <c r="F85" s="1414"/>
      <c r="G85" s="1414"/>
      <c r="H85" s="1390" t="e">
        <f t="shared" si="2"/>
        <v>#DIV/0!</v>
      </c>
    </row>
    <row r="86" spans="1:8" ht="15" hidden="1" x14ac:dyDescent="0.2">
      <c r="A86" s="1384">
        <v>4379</v>
      </c>
      <c r="B86" s="1385">
        <v>5901</v>
      </c>
      <c r="C86" s="1531" t="s">
        <v>1768</v>
      </c>
      <c r="D86" s="1405" t="s">
        <v>547</v>
      </c>
      <c r="E86" s="1414"/>
      <c r="F86" s="1414"/>
      <c r="G86" s="1414"/>
      <c r="H86" s="1390" t="e">
        <f t="shared" si="2"/>
        <v>#DIV/0!</v>
      </c>
    </row>
    <row r="87" spans="1:8" ht="15" hidden="1" x14ac:dyDescent="0.2">
      <c r="A87" s="1384">
        <v>4379</v>
      </c>
      <c r="B87" s="1385">
        <v>5901</v>
      </c>
      <c r="C87" s="1531" t="s">
        <v>1769</v>
      </c>
      <c r="D87" s="1405" t="s">
        <v>547</v>
      </c>
      <c r="E87" s="1414"/>
      <c r="F87" s="1414"/>
      <c r="G87" s="1414"/>
      <c r="H87" s="1390" t="e">
        <f t="shared" si="2"/>
        <v>#DIV/0!</v>
      </c>
    </row>
    <row r="88" spans="1:8" ht="15" hidden="1" x14ac:dyDescent="0.2">
      <c r="A88" s="1384">
        <v>4379</v>
      </c>
      <c r="B88" s="1385">
        <v>5901</v>
      </c>
      <c r="C88" s="1531" t="s">
        <v>1769</v>
      </c>
      <c r="D88" s="1405" t="s">
        <v>1239</v>
      </c>
      <c r="E88" s="1414">
        <v>0</v>
      </c>
      <c r="F88" s="1414"/>
      <c r="G88" s="1414"/>
      <c r="H88" s="1390" t="e">
        <f t="shared" si="2"/>
        <v>#DIV/0!</v>
      </c>
    </row>
    <row r="89" spans="1:8" ht="15" x14ac:dyDescent="0.2">
      <c r="A89" s="1463">
        <v>6172</v>
      </c>
      <c r="B89" s="1469">
        <v>5011</v>
      </c>
      <c r="C89" s="1529" t="s">
        <v>1768</v>
      </c>
      <c r="D89" s="1405" t="s">
        <v>189</v>
      </c>
      <c r="E89" s="1414">
        <v>0</v>
      </c>
      <c r="F89" s="1414">
        <v>63</v>
      </c>
      <c r="G89" s="1414">
        <v>23</v>
      </c>
      <c r="H89" s="1390">
        <f t="shared" si="2"/>
        <v>36.507936507936506</v>
      </c>
    </row>
    <row r="90" spans="1:8" ht="15" x14ac:dyDescent="0.2">
      <c r="A90" s="1463">
        <v>6172</v>
      </c>
      <c r="B90" s="1469">
        <v>5011</v>
      </c>
      <c r="C90" s="1529" t="s">
        <v>1769</v>
      </c>
      <c r="D90" s="1405" t="s">
        <v>189</v>
      </c>
      <c r="E90" s="1414">
        <v>0</v>
      </c>
      <c r="F90" s="1414">
        <v>355</v>
      </c>
      <c r="G90" s="1414">
        <v>131</v>
      </c>
      <c r="H90" s="1390">
        <f t="shared" si="2"/>
        <v>36.901408450704224</v>
      </c>
    </row>
    <row r="91" spans="1:8" ht="15" x14ac:dyDescent="0.2">
      <c r="A91" s="1384">
        <v>6172</v>
      </c>
      <c r="B91" s="1385">
        <v>5021</v>
      </c>
      <c r="C91" s="1531" t="s">
        <v>1768</v>
      </c>
      <c r="D91" s="1405" t="s">
        <v>356</v>
      </c>
      <c r="E91" s="1414">
        <v>0</v>
      </c>
      <c r="F91" s="1414">
        <v>11</v>
      </c>
      <c r="G91" s="1414">
        <v>9</v>
      </c>
      <c r="H91" s="1390">
        <f t="shared" si="2"/>
        <v>81.818181818181827</v>
      </c>
    </row>
    <row r="92" spans="1:8" ht="15" x14ac:dyDescent="0.2">
      <c r="A92" s="1384">
        <v>6172</v>
      </c>
      <c r="B92" s="1385">
        <v>5021</v>
      </c>
      <c r="C92" s="1531" t="s">
        <v>1769</v>
      </c>
      <c r="D92" s="1405" t="s">
        <v>356</v>
      </c>
      <c r="E92" s="1414">
        <v>0</v>
      </c>
      <c r="F92" s="1414">
        <v>61</v>
      </c>
      <c r="G92" s="1414">
        <v>49</v>
      </c>
      <c r="H92" s="1390">
        <f t="shared" si="2"/>
        <v>80.327868852459019</v>
      </c>
    </row>
    <row r="93" spans="1:8" s="1415" customFormat="1" ht="45" x14ac:dyDescent="0.2">
      <c r="A93" s="1463">
        <v>6172</v>
      </c>
      <c r="B93" s="1469">
        <v>5031</v>
      </c>
      <c r="C93" s="1529" t="s">
        <v>1768</v>
      </c>
      <c r="D93" s="1405" t="s">
        <v>1165</v>
      </c>
      <c r="E93" s="1414">
        <v>0</v>
      </c>
      <c r="F93" s="1414">
        <v>18</v>
      </c>
      <c r="G93" s="1414">
        <v>8</v>
      </c>
      <c r="H93" s="1390">
        <f t="shared" si="2"/>
        <v>44.444444444444443</v>
      </c>
    </row>
    <row r="94" spans="1:8" s="1415" customFormat="1" ht="45" x14ac:dyDescent="0.2">
      <c r="A94" s="1463">
        <v>6172</v>
      </c>
      <c r="B94" s="1469">
        <v>5031</v>
      </c>
      <c r="C94" s="1529" t="s">
        <v>1769</v>
      </c>
      <c r="D94" s="1405" t="s">
        <v>1165</v>
      </c>
      <c r="E94" s="1414">
        <v>0</v>
      </c>
      <c r="F94" s="1414">
        <v>104</v>
      </c>
      <c r="G94" s="1414">
        <v>45</v>
      </c>
      <c r="H94" s="1390">
        <f t="shared" si="2"/>
        <v>43.269230769230774</v>
      </c>
    </row>
    <row r="95" spans="1:8" s="1415" customFormat="1" ht="30" x14ac:dyDescent="0.2">
      <c r="A95" s="1463">
        <v>6172</v>
      </c>
      <c r="B95" s="1469">
        <v>5032</v>
      </c>
      <c r="C95" s="1529" t="s">
        <v>1768</v>
      </c>
      <c r="D95" s="1405" t="s">
        <v>1166</v>
      </c>
      <c r="E95" s="1414">
        <v>0</v>
      </c>
      <c r="F95" s="1414">
        <v>7</v>
      </c>
      <c r="G95" s="1414">
        <v>3</v>
      </c>
      <c r="H95" s="1390">
        <f t="shared" si="2"/>
        <v>42.857142857142854</v>
      </c>
    </row>
    <row r="96" spans="1:8" s="1415" customFormat="1" ht="30" x14ac:dyDescent="0.2">
      <c r="A96" s="1463">
        <v>6172</v>
      </c>
      <c r="B96" s="1469">
        <v>5032</v>
      </c>
      <c r="C96" s="1529" t="s">
        <v>1769</v>
      </c>
      <c r="D96" s="1405" t="s">
        <v>1166</v>
      </c>
      <c r="E96" s="1414">
        <v>0</v>
      </c>
      <c r="F96" s="1414">
        <v>37</v>
      </c>
      <c r="G96" s="1414">
        <v>16</v>
      </c>
      <c r="H96" s="1390">
        <f t="shared" si="2"/>
        <v>43.243243243243242</v>
      </c>
    </row>
    <row r="97" spans="1:12" ht="30" x14ac:dyDescent="0.2">
      <c r="A97" s="1463">
        <v>6172</v>
      </c>
      <c r="B97" s="1469">
        <v>5162</v>
      </c>
      <c r="C97" s="1529" t="s">
        <v>1768</v>
      </c>
      <c r="D97" s="1405" t="s">
        <v>780</v>
      </c>
      <c r="E97" s="1414">
        <v>0</v>
      </c>
      <c r="F97" s="1414">
        <v>0</v>
      </c>
      <c r="G97" s="1414">
        <v>0</v>
      </c>
      <c r="H97" s="1390">
        <v>0</v>
      </c>
    </row>
    <row r="98" spans="1:12" ht="30" x14ac:dyDescent="0.2">
      <c r="A98" s="1463">
        <v>6172</v>
      </c>
      <c r="B98" s="1469">
        <v>5162</v>
      </c>
      <c r="C98" s="1529" t="s">
        <v>1769</v>
      </c>
      <c r="D98" s="1405" t="s">
        <v>780</v>
      </c>
      <c r="E98" s="1414">
        <v>0</v>
      </c>
      <c r="F98" s="1414">
        <v>2</v>
      </c>
      <c r="G98" s="1414">
        <v>0</v>
      </c>
      <c r="H98" s="1390">
        <f t="shared" ref="H98:H103" si="3">G98/F98*100</f>
        <v>0</v>
      </c>
    </row>
    <row r="99" spans="1:12" s="1415" customFormat="1" ht="15" x14ac:dyDescent="0.2">
      <c r="A99" s="1463">
        <v>6172</v>
      </c>
      <c r="B99" s="1469">
        <v>5173</v>
      </c>
      <c r="C99" s="1529" t="s">
        <v>1768</v>
      </c>
      <c r="D99" s="1405" t="s">
        <v>1038</v>
      </c>
      <c r="E99" s="1414">
        <v>0</v>
      </c>
      <c r="F99" s="1414">
        <v>6</v>
      </c>
      <c r="G99" s="1414">
        <v>0</v>
      </c>
      <c r="H99" s="1390">
        <f t="shared" si="3"/>
        <v>0</v>
      </c>
    </row>
    <row r="100" spans="1:12" s="1415" customFormat="1" ht="15" x14ac:dyDescent="0.2">
      <c r="A100" s="1463">
        <v>6172</v>
      </c>
      <c r="B100" s="1469">
        <v>5173</v>
      </c>
      <c r="C100" s="1529" t="s">
        <v>1769</v>
      </c>
      <c r="D100" s="1405" t="s">
        <v>1038</v>
      </c>
      <c r="E100" s="1414">
        <v>0</v>
      </c>
      <c r="F100" s="1414">
        <v>32</v>
      </c>
      <c r="G100" s="1414">
        <v>0</v>
      </c>
      <c r="H100" s="1390">
        <f t="shared" si="3"/>
        <v>0</v>
      </c>
    </row>
    <row r="101" spans="1:12" s="1415" customFormat="1" ht="15" x14ac:dyDescent="0.2">
      <c r="A101" s="1463">
        <v>6172</v>
      </c>
      <c r="B101" s="1469">
        <v>5424</v>
      </c>
      <c r="C101" s="1529" t="s">
        <v>1768</v>
      </c>
      <c r="D101" s="1405" t="s">
        <v>587</v>
      </c>
      <c r="E101" s="1414">
        <v>0</v>
      </c>
      <c r="F101" s="1414">
        <v>4</v>
      </c>
      <c r="G101" s="1414">
        <v>1</v>
      </c>
      <c r="H101" s="1390">
        <f t="shared" si="3"/>
        <v>25</v>
      </c>
    </row>
    <row r="102" spans="1:12" s="1415" customFormat="1" ht="15.75" thickBot="1" x14ac:dyDescent="0.25">
      <c r="A102" s="1463">
        <v>6172</v>
      </c>
      <c r="B102" s="1483">
        <v>5424</v>
      </c>
      <c r="C102" s="2846" t="s">
        <v>1769</v>
      </c>
      <c r="D102" s="1405" t="s">
        <v>587</v>
      </c>
      <c r="E102" s="1411">
        <v>0</v>
      </c>
      <c r="F102" s="1411">
        <v>24</v>
      </c>
      <c r="G102" s="1411">
        <v>3</v>
      </c>
      <c r="H102" s="1396">
        <f t="shared" si="3"/>
        <v>12.5</v>
      </c>
    </row>
    <row r="103" spans="1:12" ht="16.5" thickTop="1" thickBot="1" x14ac:dyDescent="0.3">
      <c r="A103" s="3219" t="s">
        <v>690</v>
      </c>
      <c r="B103" s="3220"/>
      <c r="C103" s="3220"/>
      <c r="D103" s="3220"/>
      <c r="E103" s="1387">
        <f>SUM(E74:E102)</f>
        <v>0</v>
      </c>
      <c r="F103" s="1387">
        <f>SUM(F74:F102)</f>
        <v>39462</v>
      </c>
      <c r="G103" s="1387">
        <f>SUM(G74:G102)</f>
        <v>38792</v>
      </c>
      <c r="H103" s="1391">
        <f t="shared" si="3"/>
        <v>98.302164107242405</v>
      </c>
      <c r="I103" s="1398"/>
    </row>
    <row r="104" spans="1:12" ht="21" customHeight="1" thickTop="1" x14ac:dyDescent="0.25">
      <c r="A104" s="1392"/>
      <c r="B104" s="1392"/>
      <c r="C104" s="1392"/>
      <c r="D104" s="1392"/>
      <c r="E104" s="1393"/>
      <c r="F104" s="1393"/>
      <c r="G104" s="1393"/>
      <c r="H104" s="1418"/>
      <c r="I104" s="1398"/>
    </row>
    <row r="105" spans="1:12" ht="15" x14ac:dyDescent="0.25">
      <c r="A105" s="1377" t="s">
        <v>2091</v>
      </c>
      <c r="L105" s="1373"/>
    </row>
    <row r="106" spans="1:12" ht="15.75" thickBot="1" x14ac:dyDescent="0.3">
      <c r="A106" s="1377" t="s">
        <v>2090</v>
      </c>
      <c r="D106" s="1371"/>
      <c r="E106" s="1372"/>
      <c r="H106" s="1459" t="s">
        <v>148</v>
      </c>
      <c r="I106" s="1458"/>
    </row>
    <row r="107" spans="1:12" ht="25.5" thickTop="1" thickBot="1" x14ac:dyDescent="0.25">
      <c r="A107" s="1378" t="s">
        <v>149</v>
      </c>
      <c r="B107" s="1379" t="s">
        <v>688</v>
      </c>
      <c r="C107" s="1379" t="s">
        <v>345</v>
      </c>
      <c r="D107" s="1380" t="s">
        <v>151</v>
      </c>
      <c r="E107" s="1402" t="s">
        <v>569</v>
      </c>
      <c r="F107" s="1402" t="s">
        <v>570</v>
      </c>
      <c r="G107" s="1403" t="s">
        <v>797</v>
      </c>
      <c r="H107" s="1404" t="s">
        <v>798</v>
      </c>
    </row>
    <row r="108" spans="1:12" ht="14.25" thickTop="1" thickBot="1" x14ac:dyDescent="0.25">
      <c r="A108" s="1297">
        <v>1</v>
      </c>
      <c r="B108" s="1296">
        <v>2</v>
      </c>
      <c r="C108" s="1296">
        <v>3</v>
      </c>
      <c r="D108" s="1296">
        <v>5</v>
      </c>
      <c r="E108" s="1295">
        <v>6</v>
      </c>
      <c r="F108" s="1295">
        <v>7</v>
      </c>
      <c r="G108" s="1446">
        <v>8</v>
      </c>
      <c r="H108" s="1383" t="s">
        <v>689</v>
      </c>
    </row>
    <row r="109" spans="1:12" s="1400" customFormat="1" ht="15.75" thickTop="1" x14ac:dyDescent="0.25">
      <c r="A109" s="1457">
        <v>6172</v>
      </c>
      <c r="B109" s="1385">
        <v>5166</v>
      </c>
      <c r="C109" s="2830" t="s">
        <v>2089</v>
      </c>
      <c r="D109" s="1454" t="s">
        <v>553</v>
      </c>
      <c r="E109" s="1401">
        <v>0</v>
      </c>
      <c r="F109" s="1401">
        <v>44</v>
      </c>
      <c r="G109" s="1456">
        <v>4</v>
      </c>
      <c r="H109" s="1388">
        <f>G109/F109*100</f>
        <v>9.0909090909090917</v>
      </c>
    </row>
    <row r="110" spans="1:12" s="1400" customFormat="1" ht="15" x14ac:dyDescent="0.25">
      <c r="A110" s="1457">
        <v>6172</v>
      </c>
      <c r="B110" s="1385">
        <v>5166</v>
      </c>
      <c r="C110" s="2830" t="s">
        <v>2088</v>
      </c>
      <c r="D110" s="1454" t="s">
        <v>553</v>
      </c>
      <c r="E110" s="1414">
        <v>0</v>
      </c>
      <c r="F110" s="1414">
        <v>87</v>
      </c>
      <c r="G110" s="1453">
        <v>7</v>
      </c>
      <c r="H110" s="1390">
        <f>G110/F110*100</f>
        <v>8.0459770114942533</v>
      </c>
    </row>
    <row r="111" spans="1:12" s="1919" customFormat="1" ht="15.75" thickBot="1" x14ac:dyDescent="0.3">
      <c r="A111" s="2845">
        <v>6172</v>
      </c>
      <c r="B111" s="1471">
        <v>5166</v>
      </c>
      <c r="C111" s="1529" t="s">
        <v>2087</v>
      </c>
      <c r="D111" s="1454" t="s">
        <v>553</v>
      </c>
      <c r="E111" s="2844">
        <v>0</v>
      </c>
      <c r="F111" s="2844">
        <v>741</v>
      </c>
      <c r="G111" s="2843">
        <v>64</v>
      </c>
      <c r="H111" s="1396">
        <f>G111/F111*100</f>
        <v>8.6369770580296894</v>
      </c>
    </row>
    <row r="112" spans="1:12" ht="16.5" thickTop="1" thickBot="1" x14ac:dyDescent="0.3">
      <c r="A112" s="1406" t="s">
        <v>690</v>
      </c>
      <c r="B112" s="1407"/>
      <c r="C112" s="1407"/>
      <c r="D112" s="1408"/>
      <c r="E112" s="1387">
        <f>SUM(E109:E111)</f>
        <v>0</v>
      </c>
      <c r="F112" s="1387">
        <f>SUM(F109:F111)</f>
        <v>872</v>
      </c>
      <c r="G112" s="1387">
        <f>SUM(G109:G111)</f>
        <v>75</v>
      </c>
      <c r="H112" s="1391">
        <f>G112/F112*100</f>
        <v>8.6009174311926611</v>
      </c>
    </row>
    <row r="113" spans="1:12" ht="13.5" thickTop="1" x14ac:dyDescent="0.2">
      <c r="L113" s="1373"/>
    </row>
    <row r="114" spans="1:12" ht="15.75" thickBot="1" x14ac:dyDescent="0.3">
      <c r="A114" s="1377" t="s">
        <v>229</v>
      </c>
      <c r="D114" s="1371"/>
      <c r="E114" s="1372"/>
      <c r="H114" s="1459" t="s">
        <v>148</v>
      </c>
      <c r="I114" s="1458"/>
    </row>
    <row r="115" spans="1:12" ht="25.5" thickTop="1" thickBot="1" x14ac:dyDescent="0.25">
      <c r="A115" s="1378" t="s">
        <v>149</v>
      </c>
      <c r="B115" s="1379" t="s">
        <v>688</v>
      </c>
      <c r="C115" s="1379" t="s">
        <v>345</v>
      </c>
      <c r="D115" s="1380" t="s">
        <v>151</v>
      </c>
      <c r="E115" s="1402" t="s">
        <v>569</v>
      </c>
      <c r="F115" s="1402" t="s">
        <v>570</v>
      </c>
      <c r="G115" s="1403" t="s">
        <v>797</v>
      </c>
      <c r="H115" s="1404" t="s">
        <v>798</v>
      </c>
    </row>
    <row r="116" spans="1:12" ht="14.25" thickTop="1" thickBot="1" x14ac:dyDescent="0.25">
      <c r="A116" s="1297">
        <v>1</v>
      </c>
      <c r="B116" s="1296">
        <v>2</v>
      </c>
      <c r="C116" s="1296">
        <v>3</v>
      </c>
      <c r="D116" s="1296">
        <v>5</v>
      </c>
      <c r="E116" s="1295">
        <v>6</v>
      </c>
      <c r="F116" s="1295">
        <v>7</v>
      </c>
      <c r="G116" s="1446">
        <v>8</v>
      </c>
      <c r="H116" s="1383" t="s">
        <v>689</v>
      </c>
    </row>
    <row r="117" spans="1:12" s="1400" customFormat="1" ht="15.75" thickTop="1" x14ac:dyDescent="0.25">
      <c r="A117" s="1457">
        <v>6330</v>
      </c>
      <c r="B117" s="1385">
        <v>5345</v>
      </c>
      <c r="C117" s="2830" t="s">
        <v>1760</v>
      </c>
      <c r="D117" s="1454" t="s">
        <v>693</v>
      </c>
      <c r="E117" s="1401">
        <v>0</v>
      </c>
      <c r="F117" s="1401">
        <v>0</v>
      </c>
      <c r="G117" s="1456">
        <v>36663</v>
      </c>
      <c r="H117" s="1388">
        <v>0</v>
      </c>
    </row>
    <row r="118" spans="1:12" s="1919" customFormat="1" ht="30.75" thickBot="1" x14ac:dyDescent="0.3">
      <c r="A118" s="2845">
        <v>6409</v>
      </c>
      <c r="B118" s="1471">
        <v>5909</v>
      </c>
      <c r="C118" s="1529" t="s">
        <v>1760</v>
      </c>
      <c r="D118" s="1488" t="s">
        <v>705</v>
      </c>
      <c r="E118" s="2844">
        <v>0</v>
      </c>
      <c r="F118" s="2844">
        <v>0</v>
      </c>
      <c r="G118" s="2843">
        <v>0</v>
      </c>
      <c r="H118" s="2842">
        <v>0</v>
      </c>
    </row>
    <row r="119" spans="1:12" ht="16.5" thickTop="1" thickBot="1" x14ac:dyDescent="0.3">
      <c r="A119" s="1406" t="s">
        <v>690</v>
      </c>
      <c r="B119" s="1407"/>
      <c r="C119" s="1407"/>
      <c r="D119" s="1408"/>
      <c r="E119" s="1387">
        <f>SUM(E117:E118)</f>
        <v>0</v>
      </c>
      <c r="F119" s="1387">
        <f>SUM(F117:F118)</f>
        <v>0</v>
      </c>
      <c r="G119" s="1387">
        <f>SUM(G117:G118)</f>
        <v>36663</v>
      </c>
      <c r="H119" s="1391">
        <v>0</v>
      </c>
    </row>
    <row r="120" spans="1:12" ht="13.5" thickTop="1" x14ac:dyDescent="0.2"/>
    <row r="122" spans="1:12" ht="16.5" x14ac:dyDescent="0.25">
      <c r="A122" s="1429" t="s">
        <v>423</v>
      </c>
      <c r="B122" s="1430"/>
      <c r="C122" s="1431"/>
      <c r="D122" s="1432"/>
      <c r="E122" s="1433">
        <f>SUM(E123:E125)</f>
        <v>0</v>
      </c>
      <c r="F122" s="1433">
        <f>F123+F124+F125+F126</f>
        <v>47275</v>
      </c>
      <c r="G122" s="1433">
        <f>G123+G124+G125+G126</f>
        <v>79654</v>
      </c>
      <c r="H122" s="1452">
        <f>G122/F122*100</f>
        <v>168.490745637229</v>
      </c>
      <c r="J122" s="1435">
        <f>J123+J124+J125</f>
        <v>0</v>
      </c>
      <c r="K122" s="1435">
        <f>K123+K124+K125</f>
        <v>47274995.060000002</v>
      </c>
      <c r="L122" s="1435">
        <f>L123+L124+L125</f>
        <v>79653716.900000006</v>
      </c>
    </row>
    <row r="123" spans="1:12" ht="15" x14ac:dyDescent="0.2">
      <c r="A123" s="1263" t="s">
        <v>242</v>
      </c>
      <c r="B123" s="1265"/>
      <c r="C123" s="1261"/>
      <c r="D123" s="1436"/>
      <c r="E123" s="1264">
        <f>E12+E13+E22+E23+E24+E25+E26+E27+E28+E29+E38+E39+E40+E41+E42+E43+E46+E47+E48+E49+E50+E51+E52+E53+E60+E61+E62+E63+E64+E65+E74+E75+E76+E77+E78+E79+E89+E90+E91+E92+E93+E94+E95+E96+E97+E98+E99+E100+E101+E102+E109+E110+E111+E118</f>
        <v>0</v>
      </c>
      <c r="F123" s="1264">
        <f>F12+F13+F22+F23+F24+F25+F26+F27+F28+F29+F38+F39+F40+F41+F42+F43+F46+F47+F48+F49+F50+F51+F52+F53+F60+F61+F62+F63+F64+F65+F74+F75+F76+F77+F78+F79+F89+F90+F91+F92+F93+F94+F95+F96+F97+F98+F99+F100+F101+F102+F109+F110+F111+F118</f>
        <v>47275</v>
      </c>
      <c r="G123" s="1264">
        <f>G12+G13+G22+G23+G24+G25+G26+G27+G28+G29+G38+G39+G40+G41+G42+G43+G46+G47+G48+G49+G50+G51+G52+G53+G60+G61+G62+G63+G64+G65+G74+G75+G76+G77+G78+G79+G89+G90+G91+G92+G93+G94+G95+G96+G97+G98+G99+G100+G101+G102+G109+G110+G111+G118</f>
        <v>42991</v>
      </c>
      <c r="H123" s="1451">
        <f>G123/F123*100</f>
        <v>90.938127974616606</v>
      </c>
      <c r="J123" s="1437">
        <v>0</v>
      </c>
      <c r="K123" s="1437">
        <v>47274995.060000002</v>
      </c>
      <c r="L123" s="1437">
        <f>42476174.84+12+2965.2+511797.76</f>
        <v>42990949.800000004</v>
      </c>
    </row>
    <row r="124" spans="1:12" ht="15" x14ac:dyDescent="0.2">
      <c r="A124" s="1263" t="s">
        <v>243</v>
      </c>
      <c r="B124" s="1262"/>
      <c r="C124" s="1261"/>
      <c r="D124" s="1438"/>
      <c r="E124" s="1264">
        <v>0</v>
      </c>
      <c r="F124" s="1264">
        <v>0</v>
      </c>
      <c r="G124" s="1264">
        <v>0</v>
      </c>
      <c r="H124" s="1451">
        <v>0</v>
      </c>
      <c r="J124" s="1437">
        <v>0</v>
      </c>
      <c r="K124" s="1437">
        <v>0</v>
      </c>
      <c r="L124" s="1437">
        <v>0</v>
      </c>
    </row>
    <row r="125" spans="1:12" ht="15" x14ac:dyDescent="0.2">
      <c r="A125" s="1263" t="s">
        <v>424</v>
      </c>
      <c r="B125" s="1262"/>
      <c r="C125" s="1261"/>
      <c r="D125" s="1438"/>
      <c r="E125" s="1264">
        <v>0</v>
      </c>
      <c r="F125" s="1264">
        <v>0</v>
      </c>
      <c r="G125" s="1264">
        <f>G117</f>
        <v>36663</v>
      </c>
      <c r="H125" s="1451">
        <v>0</v>
      </c>
      <c r="J125" s="1437">
        <v>0</v>
      </c>
      <c r="K125" s="1437">
        <v>0</v>
      </c>
      <c r="L125" s="1437">
        <v>36662767.100000001</v>
      </c>
    </row>
    <row r="126" spans="1:12" ht="15" x14ac:dyDescent="0.2">
      <c r="A126" s="1263"/>
      <c r="B126" s="1262"/>
      <c r="C126" s="1261"/>
      <c r="D126" s="1438"/>
      <c r="E126" s="1264"/>
      <c r="F126" s="1264"/>
      <c r="G126" s="1264"/>
      <c r="H126" s="1260"/>
    </row>
    <row r="127" spans="1:12" ht="75" customHeight="1" thickBot="1" x14ac:dyDescent="0.4">
      <c r="A127" s="3148" t="s">
        <v>736</v>
      </c>
      <c r="B127" s="3224"/>
      <c r="C127" s="3224"/>
      <c r="D127" s="3224"/>
      <c r="E127" s="1258">
        <f>SUM(E122)</f>
        <v>0</v>
      </c>
      <c r="F127" s="1258">
        <f>SUM(F122)</f>
        <v>47275</v>
      </c>
      <c r="G127" s="1258">
        <f>SUM(G122)</f>
        <v>79654</v>
      </c>
      <c r="H127" s="1257">
        <f>(G127/F127)*100</f>
        <v>168.490745637229</v>
      </c>
    </row>
    <row r="128" spans="1:12" ht="13.5" thickTop="1" x14ac:dyDescent="0.2"/>
    <row r="240" spans="1:3" ht="13.5" thickBot="1" x14ac:dyDescent="0.25">
      <c r="A240" s="1409"/>
      <c r="B240" s="1409"/>
      <c r="C240" s="1409"/>
    </row>
    <row r="241" spans="1:5" ht="13.5" thickTop="1" x14ac:dyDescent="0.2">
      <c r="A241" s="1427"/>
      <c r="B241" s="1427"/>
      <c r="C241" s="1427"/>
    </row>
    <row r="248" spans="1:5" ht="13.5" thickBot="1" x14ac:dyDescent="0.25">
      <c r="D248" s="1477"/>
      <c r="E248" s="1478"/>
    </row>
    <row r="249" spans="1:5" ht="13.5" thickTop="1" x14ac:dyDescent="0.2">
      <c r="D249" s="1419"/>
      <c r="E249" s="1479"/>
    </row>
    <row r="250" spans="1:5" x14ac:dyDescent="0.2">
      <c r="D250" s="1372" t="e">
        <f>#REF!+#REF!</f>
        <v>#REF!</v>
      </c>
    </row>
  </sheetData>
  <mergeCells count="4">
    <mergeCell ref="A1:H1"/>
    <mergeCell ref="A67:D67"/>
    <mergeCell ref="A103:D103"/>
    <mergeCell ref="A127:D127"/>
  </mergeCells>
  <pageMargins left="0.98425196850393704" right="0.98425196850393704" top="0.98425196850393704" bottom="0.98425196850393704" header="0.51181102362204722" footer="0.51181102362204722"/>
  <pageSetup paperSize="9" scale="70" firstPageNumber="149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rowBreaks count="1" manualBreakCount="1">
    <brk id="69" max="7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68"/>
  <sheetViews>
    <sheetView showGridLines="0"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4.85546875" style="1371" customWidth="1"/>
    <col min="2" max="2" width="6.7109375" style="1371" customWidth="1"/>
    <col min="3" max="3" width="10.140625" style="1371" customWidth="1"/>
    <col min="4" max="4" width="46.42578125" style="1372" customWidth="1"/>
    <col min="5" max="5" width="15.42578125" style="1398" customWidth="1"/>
    <col min="6" max="6" width="15.5703125" style="1398" customWidth="1"/>
    <col min="7" max="7" width="15.85546875" style="1398" customWidth="1"/>
    <col min="8" max="8" width="8.5703125" style="1372" customWidth="1"/>
    <col min="9" max="9" width="14.28515625" style="1372" bestFit="1" customWidth="1"/>
    <col min="10" max="10" width="9.140625" style="1372"/>
    <col min="11" max="12" width="16" style="1372" bestFit="1" customWidth="1"/>
    <col min="13" max="256" width="9.140625" style="1372"/>
    <col min="257" max="257" width="4.7109375" style="1372" customWidth="1"/>
    <col min="258" max="258" width="6.7109375" style="1372" customWidth="1"/>
    <col min="259" max="259" width="8.85546875" style="1372" customWidth="1"/>
    <col min="260" max="260" width="46.42578125" style="1372" customWidth="1"/>
    <col min="261" max="261" width="12.85546875" style="1372" customWidth="1"/>
    <col min="262" max="262" width="15.5703125" style="1372" customWidth="1"/>
    <col min="263" max="263" width="15.85546875" style="1372" customWidth="1"/>
    <col min="264" max="264" width="6.42578125" style="1372" customWidth="1"/>
    <col min="265" max="265" width="14.28515625" style="1372" bestFit="1" customWidth="1"/>
    <col min="266" max="266" width="9.140625" style="1372"/>
    <col min="267" max="268" width="16" style="1372" bestFit="1" customWidth="1"/>
    <col min="269" max="512" width="9.140625" style="1372"/>
    <col min="513" max="513" width="4.7109375" style="1372" customWidth="1"/>
    <col min="514" max="514" width="6.7109375" style="1372" customWidth="1"/>
    <col min="515" max="515" width="8.85546875" style="1372" customWidth="1"/>
    <col min="516" max="516" width="46.42578125" style="1372" customWidth="1"/>
    <col min="517" max="517" width="12.85546875" style="1372" customWidth="1"/>
    <col min="518" max="518" width="15.5703125" style="1372" customWidth="1"/>
    <col min="519" max="519" width="15.85546875" style="1372" customWidth="1"/>
    <col min="520" max="520" width="6.42578125" style="1372" customWidth="1"/>
    <col min="521" max="521" width="14.28515625" style="1372" bestFit="1" customWidth="1"/>
    <col min="522" max="522" width="9.140625" style="1372"/>
    <col min="523" max="524" width="16" style="1372" bestFit="1" customWidth="1"/>
    <col min="525" max="768" width="9.140625" style="1372"/>
    <col min="769" max="769" width="4.7109375" style="1372" customWidth="1"/>
    <col min="770" max="770" width="6.7109375" style="1372" customWidth="1"/>
    <col min="771" max="771" width="8.85546875" style="1372" customWidth="1"/>
    <col min="772" max="772" width="46.42578125" style="1372" customWidth="1"/>
    <col min="773" max="773" width="12.85546875" style="1372" customWidth="1"/>
    <col min="774" max="774" width="15.5703125" style="1372" customWidth="1"/>
    <col min="775" max="775" width="15.85546875" style="1372" customWidth="1"/>
    <col min="776" max="776" width="6.42578125" style="1372" customWidth="1"/>
    <col min="777" max="777" width="14.28515625" style="1372" bestFit="1" customWidth="1"/>
    <col min="778" max="778" width="9.140625" style="1372"/>
    <col min="779" max="780" width="16" style="1372" bestFit="1" customWidth="1"/>
    <col min="781" max="1024" width="9.140625" style="1372"/>
    <col min="1025" max="1025" width="4.7109375" style="1372" customWidth="1"/>
    <col min="1026" max="1026" width="6.7109375" style="1372" customWidth="1"/>
    <col min="1027" max="1027" width="8.85546875" style="1372" customWidth="1"/>
    <col min="1028" max="1028" width="46.42578125" style="1372" customWidth="1"/>
    <col min="1029" max="1029" width="12.85546875" style="1372" customWidth="1"/>
    <col min="1030" max="1030" width="15.5703125" style="1372" customWidth="1"/>
    <col min="1031" max="1031" width="15.85546875" style="1372" customWidth="1"/>
    <col min="1032" max="1032" width="6.42578125" style="1372" customWidth="1"/>
    <col min="1033" max="1033" width="14.28515625" style="1372" bestFit="1" customWidth="1"/>
    <col min="1034" max="1034" width="9.140625" style="1372"/>
    <col min="1035" max="1036" width="16" style="1372" bestFit="1" customWidth="1"/>
    <col min="1037" max="1280" width="9.140625" style="1372"/>
    <col min="1281" max="1281" width="4.7109375" style="1372" customWidth="1"/>
    <col min="1282" max="1282" width="6.7109375" style="1372" customWidth="1"/>
    <col min="1283" max="1283" width="8.85546875" style="1372" customWidth="1"/>
    <col min="1284" max="1284" width="46.42578125" style="1372" customWidth="1"/>
    <col min="1285" max="1285" width="12.85546875" style="1372" customWidth="1"/>
    <col min="1286" max="1286" width="15.5703125" style="1372" customWidth="1"/>
    <col min="1287" max="1287" width="15.85546875" style="1372" customWidth="1"/>
    <col min="1288" max="1288" width="6.42578125" style="1372" customWidth="1"/>
    <col min="1289" max="1289" width="14.28515625" style="1372" bestFit="1" customWidth="1"/>
    <col min="1290" max="1290" width="9.140625" style="1372"/>
    <col min="1291" max="1292" width="16" style="1372" bestFit="1" customWidth="1"/>
    <col min="1293" max="1536" width="9.140625" style="1372"/>
    <col min="1537" max="1537" width="4.7109375" style="1372" customWidth="1"/>
    <col min="1538" max="1538" width="6.7109375" style="1372" customWidth="1"/>
    <col min="1539" max="1539" width="8.85546875" style="1372" customWidth="1"/>
    <col min="1540" max="1540" width="46.42578125" style="1372" customWidth="1"/>
    <col min="1541" max="1541" width="12.85546875" style="1372" customWidth="1"/>
    <col min="1542" max="1542" width="15.5703125" style="1372" customWidth="1"/>
    <col min="1543" max="1543" width="15.85546875" style="1372" customWidth="1"/>
    <col min="1544" max="1544" width="6.42578125" style="1372" customWidth="1"/>
    <col min="1545" max="1545" width="14.28515625" style="1372" bestFit="1" customWidth="1"/>
    <col min="1546" max="1546" width="9.140625" style="1372"/>
    <col min="1547" max="1548" width="16" style="1372" bestFit="1" customWidth="1"/>
    <col min="1549" max="1792" width="9.140625" style="1372"/>
    <col min="1793" max="1793" width="4.7109375" style="1372" customWidth="1"/>
    <col min="1794" max="1794" width="6.7109375" style="1372" customWidth="1"/>
    <col min="1795" max="1795" width="8.85546875" style="1372" customWidth="1"/>
    <col min="1796" max="1796" width="46.42578125" style="1372" customWidth="1"/>
    <col min="1797" max="1797" width="12.85546875" style="1372" customWidth="1"/>
    <col min="1798" max="1798" width="15.5703125" style="1372" customWidth="1"/>
    <col min="1799" max="1799" width="15.85546875" style="1372" customWidth="1"/>
    <col min="1800" max="1800" width="6.42578125" style="1372" customWidth="1"/>
    <col min="1801" max="1801" width="14.28515625" style="1372" bestFit="1" customWidth="1"/>
    <col min="1802" max="1802" width="9.140625" style="1372"/>
    <col min="1803" max="1804" width="16" style="1372" bestFit="1" customWidth="1"/>
    <col min="1805" max="2048" width="9.140625" style="1372"/>
    <col min="2049" max="2049" width="4.7109375" style="1372" customWidth="1"/>
    <col min="2050" max="2050" width="6.7109375" style="1372" customWidth="1"/>
    <col min="2051" max="2051" width="8.85546875" style="1372" customWidth="1"/>
    <col min="2052" max="2052" width="46.42578125" style="1372" customWidth="1"/>
    <col min="2053" max="2053" width="12.85546875" style="1372" customWidth="1"/>
    <col min="2054" max="2054" width="15.5703125" style="1372" customWidth="1"/>
    <col min="2055" max="2055" width="15.85546875" style="1372" customWidth="1"/>
    <col min="2056" max="2056" width="6.42578125" style="1372" customWidth="1"/>
    <col min="2057" max="2057" width="14.28515625" style="1372" bestFit="1" customWidth="1"/>
    <col min="2058" max="2058" width="9.140625" style="1372"/>
    <col min="2059" max="2060" width="16" style="1372" bestFit="1" customWidth="1"/>
    <col min="2061" max="2304" width="9.140625" style="1372"/>
    <col min="2305" max="2305" width="4.7109375" style="1372" customWidth="1"/>
    <col min="2306" max="2306" width="6.7109375" style="1372" customWidth="1"/>
    <col min="2307" max="2307" width="8.85546875" style="1372" customWidth="1"/>
    <col min="2308" max="2308" width="46.42578125" style="1372" customWidth="1"/>
    <col min="2309" max="2309" width="12.85546875" style="1372" customWidth="1"/>
    <col min="2310" max="2310" width="15.5703125" style="1372" customWidth="1"/>
    <col min="2311" max="2311" width="15.85546875" style="1372" customWidth="1"/>
    <col min="2312" max="2312" width="6.42578125" style="1372" customWidth="1"/>
    <col min="2313" max="2313" width="14.28515625" style="1372" bestFit="1" customWidth="1"/>
    <col min="2314" max="2314" width="9.140625" style="1372"/>
    <col min="2315" max="2316" width="16" style="1372" bestFit="1" customWidth="1"/>
    <col min="2317" max="2560" width="9.140625" style="1372"/>
    <col min="2561" max="2561" width="4.7109375" style="1372" customWidth="1"/>
    <col min="2562" max="2562" width="6.7109375" style="1372" customWidth="1"/>
    <col min="2563" max="2563" width="8.85546875" style="1372" customWidth="1"/>
    <col min="2564" max="2564" width="46.42578125" style="1372" customWidth="1"/>
    <col min="2565" max="2565" width="12.85546875" style="1372" customWidth="1"/>
    <col min="2566" max="2566" width="15.5703125" style="1372" customWidth="1"/>
    <col min="2567" max="2567" width="15.85546875" style="1372" customWidth="1"/>
    <col min="2568" max="2568" width="6.42578125" style="1372" customWidth="1"/>
    <col min="2569" max="2569" width="14.28515625" style="1372" bestFit="1" customWidth="1"/>
    <col min="2570" max="2570" width="9.140625" style="1372"/>
    <col min="2571" max="2572" width="16" style="1372" bestFit="1" customWidth="1"/>
    <col min="2573" max="2816" width="9.140625" style="1372"/>
    <col min="2817" max="2817" width="4.7109375" style="1372" customWidth="1"/>
    <col min="2818" max="2818" width="6.7109375" style="1372" customWidth="1"/>
    <col min="2819" max="2819" width="8.85546875" style="1372" customWidth="1"/>
    <col min="2820" max="2820" width="46.42578125" style="1372" customWidth="1"/>
    <col min="2821" max="2821" width="12.85546875" style="1372" customWidth="1"/>
    <col min="2822" max="2822" width="15.5703125" style="1372" customWidth="1"/>
    <col min="2823" max="2823" width="15.85546875" style="1372" customWidth="1"/>
    <col min="2824" max="2824" width="6.42578125" style="1372" customWidth="1"/>
    <col min="2825" max="2825" width="14.28515625" style="1372" bestFit="1" customWidth="1"/>
    <col min="2826" max="2826" width="9.140625" style="1372"/>
    <col min="2827" max="2828" width="16" style="1372" bestFit="1" customWidth="1"/>
    <col min="2829" max="3072" width="9.140625" style="1372"/>
    <col min="3073" max="3073" width="4.7109375" style="1372" customWidth="1"/>
    <col min="3074" max="3074" width="6.7109375" style="1372" customWidth="1"/>
    <col min="3075" max="3075" width="8.85546875" style="1372" customWidth="1"/>
    <col min="3076" max="3076" width="46.42578125" style="1372" customWidth="1"/>
    <col min="3077" max="3077" width="12.85546875" style="1372" customWidth="1"/>
    <col min="3078" max="3078" width="15.5703125" style="1372" customWidth="1"/>
    <col min="3079" max="3079" width="15.85546875" style="1372" customWidth="1"/>
    <col min="3080" max="3080" width="6.42578125" style="1372" customWidth="1"/>
    <col min="3081" max="3081" width="14.28515625" style="1372" bestFit="1" customWidth="1"/>
    <col min="3082" max="3082" width="9.140625" style="1372"/>
    <col min="3083" max="3084" width="16" style="1372" bestFit="1" customWidth="1"/>
    <col min="3085" max="3328" width="9.140625" style="1372"/>
    <col min="3329" max="3329" width="4.7109375" style="1372" customWidth="1"/>
    <col min="3330" max="3330" width="6.7109375" style="1372" customWidth="1"/>
    <col min="3331" max="3331" width="8.85546875" style="1372" customWidth="1"/>
    <col min="3332" max="3332" width="46.42578125" style="1372" customWidth="1"/>
    <col min="3333" max="3333" width="12.85546875" style="1372" customWidth="1"/>
    <col min="3334" max="3334" width="15.5703125" style="1372" customWidth="1"/>
    <col min="3335" max="3335" width="15.85546875" style="1372" customWidth="1"/>
    <col min="3336" max="3336" width="6.42578125" style="1372" customWidth="1"/>
    <col min="3337" max="3337" width="14.28515625" style="1372" bestFit="1" customWidth="1"/>
    <col min="3338" max="3338" width="9.140625" style="1372"/>
    <col min="3339" max="3340" width="16" style="1372" bestFit="1" customWidth="1"/>
    <col min="3341" max="3584" width="9.140625" style="1372"/>
    <col min="3585" max="3585" width="4.7109375" style="1372" customWidth="1"/>
    <col min="3586" max="3586" width="6.7109375" style="1372" customWidth="1"/>
    <col min="3587" max="3587" width="8.85546875" style="1372" customWidth="1"/>
    <col min="3588" max="3588" width="46.42578125" style="1372" customWidth="1"/>
    <col min="3589" max="3589" width="12.85546875" style="1372" customWidth="1"/>
    <col min="3590" max="3590" width="15.5703125" style="1372" customWidth="1"/>
    <col min="3591" max="3591" width="15.85546875" style="1372" customWidth="1"/>
    <col min="3592" max="3592" width="6.42578125" style="1372" customWidth="1"/>
    <col min="3593" max="3593" width="14.28515625" style="1372" bestFit="1" customWidth="1"/>
    <col min="3594" max="3594" width="9.140625" style="1372"/>
    <col min="3595" max="3596" width="16" style="1372" bestFit="1" customWidth="1"/>
    <col min="3597" max="3840" width="9.140625" style="1372"/>
    <col min="3841" max="3841" width="4.7109375" style="1372" customWidth="1"/>
    <col min="3842" max="3842" width="6.7109375" style="1372" customWidth="1"/>
    <col min="3843" max="3843" width="8.85546875" style="1372" customWidth="1"/>
    <col min="3844" max="3844" width="46.42578125" style="1372" customWidth="1"/>
    <col min="3845" max="3845" width="12.85546875" style="1372" customWidth="1"/>
    <col min="3846" max="3846" width="15.5703125" style="1372" customWidth="1"/>
    <col min="3847" max="3847" width="15.85546875" style="1372" customWidth="1"/>
    <col min="3848" max="3848" width="6.42578125" style="1372" customWidth="1"/>
    <col min="3849" max="3849" width="14.28515625" style="1372" bestFit="1" customWidth="1"/>
    <col min="3850" max="3850" width="9.140625" style="1372"/>
    <col min="3851" max="3852" width="16" style="1372" bestFit="1" customWidth="1"/>
    <col min="3853" max="4096" width="9.140625" style="1372"/>
    <col min="4097" max="4097" width="4.7109375" style="1372" customWidth="1"/>
    <col min="4098" max="4098" width="6.7109375" style="1372" customWidth="1"/>
    <col min="4099" max="4099" width="8.85546875" style="1372" customWidth="1"/>
    <col min="4100" max="4100" width="46.42578125" style="1372" customWidth="1"/>
    <col min="4101" max="4101" width="12.85546875" style="1372" customWidth="1"/>
    <col min="4102" max="4102" width="15.5703125" style="1372" customWidth="1"/>
    <col min="4103" max="4103" width="15.85546875" style="1372" customWidth="1"/>
    <col min="4104" max="4104" width="6.42578125" style="1372" customWidth="1"/>
    <col min="4105" max="4105" width="14.28515625" style="1372" bestFit="1" customWidth="1"/>
    <col min="4106" max="4106" width="9.140625" style="1372"/>
    <col min="4107" max="4108" width="16" style="1372" bestFit="1" customWidth="1"/>
    <col min="4109" max="4352" width="9.140625" style="1372"/>
    <col min="4353" max="4353" width="4.7109375" style="1372" customWidth="1"/>
    <col min="4354" max="4354" width="6.7109375" style="1372" customWidth="1"/>
    <col min="4355" max="4355" width="8.85546875" style="1372" customWidth="1"/>
    <col min="4356" max="4356" width="46.42578125" style="1372" customWidth="1"/>
    <col min="4357" max="4357" width="12.85546875" style="1372" customWidth="1"/>
    <col min="4358" max="4358" width="15.5703125" style="1372" customWidth="1"/>
    <col min="4359" max="4359" width="15.85546875" style="1372" customWidth="1"/>
    <col min="4360" max="4360" width="6.42578125" style="1372" customWidth="1"/>
    <col min="4361" max="4361" width="14.28515625" style="1372" bestFit="1" customWidth="1"/>
    <col min="4362" max="4362" width="9.140625" style="1372"/>
    <col min="4363" max="4364" width="16" style="1372" bestFit="1" customWidth="1"/>
    <col min="4365" max="4608" width="9.140625" style="1372"/>
    <col min="4609" max="4609" width="4.7109375" style="1372" customWidth="1"/>
    <col min="4610" max="4610" width="6.7109375" style="1372" customWidth="1"/>
    <col min="4611" max="4611" width="8.85546875" style="1372" customWidth="1"/>
    <col min="4612" max="4612" width="46.42578125" style="1372" customWidth="1"/>
    <col min="4613" max="4613" width="12.85546875" style="1372" customWidth="1"/>
    <col min="4614" max="4614" width="15.5703125" style="1372" customWidth="1"/>
    <col min="4615" max="4615" width="15.85546875" style="1372" customWidth="1"/>
    <col min="4616" max="4616" width="6.42578125" style="1372" customWidth="1"/>
    <col min="4617" max="4617" width="14.28515625" style="1372" bestFit="1" customWidth="1"/>
    <col min="4618" max="4618" width="9.140625" style="1372"/>
    <col min="4619" max="4620" width="16" style="1372" bestFit="1" customWidth="1"/>
    <col min="4621" max="4864" width="9.140625" style="1372"/>
    <col min="4865" max="4865" width="4.7109375" style="1372" customWidth="1"/>
    <col min="4866" max="4866" width="6.7109375" style="1372" customWidth="1"/>
    <col min="4867" max="4867" width="8.85546875" style="1372" customWidth="1"/>
    <col min="4868" max="4868" width="46.42578125" style="1372" customWidth="1"/>
    <col min="4869" max="4869" width="12.85546875" style="1372" customWidth="1"/>
    <col min="4870" max="4870" width="15.5703125" style="1372" customWidth="1"/>
    <col min="4871" max="4871" width="15.85546875" style="1372" customWidth="1"/>
    <col min="4872" max="4872" width="6.42578125" style="1372" customWidth="1"/>
    <col min="4873" max="4873" width="14.28515625" style="1372" bestFit="1" customWidth="1"/>
    <col min="4874" max="4874" width="9.140625" style="1372"/>
    <col min="4875" max="4876" width="16" style="1372" bestFit="1" customWidth="1"/>
    <col min="4877" max="5120" width="9.140625" style="1372"/>
    <col min="5121" max="5121" width="4.7109375" style="1372" customWidth="1"/>
    <col min="5122" max="5122" width="6.7109375" style="1372" customWidth="1"/>
    <col min="5123" max="5123" width="8.85546875" style="1372" customWidth="1"/>
    <col min="5124" max="5124" width="46.42578125" style="1372" customWidth="1"/>
    <col min="5125" max="5125" width="12.85546875" style="1372" customWidth="1"/>
    <col min="5126" max="5126" width="15.5703125" style="1372" customWidth="1"/>
    <col min="5127" max="5127" width="15.85546875" style="1372" customWidth="1"/>
    <col min="5128" max="5128" width="6.42578125" style="1372" customWidth="1"/>
    <col min="5129" max="5129" width="14.28515625" style="1372" bestFit="1" customWidth="1"/>
    <col min="5130" max="5130" width="9.140625" style="1372"/>
    <col min="5131" max="5132" width="16" style="1372" bestFit="1" customWidth="1"/>
    <col min="5133" max="5376" width="9.140625" style="1372"/>
    <col min="5377" max="5377" width="4.7109375" style="1372" customWidth="1"/>
    <col min="5378" max="5378" width="6.7109375" style="1372" customWidth="1"/>
    <col min="5379" max="5379" width="8.85546875" style="1372" customWidth="1"/>
    <col min="5380" max="5380" width="46.42578125" style="1372" customWidth="1"/>
    <col min="5381" max="5381" width="12.85546875" style="1372" customWidth="1"/>
    <col min="5382" max="5382" width="15.5703125" style="1372" customWidth="1"/>
    <col min="5383" max="5383" width="15.85546875" style="1372" customWidth="1"/>
    <col min="5384" max="5384" width="6.42578125" style="1372" customWidth="1"/>
    <col min="5385" max="5385" width="14.28515625" style="1372" bestFit="1" customWidth="1"/>
    <col min="5386" max="5386" width="9.140625" style="1372"/>
    <col min="5387" max="5388" width="16" style="1372" bestFit="1" customWidth="1"/>
    <col min="5389" max="5632" width="9.140625" style="1372"/>
    <col min="5633" max="5633" width="4.7109375" style="1372" customWidth="1"/>
    <col min="5634" max="5634" width="6.7109375" style="1372" customWidth="1"/>
    <col min="5635" max="5635" width="8.85546875" style="1372" customWidth="1"/>
    <col min="5636" max="5636" width="46.42578125" style="1372" customWidth="1"/>
    <col min="5637" max="5637" width="12.85546875" style="1372" customWidth="1"/>
    <col min="5638" max="5638" width="15.5703125" style="1372" customWidth="1"/>
    <col min="5639" max="5639" width="15.85546875" style="1372" customWidth="1"/>
    <col min="5640" max="5640" width="6.42578125" style="1372" customWidth="1"/>
    <col min="5641" max="5641" width="14.28515625" style="1372" bestFit="1" customWidth="1"/>
    <col min="5642" max="5642" width="9.140625" style="1372"/>
    <col min="5643" max="5644" width="16" style="1372" bestFit="1" customWidth="1"/>
    <col min="5645" max="5888" width="9.140625" style="1372"/>
    <col min="5889" max="5889" width="4.7109375" style="1372" customWidth="1"/>
    <col min="5890" max="5890" width="6.7109375" style="1372" customWidth="1"/>
    <col min="5891" max="5891" width="8.85546875" style="1372" customWidth="1"/>
    <col min="5892" max="5892" width="46.42578125" style="1372" customWidth="1"/>
    <col min="5893" max="5893" width="12.85546875" style="1372" customWidth="1"/>
    <col min="5894" max="5894" width="15.5703125" style="1372" customWidth="1"/>
    <col min="5895" max="5895" width="15.85546875" style="1372" customWidth="1"/>
    <col min="5896" max="5896" width="6.42578125" style="1372" customWidth="1"/>
    <col min="5897" max="5897" width="14.28515625" style="1372" bestFit="1" customWidth="1"/>
    <col min="5898" max="5898" width="9.140625" style="1372"/>
    <col min="5899" max="5900" width="16" style="1372" bestFit="1" customWidth="1"/>
    <col min="5901" max="6144" width="9.140625" style="1372"/>
    <col min="6145" max="6145" width="4.7109375" style="1372" customWidth="1"/>
    <col min="6146" max="6146" width="6.7109375" style="1372" customWidth="1"/>
    <col min="6147" max="6147" width="8.85546875" style="1372" customWidth="1"/>
    <col min="6148" max="6148" width="46.42578125" style="1372" customWidth="1"/>
    <col min="6149" max="6149" width="12.85546875" style="1372" customWidth="1"/>
    <col min="6150" max="6150" width="15.5703125" style="1372" customWidth="1"/>
    <col min="6151" max="6151" width="15.85546875" style="1372" customWidth="1"/>
    <col min="6152" max="6152" width="6.42578125" style="1372" customWidth="1"/>
    <col min="6153" max="6153" width="14.28515625" style="1372" bestFit="1" customWidth="1"/>
    <col min="6154" max="6154" width="9.140625" style="1372"/>
    <col min="6155" max="6156" width="16" style="1372" bestFit="1" customWidth="1"/>
    <col min="6157" max="6400" width="9.140625" style="1372"/>
    <col min="6401" max="6401" width="4.7109375" style="1372" customWidth="1"/>
    <col min="6402" max="6402" width="6.7109375" style="1372" customWidth="1"/>
    <col min="6403" max="6403" width="8.85546875" style="1372" customWidth="1"/>
    <col min="6404" max="6404" width="46.42578125" style="1372" customWidth="1"/>
    <col min="6405" max="6405" width="12.85546875" style="1372" customWidth="1"/>
    <col min="6406" max="6406" width="15.5703125" style="1372" customWidth="1"/>
    <col min="6407" max="6407" width="15.85546875" style="1372" customWidth="1"/>
    <col min="6408" max="6408" width="6.42578125" style="1372" customWidth="1"/>
    <col min="6409" max="6409" width="14.28515625" style="1372" bestFit="1" customWidth="1"/>
    <col min="6410" max="6410" width="9.140625" style="1372"/>
    <col min="6411" max="6412" width="16" style="1372" bestFit="1" customWidth="1"/>
    <col min="6413" max="6656" width="9.140625" style="1372"/>
    <col min="6657" max="6657" width="4.7109375" style="1372" customWidth="1"/>
    <col min="6658" max="6658" width="6.7109375" style="1372" customWidth="1"/>
    <col min="6659" max="6659" width="8.85546875" style="1372" customWidth="1"/>
    <col min="6660" max="6660" width="46.42578125" style="1372" customWidth="1"/>
    <col min="6661" max="6661" width="12.85546875" style="1372" customWidth="1"/>
    <col min="6662" max="6662" width="15.5703125" style="1372" customWidth="1"/>
    <col min="6663" max="6663" width="15.85546875" style="1372" customWidth="1"/>
    <col min="6664" max="6664" width="6.42578125" style="1372" customWidth="1"/>
    <col min="6665" max="6665" width="14.28515625" style="1372" bestFit="1" customWidth="1"/>
    <col min="6666" max="6666" width="9.140625" style="1372"/>
    <col min="6667" max="6668" width="16" style="1372" bestFit="1" customWidth="1"/>
    <col min="6669" max="6912" width="9.140625" style="1372"/>
    <col min="6913" max="6913" width="4.7109375" style="1372" customWidth="1"/>
    <col min="6914" max="6914" width="6.7109375" style="1372" customWidth="1"/>
    <col min="6915" max="6915" width="8.85546875" style="1372" customWidth="1"/>
    <col min="6916" max="6916" width="46.42578125" style="1372" customWidth="1"/>
    <col min="6917" max="6917" width="12.85546875" style="1372" customWidth="1"/>
    <col min="6918" max="6918" width="15.5703125" style="1372" customWidth="1"/>
    <col min="6919" max="6919" width="15.85546875" style="1372" customWidth="1"/>
    <col min="6920" max="6920" width="6.42578125" style="1372" customWidth="1"/>
    <col min="6921" max="6921" width="14.28515625" style="1372" bestFit="1" customWidth="1"/>
    <col min="6922" max="6922" width="9.140625" style="1372"/>
    <col min="6923" max="6924" width="16" style="1372" bestFit="1" customWidth="1"/>
    <col min="6925" max="7168" width="9.140625" style="1372"/>
    <col min="7169" max="7169" width="4.7109375" style="1372" customWidth="1"/>
    <col min="7170" max="7170" width="6.7109375" style="1372" customWidth="1"/>
    <col min="7171" max="7171" width="8.85546875" style="1372" customWidth="1"/>
    <col min="7172" max="7172" width="46.42578125" style="1372" customWidth="1"/>
    <col min="7173" max="7173" width="12.85546875" style="1372" customWidth="1"/>
    <col min="7174" max="7174" width="15.5703125" style="1372" customWidth="1"/>
    <col min="7175" max="7175" width="15.85546875" style="1372" customWidth="1"/>
    <col min="7176" max="7176" width="6.42578125" style="1372" customWidth="1"/>
    <col min="7177" max="7177" width="14.28515625" style="1372" bestFit="1" customWidth="1"/>
    <col min="7178" max="7178" width="9.140625" style="1372"/>
    <col min="7179" max="7180" width="16" style="1372" bestFit="1" customWidth="1"/>
    <col min="7181" max="7424" width="9.140625" style="1372"/>
    <col min="7425" max="7425" width="4.7109375" style="1372" customWidth="1"/>
    <col min="7426" max="7426" width="6.7109375" style="1372" customWidth="1"/>
    <col min="7427" max="7427" width="8.85546875" style="1372" customWidth="1"/>
    <col min="7428" max="7428" width="46.42578125" style="1372" customWidth="1"/>
    <col min="7429" max="7429" width="12.85546875" style="1372" customWidth="1"/>
    <col min="7430" max="7430" width="15.5703125" style="1372" customWidth="1"/>
    <col min="7431" max="7431" width="15.85546875" style="1372" customWidth="1"/>
    <col min="7432" max="7432" width="6.42578125" style="1372" customWidth="1"/>
    <col min="7433" max="7433" width="14.28515625" style="1372" bestFit="1" customWidth="1"/>
    <col min="7434" max="7434" width="9.140625" style="1372"/>
    <col min="7435" max="7436" width="16" style="1372" bestFit="1" customWidth="1"/>
    <col min="7437" max="7680" width="9.140625" style="1372"/>
    <col min="7681" max="7681" width="4.7109375" style="1372" customWidth="1"/>
    <col min="7682" max="7682" width="6.7109375" style="1372" customWidth="1"/>
    <col min="7683" max="7683" width="8.85546875" style="1372" customWidth="1"/>
    <col min="7684" max="7684" width="46.42578125" style="1372" customWidth="1"/>
    <col min="7685" max="7685" width="12.85546875" style="1372" customWidth="1"/>
    <col min="7686" max="7686" width="15.5703125" style="1372" customWidth="1"/>
    <col min="7687" max="7687" width="15.85546875" style="1372" customWidth="1"/>
    <col min="7688" max="7688" width="6.42578125" style="1372" customWidth="1"/>
    <col min="7689" max="7689" width="14.28515625" style="1372" bestFit="1" customWidth="1"/>
    <col min="7690" max="7690" width="9.140625" style="1372"/>
    <col min="7691" max="7692" width="16" style="1372" bestFit="1" customWidth="1"/>
    <col min="7693" max="7936" width="9.140625" style="1372"/>
    <col min="7937" max="7937" width="4.7109375" style="1372" customWidth="1"/>
    <col min="7938" max="7938" width="6.7109375" style="1372" customWidth="1"/>
    <col min="7939" max="7939" width="8.85546875" style="1372" customWidth="1"/>
    <col min="7940" max="7940" width="46.42578125" style="1372" customWidth="1"/>
    <col min="7941" max="7941" width="12.85546875" style="1372" customWidth="1"/>
    <col min="7942" max="7942" width="15.5703125" style="1372" customWidth="1"/>
    <col min="7943" max="7943" width="15.85546875" style="1372" customWidth="1"/>
    <col min="7944" max="7944" width="6.42578125" style="1372" customWidth="1"/>
    <col min="7945" max="7945" width="14.28515625" style="1372" bestFit="1" customWidth="1"/>
    <col min="7946" max="7946" width="9.140625" style="1372"/>
    <col min="7947" max="7948" width="16" style="1372" bestFit="1" customWidth="1"/>
    <col min="7949" max="8192" width="9.140625" style="1372"/>
    <col min="8193" max="8193" width="4.7109375" style="1372" customWidth="1"/>
    <col min="8194" max="8194" width="6.7109375" style="1372" customWidth="1"/>
    <col min="8195" max="8195" width="8.85546875" style="1372" customWidth="1"/>
    <col min="8196" max="8196" width="46.42578125" style="1372" customWidth="1"/>
    <col min="8197" max="8197" width="12.85546875" style="1372" customWidth="1"/>
    <col min="8198" max="8198" width="15.5703125" style="1372" customWidth="1"/>
    <col min="8199" max="8199" width="15.85546875" style="1372" customWidth="1"/>
    <col min="8200" max="8200" width="6.42578125" style="1372" customWidth="1"/>
    <col min="8201" max="8201" width="14.28515625" style="1372" bestFit="1" customWidth="1"/>
    <col min="8202" max="8202" width="9.140625" style="1372"/>
    <col min="8203" max="8204" width="16" style="1372" bestFit="1" customWidth="1"/>
    <col min="8205" max="8448" width="9.140625" style="1372"/>
    <col min="8449" max="8449" width="4.7109375" style="1372" customWidth="1"/>
    <col min="8450" max="8450" width="6.7109375" style="1372" customWidth="1"/>
    <col min="8451" max="8451" width="8.85546875" style="1372" customWidth="1"/>
    <col min="8452" max="8452" width="46.42578125" style="1372" customWidth="1"/>
    <col min="8453" max="8453" width="12.85546875" style="1372" customWidth="1"/>
    <col min="8454" max="8454" width="15.5703125" style="1372" customWidth="1"/>
    <col min="8455" max="8455" width="15.85546875" style="1372" customWidth="1"/>
    <col min="8456" max="8456" width="6.42578125" style="1372" customWidth="1"/>
    <col min="8457" max="8457" width="14.28515625" style="1372" bestFit="1" customWidth="1"/>
    <col min="8458" max="8458" width="9.140625" style="1372"/>
    <col min="8459" max="8460" width="16" style="1372" bestFit="1" customWidth="1"/>
    <col min="8461" max="8704" width="9.140625" style="1372"/>
    <col min="8705" max="8705" width="4.7109375" style="1372" customWidth="1"/>
    <col min="8706" max="8706" width="6.7109375" style="1372" customWidth="1"/>
    <col min="8707" max="8707" width="8.85546875" style="1372" customWidth="1"/>
    <col min="8708" max="8708" width="46.42578125" style="1372" customWidth="1"/>
    <col min="8709" max="8709" width="12.85546875" style="1372" customWidth="1"/>
    <col min="8710" max="8710" width="15.5703125" style="1372" customWidth="1"/>
    <col min="8711" max="8711" width="15.85546875" style="1372" customWidth="1"/>
    <col min="8712" max="8712" width="6.42578125" style="1372" customWidth="1"/>
    <col min="8713" max="8713" width="14.28515625" style="1372" bestFit="1" customWidth="1"/>
    <col min="8714" max="8714" width="9.140625" style="1372"/>
    <col min="8715" max="8716" width="16" style="1372" bestFit="1" customWidth="1"/>
    <col min="8717" max="8960" width="9.140625" style="1372"/>
    <col min="8961" max="8961" width="4.7109375" style="1372" customWidth="1"/>
    <col min="8962" max="8962" width="6.7109375" style="1372" customWidth="1"/>
    <col min="8963" max="8963" width="8.85546875" style="1372" customWidth="1"/>
    <col min="8964" max="8964" width="46.42578125" style="1372" customWidth="1"/>
    <col min="8965" max="8965" width="12.85546875" style="1372" customWidth="1"/>
    <col min="8966" max="8966" width="15.5703125" style="1372" customWidth="1"/>
    <col min="8967" max="8967" width="15.85546875" style="1372" customWidth="1"/>
    <col min="8968" max="8968" width="6.42578125" style="1372" customWidth="1"/>
    <col min="8969" max="8969" width="14.28515625" style="1372" bestFit="1" customWidth="1"/>
    <col min="8970" max="8970" width="9.140625" style="1372"/>
    <col min="8971" max="8972" width="16" style="1372" bestFit="1" customWidth="1"/>
    <col min="8973" max="9216" width="9.140625" style="1372"/>
    <col min="9217" max="9217" width="4.7109375" style="1372" customWidth="1"/>
    <col min="9218" max="9218" width="6.7109375" style="1372" customWidth="1"/>
    <col min="9219" max="9219" width="8.85546875" style="1372" customWidth="1"/>
    <col min="9220" max="9220" width="46.42578125" style="1372" customWidth="1"/>
    <col min="9221" max="9221" width="12.85546875" style="1372" customWidth="1"/>
    <col min="9222" max="9222" width="15.5703125" style="1372" customWidth="1"/>
    <col min="9223" max="9223" width="15.85546875" style="1372" customWidth="1"/>
    <col min="9224" max="9224" width="6.42578125" style="1372" customWidth="1"/>
    <col min="9225" max="9225" width="14.28515625" style="1372" bestFit="1" customWidth="1"/>
    <col min="9226" max="9226" width="9.140625" style="1372"/>
    <col min="9227" max="9228" width="16" style="1372" bestFit="1" customWidth="1"/>
    <col min="9229" max="9472" width="9.140625" style="1372"/>
    <col min="9473" max="9473" width="4.7109375" style="1372" customWidth="1"/>
    <col min="9474" max="9474" width="6.7109375" style="1372" customWidth="1"/>
    <col min="9475" max="9475" width="8.85546875" style="1372" customWidth="1"/>
    <col min="9476" max="9476" width="46.42578125" style="1372" customWidth="1"/>
    <col min="9477" max="9477" width="12.85546875" style="1372" customWidth="1"/>
    <col min="9478" max="9478" width="15.5703125" style="1372" customWidth="1"/>
    <col min="9479" max="9479" width="15.85546875" style="1372" customWidth="1"/>
    <col min="9480" max="9480" width="6.42578125" style="1372" customWidth="1"/>
    <col min="9481" max="9481" width="14.28515625" style="1372" bestFit="1" customWidth="1"/>
    <col min="9482" max="9482" width="9.140625" style="1372"/>
    <col min="9483" max="9484" width="16" style="1372" bestFit="1" customWidth="1"/>
    <col min="9485" max="9728" width="9.140625" style="1372"/>
    <col min="9729" max="9729" width="4.7109375" style="1372" customWidth="1"/>
    <col min="9730" max="9730" width="6.7109375" style="1372" customWidth="1"/>
    <col min="9731" max="9731" width="8.85546875" style="1372" customWidth="1"/>
    <col min="9732" max="9732" width="46.42578125" style="1372" customWidth="1"/>
    <col min="9733" max="9733" width="12.85546875" style="1372" customWidth="1"/>
    <col min="9734" max="9734" width="15.5703125" style="1372" customWidth="1"/>
    <col min="9735" max="9735" width="15.85546875" style="1372" customWidth="1"/>
    <col min="9736" max="9736" width="6.42578125" style="1372" customWidth="1"/>
    <col min="9737" max="9737" width="14.28515625" style="1372" bestFit="1" customWidth="1"/>
    <col min="9738" max="9738" width="9.140625" style="1372"/>
    <col min="9739" max="9740" width="16" style="1372" bestFit="1" customWidth="1"/>
    <col min="9741" max="9984" width="9.140625" style="1372"/>
    <col min="9985" max="9985" width="4.7109375" style="1372" customWidth="1"/>
    <col min="9986" max="9986" width="6.7109375" style="1372" customWidth="1"/>
    <col min="9987" max="9987" width="8.85546875" style="1372" customWidth="1"/>
    <col min="9988" max="9988" width="46.42578125" style="1372" customWidth="1"/>
    <col min="9989" max="9989" width="12.85546875" style="1372" customWidth="1"/>
    <col min="9990" max="9990" width="15.5703125" style="1372" customWidth="1"/>
    <col min="9991" max="9991" width="15.85546875" style="1372" customWidth="1"/>
    <col min="9992" max="9992" width="6.42578125" style="1372" customWidth="1"/>
    <col min="9993" max="9993" width="14.28515625" style="1372" bestFit="1" customWidth="1"/>
    <col min="9994" max="9994" width="9.140625" style="1372"/>
    <col min="9995" max="9996" width="16" style="1372" bestFit="1" customWidth="1"/>
    <col min="9997" max="10240" width="9.140625" style="1372"/>
    <col min="10241" max="10241" width="4.7109375" style="1372" customWidth="1"/>
    <col min="10242" max="10242" width="6.7109375" style="1372" customWidth="1"/>
    <col min="10243" max="10243" width="8.85546875" style="1372" customWidth="1"/>
    <col min="10244" max="10244" width="46.42578125" style="1372" customWidth="1"/>
    <col min="10245" max="10245" width="12.85546875" style="1372" customWidth="1"/>
    <col min="10246" max="10246" width="15.5703125" style="1372" customWidth="1"/>
    <col min="10247" max="10247" width="15.85546875" style="1372" customWidth="1"/>
    <col min="10248" max="10248" width="6.42578125" style="1372" customWidth="1"/>
    <col min="10249" max="10249" width="14.28515625" style="1372" bestFit="1" customWidth="1"/>
    <col min="10250" max="10250" width="9.140625" style="1372"/>
    <col min="10251" max="10252" width="16" style="1372" bestFit="1" customWidth="1"/>
    <col min="10253" max="10496" width="9.140625" style="1372"/>
    <col min="10497" max="10497" width="4.7109375" style="1372" customWidth="1"/>
    <col min="10498" max="10498" width="6.7109375" style="1372" customWidth="1"/>
    <col min="10499" max="10499" width="8.85546875" style="1372" customWidth="1"/>
    <col min="10500" max="10500" width="46.42578125" style="1372" customWidth="1"/>
    <col min="10501" max="10501" width="12.85546875" style="1372" customWidth="1"/>
    <col min="10502" max="10502" width="15.5703125" style="1372" customWidth="1"/>
    <col min="10503" max="10503" width="15.85546875" style="1372" customWidth="1"/>
    <col min="10504" max="10504" width="6.42578125" style="1372" customWidth="1"/>
    <col min="10505" max="10505" width="14.28515625" style="1372" bestFit="1" customWidth="1"/>
    <col min="10506" max="10506" width="9.140625" style="1372"/>
    <col min="10507" max="10508" width="16" style="1372" bestFit="1" customWidth="1"/>
    <col min="10509" max="10752" width="9.140625" style="1372"/>
    <col min="10753" max="10753" width="4.7109375" style="1372" customWidth="1"/>
    <col min="10754" max="10754" width="6.7109375" style="1372" customWidth="1"/>
    <col min="10755" max="10755" width="8.85546875" style="1372" customWidth="1"/>
    <col min="10756" max="10756" width="46.42578125" style="1372" customWidth="1"/>
    <col min="10757" max="10757" width="12.85546875" style="1372" customWidth="1"/>
    <col min="10758" max="10758" width="15.5703125" style="1372" customWidth="1"/>
    <col min="10759" max="10759" width="15.85546875" style="1372" customWidth="1"/>
    <col min="10760" max="10760" width="6.42578125" style="1372" customWidth="1"/>
    <col min="10761" max="10761" width="14.28515625" style="1372" bestFit="1" customWidth="1"/>
    <col min="10762" max="10762" width="9.140625" style="1372"/>
    <col min="10763" max="10764" width="16" style="1372" bestFit="1" customWidth="1"/>
    <col min="10765" max="11008" width="9.140625" style="1372"/>
    <col min="11009" max="11009" width="4.7109375" style="1372" customWidth="1"/>
    <col min="11010" max="11010" width="6.7109375" style="1372" customWidth="1"/>
    <col min="11011" max="11011" width="8.85546875" style="1372" customWidth="1"/>
    <col min="11012" max="11012" width="46.42578125" style="1372" customWidth="1"/>
    <col min="11013" max="11013" width="12.85546875" style="1372" customWidth="1"/>
    <col min="11014" max="11014" width="15.5703125" style="1372" customWidth="1"/>
    <col min="11015" max="11015" width="15.85546875" style="1372" customWidth="1"/>
    <col min="11016" max="11016" width="6.42578125" style="1372" customWidth="1"/>
    <col min="11017" max="11017" width="14.28515625" style="1372" bestFit="1" customWidth="1"/>
    <col min="11018" max="11018" width="9.140625" style="1372"/>
    <col min="11019" max="11020" width="16" style="1372" bestFit="1" customWidth="1"/>
    <col min="11021" max="11264" width="9.140625" style="1372"/>
    <col min="11265" max="11265" width="4.7109375" style="1372" customWidth="1"/>
    <col min="11266" max="11266" width="6.7109375" style="1372" customWidth="1"/>
    <col min="11267" max="11267" width="8.85546875" style="1372" customWidth="1"/>
    <col min="11268" max="11268" width="46.42578125" style="1372" customWidth="1"/>
    <col min="11269" max="11269" width="12.85546875" style="1372" customWidth="1"/>
    <col min="11270" max="11270" width="15.5703125" style="1372" customWidth="1"/>
    <col min="11271" max="11271" width="15.85546875" style="1372" customWidth="1"/>
    <col min="11272" max="11272" width="6.42578125" style="1372" customWidth="1"/>
    <col min="11273" max="11273" width="14.28515625" style="1372" bestFit="1" customWidth="1"/>
    <col min="11274" max="11274" width="9.140625" style="1372"/>
    <col min="11275" max="11276" width="16" style="1372" bestFit="1" customWidth="1"/>
    <col min="11277" max="11520" width="9.140625" style="1372"/>
    <col min="11521" max="11521" width="4.7109375" style="1372" customWidth="1"/>
    <col min="11522" max="11522" width="6.7109375" style="1372" customWidth="1"/>
    <col min="11523" max="11523" width="8.85546875" style="1372" customWidth="1"/>
    <col min="11524" max="11524" width="46.42578125" style="1372" customWidth="1"/>
    <col min="11525" max="11525" width="12.85546875" style="1372" customWidth="1"/>
    <col min="11526" max="11526" width="15.5703125" style="1372" customWidth="1"/>
    <col min="11527" max="11527" width="15.85546875" style="1372" customWidth="1"/>
    <col min="11528" max="11528" width="6.42578125" style="1372" customWidth="1"/>
    <col min="11529" max="11529" width="14.28515625" style="1372" bestFit="1" customWidth="1"/>
    <col min="11530" max="11530" width="9.140625" style="1372"/>
    <col min="11531" max="11532" width="16" style="1372" bestFit="1" customWidth="1"/>
    <col min="11533" max="11776" width="9.140625" style="1372"/>
    <col min="11777" max="11777" width="4.7109375" style="1372" customWidth="1"/>
    <col min="11778" max="11778" width="6.7109375" style="1372" customWidth="1"/>
    <col min="11779" max="11779" width="8.85546875" style="1372" customWidth="1"/>
    <col min="11780" max="11780" width="46.42578125" style="1372" customWidth="1"/>
    <col min="11781" max="11781" width="12.85546875" style="1372" customWidth="1"/>
    <col min="11782" max="11782" width="15.5703125" style="1372" customWidth="1"/>
    <col min="11783" max="11783" width="15.85546875" style="1372" customWidth="1"/>
    <col min="11784" max="11784" width="6.42578125" style="1372" customWidth="1"/>
    <col min="11785" max="11785" width="14.28515625" style="1372" bestFit="1" customWidth="1"/>
    <col min="11786" max="11786" width="9.140625" style="1372"/>
    <col min="11787" max="11788" width="16" style="1372" bestFit="1" customWidth="1"/>
    <col min="11789" max="12032" width="9.140625" style="1372"/>
    <col min="12033" max="12033" width="4.7109375" style="1372" customWidth="1"/>
    <col min="12034" max="12034" width="6.7109375" style="1372" customWidth="1"/>
    <col min="12035" max="12035" width="8.85546875" style="1372" customWidth="1"/>
    <col min="12036" max="12036" width="46.42578125" style="1372" customWidth="1"/>
    <col min="12037" max="12037" width="12.85546875" style="1372" customWidth="1"/>
    <col min="12038" max="12038" width="15.5703125" style="1372" customWidth="1"/>
    <col min="12039" max="12039" width="15.85546875" style="1372" customWidth="1"/>
    <col min="12040" max="12040" width="6.42578125" style="1372" customWidth="1"/>
    <col min="12041" max="12041" width="14.28515625" style="1372" bestFit="1" customWidth="1"/>
    <col min="12042" max="12042" width="9.140625" style="1372"/>
    <col min="12043" max="12044" width="16" style="1372" bestFit="1" customWidth="1"/>
    <col min="12045" max="12288" width="9.140625" style="1372"/>
    <col min="12289" max="12289" width="4.7109375" style="1372" customWidth="1"/>
    <col min="12290" max="12290" width="6.7109375" style="1372" customWidth="1"/>
    <col min="12291" max="12291" width="8.85546875" style="1372" customWidth="1"/>
    <col min="12292" max="12292" width="46.42578125" style="1372" customWidth="1"/>
    <col min="12293" max="12293" width="12.85546875" style="1372" customWidth="1"/>
    <col min="12294" max="12294" width="15.5703125" style="1372" customWidth="1"/>
    <col min="12295" max="12295" width="15.85546875" style="1372" customWidth="1"/>
    <col min="12296" max="12296" width="6.42578125" style="1372" customWidth="1"/>
    <col min="12297" max="12297" width="14.28515625" style="1372" bestFit="1" customWidth="1"/>
    <col min="12298" max="12298" width="9.140625" style="1372"/>
    <col min="12299" max="12300" width="16" style="1372" bestFit="1" customWidth="1"/>
    <col min="12301" max="12544" width="9.140625" style="1372"/>
    <col min="12545" max="12545" width="4.7109375" style="1372" customWidth="1"/>
    <col min="12546" max="12546" width="6.7109375" style="1372" customWidth="1"/>
    <col min="12547" max="12547" width="8.85546875" style="1372" customWidth="1"/>
    <col min="12548" max="12548" width="46.42578125" style="1372" customWidth="1"/>
    <col min="12549" max="12549" width="12.85546875" style="1372" customWidth="1"/>
    <col min="12550" max="12550" width="15.5703125" style="1372" customWidth="1"/>
    <col min="12551" max="12551" width="15.85546875" style="1372" customWidth="1"/>
    <col min="12552" max="12552" width="6.42578125" style="1372" customWidth="1"/>
    <col min="12553" max="12553" width="14.28515625" style="1372" bestFit="1" customWidth="1"/>
    <col min="12554" max="12554" width="9.140625" style="1372"/>
    <col min="12555" max="12556" width="16" style="1372" bestFit="1" customWidth="1"/>
    <col min="12557" max="12800" width="9.140625" style="1372"/>
    <col min="12801" max="12801" width="4.7109375" style="1372" customWidth="1"/>
    <col min="12802" max="12802" width="6.7109375" style="1372" customWidth="1"/>
    <col min="12803" max="12803" width="8.85546875" style="1372" customWidth="1"/>
    <col min="12804" max="12804" width="46.42578125" style="1372" customWidth="1"/>
    <col min="12805" max="12805" width="12.85546875" style="1372" customWidth="1"/>
    <col min="12806" max="12806" width="15.5703125" style="1372" customWidth="1"/>
    <col min="12807" max="12807" width="15.85546875" style="1372" customWidth="1"/>
    <col min="12808" max="12808" width="6.42578125" style="1372" customWidth="1"/>
    <col min="12809" max="12809" width="14.28515625" style="1372" bestFit="1" customWidth="1"/>
    <col min="12810" max="12810" width="9.140625" style="1372"/>
    <col min="12811" max="12812" width="16" style="1372" bestFit="1" customWidth="1"/>
    <col min="12813" max="13056" width="9.140625" style="1372"/>
    <col min="13057" max="13057" width="4.7109375" style="1372" customWidth="1"/>
    <col min="13058" max="13058" width="6.7109375" style="1372" customWidth="1"/>
    <col min="13059" max="13059" width="8.85546875" style="1372" customWidth="1"/>
    <col min="13060" max="13060" width="46.42578125" style="1372" customWidth="1"/>
    <col min="13061" max="13061" width="12.85546875" style="1372" customWidth="1"/>
    <col min="13062" max="13062" width="15.5703125" style="1372" customWidth="1"/>
    <col min="13063" max="13063" width="15.85546875" style="1372" customWidth="1"/>
    <col min="13064" max="13064" width="6.42578125" style="1372" customWidth="1"/>
    <col min="13065" max="13065" width="14.28515625" style="1372" bestFit="1" customWidth="1"/>
    <col min="13066" max="13066" width="9.140625" style="1372"/>
    <col min="13067" max="13068" width="16" style="1372" bestFit="1" customWidth="1"/>
    <col min="13069" max="13312" width="9.140625" style="1372"/>
    <col min="13313" max="13313" width="4.7109375" style="1372" customWidth="1"/>
    <col min="13314" max="13314" width="6.7109375" style="1372" customWidth="1"/>
    <col min="13315" max="13315" width="8.85546875" style="1372" customWidth="1"/>
    <col min="13316" max="13316" width="46.42578125" style="1372" customWidth="1"/>
    <col min="13317" max="13317" width="12.85546875" style="1372" customWidth="1"/>
    <col min="13318" max="13318" width="15.5703125" style="1372" customWidth="1"/>
    <col min="13319" max="13319" width="15.85546875" style="1372" customWidth="1"/>
    <col min="13320" max="13320" width="6.42578125" style="1372" customWidth="1"/>
    <col min="13321" max="13321" width="14.28515625" style="1372" bestFit="1" customWidth="1"/>
    <col min="13322" max="13322" width="9.140625" style="1372"/>
    <col min="13323" max="13324" width="16" style="1372" bestFit="1" customWidth="1"/>
    <col min="13325" max="13568" width="9.140625" style="1372"/>
    <col min="13569" max="13569" width="4.7109375" style="1372" customWidth="1"/>
    <col min="13570" max="13570" width="6.7109375" style="1372" customWidth="1"/>
    <col min="13571" max="13571" width="8.85546875" style="1372" customWidth="1"/>
    <col min="13572" max="13572" width="46.42578125" style="1372" customWidth="1"/>
    <col min="13573" max="13573" width="12.85546875" style="1372" customWidth="1"/>
    <col min="13574" max="13574" width="15.5703125" style="1372" customWidth="1"/>
    <col min="13575" max="13575" width="15.85546875" style="1372" customWidth="1"/>
    <col min="13576" max="13576" width="6.42578125" style="1372" customWidth="1"/>
    <col min="13577" max="13577" width="14.28515625" style="1372" bestFit="1" customWidth="1"/>
    <col min="13578" max="13578" width="9.140625" style="1372"/>
    <col min="13579" max="13580" width="16" style="1372" bestFit="1" customWidth="1"/>
    <col min="13581" max="13824" width="9.140625" style="1372"/>
    <col min="13825" max="13825" width="4.7109375" style="1372" customWidth="1"/>
    <col min="13826" max="13826" width="6.7109375" style="1372" customWidth="1"/>
    <col min="13827" max="13827" width="8.85546875" style="1372" customWidth="1"/>
    <col min="13828" max="13828" width="46.42578125" style="1372" customWidth="1"/>
    <col min="13829" max="13829" width="12.85546875" style="1372" customWidth="1"/>
    <col min="13830" max="13830" width="15.5703125" style="1372" customWidth="1"/>
    <col min="13831" max="13831" width="15.85546875" style="1372" customWidth="1"/>
    <col min="13832" max="13832" width="6.42578125" style="1372" customWidth="1"/>
    <col min="13833" max="13833" width="14.28515625" style="1372" bestFit="1" customWidth="1"/>
    <col min="13834" max="13834" width="9.140625" style="1372"/>
    <col min="13835" max="13836" width="16" style="1372" bestFit="1" customWidth="1"/>
    <col min="13837" max="14080" width="9.140625" style="1372"/>
    <col min="14081" max="14081" width="4.7109375" style="1372" customWidth="1"/>
    <col min="14082" max="14082" width="6.7109375" style="1372" customWidth="1"/>
    <col min="14083" max="14083" width="8.85546875" style="1372" customWidth="1"/>
    <col min="14084" max="14084" width="46.42578125" style="1372" customWidth="1"/>
    <col min="14085" max="14085" width="12.85546875" style="1372" customWidth="1"/>
    <col min="14086" max="14086" width="15.5703125" style="1372" customWidth="1"/>
    <col min="14087" max="14087" width="15.85546875" style="1372" customWidth="1"/>
    <col min="14088" max="14088" width="6.42578125" style="1372" customWidth="1"/>
    <col min="14089" max="14089" width="14.28515625" style="1372" bestFit="1" customWidth="1"/>
    <col min="14090" max="14090" width="9.140625" style="1372"/>
    <col min="14091" max="14092" width="16" style="1372" bestFit="1" customWidth="1"/>
    <col min="14093" max="14336" width="9.140625" style="1372"/>
    <col min="14337" max="14337" width="4.7109375" style="1372" customWidth="1"/>
    <col min="14338" max="14338" width="6.7109375" style="1372" customWidth="1"/>
    <col min="14339" max="14339" width="8.85546875" style="1372" customWidth="1"/>
    <col min="14340" max="14340" width="46.42578125" style="1372" customWidth="1"/>
    <col min="14341" max="14341" width="12.85546875" style="1372" customWidth="1"/>
    <col min="14342" max="14342" width="15.5703125" style="1372" customWidth="1"/>
    <col min="14343" max="14343" width="15.85546875" style="1372" customWidth="1"/>
    <col min="14344" max="14344" width="6.42578125" style="1372" customWidth="1"/>
    <col min="14345" max="14345" width="14.28515625" style="1372" bestFit="1" customWidth="1"/>
    <col min="14346" max="14346" width="9.140625" style="1372"/>
    <col min="14347" max="14348" width="16" style="1372" bestFit="1" customWidth="1"/>
    <col min="14349" max="14592" width="9.140625" style="1372"/>
    <col min="14593" max="14593" width="4.7109375" style="1372" customWidth="1"/>
    <col min="14594" max="14594" width="6.7109375" style="1372" customWidth="1"/>
    <col min="14595" max="14595" width="8.85546875" style="1372" customWidth="1"/>
    <col min="14596" max="14596" width="46.42578125" style="1372" customWidth="1"/>
    <col min="14597" max="14597" width="12.85546875" style="1372" customWidth="1"/>
    <col min="14598" max="14598" width="15.5703125" style="1372" customWidth="1"/>
    <col min="14599" max="14599" width="15.85546875" style="1372" customWidth="1"/>
    <col min="14600" max="14600" width="6.42578125" style="1372" customWidth="1"/>
    <col min="14601" max="14601" width="14.28515625" style="1372" bestFit="1" customWidth="1"/>
    <col min="14602" max="14602" width="9.140625" style="1372"/>
    <col min="14603" max="14604" width="16" style="1372" bestFit="1" customWidth="1"/>
    <col min="14605" max="14848" width="9.140625" style="1372"/>
    <col min="14849" max="14849" width="4.7109375" style="1372" customWidth="1"/>
    <col min="14850" max="14850" width="6.7109375" style="1372" customWidth="1"/>
    <col min="14851" max="14851" width="8.85546875" style="1372" customWidth="1"/>
    <col min="14852" max="14852" width="46.42578125" style="1372" customWidth="1"/>
    <col min="14853" max="14853" width="12.85546875" style="1372" customWidth="1"/>
    <col min="14854" max="14854" width="15.5703125" style="1372" customWidth="1"/>
    <col min="14855" max="14855" width="15.85546875" style="1372" customWidth="1"/>
    <col min="14856" max="14856" width="6.42578125" style="1372" customWidth="1"/>
    <col min="14857" max="14857" width="14.28515625" style="1372" bestFit="1" customWidth="1"/>
    <col min="14858" max="14858" width="9.140625" style="1372"/>
    <col min="14859" max="14860" width="16" style="1372" bestFit="1" customWidth="1"/>
    <col min="14861" max="15104" width="9.140625" style="1372"/>
    <col min="15105" max="15105" width="4.7109375" style="1372" customWidth="1"/>
    <col min="15106" max="15106" width="6.7109375" style="1372" customWidth="1"/>
    <col min="15107" max="15107" width="8.85546875" style="1372" customWidth="1"/>
    <col min="15108" max="15108" width="46.42578125" style="1372" customWidth="1"/>
    <col min="15109" max="15109" width="12.85546875" style="1372" customWidth="1"/>
    <col min="15110" max="15110" width="15.5703125" style="1372" customWidth="1"/>
    <col min="15111" max="15111" width="15.85546875" style="1372" customWidth="1"/>
    <col min="15112" max="15112" width="6.42578125" style="1372" customWidth="1"/>
    <col min="15113" max="15113" width="14.28515625" style="1372" bestFit="1" customWidth="1"/>
    <col min="15114" max="15114" width="9.140625" style="1372"/>
    <col min="15115" max="15116" width="16" style="1372" bestFit="1" customWidth="1"/>
    <col min="15117" max="15360" width="9.140625" style="1372"/>
    <col min="15361" max="15361" width="4.7109375" style="1372" customWidth="1"/>
    <col min="15362" max="15362" width="6.7109375" style="1372" customWidth="1"/>
    <col min="15363" max="15363" width="8.85546875" style="1372" customWidth="1"/>
    <col min="15364" max="15364" width="46.42578125" style="1372" customWidth="1"/>
    <col min="15365" max="15365" width="12.85546875" style="1372" customWidth="1"/>
    <col min="15366" max="15366" width="15.5703125" style="1372" customWidth="1"/>
    <col min="15367" max="15367" width="15.85546875" style="1372" customWidth="1"/>
    <col min="15368" max="15368" width="6.42578125" style="1372" customWidth="1"/>
    <col min="15369" max="15369" width="14.28515625" style="1372" bestFit="1" customWidth="1"/>
    <col min="15370" max="15370" width="9.140625" style="1372"/>
    <col min="15371" max="15372" width="16" style="1372" bestFit="1" customWidth="1"/>
    <col min="15373" max="15616" width="9.140625" style="1372"/>
    <col min="15617" max="15617" width="4.7109375" style="1372" customWidth="1"/>
    <col min="15618" max="15618" width="6.7109375" style="1372" customWidth="1"/>
    <col min="15619" max="15619" width="8.85546875" style="1372" customWidth="1"/>
    <col min="15620" max="15620" width="46.42578125" style="1372" customWidth="1"/>
    <col min="15621" max="15621" width="12.85546875" style="1372" customWidth="1"/>
    <col min="15622" max="15622" width="15.5703125" style="1372" customWidth="1"/>
    <col min="15623" max="15623" width="15.85546875" style="1372" customWidth="1"/>
    <col min="15624" max="15624" width="6.42578125" style="1372" customWidth="1"/>
    <col min="15625" max="15625" width="14.28515625" style="1372" bestFit="1" customWidth="1"/>
    <col min="15626" max="15626" width="9.140625" style="1372"/>
    <col min="15627" max="15628" width="16" style="1372" bestFit="1" customWidth="1"/>
    <col min="15629" max="15872" width="9.140625" style="1372"/>
    <col min="15873" max="15873" width="4.7109375" style="1372" customWidth="1"/>
    <col min="15874" max="15874" width="6.7109375" style="1372" customWidth="1"/>
    <col min="15875" max="15875" width="8.85546875" style="1372" customWidth="1"/>
    <col min="15876" max="15876" width="46.42578125" style="1372" customWidth="1"/>
    <col min="15877" max="15877" width="12.85546875" style="1372" customWidth="1"/>
    <col min="15878" max="15878" width="15.5703125" style="1372" customWidth="1"/>
    <col min="15879" max="15879" width="15.85546875" style="1372" customWidth="1"/>
    <col min="15880" max="15880" width="6.42578125" style="1372" customWidth="1"/>
    <col min="15881" max="15881" width="14.28515625" style="1372" bestFit="1" customWidth="1"/>
    <col min="15882" max="15882" width="9.140625" style="1372"/>
    <col min="15883" max="15884" width="16" style="1372" bestFit="1" customWidth="1"/>
    <col min="15885" max="16128" width="9.140625" style="1372"/>
    <col min="16129" max="16129" width="4.7109375" style="1372" customWidth="1"/>
    <col min="16130" max="16130" width="6.7109375" style="1372" customWidth="1"/>
    <col min="16131" max="16131" width="8.85546875" style="1372" customWidth="1"/>
    <col min="16132" max="16132" width="46.42578125" style="1372" customWidth="1"/>
    <col min="16133" max="16133" width="12.85546875" style="1372" customWidth="1"/>
    <col min="16134" max="16134" width="15.5703125" style="1372" customWidth="1"/>
    <col min="16135" max="16135" width="15.85546875" style="1372" customWidth="1"/>
    <col min="16136" max="16136" width="6.42578125" style="1372" customWidth="1"/>
    <col min="16137" max="16137" width="14.28515625" style="1372" bestFit="1" customWidth="1"/>
    <col min="16138" max="16138" width="9.140625" style="1372"/>
    <col min="16139" max="16140" width="16" style="1372" bestFit="1" customWidth="1"/>
    <col min="16141" max="16384" width="9.140625" style="1372"/>
  </cols>
  <sheetData>
    <row r="1" spans="1:8" ht="19.5" customHeight="1" thickBot="1" x14ac:dyDescent="0.3">
      <c r="A1" s="1342" t="s">
        <v>220</v>
      </c>
      <c r="B1" s="1341"/>
      <c r="C1" s="1367"/>
      <c r="D1" s="1339"/>
      <c r="E1" s="1338"/>
      <c r="F1" s="1339"/>
      <c r="G1" s="1467"/>
      <c r="H1" s="1342"/>
    </row>
    <row r="2" spans="1:8" ht="18" x14ac:dyDescent="0.25">
      <c r="A2" s="1376"/>
      <c r="B2" s="1400"/>
      <c r="C2" s="1400"/>
      <c r="D2" s="1400"/>
      <c r="E2" s="1400"/>
      <c r="F2" s="1400"/>
      <c r="G2" s="1400"/>
      <c r="H2" s="1445" t="s">
        <v>221</v>
      </c>
    </row>
    <row r="3" spans="1:8" ht="18" x14ac:dyDescent="0.25">
      <c r="A3" s="1337" t="s">
        <v>336</v>
      </c>
      <c r="B3" s="1400"/>
      <c r="C3" s="1370" t="s">
        <v>2009</v>
      </c>
      <c r="D3" s="1400"/>
      <c r="E3" s="1400"/>
      <c r="F3" s="1400"/>
      <c r="G3" s="1400"/>
      <c r="H3" s="1445"/>
    </row>
    <row r="4" spans="1:8" ht="18" x14ac:dyDescent="0.25">
      <c r="A4" s="1376"/>
      <c r="B4" s="1400"/>
      <c r="C4" s="1370" t="s">
        <v>1450</v>
      </c>
      <c r="D4" s="1400"/>
      <c r="E4" s="1400"/>
      <c r="F4" s="1400"/>
      <c r="G4" s="1400"/>
      <c r="H4" s="1445"/>
    </row>
    <row r="5" spans="1:8" ht="18" x14ac:dyDescent="0.25">
      <c r="A5" s="1375" t="s">
        <v>222</v>
      </c>
      <c r="B5" s="1400"/>
      <c r="C5" s="1400"/>
      <c r="D5" s="1400"/>
      <c r="E5" s="1400"/>
      <c r="F5" s="1400"/>
      <c r="G5" s="1400"/>
      <c r="H5" s="1445"/>
    </row>
    <row r="6" spans="1:8" ht="18" x14ac:dyDescent="0.25">
      <c r="A6" s="1375"/>
      <c r="B6" s="1400"/>
      <c r="C6" s="1400"/>
      <c r="D6" s="1400"/>
      <c r="E6" s="1400"/>
      <c r="F6" s="1400"/>
      <c r="G6" s="1400"/>
      <c r="H6" s="1445"/>
    </row>
    <row r="7" spans="1:8" ht="15.75" thickBot="1" x14ac:dyDescent="0.3">
      <c r="A7" s="1544" t="s">
        <v>229</v>
      </c>
      <c r="H7" s="1459" t="s">
        <v>148</v>
      </c>
    </row>
    <row r="8" spans="1:8" s="1292" customFormat="1" ht="25.5" thickTop="1" thickBot="1" x14ac:dyDescent="0.25">
      <c r="A8" s="1378" t="s">
        <v>149</v>
      </c>
      <c r="B8" s="1379" t="s">
        <v>688</v>
      </c>
      <c r="C8" s="1379" t="s">
        <v>345</v>
      </c>
      <c r="D8" s="1380" t="s">
        <v>151</v>
      </c>
      <c r="E8" s="1402" t="s">
        <v>569</v>
      </c>
      <c r="F8" s="1402" t="s">
        <v>570</v>
      </c>
      <c r="G8" s="1403" t="s">
        <v>797</v>
      </c>
      <c r="H8" s="1404" t="s">
        <v>798</v>
      </c>
    </row>
    <row r="9" spans="1:8" s="1292" customFormat="1" ht="13.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5">
        <v>5</v>
      </c>
      <c r="F9" s="1295">
        <v>6</v>
      </c>
      <c r="G9" s="1446">
        <v>7</v>
      </c>
      <c r="H9" s="1468" t="s">
        <v>54</v>
      </c>
    </row>
    <row r="10" spans="1:8" s="1473" customFormat="1" ht="45.75" thickTop="1" x14ac:dyDescent="0.2">
      <c r="A10" s="1463">
        <v>3299</v>
      </c>
      <c r="B10" s="1469">
        <v>5213</v>
      </c>
      <c r="C10" s="1529" t="s">
        <v>2093</v>
      </c>
      <c r="D10" s="1405" t="s">
        <v>935</v>
      </c>
      <c r="E10" s="1414">
        <v>0</v>
      </c>
      <c r="F10" s="1414">
        <v>1863</v>
      </c>
      <c r="G10" s="1414">
        <v>1610</v>
      </c>
      <c r="H10" s="1390">
        <f t="shared" ref="H10:H29" si="0">G10/F10*100</f>
        <v>86.419753086419746</v>
      </c>
    </row>
    <row r="11" spans="1:8" s="1473" customFormat="1" ht="45" x14ac:dyDescent="0.2">
      <c r="A11" s="1463">
        <v>3299</v>
      </c>
      <c r="B11" s="1469">
        <v>5213</v>
      </c>
      <c r="C11" s="1529" t="s">
        <v>2092</v>
      </c>
      <c r="D11" s="1405" t="s">
        <v>935</v>
      </c>
      <c r="E11" s="1414">
        <v>0</v>
      </c>
      <c r="F11" s="1414">
        <v>10558</v>
      </c>
      <c r="G11" s="1414">
        <v>9122</v>
      </c>
      <c r="H11" s="1390">
        <f t="shared" si="0"/>
        <v>86.39893919302898</v>
      </c>
    </row>
    <row r="12" spans="1:8" s="1473" customFormat="1" ht="30" x14ac:dyDescent="0.2">
      <c r="A12" s="1463">
        <v>3299</v>
      </c>
      <c r="B12" s="1469">
        <v>5221</v>
      </c>
      <c r="C12" s="1529" t="s">
        <v>2093</v>
      </c>
      <c r="D12" s="1405" t="s">
        <v>1512</v>
      </c>
      <c r="E12" s="1414">
        <v>0</v>
      </c>
      <c r="F12" s="1414">
        <v>167</v>
      </c>
      <c r="G12" s="1414">
        <v>117</v>
      </c>
      <c r="H12" s="1390">
        <f t="shared" si="0"/>
        <v>70.05988023952095</v>
      </c>
    </row>
    <row r="13" spans="1:8" s="1473" customFormat="1" ht="30" x14ac:dyDescent="0.2">
      <c r="A13" s="1463">
        <v>3299</v>
      </c>
      <c r="B13" s="1469">
        <v>5221</v>
      </c>
      <c r="C13" s="1529" t="s">
        <v>2092</v>
      </c>
      <c r="D13" s="1405" t="s">
        <v>1512</v>
      </c>
      <c r="E13" s="1414">
        <v>0</v>
      </c>
      <c r="F13" s="1414">
        <v>944</v>
      </c>
      <c r="G13" s="1414">
        <v>666</v>
      </c>
      <c r="H13" s="1390">
        <f t="shared" si="0"/>
        <v>70.550847457627114</v>
      </c>
    </row>
    <row r="14" spans="1:8" s="1473" customFormat="1" ht="15" customHeight="1" x14ac:dyDescent="0.2">
      <c r="A14" s="1463">
        <v>3299</v>
      </c>
      <c r="B14" s="1469">
        <v>5222</v>
      </c>
      <c r="C14" s="1529" t="s">
        <v>2093</v>
      </c>
      <c r="D14" s="1405" t="s">
        <v>1513</v>
      </c>
      <c r="E14" s="1414">
        <v>0</v>
      </c>
      <c r="F14" s="1414">
        <v>358</v>
      </c>
      <c r="G14" s="1414">
        <v>311</v>
      </c>
      <c r="H14" s="1390">
        <f t="shared" si="0"/>
        <v>86.871508379888269</v>
      </c>
    </row>
    <row r="15" spans="1:8" s="1473" customFormat="1" ht="15" customHeight="1" x14ac:dyDescent="0.2">
      <c r="A15" s="1463">
        <v>3299</v>
      </c>
      <c r="B15" s="1469">
        <v>5222</v>
      </c>
      <c r="C15" s="1529" t="s">
        <v>2092</v>
      </c>
      <c r="D15" s="1405" t="s">
        <v>1513</v>
      </c>
      <c r="E15" s="1414">
        <v>0</v>
      </c>
      <c r="F15" s="1414">
        <v>2029</v>
      </c>
      <c r="G15" s="1414">
        <v>1761</v>
      </c>
      <c r="H15" s="1390">
        <f t="shared" si="0"/>
        <v>86.791522917693442</v>
      </c>
    </row>
    <row r="16" spans="1:8" s="1473" customFormat="1" ht="30" customHeight="1" x14ac:dyDescent="0.2">
      <c r="A16" s="1463">
        <v>3299</v>
      </c>
      <c r="B16" s="1469">
        <v>5229</v>
      </c>
      <c r="C16" s="1529" t="s">
        <v>2093</v>
      </c>
      <c r="D16" s="1405" t="s">
        <v>872</v>
      </c>
      <c r="E16" s="1414">
        <v>0</v>
      </c>
      <c r="F16" s="1414">
        <v>188</v>
      </c>
      <c r="G16" s="1414">
        <v>166</v>
      </c>
      <c r="H16" s="1390">
        <f t="shared" si="0"/>
        <v>88.297872340425528</v>
      </c>
    </row>
    <row r="17" spans="1:8" s="1473" customFormat="1" ht="30" customHeight="1" x14ac:dyDescent="0.2">
      <c r="A17" s="1463">
        <v>3299</v>
      </c>
      <c r="B17" s="1469">
        <v>5229</v>
      </c>
      <c r="C17" s="1529" t="s">
        <v>2092</v>
      </c>
      <c r="D17" s="1405" t="s">
        <v>872</v>
      </c>
      <c r="E17" s="1414">
        <v>0</v>
      </c>
      <c r="F17" s="1414">
        <v>1066</v>
      </c>
      <c r="G17" s="1414">
        <v>943</v>
      </c>
      <c r="H17" s="1390">
        <f t="shared" si="0"/>
        <v>88.461538461538453</v>
      </c>
    </row>
    <row r="18" spans="1:8" s="1473" customFormat="1" ht="15" x14ac:dyDescent="0.2">
      <c r="A18" s="1463">
        <v>3299</v>
      </c>
      <c r="B18" s="1469">
        <v>5901</v>
      </c>
      <c r="C18" s="1529" t="s">
        <v>2093</v>
      </c>
      <c r="D18" s="1405" t="s">
        <v>547</v>
      </c>
      <c r="E18" s="1414">
        <v>0</v>
      </c>
      <c r="F18" s="1414">
        <v>879</v>
      </c>
      <c r="G18" s="1414">
        <v>0</v>
      </c>
      <c r="H18" s="1390">
        <f t="shared" si="0"/>
        <v>0</v>
      </c>
    </row>
    <row r="19" spans="1:8" s="1473" customFormat="1" ht="15" x14ac:dyDescent="0.2">
      <c r="A19" s="1463">
        <v>3299</v>
      </c>
      <c r="B19" s="1469">
        <v>5901</v>
      </c>
      <c r="C19" s="1529" t="s">
        <v>2097</v>
      </c>
      <c r="D19" s="1405" t="s">
        <v>547</v>
      </c>
      <c r="E19" s="1414">
        <v>0</v>
      </c>
      <c r="F19" s="1414">
        <v>60</v>
      </c>
      <c r="G19" s="1414">
        <v>0</v>
      </c>
      <c r="H19" s="1390">
        <f t="shared" si="0"/>
        <v>0</v>
      </c>
    </row>
    <row r="20" spans="1:8" s="1473" customFormat="1" ht="15" hidden="1" x14ac:dyDescent="0.2">
      <c r="A20" s="1463">
        <v>3299</v>
      </c>
      <c r="B20" s="1469">
        <v>5909</v>
      </c>
      <c r="C20" s="1529">
        <v>0</v>
      </c>
      <c r="D20" s="1405" t="s">
        <v>547</v>
      </c>
      <c r="E20" s="1414"/>
      <c r="F20" s="1414"/>
      <c r="G20" s="1414"/>
      <c r="H20" s="1390" t="e">
        <f t="shared" si="0"/>
        <v>#DIV/0!</v>
      </c>
    </row>
    <row r="21" spans="1:8" s="1473" customFormat="1" ht="15" x14ac:dyDescent="0.2">
      <c r="A21" s="1463">
        <v>3299</v>
      </c>
      <c r="B21" s="1469">
        <v>5901</v>
      </c>
      <c r="C21" s="1529" t="s">
        <v>2092</v>
      </c>
      <c r="D21" s="1405" t="s">
        <v>547</v>
      </c>
      <c r="E21" s="1414">
        <v>0</v>
      </c>
      <c r="F21" s="1414">
        <v>4982</v>
      </c>
      <c r="G21" s="1414">
        <v>0</v>
      </c>
      <c r="H21" s="1390">
        <f t="shared" si="0"/>
        <v>0</v>
      </c>
    </row>
    <row r="22" spans="1:8" s="1473" customFormat="1" ht="15" x14ac:dyDescent="0.2">
      <c r="A22" s="1463">
        <v>3299</v>
      </c>
      <c r="B22" s="1469">
        <v>5901</v>
      </c>
      <c r="C22" s="1529" t="s">
        <v>2096</v>
      </c>
      <c r="D22" s="1405" t="s">
        <v>547</v>
      </c>
      <c r="E22" s="1414">
        <v>0</v>
      </c>
      <c r="F22" s="1414">
        <v>343</v>
      </c>
      <c r="G22" s="1414">
        <v>0</v>
      </c>
      <c r="H22" s="1390">
        <f t="shared" si="0"/>
        <v>0</v>
      </c>
    </row>
    <row r="23" spans="1:8" s="1473" customFormat="1" ht="15" x14ac:dyDescent="0.2">
      <c r="A23" s="1463">
        <v>3299</v>
      </c>
      <c r="B23" s="1469">
        <v>5909</v>
      </c>
      <c r="C23" s="1529" t="s">
        <v>1760</v>
      </c>
      <c r="D23" s="1405" t="s">
        <v>588</v>
      </c>
      <c r="E23" s="1414">
        <v>0</v>
      </c>
      <c r="F23" s="1414">
        <v>8</v>
      </c>
      <c r="G23" s="1414">
        <v>8</v>
      </c>
      <c r="H23" s="1390">
        <f t="shared" si="0"/>
        <v>100</v>
      </c>
    </row>
    <row r="24" spans="1:8" s="1415" customFormat="1" ht="15" x14ac:dyDescent="0.2">
      <c r="A24" s="1463">
        <v>3299</v>
      </c>
      <c r="B24" s="1471">
        <v>6322</v>
      </c>
      <c r="C24" s="1529" t="s">
        <v>2095</v>
      </c>
      <c r="D24" s="1405" t="s">
        <v>1033</v>
      </c>
      <c r="E24" s="1414">
        <v>0</v>
      </c>
      <c r="F24" s="1414">
        <v>26</v>
      </c>
      <c r="G24" s="1414">
        <v>25</v>
      </c>
      <c r="H24" s="1390">
        <f t="shared" si="0"/>
        <v>96.15384615384616</v>
      </c>
    </row>
    <row r="25" spans="1:8" s="1415" customFormat="1" ht="15" x14ac:dyDescent="0.2">
      <c r="A25" s="1463">
        <v>3299</v>
      </c>
      <c r="B25" s="1471">
        <v>6322</v>
      </c>
      <c r="C25" s="1529" t="s">
        <v>2094</v>
      </c>
      <c r="D25" s="1405" t="s">
        <v>1033</v>
      </c>
      <c r="E25" s="1414">
        <v>0</v>
      </c>
      <c r="F25" s="1414">
        <v>147</v>
      </c>
      <c r="G25" s="1414">
        <v>146</v>
      </c>
      <c r="H25" s="1390">
        <f t="shared" si="0"/>
        <v>99.319727891156461</v>
      </c>
    </row>
    <row r="26" spans="1:8" ht="30" hidden="1" x14ac:dyDescent="0.2">
      <c r="A26" s="1463">
        <v>3299</v>
      </c>
      <c r="B26" s="1471">
        <v>6351</v>
      </c>
      <c r="C26" s="1529">
        <v>32133887</v>
      </c>
      <c r="D26" s="1405" t="s">
        <v>1145</v>
      </c>
      <c r="E26" s="1414"/>
      <c r="F26" s="1414"/>
      <c r="G26" s="1414"/>
      <c r="H26" s="1390" t="e">
        <f t="shared" si="0"/>
        <v>#DIV/0!</v>
      </c>
    </row>
    <row r="27" spans="1:8" ht="30" hidden="1" x14ac:dyDescent="0.2">
      <c r="A27" s="1463">
        <v>3299</v>
      </c>
      <c r="B27" s="1471">
        <v>6351</v>
      </c>
      <c r="C27" s="1529">
        <v>32533887</v>
      </c>
      <c r="D27" s="1405" t="s">
        <v>1145</v>
      </c>
      <c r="E27" s="1414"/>
      <c r="F27" s="1414"/>
      <c r="G27" s="1414"/>
      <c r="H27" s="1390" t="e">
        <f t="shared" si="0"/>
        <v>#DIV/0!</v>
      </c>
    </row>
    <row r="28" spans="1:8" ht="15" x14ac:dyDescent="0.2">
      <c r="A28" s="1463">
        <v>3299</v>
      </c>
      <c r="B28" s="1469">
        <v>6901</v>
      </c>
      <c r="C28" s="1529" t="s">
        <v>2095</v>
      </c>
      <c r="D28" s="1405" t="s">
        <v>391</v>
      </c>
      <c r="E28" s="1414">
        <v>0</v>
      </c>
      <c r="F28" s="1414">
        <v>4</v>
      </c>
      <c r="G28" s="1414">
        <v>0</v>
      </c>
      <c r="H28" s="1390">
        <f t="shared" si="0"/>
        <v>0</v>
      </c>
    </row>
    <row r="29" spans="1:8" ht="15" x14ac:dyDescent="0.2">
      <c r="A29" s="1463">
        <v>3299</v>
      </c>
      <c r="B29" s="1469">
        <v>6901</v>
      </c>
      <c r="C29" s="1529" t="s">
        <v>2094</v>
      </c>
      <c r="D29" s="1405" t="s">
        <v>391</v>
      </c>
      <c r="E29" s="1414">
        <v>0</v>
      </c>
      <c r="F29" s="1414">
        <v>22</v>
      </c>
      <c r="G29" s="1414">
        <v>0</v>
      </c>
      <c r="H29" s="1390">
        <f t="shared" si="0"/>
        <v>0</v>
      </c>
    </row>
    <row r="30" spans="1:8" ht="15" x14ac:dyDescent="0.2">
      <c r="A30" s="1463">
        <v>6330</v>
      </c>
      <c r="B30" s="1469">
        <v>5345</v>
      </c>
      <c r="C30" s="1529" t="s">
        <v>1760</v>
      </c>
      <c r="D30" s="1405" t="s">
        <v>693</v>
      </c>
      <c r="E30" s="1414">
        <v>0</v>
      </c>
      <c r="F30" s="1414">
        <v>0</v>
      </c>
      <c r="G30" s="1414">
        <v>70</v>
      </c>
      <c r="H30" s="1390">
        <v>0</v>
      </c>
    </row>
    <row r="31" spans="1:8" s="1415" customFormat="1" ht="15" hidden="1" x14ac:dyDescent="0.2">
      <c r="A31" s="1463">
        <v>6402</v>
      </c>
      <c r="B31" s="1469">
        <v>5363</v>
      </c>
      <c r="C31" s="1529" t="s">
        <v>1786</v>
      </c>
      <c r="D31" s="1405" t="s">
        <v>1353</v>
      </c>
      <c r="E31" s="1414"/>
      <c r="F31" s="1414"/>
      <c r="G31" s="1414"/>
      <c r="H31" s="1390">
        <v>0</v>
      </c>
    </row>
    <row r="32" spans="1:8" s="1415" customFormat="1" ht="15.75" thickBot="1" x14ac:dyDescent="0.25">
      <c r="A32" s="1463">
        <v>6402</v>
      </c>
      <c r="B32" s="1469">
        <v>5363</v>
      </c>
      <c r="C32" s="1529" t="s">
        <v>1786</v>
      </c>
      <c r="D32" s="1405" t="s">
        <v>1353</v>
      </c>
      <c r="E32" s="1414">
        <v>0</v>
      </c>
      <c r="F32" s="1414">
        <v>72</v>
      </c>
      <c r="G32" s="1414">
        <v>72</v>
      </c>
      <c r="H32" s="1390">
        <v>0</v>
      </c>
    </row>
    <row r="33" spans="1:10" s="1397" customFormat="1" ht="16.5" thickTop="1" thickBot="1" x14ac:dyDescent="0.3">
      <c r="A33" s="3219" t="s">
        <v>690</v>
      </c>
      <c r="B33" s="3220"/>
      <c r="C33" s="3220"/>
      <c r="D33" s="3220"/>
      <c r="E33" s="1387">
        <f>SUM(E10:E32)</f>
        <v>0</v>
      </c>
      <c r="F33" s="1387">
        <f>SUM(F10:F32)</f>
        <v>23716</v>
      </c>
      <c r="G33" s="1387">
        <f>SUM(G10:G32)</f>
        <v>15017</v>
      </c>
      <c r="H33" s="1391">
        <f>G33/F33*100</f>
        <v>63.320121437004552</v>
      </c>
      <c r="I33" s="1476"/>
    </row>
    <row r="34" spans="1:10" ht="13.5" thickTop="1" x14ac:dyDescent="0.2">
      <c r="I34" s="1398"/>
    </row>
    <row r="35" spans="1:10" ht="15" x14ac:dyDescent="0.25">
      <c r="A35" s="1541" t="s">
        <v>439</v>
      </c>
      <c r="B35" s="1423"/>
      <c r="C35" s="1423"/>
      <c r="D35" s="1423"/>
    </row>
    <row r="36" spans="1:10" ht="15.75" thickBot="1" x14ac:dyDescent="0.3">
      <c r="A36" s="1542" t="s">
        <v>937</v>
      </c>
      <c r="B36" s="1543"/>
      <c r="C36" s="1543"/>
      <c r="H36" s="1459" t="s">
        <v>148</v>
      </c>
    </row>
    <row r="37" spans="1:10" s="1292" customFormat="1" ht="25.5" thickTop="1" thickBot="1" x14ac:dyDescent="0.25">
      <c r="A37" s="1378" t="s">
        <v>149</v>
      </c>
      <c r="B37" s="1379" t="s">
        <v>688</v>
      </c>
      <c r="C37" s="1379" t="s">
        <v>345</v>
      </c>
      <c r="D37" s="1380" t="s">
        <v>151</v>
      </c>
      <c r="E37" s="1402" t="s">
        <v>569</v>
      </c>
      <c r="F37" s="1402" t="s">
        <v>570</v>
      </c>
      <c r="G37" s="1403" t="s">
        <v>797</v>
      </c>
      <c r="H37" s="1404" t="s">
        <v>798</v>
      </c>
    </row>
    <row r="38" spans="1:10" s="1292" customFormat="1" ht="13.5" thickTop="1" thickBot="1" x14ac:dyDescent="0.25">
      <c r="A38" s="1297">
        <v>1</v>
      </c>
      <c r="B38" s="1296">
        <v>2</v>
      </c>
      <c r="C38" s="1296">
        <v>3</v>
      </c>
      <c r="D38" s="1296">
        <v>4</v>
      </c>
      <c r="E38" s="1295">
        <v>5</v>
      </c>
      <c r="F38" s="1295">
        <v>6</v>
      </c>
      <c r="G38" s="1446">
        <v>7</v>
      </c>
      <c r="H38" s="1468" t="s">
        <v>54</v>
      </c>
    </row>
    <row r="39" spans="1:10" ht="30.75" thickTop="1" x14ac:dyDescent="0.2">
      <c r="A39" s="1463">
        <v>3299</v>
      </c>
      <c r="B39" s="1469">
        <v>5336</v>
      </c>
      <c r="C39" s="2832" t="s">
        <v>2093</v>
      </c>
      <c r="D39" s="1405" t="s">
        <v>1131</v>
      </c>
      <c r="E39" s="1414">
        <v>0</v>
      </c>
      <c r="F39" s="1414">
        <v>237</v>
      </c>
      <c r="G39" s="1414">
        <v>161</v>
      </c>
      <c r="H39" s="1390">
        <f>G39/F39*100</f>
        <v>67.932489451476798</v>
      </c>
      <c r="J39" s="1474"/>
    </row>
    <row r="40" spans="1:10" ht="30" x14ac:dyDescent="0.2">
      <c r="A40" s="1463">
        <v>3299</v>
      </c>
      <c r="B40" s="1469">
        <v>5336</v>
      </c>
      <c r="C40" s="2832" t="s">
        <v>2092</v>
      </c>
      <c r="D40" s="1405" t="s">
        <v>1131</v>
      </c>
      <c r="E40" s="1414">
        <v>0</v>
      </c>
      <c r="F40" s="1414">
        <v>1343</v>
      </c>
      <c r="G40" s="1414">
        <v>913</v>
      </c>
      <c r="H40" s="1390">
        <f>G40/F40*100</f>
        <v>67.982129560685038</v>
      </c>
      <c r="J40" s="1474"/>
    </row>
    <row r="41" spans="1:10" ht="30" x14ac:dyDescent="0.2">
      <c r="A41" s="1463">
        <v>3299</v>
      </c>
      <c r="B41" s="1469">
        <v>6351</v>
      </c>
      <c r="C41" s="2832" t="s">
        <v>2095</v>
      </c>
      <c r="D41" s="1405" t="s">
        <v>1145</v>
      </c>
      <c r="E41" s="1414">
        <v>0</v>
      </c>
      <c r="F41" s="1414">
        <v>18</v>
      </c>
      <c r="G41" s="1414">
        <v>18</v>
      </c>
      <c r="H41" s="1390">
        <f>G41/F41*100</f>
        <v>100</v>
      </c>
      <c r="J41" s="1474"/>
    </row>
    <row r="42" spans="1:10" ht="30.75" thickBot="1" x14ac:dyDescent="0.25">
      <c r="A42" s="1463">
        <v>3299</v>
      </c>
      <c r="B42" s="1469">
        <v>6351</v>
      </c>
      <c r="C42" s="2832" t="s">
        <v>2094</v>
      </c>
      <c r="D42" s="1405" t="s">
        <v>1145</v>
      </c>
      <c r="E42" s="1414">
        <v>0</v>
      </c>
      <c r="F42" s="1414">
        <v>105</v>
      </c>
      <c r="G42" s="1414">
        <v>100</v>
      </c>
      <c r="H42" s="1396">
        <f>G42/F42*100</f>
        <v>95.238095238095227</v>
      </c>
      <c r="J42" s="1474"/>
    </row>
    <row r="43" spans="1:10" s="1397" customFormat="1" ht="16.5" thickTop="1" thickBot="1" x14ac:dyDescent="0.3">
      <c r="A43" s="3219" t="s">
        <v>690</v>
      </c>
      <c r="B43" s="3220"/>
      <c r="C43" s="3220"/>
      <c r="D43" s="3220"/>
      <c r="E43" s="1387">
        <f>SUM(E39:E42)</f>
        <v>0</v>
      </c>
      <c r="F43" s="1387">
        <f>SUM(F39:F42)</f>
        <v>1703</v>
      </c>
      <c r="G43" s="1387">
        <f>SUM(G39:G42)</f>
        <v>1192</v>
      </c>
      <c r="H43" s="1396">
        <f>G43/F43*100</f>
        <v>69.994128009395183</v>
      </c>
      <c r="I43" s="1476"/>
    </row>
    <row r="44" spans="1:10" ht="13.5" thickTop="1" x14ac:dyDescent="0.2">
      <c r="I44" s="1398"/>
    </row>
    <row r="45" spans="1:10" ht="15" x14ac:dyDescent="0.25">
      <c r="A45" s="1541" t="s">
        <v>1711</v>
      </c>
      <c r="B45" s="1423"/>
      <c r="C45" s="1423"/>
      <c r="D45" s="1423"/>
    </row>
    <row r="46" spans="1:10" ht="15.75" thickBot="1" x14ac:dyDescent="0.3">
      <c r="A46" s="1542" t="s">
        <v>1558</v>
      </c>
      <c r="B46" s="1543"/>
      <c r="C46" s="1543"/>
      <c r="H46" s="1459" t="s">
        <v>148</v>
      </c>
    </row>
    <row r="47" spans="1:10" s="1292" customFormat="1" ht="25.5" thickTop="1" thickBot="1" x14ac:dyDescent="0.25">
      <c r="A47" s="1378" t="s">
        <v>149</v>
      </c>
      <c r="B47" s="1379" t="s">
        <v>688</v>
      </c>
      <c r="C47" s="1379" t="s">
        <v>345</v>
      </c>
      <c r="D47" s="1380" t="s">
        <v>151</v>
      </c>
      <c r="E47" s="1402" t="s">
        <v>569</v>
      </c>
      <c r="F47" s="1402" t="s">
        <v>570</v>
      </c>
      <c r="G47" s="1403" t="s">
        <v>797</v>
      </c>
      <c r="H47" s="1404" t="s">
        <v>798</v>
      </c>
    </row>
    <row r="48" spans="1:10" s="1292" customFormat="1" ht="13.5" thickTop="1" thickBot="1" x14ac:dyDescent="0.25">
      <c r="A48" s="1297">
        <v>1</v>
      </c>
      <c r="B48" s="1296">
        <v>2</v>
      </c>
      <c r="C48" s="1296">
        <v>3</v>
      </c>
      <c r="D48" s="1296">
        <v>4</v>
      </c>
      <c r="E48" s="1295">
        <v>5</v>
      </c>
      <c r="F48" s="1295">
        <v>6</v>
      </c>
      <c r="G48" s="1446">
        <v>7</v>
      </c>
      <c r="H48" s="1468" t="s">
        <v>54</v>
      </c>
    </row>
    <row r="49" spans="1:10" ht="30.75" thickTop="1" x14ac:dyDescent="0.2">
      <c r="A49" s="1463">
        <v>3299</v>
      </c>
      <c r="B49" s="1484">
        <v>5336</v>
      </c>
      <c r="C49" s="2832">
        <v>32133012</v>
      </c>
      <c r="D49" s="1405" t="s">
        <v>1131</v>
      </c>
      <c r="E49" s="1414">
        <v>0</v>
      </c>
      <c r="F49" s="1414">
        <v>169</v>
      </c>
      <c r="G49" s="1414">
        <v>153</v>
      </c>
      <c r="H49" s="1390">
        <f>G49/F49*100</f>
        <v>90.532544378698219</v>
      </c>
      <c r="J49" s="1474"/>
    </row>
    <row r="50" spans="1:10" ht="30.75" thickBot="1" x14ac:dyDescent="0.25">
      <c r="A50" s="1463">
        <v>3299</v>
      </c>
      <c r="B50" s="1484">
        <v>5336</v>
      </c>
      <c r="C50" s="2832">
        <v>32533012</v>
      </c>
      <c r="D50" s="1405" t="s">
        <v>1131</v>
      </c>
      <c r="E50" s="1414">
        <v>0</v>
      </c>
      <c r="F50" s="1414">
        <v>957</v>
      </c>
      <c r="G50" s="1414">
        <v>867</v>
      </c>
      <c r="H50" s="1396">
        <f>G50/F50*100</f>
        <v>90.595611285266457</v>
      </c>
      <c r="J50" s="1474"/>
    </row>
    <row r="51" spans="1:10" ht="31.5" hidden="1" thickTop="1" thickBot="1" x14ac:dyDescent="0.25">
      <c r="A51" s="1463">
        <v>3299</v>
      </c>
      <c r="B51" s="1469">
        <v>6351</v>
      </c>
      <c r="C51" s="1472">
        <v>32133887</v>
      </c>
      <c r="D51" s="1405" t="s">
        <v>1145</v>
      </c>
      <c r="E51" s="1414">
        <v>0</v>
      </c>
      <c r="F51" s="1414">
        <v>0</v>
      </c>
      <c r="G51" s="1414">
        <v>0</v>
      </c>
      <c r="H51" s="1390" t="e">
        <f>G51/F51*100</f>
        <v>#DIV/0!</v>
      </c>
      <c r="J51" s="1474"/>
    </row>
    <row r="52" spans="1:10" ht="31.5" hidden="1" thickTop="1" thickBot="1" x14ac:dyDescent="0.25">
      <c r="A52" s="1463">
        <v>3299</v>
      </c>
      <c r="B52" s="1469">
        <v>6351</v>
      </c>
      <c r="C52" s="1472">
        <v>32533887</v>
      </c>
      <c r="D52" s="1405" t="s">
        <v>1145</v>
      </c>
      <c r="E52" s="1414">
        <v>0</v>
      </c>
      <c r="F52" s="1414">
        <v>0</v>
      </c>
      <c r="G52" s="1414">
        <v>0</v>
      </c>
      <c r="H52" s="1396" t="e">
        <f>G52/F52*100</f>
        <v>#DIV/0!</v>
      </c>
      <c r="J52" s="1474"/>
    </row>
    <row r="53" spans="1:10" s="1397" customFormat="1" ht="16.5" thickTop="1" thickBot="1" x14ac:dyDescent="0.3">
      <c r="A53" s="3219" t="s">
        <v>690</v>
      </c>
      <c r="B53" s="3220"/>
      <c r="C53" s="3220"/>
      <c r="D53" s="3220"/>
      <c r="E53" s="1387">
        <f>SUM(E49:E52)</f>
        <v>0</v>
      </c>
      <c r="F53" s="1387">
        <f>SUM(F49:F52)</f>
        <v>1126</v>
      </c>
      <c r="G53" s="1387">
        <f>SUM(G49:G52)</f>
        <v>1020</v>
      </c>
      <c r="H53" s="1396">
        <f>G53/F53*100</f>
        <v>90.586145648312609</v>
      </c>
      <c r="I53" s="1476"/>
    </row>
    <row r="54" spans="1:10" ht="13.5" thickTop="1" x14ac:dyDescent="0.2">
      <c r="I54" s="1398"/>
    </row>
    <row r="55" spans="1:10" ht="15" hidden="1" x14ac:dyDescent="0.25">
      <c r="A55" s="1541" t="s">
        <v>1084</v>
      </c>
      <c r="B55" s="1423"/>
      <c r="C55" s="1423"/>
      <c r="D55" s="1423"/>
    </row>
    <row r="56" spans="1:10" ht="15" hidden="1" x14ac:dyDescent="0.25">
      <c r="A56" s="1542" t="s">
        <v>172</v>
      </c>
      <c r="B56" s="1543"/>
      <c r="C56" s="1543"/>
      <c r="H56" s="1459" t="s">
        <v>148</v>
      </c>
    </row>
    <row r="57" spans="1:10" s="1292" customFormat="1" ht="25.5" hidden="1" thickTop="1" thickBot="1" x14ac:dyDescent="0.25">
      <c r="A57" s="1378" t="s">
        <v>149</v>
      </c>
      <c r="B57" s="1379" t="s">
        <v>688</v>
      </c>
      <c r="C57" s="1379" t="s">
        <v>345</v>
      </c>
      <c r="D57" s="1380" t="s">
        <v>151</v>
      </c>
      <c r="E57" s="1402" t="s">
        <v>569</v>
      </c>
      <c r="F57" s="1402" t="s">
        <v>570</v>
      </c>
      <c r="G57" s="1403" t="s">
        <v>797</v>
      </c>
      <c r="H57" s="1404" t="s">
        <v>798</v>
      </c>
    </row>
    <row r="58" spans="1:10" s="1292" customFormat="1" ht="13.5" hidden="1" thickTop="1" thickBot="1" x14ac:dyDescent="0.25">
      <c r="A58" s="1297">
        <v>1</v>
      </c>
      <c r="B58" s="1296">
        <v>2</v>
      </c>
      <c r="C58" s="1296">
        <v>3</v>
      </c>
      <c r="D58" s="1296">
        <v>4</v>
      </c>
      <c r="E58" s="1295">
        <v>5</v>
      </c>
      <c r="F58" s="1295">
        <v>6</v>
      </c>
      <c r="G58" s="1446">
        <v>7</v>
      </c>
      <c r="H58" s="1468" t="s">
        <v>54</v>
      </c>
    </row>
    <row r="59" spans="1:10" ht="30" hidden="1" x14ac:dyDescent="0.2">
      <c r="A59" s="1463">
        <v>3299</v>
      </c>
      <c r="B59" s="1484">
        <v>5336</v>
      </c>
      <c r="C59" s="1472">
        <v>32133012</v>
      </c>
      <c r="D59" s="1405" t="s">
        <v>1131</v>
      </c>
      <c r="E59" s="1414"/>
      <c r="F59" s="1414"/>
      <c r="G59" s="1414"/>
      <c r="H59" s="1390" t="e">
        <f>G59/F59*100</f>
        <v>#DIV/0!</v>
      </c>
      <c r="J59" s="1474"/>
    </row>
    <row r="60" spans="1:10" ht="30.75" hidden="1" thickBot="1" x14ac:dyDescent="0.25">
      <c r="A60" s="1463">
        <v>3299</v>
      </c>
      <c r="B60" s="1484">
        <v>5336</v>
      </c>
      <c r="C60" s="1472">
        <v>32533012</v>
      </c>
      <c r="D60" s="1405" t="s">
        <v>1131</v>
      </c>
      <c r="E60" s="1414"/>
      <c r="F60" s="1414"/>
      <c r="G60" s="1414"/>
      <c r="H60" s="1396" t="e">
        <f>G60/F60*100</f>
        <v>#DIV/0!</v>
      </c>
      <c r="J60" s="1474"/>
    </row>
    <row r="61" spans="1:10" ht="30" hidden="1" x14ac:dyDescent="0.2">
      <c r="A61" s="1463">
        <v>3299</v>
      </c>
      <c r="B61" s="1469">
        <v>6351</v>
      </c>
      <c r="C61" s="1472">
        <v>32133887</v>
      </c>
      <c r="D61" s="1405" t="s">
        <v>1145</v>
      </c>
      <c r="E61" s="1414">
        <v>0</v>
      </c>
      <c r="F61" s="1414"/>
      <c r="G61" s="1414"/>
      <c r="H61" s="1390" t="e">
        <f>G61/F61*100</f>
        <v>#DIV/0!</v>
      </c>
      <c r="J61" s="1474"/>
    </row>
    <row r="62" spans="1:10" ht="30.75" hidden="1" thickBot="1" x14ac:dyDescent="0.25">
      <c r="A62" s="1463">
        <v>3299</v>
      </c>
      <c r="B62" s="1469">
        <v>6351</v>
      </c>
      <c r="C62" s="1472">
        <v>32533887</v>
      </c>
      <c r="D62" s="1405" t="s">
        <v>1145</v>
      </c>
      <c r="E62" s="1414">
        <v>0</v>
      </c>
      <c r="F62" s="1414"/>
      <c r="G62" s="1414"/>
      <c r="H62" s="1396" t="e">
        <f>G62/F62*100</f>
        <v>#DIV/0!</v>
      </c>
      <c r="J62" s="1474"/>
    </row>
    <row r="63" spans="1:10" s="1397" customFormat="1" ht="16.5" hidden="1" thickTop="1" thickBot="1" x14ac:dyDescent="0.3">
      <c r="A63" s="3219" t="s">
        <v>690</v>
      </c>
      <c r="B63" s="3220"/>
      <c r="C63" s="3220"/>
      <c r="D63" s="3220"/>
      <c r="E63" s="1387">
        <f>SUM(E59:E62)</f>
        <v>0</v>
      </c>
      <c r="F63" s="1387">
        <f>SUM(F59:F62)</f>
        <v>0</v>
      </c>
      <c r="G63" s="1387">
        <f>SUM(G59:G62)</f>
        <v>0</v>
      </c>
      <c r="H63" s="1396" t="e">
        <f>G63/F63*100</f>
        <v>#DIV/0!</v>
      </c>
      <c r="I63" s="1476"/>
    </row>
    <row r="64" spans="1:10" x14ac:dyDescent="0.2">
      <c r="I64" s="1398"/>
    </row>
    <row r="65" spans="1:10" ht="15" x14ac:dyDescent="0.25">
      <c r="A65" s="1541" t="s">
        <v>510</v>
      </c>
      <c r="B65" s="1423"/>
      <c r="C65" s="1423"/>
      <c r="D65" s="1423"/>
    </row>
    <row r="66" spans="1:10" ht="15.75" thickBot="1" x14ac:dyDescent="0.3">
      <c r="A66" s="1542" t="s">
        <v>511</v>
      </c>
      <c r="B66" s="1543"/>
      <c r="C66" s="1543"/>
      <c r="H66" s="1459" t="s">
        <v>148</v>
      </c>
    </row>
    <row r="67" spans="1:10" s="1292" customFormat="1" ht="25.5" thickTop="1" thickBot="1" x14ac:dyDescent="0.25">
      <c r="A67" s="1378" t="s">
        <v>149</v>
      </c>
      <c r="B67" s="1379" t="s">
        <v>688</v>
      </c>
      <c r="C67" s="1379" t="s">
        <v>345</v>
      </c>
      <c r="D67" s="1380" t="s">
        <v>151</v>
      </c>
      <c r="E67" s="1402" t="s">
        <v>569</v>
      </c>
      <c r="F67" s="1402" t="s">
        <v>570</v>
      </c>
      <c r="G67" s="1403" t="s">
        <v>797</v>
      </c>
      <c r="H67" s="1404" t="s">
        <v>798</v>
      </c>
    </row>
    <row r="68" spans="1:10" s="1292" customFormat="1" ht="13.5" thickTop="1" thickBot="1" x14ac:dyDescent="0.25">
      <c r="A68" s="1297">
        <v>1</v>
      </c>
      <c r="B68" s="1296">
        <v>2</v>
      </c>
      <c r="C68" s="1296">
        <v>3</v>
      </c>
      <c r="D68" s="1296">
        <v>4</v>
      </c>
      <c r="E68" s="1295">
        <v>5</v>
      </c>
      <c r="F68" s="1295">
        <v>6</v>
      </c>
      <c r="G68" s="1446">
        <v>7</v>
      </c>
      <c r="H68" s="1468" t="s">
        <v>54</v>
      </c>
    </row>
    <row r="69" spans="1:10" ht="30.75" thickTop="1" x14ac:dyDescent="0.2">
      <c r="A69" s="1463">
        <v>3299</v>
      </c>
      <c r="B69" s="1484">
        <v>5336</v>
      </c>
      <c r="C69" s="2832" t="s">
        <v>2093</v>
      </c>
      <c r="D69" s="1405" t="s">
        <v>1131</v>
      </c>
      <c r="E69" s="1414">
        <v>0</v>
      </c>
      <c r="F69" s="1414">
        <v>233</v>
      </c>
      <c r="G69" s="1414">
        <v>222</v>
      </c>
      <c r="H69" s="1390">
        <f>G69/F69*100</f>
        <v>95.278969957081543</v>
      </c>
      <c r="J69" s="1474"/>
    </row>
    <row r="70" spans="1:10" ht="30.75" thickBot="1" x14ac:dyDescent="0.25">
      <c r="A70" s="1463">
        <v>3299</v>
      </c>
      <c r="B70" s="1484">
        <v>5336</v>
      </c>
      <c r="C70" s="2832" t="s">
        <v>2092</v>
      </c>
      <c r="D70" s="1405" t="s">
        <v>1131</v>
      </c>
      <c r="E70" s="1414">
        <v>0</v>
      </c>
      <c r="F70" s="1414">
        <v>1320</v>
      </c>
      <c r="G70" s="1414">
        <v>1258</v>
      </c>
      <c r="H70" s="1396">
        <f>G70/F70*100</f>
        <v>95.303030303030297</v>
      </c>
      <c r="J70" s="1474"/>
    </row>
    <row r="71" spans="1:10" ht="31.5" hidden="1" thickTop="1" thickBot="1" x14ac:dyDescent="0.25">
      <c r="A71" s="1463">
        <v>3299</v>
      </c>
      <c r="B71" s="1469">
        <v>6351</v>
      </c>
      <c r="C71" s="1472">
        <v>32133887</v>
      </c>
      <c r="D71" s="1405" t="s">
        <v>1145</v>
      </c>
      <c r="E71" s="1414">
        <v>0</v>
      </c>
      <c r="F71" s="1414">
        <v>0</v>
      </c>
      <c r="G71" s="1414">
        <v>0</v>
      </c>
      <c r="H71" s="1390" t="e">
        <f>G71/F71*100</f>
        <v>#DIV/0!</v>
      </c>
      <c r="J71" s="1474"/>
    </row>
    <row r="72" spans="1:10" ht="31.5" hidden="1" thickTop="1" thickBot="1" x14ac:dyDescent="0.25">
      <c r="A72" s="1463">
        <v>3299</v>
      </c>
      <c r="B72" s="1469">
        <v>6351</v>
      </c>
      <c r="C72" s="1472">
        <v>32533887</v>
      </c>
      <c r="D72" s="1405" t="s">
        <v>1145</v>
      </c>
      <c r="E72" s="1414">
        <v>0</v>
      </c>
      <c r="F72" s="1414">
        <v>0</v>
      </c>
      <c r="G72" s="1414">
        <v>0</v>
      </c>
      <c r="H72" s="1396" t="e">
        <f>G72/F72*100</f>
        <v>#DIV/0!</v>
      </c>
      <c r="J72" s="1474"/>
    </row>
    <row r="73" spans="1:10" s="1397" customFormat="1" ht="16.5" thickTop="1" thickBot="1" x14ac:dyDescent="0.3">
      <c r="A73" s="3219" t="s">
        <v>690</v>
      </c>
      <c r="B73" s="3220"/>
      <c r="C73" s="3220"/>
      <c r="D73" s="3220"/>
      <c r="E73" s="1387">
        <f>SUM(E69:E72)</f>
        <v>0</v>
      </c>
      <c r="F73" s="1387">
        <f>SUM(F69:F72)</f>
        <v>1553</v>
      </c>
      <c r="G73" s="1387">
        <f>SUM(G69:G72)</f>
        <v>1480</v>
      </c>
      <c r="H73" s="1396">
        <f>G73/F73*100</f>
        <v>95.299420476497104</v>
      </c>
      <c r="I73" s="1476"/>
    </row>
    <row r="74" spans="1:10" ht="13.5" thickTop="1" x14ac:dyDescent="0.2">
      <c r="I74" s="1398"/>
    </row>
    <row r="75" spans="1:10" ht="15" x14ac:dyDescent="0.25">
      <c r="A75" s="1541" t="s">
        <v>293</v>
      </c>
      <c r="B75" s="1423"/>
      <c r="C75" s="1423"/>
      <c r="D75" s="1423"/>
    </row>
    <row r="76" spans="1:10" ht="15.75" thickBot="1" x14ac:dyDescent="0.3">
      <c r="A76" s="1542" t="s">
        <v>512</v>
      </c>
      <c r="B76" s="1543"/>
      <c r="C76" s="1543"/>
      <c r="H76" s="1459" t="s">
        <v>148</v>
      </c>
    </row>
    <row r="77" spans="1:10" s="1292" customFormat="1" ht="25.5" thickTop="1" thickBot="1" x14ac:dyDescent="0.25">
      <c r="A77" s="1378" t="s">
        <v>149</v>
      </c>
      <c r="B77" s="1379" t="s">
        <v>688</v>
      </c>
      <c r="C77" s="1379" t="s">
        <v>345</v>
      </c>
      <c r="D77" s="1380" t="s">
        <v>151</v>
      </c>
      <c r="E77" s="1402" t="s">
        <v>569</v>
      </c>
      <c r="F77" s="1402" t="s">
        <v>570</v>
      </c>
      <c r="G77" s="1403" t="s">
        <v>797</v>
      </c>
      <c r="H77" s="1404" t="s">
        <v>798</v>
      </c>
    </row>
    <row r="78" spans="1:10" s="1292" customFormat="1" ht="13.5" thickTop="1" thickBot="1" x14ac:dyDescent="0.25">
      <c r="A78" s="1297">
        <v>1</v>
      </c>
      <c r="B78" s="1296">
        <v>2</v>
      </c>
      <c r="C78" s="1296">
        <v>3</v>
      </c>
      <c r="D78" s="1296">
        <v>4</v>
      </c>
      <c r="E78" s="1295">
        <v>5</v>
      </c>
      <c r="F78" s="1295">
        <v>6</v>
      </c>
      <c r="G78" s="1446">
        <v>7</v>
      </c>
      <c r="H78" s="1468" t="s">
        <v>54</v>
      </c>
    </row>
    <row r="79" spans="1:10" ht="30.75" thickTop="1" x14ac:dyDescent="0.2">
      <c r="A79" s="1463">
        <v>3299</v>
      </c>
      <c r="B79" s="1484">
        <v>5336</v>
      </c>
      <c r="C79" s="2832" t="s">
        <v>2093</v>
      </c>
      <c r="D79" s="1405" t="s">
        <v>1131</v>
      </c>
      <c r="E79" s="1414">
        <v>0</v>
      </c>
      <c r="F79" s="1414">
        <v>153</v>
      </c>
      <c r="G79" s="1414">
        <v>146</v>
      </c>
      <c r="H79" s="1390">
        <f>G79/F79*100</f>
        <v>95.424836601307192</v>
      </c>
      <c r="J79" s="1474"/>
    </row>
    <row r="80" spans="1:10" ht="30.75" thickBot="1" x14ac:dyDescent="0.25">
      <c r="A80" s="1463">
        <v>3299</v>
      </c>
      <c r="B80" s="1484">
        <v>5336</v>
      </c>
      <c r="C80" s="2832" t="s">
        <v>2092</v>
      </c>
      <c r="D80" s="1405" t="s">
        <v>1131</v>
      </c>
      <c r="E80" s="1414">
        <v>0</v>
      </c>
      <c r="F80" s="1414">
        <v>870</v>
      </c>
      <c r="G80" s="1414">
        <v>826</v>
      </c>
      <c r="H80" s="1396">
        <f>G80/F80*100</f>
        <v>94.94252873563218</v>
      </c>
      <c r="J80" s="1474"/>
    </row>
    <row r="81" spans="1:10" ht="31.5" hidden="1" thickTop="1" thickBot="1" x14ac:dyDescent="0.25">
      <c r="A81" s="1463">
        <v>3299</v>
      </c>
      <c r="B81" s="1469">
        <v>6351</v>
      </c>
      <c r="C81" s="1472">
        <v>32133887</v>
      </c>
      <c r="D81" s="1405" t="s">
        <v>1145</v>
      </c>
      <c r="E81" s="1414">
        <v>0</v>
      </c>
      <c r="F81" s="1414">
        <v>0</v>
      </c>
      <c r="G81" s="1414">
        <v>0</v>
      </c>
      <c r="H81" s="1390" t="e">
        <f>G81/F81*100</f>
        <v>#DIV/0!</v>
      </c>
      <c r="J81" s="1474"/>
    </row>
    <row r="82" spans="1:10" ht="31.5" hidden="1" thickTop="1" thickBot="1" x14ac:dyDescent="0.25">
      <c r="A82" s="1463">
        <v>3299</v>
      </c>
      <c r="B82" s="1469">
        <v>6351</v>
      </c>
      <c r="C82" s="1472">
        <v>32533887</v>
      </c>
      <c r="D82" s="1405" t="s">
        <v>1145</v>
      </c>
      <c r="E82" s="1414">
        <v>0</v>
      </c>
      <c r="F82" s="1414">
        <v>0</v>
      </c>
      <c r="G82" s="1414">
        <v>0</v>
      </c>
      <c r="H82" s="1396" t="e">
        <f>G82/F82*100</f>
        <v>#DIV/0!</v>
      </c>
      <c r="J82" s="1474"/>
    </row>
    <row r="83" spans="1:10" s="1397" customFormat="1" ht="16.5" thickTop="1" thickBot="1" x14ac:dyDescent="0.3">
      <c r="A83" s="3219" t="s">
        <v>690</v>
      </c>
      <c r="B83" s="3220"/>
      <c r="C83" s="3220"/>
      <c r="D83" s="3220"/>
      <c r="E83" s="1387">
        <f>SUM(E79:E82)</f>
        <v>0</v>
      </c>
      <c r="F83" s="1387">
        <f>SUM(F79:F82)</f>
        <v>1023</v>
      </c>
      <c r="G83" s="1387">
        <f>SUM(G79:G82)</f>
        <v>972</v>
      </c>
      <c r="H83" s="1396">
        <f>G83/F83*100</f>
        <v>95.014662756598241</v>
      </c>
      <c r="I83" s="1476"/>
    </row>
    <row r="84" spans="1:10" ht="13.5" thickTop="1" x14ac:dyDescent="0.2">
      <c r="I84" s="1398"/>
    </row>
    <row r="85" spans="1:10" ht="15" x14ac:dyDescent="0.25">
      <c r="A85" s="1541" t="s">
        <v>1712</v>
      </c>
      <c r="B85" s="1423"/>
      <c r="C85" s="1423"/>
      <c r="D85" s="1423"/>
    </row>
    <row r="86" spans="1:10" ht="15.75" thickBot="1" x14ac:dyDescent="0.3">
      <c r="A86" s="1542" t="s">
        <v>1031</v>
      </c>
      <c r="B86" s="1543"/>
      <c r="C86" s="1543"/>
      <c r="H86" s="1459" t="s">
        <v>148</v>
      </c>
    </row>
    <row r="87" spans="1:10" s="1292" customFormat="1" ht="25.5" thickTop="1" thickBot="1" x14ac:dyDescent="0.25">
      <c r="A87" s="1378" t="s">
        <v>149</v>
      </c>
      <c r="B87" s="1379" t="s">
        <v>688</v>
      </c>
      <c r="C87" s="1379" t="s">
        <v>345</v>
      </c>
      <c r="D87" s="1380" t="s">
        <v>151</v>
      </c>
      <c r="E87" s="1402" t="s">
        <v>569</v>
      </c>
      <c r="F87" s="1402" t="s">
        <v>570</v>
      </c>
      <c r="G87" s="1403" t="s">
        <v>797</v>
      </c>
      <c r="H87" s="1404" t="s">
        <v>798</v>
      </c>
    </row>
    <row r="88" spans="1:10" s="1292" customFormat="1" ht="13.5" thickTop="1" thickBot="1" x14ac:dyDescent="0.25">
      <c r="A88" s="1297">
        <v>1</v>
      </c>
      <c r="B88" s="1296">
        <v>2</v>
      </c>
      <c r="C88" s="1296">
        <v>3</v>
      </c>
      <c r="D88" s="1296">
        <v>4</v>
      </c>
      <c r="E88" s="1295">
        <v>5</v>
      </c>
      <c r="F88" s="1295">
        <v>6</v>
      </c>
      <c r="G88" s="1446">
        <v>7</v>
      </c>
      <c r="H88" s="1468" t="s">
        <v>54</v>
      </c>
    </row>
    <row r="89" spans="1:10" ht="30.75" thickTop="1" x14ac:dyDescent="0.2">
      <c r="A89" s="1463">
        <v>3299</v>
      </c>
      <c r="B89" s="1484">
        <v>5336</v>
      </c>
      <c r="C89" s="2832" t="s">
        <v>2093</v>
      </c>
      <c r="D89" s="1405" t="s">
        <v>1131</v>
      </c>
      <c r="E89" s="1414">
        <v>0</v>
      </c>
      <c r="F89" s="1414">
        <v>225</v>
      </c>
      <c r="G89" s="1414">
        <v>87</v>
      </c>
      <c r="H89" s="1390">
        <f>G89/F89*100</f>
        <v>38.666666666666664</v>
      </c>
      <c r="J89" s="1474"/>
    </row>
    <row r="90" spans="1:10" ht="30.75" thickBot="1" x14ac:dyDescent="0.25">
      <c r="A90" s="1463">
        <v>3299</v>
      </c>
      <c r="B90" s="1484">
        <v>5336</v>
      </c>
      <c r="C90" s="2832" t="s">
        <v>2092</v>
      </c>
      <c r="D90" s="1405" t="s">
        <v>1131</v>
      </c>
      <c r="E90" s="1414">
        <v>0</v>
      </c>
      <c r="F90" s="1414">
        <v>1277</v>
      </c>
      <c r="G90" s="1414">
        <v>490</v>
      </c>
      <c r="H90" s="1390">
        <f>G90/F90*100</f>
        <v>38.371182458888022</v>
      </c>
      <c r="J90" s="1474"/>
    </row>
    <row r="91" spans="1:10" ht="30.75" hidden="1" thickBot="1" x14ac:dyDescent="0.25">
      <c r="A91" s="1463">
        <v>3299</v>
      </c>
      <c r="B91" s="1469">
        <v>6351</v>
      </c>
      <c r="C91" s="1472">
        <v>32133887</v>
      </c>
      <c r="D91" s="1405" t="s">
        <v>1145</v>
      </c>
      <c r="E91" s="1414">
        <v>0</v>
      </c>
      <c r="F91" s="1414">
        <v>0</v>
      </c>
      <c r="G91" s="1414">
        <v>0</v>
      </c>
      <c r="H91" s="1390" t="e">
        <f>G91/F91*100</f>
        <v>#DIV/0!</v>
      </c>
      <c r="J91" s="1474"/>
    </row>
    <row r="92" spans="1:10" ht="30.75" hidden="1" thickBot="1" x14ac:dyDescent="0.25">
      <c r="A92" s="1463">
        <v>3299</v>
      </c>
      <c r="B92" s="1469">
        <v>6351</v>
      </c>
      <c r="C92" s="1472">
        <v>32533887</v>
      </c>
      <c r="D92" s="1405" t="s">
        <v>1145</v>
      </c>
      <c r="E92" s="1414">
        <v>0</v>
      </c>
      <c r="F92" s="1414">
        <v>0</v>
      </c>
      <c r="G92" s="1414">
        <v>0</v>
      </c>
      <c r="H92" s="1396" t="e">
        <f>G92/F92*100</f>
        <v>#DIV/0!</v>
      </c>
      <c r="J92" s="1474"/>
    </row>
    <row r="93" spans="1:10" s="1397" customFormat="1" ht="16.5" thickTop="1" thickBot="1" x14ac:dyDescent="0.3">
      <c r="A93" s="3219" t="s">
        <v>690</v>
      </c>
      <c r="B93" s="3220"/>
      <c r="C93" s="3220"/>
      <c r="D93" s="3220"/>
      <c r="E93" s="1387">
        <f>SUM(E89:E92)</f>
        <v>0</v>
      </c>
      <c r="F93" s="1387">
        <f>SUM(F89:F92)</f>
        <v>1502</v>
      </c>
      <c r="G93" s="1387">
        <f>SUM(G89:G92)</f>
        <v>577</v>
      </c>
      <c r="H93" s="1391">
        <f>G93/F93*100</f>
        <v>38.415446071904128</v>
      </c>
      <c r="I93" s="1476"/>
    </row>
    <row r="94" spans="1:10" ht="13.5" hidden="1" thickTop="1" x14ac:dyDescent="0.2">
      <c r="I94" s="1398"/>
    </row>
    <row r="95" spans="1:10" ht="15.75" hidden="1" thickTop="1" x14ac:dyDescent="0.25">
      <c r="A95" s="1541" t="s">
        <v>868</v>
      </c>
      <c r="B95" s="1423"/>
      <c r="C95" s="1423"/>
      <c r="D95" s="1423"/>
    </row>
    <row r="96" spans="1:10" ht="15.75" hidden="1" thickTop="1" x14ac:dyDescent="0.25">
      <c r="A96" s="1542" t="s">
        <v>869</v>
      </c>
      <c r="B96" s="1543"/>
      <c r="C96" s="1543"/>
      <c r="H96" s="1459" t="s">
        <v>148</v>
      </c>
    </row>
    <row r="97" spans="1:10" s="1292" customFormat="1" ht="25.5" hidden="1" thickTop="1" thickBot="1" x14ac:dyDescent="0.25">
      <c r="A97" s="1378" t="s">
        <v>149</v>
      </c>
      <c r="B97" s="1379" t="s">
        <v>688</v>
      </c>
      <c r="C97" s="1379" t="s">
        <v>345</v>
      </c>
      <c r="D97" s="1380" t="s">
        <v>151</v>
      </c>
      <c r="E97" s="1402" t="s">
        <v>569</v>
      </c>
      <c r="F97" s="1402" t="s">
        <v>570</v>
      </c>
      <c r="G97" s="1403" t="s">
        <v>797</v>
      </c>
      <c r="H97" s="1404" t="s">
        <v>798</v>
      </c>
    </row>
    <row r="98" spans="1:10" s="1292" customFormat="1" ht="13.5" hidden="1" thickTop="1" thickBot="1" x14ac:dyDescent="0.25">
      <c r="A98" s="1297">
        <v>1</v>
      </c>
      <c r="B98" s="1296">
        <v>2</v>
      </c>
      <c r="C98" s="1296">
        <v>3</v>
      </c>
      <c r="D98" s="1296">
        <v>4</v>
      </c>
      <c r="E98" s="1295">
        <v>5</v>
      </c>
      <c r="F98" s="1295">
        <v>6</v>
      </c>
      <c r="G98" s="1446">
        <v>7</v>
      </c>
      <c r="H98" s="1468" t="s">
        <v>54</v>
      </c>
    </row>
    <row r="99" spans="1:10" ht="45.75" hidden="1" thickTop="1" x14ac:dyDescent="0.2">
      <c r="A99" s="1463">
        <v>3299</v>
      </c>
      <c r="B99" s="1469">
        <v>5213</v>
      </c>
      <c r="C99" s="1472">
        <v>32133012</v>
      </c>
      <c r="D99" s="1405" t="s">
        <v>935</v>
      </c>
      <c r="E99" s="1414">
        <v>0</v>
      </c>
      <c r="F99" s="1414"/>
      <c r="G99" s="1414"/>
      <c r="H99" s="1390" t="e">
        <f>G99/F99*100</f>
        <v>#DIV/0!</v>
      </c>
      <c r="J99" s="1474"/>
    </row>
    <row r="100" spans="1:10" ht="45.75" hidden="1" thickTop="1" x14ac:dyDescent="0.2">
      <c r="A100" s="1463">
        <v>3299</v>
      </c>
      <c r="B100" s="1469">
        <v>5213</v>
      </c>
      <c r="C100" s="1472">
        <v>32533012</v>
      </c>
      <c r="D100" s="1405" t="s">
        <v>935</v>
      </c>
      <c r="E100" s="1414">
        <v>0</v>
      </c>
      <c r="F100" s="1414"/>
      <c r="G100" s="1414"/>
      <c r="H100" s="1390" t="e">
        <f>G100/F100*100</f>
        <v>#DIV/0!</v>
      </c>
      <c r="J100" s="1474"/>
    </row>
    <row r="101" spans="1:10" ht="45.75" hidden="1" thickTop="1" x14ac:dyDescent="0.2">
      <c r="A101" s="1463">
        <v>3299</v>
      </c>
      <c r="B101" s="1469">
        <v>6313</v>
      </c>
      <c r="C101" s="1472">
        <v>32133887</v>
      </c>
      <c r="D101" s="1405" t="s">
        <v>936</v>
      </c>
      <c r="E101" s="1414">
        <v>0</v>
      </c>
      <c r="F101" s="1414">
        <v>0</v>
      </c>
      <c r="G101" s="1414">
        <v>0</v>
      </c>
      <c r="H101" s="1390" t="e">
        <f>G101/F101*100</f>
        <v>#DIV/0!</v>
      </c>
      <c r="J101" s="1474"/>
    </row>
    <row r="102" spans="1:10" ht="46.5" hidden="1" thickTop="1" thickBot="1" x14ac:dyDescent="0.25">
      <c r="A102" s="1463">
        <v>3299</v>
      </c>
      <c r="B102" s="1469">
        <v>6313</v>
      </c>
      <c r="C102" s="1472">
        <v>32533887</v>
      </c>
      <c r="D102" s="1405" t="s">
        <v>936</v>
      </c>
      <c r="E102" s="1414">
        <v>0</v>
      </c>
      <c r="F102" s="1414">
        <v>0</v>
      </c>
      <c r="G102" s="1414">
        <v>0</v>
      </c>
      <c r="H102" s="1396" t="e">
        <f>G102/F102*100</f>
        <v>#DIV/0!</v>
      </c>
      <c r="J102" s="1474"/>
    </row>
    <row r="103" spans="1:10" s="1397" customFormat="1" ht="16.5" hidden="1" thickTop="1" thickBot="1" x14ac:dyDescent="0.3">
      <c r="A103" s="3219" t="s">
        <v>690</v>
      </c>
      <c r="B103" s="3220"/>
      <c r="C103" s="3220"/>
      <c r="D103" s="3220"/>
      <c r="E103" s="1387">
        <f>SUM(E99:E102)</f>
        <v>0</v>
      </c>
      <c r="F103" s="1387">
        <f>SUM(F99:F102)</f>
        <v>0</v>
      </c>
      <c r="G103" s="1387">
        <f>SUM(G99:G102)</f>
        <v>0</v>
      </c>
      <c r="H103" s="1391" t="e">
        <f>G103/F103*100</f>
        <v>#DIV/0!</v>
      </c>
      <c r="I103" s="1476"/>
    </row>
    <row r="104" spans="1:10" ht="13.5" thickTop="1" x14ac:dyDescent="0.2">
      <c r="I104" s="1398"/>
    </row>
    <row r="105" spans="1:10" ht="15" x14ac:dyDescent="0.25">
      <c r="A105" s="1541" t="s">
        <v>1423</v>
      </c>
      <c r="B105" s="1423"/>
      <c r="C105" s="1423"/>
      <c r="D105" s="1423"/>
    </row>
    <row r="106" spans="1:10" ht="15.75" thickBot="1" x14ac:dyDescent="0.3">
      <c r="A106" s="1542" t="s">
        <v>871</v>
      </c>
      <c r="B106" s="1543"/>
      <c r="C106" s="1543"/>
      <c r="H106" s="1459" t="s">
        <v>148</v>
      </c>
    </row>
    <row r="107" spans="1:10" s="1292" customFormat="1" ht="25.5" thickTop="1" thickBot="1" x14ac:dyDescent="0.25">
      <c r="A107" s="1378" t="s">
        <v>149</v>
      </c>
      <c r="B107" s="1379" t="s">
        <v>688</v>
      </c>
      <c r="C107" s="1379" t="s">
        <v>345</v>
      </c>
      <c r="D107" s="1380" t="s">
        <v>151</v>
      </c>
      <c r="E107" s="1402" t="s">
        <v>569</v>
      </c>
      <c r="F107" s="1402" t="s">
        <v>570</v>
      </c>
      <c r="G107" s="1403" t="s">
        <v>797</v>
      </c>
      <c r="H107" s="1404" t="s">
        <v>798</v>
      </c>
    </row>
    <row r="108" spans="1:10" s="1292" customFormat="1" ht="13.5" thickTop="1" thickBot="1" x14ac:dyDescent="0.25">
      <c r="A108" s="1297">
        <v>1</v>
      </c>
      <c r="B108" s="1296">
        <v>2</v>
      </c>
      <c r="C108" s="1296">
        <v>3</v>
      </c>
      <c r="D108" s="1296">
        <v>4</v>
      </c>
      <c r="E108" s="1295">
        <v>5</v>
      </c>
      <c r="F108" s="1295">
        <v>6</v>
      </c>
      <c r="G108" s="1446">
        <v>7</v>
      </c>
      <c r="H108" s="1468" t="s">
        <v>54</v>
      </c>
    </row>
    <row r="109" spans="1:10" ht="30.75" thickTop="1" x14ac:dyDescent="0.2">
      <c r="A109" s="1463">
        <v>3299</v>
      </c>
      <c r="B109" s="1469">
        <v>5229</v>
      </c>
      <c r="C109" s="2832">
        <v>32133012</v>
      </c>
      <c r="D109" s="1405" t="s">
        <v>872</v>
      </c>
      <c r="E109" s="1414">
        <v>0</v>
      </c>
      <c r="F109" s="1414">
        <v>47</v>
      </c>
      <c r="G109" s="1414">
        <v>47</v>
      </c>
      <c r="H109" s="1390">
        <f>G109/F109*100</f>
        <v>100</v>
      </c>
      <c r="J109" s="1474"/>
    </row>
    <row r="110" spans="1:10" ht="30.75" thickBot="1" x14ac:dyDescent="0.25">
      <c r="A110" s="1463">
        <v>3299</v>
      </c>
      <c r="B110" s="1469">
        <v>5229</v>
      </c>
      <c r="C110" s="2832">
        <v>32533012</v>
      </c>
      <c r="D110" s="1405" t="s">
        <v>872</v>
      </c>
      <c r="E110" s="1414">
        <v>0</v>
      </c>
      <c r="F110" s="1414">
        <v>269</v>
      </c>
      <c r="G110" s="1414">
        <v>263</v>
      </c>
      <c r="H110" s="1390">
        <f>G110/F110*100</f>
        <v>97.769516728624538</v>
      </c>
      <c r="J110" s="1474"/>
    </row>
    <row r="111" spans="1:10" ht="30.75" hidden="1" thickBot="1" x14ac:dyDescent="0.25">
      <c r="A111" s="1463">
        <v>3299</v>
      </c>
      <c r="B111" s="1469">
        <v>6351</v>
      </c>
      <c r="C111" s="1472">
        <v>32133887</v>
      </c>
      <c r="D111" s="1405" t="s">
        <v>1145</v>
      </c>
      <c r="E111" s="1414">
        <v>0</v>
      </c>
      <c r="F111" s="1414">
        <v>0</v>
      </c>
      <c r="G111" s="1414">
        <v>0</v>
      </c>
      <c r="H111" s="1390" t="e">
        <f>G111/F111*100</f>
        <v>#DIV/0!</v>
      </c>
      <c r="J111" s="1474"/>
    </row>
    <row r="112" spans="1:10" ht="30.75" hidden="1" thickBot="1" x14ac:dyDescent="0.25">
      <c r="A112" s="1463">
        <v>3299</v>
      </c>
      <c r="B112" s="1469">
        <v>6351</v>
      </c>
      <c r="C112" s="1472">
        <v>32533887</v>
      </c>
      <c r="D112" s="1405" t="s">
        <v>1145</v>
      </c>
      <c r="E112" s="1414">
        <v>0</v>
      </c>
      <c r="F112" s="1414">
        <v>0</v>
      </c>
      <c r="G112" s="1414">
        <v>0</v>
      </c>
      <c r="H112" s="1396" t="e">
        <f>G112/F112*100</f>
        <v>#DIV/0!</v>
      </c>
      <c r="J112" s="1474"/>
    </row>
    <row r="113" spans="1:10" s="1397" customFormat="1" ht="16.5" thickTop="1" thickBot="1" x14ac:dyDescent="0.3">
      <c r="A113" s="3219" t="s">
        <v>690</v>
      </c>
      <c r="B113" s="3220"/>
      <c r="C113" s="3220"/>
      <c r="D113" s="3220"/>
      <c r="E113" s="1387">
        <f>SUM(E109:E112)</f>
        <v>0</v>
      </c>
      <c r="F113" s="1387">
        <f>SUM(F109:F112)</f>
        <v>316</v>
      </c>
      <c r="G113" s="1387">
        <f>SUM(G109:G112)</f>
        <v>310</v>
      </c>
      <c r="H113" s="1391">
        <f>G113/F113*100</f>
        <v>98.101265822784811</v>
      </c>
      <c r="I113" s="1476"/>
    </row>
    <row r="114" spans="1:10" ht="13.5" thickTop="1" x14ac:dyDescent="0.2">
      <c r="I114" s="1398"/>
    </row>
    <row r="115" spans="1:10" ht="15" hidden="1" x14ac:dyDescent="0.25">
      <c r="A115" s="1541" t="s">
        <v>1433</v>
      </c>
      <c r="B115" s="1423"/>
      <c r="C115" s="1423"/>
      <c r="D115" s="1423"/>
    </row>
    <row r="116" spans="1:10" ht="15" hidden="1" x14ac:dyDescent="0.25">
      <c r="A116" s="1542" t="s">
        <v>939</v>
      </c>
      <c r="B116" s="1543"/>
      <c r="C116" s="1543"/>
      <c r="H116" s="1459" t="s">
        <v>148</v>
      </c>
    </row>
    <row r="117" spans="1:10" s="1292" customFormat="1" ht="25.5" hidden="1" thickTop="1" thickBot="1" x14ac:dyDescent="0.25">
      <c r="A117" s="1378" t="s">
        <v>149</v>
      </c>
      <c r="B117" s="1379" t="s">
        <v>688</v>
      </c>
      <c r="C117" s="1379" t="s">
        <v>345</v>
      </c>
      <c r="D117" s="1380" t="s">
        <v>151</v>
      </c>
      <c r="E117" s="1402" t="s">
        <v>569</v>
      </c>
      <c r="F117" s="1402" t="s">
        <v>570</v>
      </c>
      <c r="G117" s="1403" t="s">
        <v>797</v>
      </c>
      <c r="H117" s="1404" t="s">
        <v>798</v>
      </c>
    </row>
    <row r="118" spans="1:10" s="1292" customFormat="1" ht="13.5" hidden="1" thickTop="1" thickBot="1" x14ac:dyDescent="0.25">
      <c r="A118" s="1297">
        <v>1</v>
      </c>
      <c r="B118" s="1296">
        <v>2</v>
      </c>
      <c r="C118" s="1296">
        <v>3</v>
      </c>
      <c r="D118" s="1296">
        <v>4</v>
      </c>
      <c r="E118" s="1295">
        <v>5</v>
      </c>
      <c r="F118" s="1295">
        <v>6</v>
      </c>
      <c r="G118" s="1446">
        <v>7</v>
      </c>
      <c r="H118" s="1468" t="s">
        <v>54</v>
      </c>
    </row>
    <row r="119" spans="1:10" ht="30" hidden="1" x14ac:dyDescent="0.2">
      <c r="A119" s="1463">
        <v>3299</v>
      </c>
      <c r="B119" s="1469">
        <v>5229</v>
      </c>
      <c r="C119" s="1472">
        <v>32133012</v>
      </c>
      <c r="D119" s="1405" t="s">
        <v>872</v>
      </c>
      <c r="E119" s="1414">
        <v>0</v>
      </c>
      <c r="F119" s="1414"/>
      <c r="G119" s="1414"/>
      <c r="H119" s="1390" t="e">
        <f>G119/F119*100</f>
        <v>#DIV/0!</v>
      </c>
      <c r="J119" s="1474"/>
    </row>
    <row r="120" spans="1:10" ht="30" hidden="1" x14ac:dyDescent="0.2">
      <c r="A120" s="1463">
        <v>3299</v>
      </c>
      <c r="B120" s="1469">
        <v>5229</v>
      </c>
      <c r="C120" s="1472">
        <v>32533012</v>
      </c>
      <c r="D120" s="1405" t="s">
        <v>872</v>
      </c>
      <c r="E120" s="1414">
        <v>0</v>
      </c>
      <c r="F120" s="1414"/>
      <c r="G120" s="1414"/>
      <c r="H120" s="1390" t="e">
        <f>G120/F120*100</f>
        <v>#DIV/0!</v>
      </c>
      <c r="J120" s="1474"/>
    </row>
    <row r="121" spans="1:10" ht="30" hidden="1" x14ac:dyDescent="0.2">
      <c r="A121" s="1463">
        <v>3299</v>
      </c>
      <c r="B121" s="1469">
        <v>6351</v>
      </c>
      <c r="C121" s="1472">
        <v>32133887</v>
      </c>
      <c r="D121" s="1405" t="s">
        <v>1145</v>
      </c>
      <c r="E121" s="1414">
        <v>0</v>
      </c>
      <c r="F121" s="1414">
        <v>0</v>
      </c>
      <c r="G121" s="1414">
        <v>0</v>
      </c>
      <c r="H121" s="1390" t="e">
        <f>G121/F121*100</f>
        <v>#DIV/0!</v>
      </c>
      <c r="J121" s="1474"/>
    </row>
    <row r="122" spans="1:10" ht="30.75" hidden="1" thickBot="1" x14ac:dyDescent="0.25">
      <c r="A122" s="1463">
        <v>3299</v>
      </c>
      <c r="B122" s="1469">
        <v>6351</v>
      </c>
      <c r="C122" s="1472">
        <v>32533887</v>
      </c>
      <c r="D122" s="1405" t="s">
        <v>1145</v>
      </c>
      <c r="E122" s="1414">
        <v>0</v>
      </c>
      <c r="F122" s="1414">
        <v>0</v>
      </c>
      <c r="G122" s="1414">
        <v>0</v>
      </c>
      <c r="H122" s="1396" t="e">
        <f>G122/F122*100</f>
        <v>#DIV/0!</v>
      </c>
      <c r="J122" s="1474"/>
    </row>
    <row r="123" spans="1:10" s="1397" customFormat="1" ht="16.5" hidden="1" thickTop="1" thickBot="1" x14ac:dyDescent="0.3">
      <c r="A123" s="3219" t="s">
        <v>690</v>
      </c>
      <c r="B123" s="3220"/>
      <c r="C123" s="3220"/>
      <c r="D123" s="3220"/>
      <c r="E123" s="1387">
        <f>SUM(E119:E122)</f>
        <v>0</v>
      </c>
      <c r="F123" s="1387">
        <f>SUM(F119:F122)</f>
        <v>0</v>
      </c>
      <c r="G123" s="1387">
        <f>SUM(G119:G122)</f>
        <v>0</v>
      </c>
      <c r="H123" s="1391" t="e">
        <f>G123/F123*100</f>
        <v>#DIV/0!</v>
      </c>
      <c r="I123" s="1476"/>
    </row>
    <row r="124" spans="1:10" x14ac:dyDescent="0.2">
      <c r="I124" s="1398"/>
    </row>
    <row r="125" spans="1:10" ht="15" hidden="1" x14ac:dyDescent="0.25">
      <c r="A125" s="1541" t="s">
        <v>940</v>
      </c>
      <c r="B125" s="1423"/>
      <c r="C125" s="1423"/>
      <c r="D125" s="1423"/>
    </row>
    <row r="126" spans="1:10" ht="15" hidden="1" x14ac:dyDescent="0.25">
      <c r="A126" s="1542" t="s">
        <v>941</v>
      </c>
      <c r="B126" s="1543"/>
      <c r="C126" s="1543"/>
      <c r="H126" s="1459" t="s">
        <v>148</v>
      </c>
    </row>
    <row r="127" spans="1:10" s="1292" customFormat="1" ht="25.5" hidden="1" thickTop="1" thickBot="1" x14ac:dyDescent="0.25">
      <c r="A127" s="1378" t="s">
        <v>149</v>
      </c>
      <c r="B127" s="1379" t="s">
        <v>688</v>
      </c>
      <c r="C127" s="1379" t="s">
        <v>345</v>
      </c>
      <c r="D127" s="1380" t="s">
        <v>151</v>
      </c>
      <c r="E127" s="1402" t="s">
        <v>569</v>
      </c>
      <c r="F127" s="1402" t="s">
        <v>570</v>
      </c>
      <c r="G127" s="1403" t="s">
        <v>797</v>
      </c>
      <c r="H127" s="1404" t="s">
        <v>798</v>
      </c>
    </row>
    <row r="128" spans="1:10" s="1292" customFormat="1" ht="13.5" hidden="1" thickTop="1" thickBot="1" x14ac:dyDescent="0.25">
      <c r="A128" s="1297">
        <v>1</v>
      </c>
      <c r="B128" s="1296">
        <v>2</v>
      </c>
      <c r="C128" s="1296">
        <v>3</v>
      </c>
      <c r="D128" s="1296">
        <v>4</v>
      </c>
      <c r="E128" s="1295">
        <v>5</v>
      </c>
      <c r="F128" s="1295">
        <v>6</v>
      </c>
      <c r="G128" s="1446">
        <v>7</v>
      </c>
      <c r="H128" s="1468" t="s">
        <v>54</v>
      </c>
    </row>
    <row r="129" spans="1:12" ht="30" hidden="1" x14ac:dyDescent="0.2">
      <c r="A129" s="1463">
        <v>3299</v>
      </c>
      <c r="B129" s="1469">
        <v>5229</v>
      </c>
      <c r="C129" s="2832">
        <v>32133012</v>
      </c>
      <c r="D129" s="1405" t="s">
        <v>872</v>
      </c>
      <c r="E129" s="1414"/>
      <c r="F129" s="1414"/>
      <c r="G129" s="1414"/>
      <c r="H129" s="1390" t="e">
        <f>G129/F129*100</f>
        <v>#DIV/0!</v>
      </c>
      <c r="J129" s="1474"/>
    </row>
    <row r="130" spans="1:12" ht="30" hidden="1" x14ac:dyDescent="0.2">
      <c r="A130" s="1463">
        <v>3299</v>
      </c>
      <c r="B130" s="1469">
        <v>5229</v>
      </c>
      <c r="C130" s="2832">
        <v>32533012</v>
      </c>
      <c r="D130" s="1405" t="s">
        <v>872</v>
      </c>
      <c r="E130" s="1414"/>
      <c r="F130" s="1414"/>
      <c r="G130" s="1414"/>
      <c r="H130" s="1390" t="e">
        <f>G130/F130*100</f>
        <v>#DIV/0!</v>
      </c>
      <c r="J130" s="1474"/>
    </row>
    <row r="131" spans="1:12" ht="30" hidden="1" x14ac:dyDescent="0.2">
      <c r="A131" s="1463">
        <v>3299</v>
      </c>
      <c r="B131" s="1469">
        <v>6351</v>
      </c>
      <c r="C131" s="1472">
        <v>32133887</v>
      </c>
      <c r="D131" s="1405" t="s">
        <v>1145</v>
      </c>
      <c r="E131" s="1414">
        <v>0</v>
      </c>
      <c r="F131" s="1414">
        <v>0</v>
      </c>
      <c r="G131" s="1414">
        <v>0</v>
      </c>
      <c r="H131" s="1390" t="e">
        <f>G131/F131*100</f>
        <v>#DIV/0!</v>
      </c>
      <c r="J131" s="1474"/>
    </row>
    <row r="132" spans="1:12" ht="30.75" hidden="1" thickBot="1" x14ac:dyDescent="0.25">
      <c r="A132" s="1463">
        <v>3299</v>
      </c>
      <c r="B132" s="1469">
        <v>6351</v>
      </c>
      <c r="C132" s="1472">
        <v>32533887</v>
      </c>
      <c r="D132" s="1405" t="s">
        <v>1145</v>
      </c>
      <c r="E132" s="1414">
        <v>0</v>
      </c>
      <c r="F132" s="1414">
        <v>0</v>
      </c>
      <c r="G132" s="1414">
        <v>0</v>
      </c>
      <c r="H132" s="1396" t="e">
        <f>G132/F132*100</f>
        <v>#DIV/0!</v>
      </c>
      <c r="J132" s="1474"/>
    </row>
    <row r="133" spans="1:12" s="1397" customFormat="1" ht="16.5" hidden="1" thickTop="1" thickBot="1" x14ac:dyDescent="0.3">
      <c r="A133" s="3219" t="s">
        <v>690</v>
      </c>
      <c r="B133" s="3220"/>
      <c r="C133" s="3220"/>
      <c r="D133" s="3220"/>
      <c r="E133" s="1387">
        <f>SUM(E129:E132)</f>
        <v>0</v>
      </c>
      <c r="F133" s="1387">
        <f>SUM(F129:F132)</f>
        <v>0</v>
      </c>
      <c r="G133" s="1387">
        <f>SUM(G129:G132)</f>
        <v>0</v>
      </c>
      <c r="H133" s="1391" t="e">
        <f>G133/F133*100</f>
        <v>#DIV/0!</v>
      </c>
      <c r="I133" s="1476"/>
    </row>
    <row r="134" spans="1:12" hidden="1" x14ac:dyDescent="0.2">
      <c r="I134" s="1398"/>
    </row>
    <row r="135" spans="1:12" ht="15" hidden="1" x14ac:dyDescent="0.25">
      <c r="A135" s="1541"/>
      <c r="B135" s="1423"/>
      <c r="C135" s="1423"/>
      <c r="D135" s="1423"/>
    </row>
    <row r="136" spans="1:12" x14ac:dyDescent="0.2">
      <c r="I136" s="1398"/>
    </row>
    <row r="137" spans="1:12" x14ac:dyDescent="0.2">
      <c r="I137" s="1398"/>
    </row>
    <row r="138" spans="1:12" x14ac:dyDescent="0.2">
      <c r="I138" s="1398"/>
    </row>
    <row r="139" spans="1:12" x14ac:dyDescent="0.2">
      <c r="I139" s="1398"/>
    </row>
    <row r="141" spans="1:12" ht="16.5" x14ac:dyDescent="0.25">
      <c r="A141" s="1429" t="s">
        <v>423</v>
      </c>
      <c r="B141" s="1430"/>
      <c r="C141" s="1431"/>
      <c r="D141" s="1432"/>
      <c r="E141" s="1433">
        <f>SUM(E142:E144)</f>
        <v>0</v>
      </c>
      <c r="F141" s="1433">
        <f>F142+F143+F144+F145</f>
        <v>30939</v>
      </c>
      <c r="G141" s="1433">
        <f>G142+G143+G144+G145</f>
        <v>20568</v>
      </c>
      <c r="H141" s="1452">
        <f>G141/F141*100</f>
        <v>66.47920100843595</v>
      </c>
      <c r="J141" s="1435">
        <f>J142+J143+J144</f>
        <v>0</v>
      </c>
      <c r="K141" s="1435">
        <f>K142+K143+K144</f>
        <v>30938651.469999999</v>
      </c>
      <c r="L141" s="1435">
        <f>L142+L143+L144</f>
        <v>20568068.359999999</v>
      </c>
    </row>
    <row r="142" spans="1:12" ht="15" x14ac:dyDescent="0.2">
      <c r="A142" s="1263" t="s">
        <v>242</v>
      </c>
      <c r="B142" s="1265"/>
      <c r="C142" s="1261"/>
      <c r="D142" s="1436"/>
      <c r="E142" s="1264">
        <f>E10+E11+E12+E13+E14+E15+E16+E17+E18+E19+E21+E22+E23+E32+E39+E40+E49+E50+E69+E70+E79+E80+E89+E90+E109+E110</f>
        <v>0</v>
      </c>
      <c r="F142" s="1264">
        <f>F10+F11+F12+F13+F14+F15+F16+F17+F18+F19+F21+F22+F23+F32+F39+F40+F49+F50+F69+F70+F79+F80+F89+F90+F109+F110</f>
        <v>30617</v>
      </c>
      <c r="G142" s="1264">
        <f>G10+G11+G12+G13+G14+G15+G16+G17+G18+G19+G21+G22+G23+G32+G39+G40+G49+G50+G69+G70+G79+G80+G89+G90+G109+G110</f>
        <v>20209</v>
      </c>
      <c r="H142" s="1451">
        <f>G142/F142*100</f>
        <v>66.005813763595384</v>
      </c>
      <c r="J142" s="1437">
        <v>0</v>
      </c>
      <c r="K142" s="1437">
        <v>30616907.09</v>
      </c>
      <c r="L142" s="1437">
        <f>15005962.75+5264917.82+7938.5-69833.12</f>
        <v>20208985.949999999</v>
      </c>
    </row>
    <row r="143" spans="1:12" ht="15" x14ac:dyDescent="0.2">
      <c r="A143" s="1263" t="s">
        <v>243</v>
      </c>
      <c r="B143" s="1262"/>
      <c r="C143" s="1261"/>
      <c r="D143" s="1438"/>
      <c r="E143" s="1264">
        <f>E24+E25+E28+E29+E41+E42</f>
        <v>0</v>
      </c>
      <c r="F143" s="1264">
        <f>F24+F25+F28+F29+F41+F42</f>
        <v>322</v>
      </c>
      <c r="G143" s="1264">
        <f>G24+G25+G28+G29+G41+G42</f>
        <v>289</v>
      </c>
      <c r="H143" s="1451">
        <f>G143/F143*100</f>
        <v>89.75155279503106</v>
      </c>
      <c r="J143" s="1437">
        <v>0</v>
      </c>
      <c r="K143" s="1437">
        <v>321744.38</v>
      </c>
      <c r="L143" s="1437">
        <v>289249.28999999998</v>
      </c>
    </row>
    <row r="144" spans="1:12" ht="15" x14ac:dyDescent="0.2">
      <c r="A144" s="1263" t="s">
        <v>424</v>
      </c>
      <c r="B144" s="1262"/>
      <c r="C144" s="1261"/>
      <c r="D144" s="1438"/>
      <c r="E144" s="1264">
        <f>E30</f>
        <v>0</v>
      </c>
      <c r="F144" s="1264">
        <f>F30</f>
        <v>0</v>
      </c>
      <c r="G144" s="1264">
        <f>G30</f>
        <v>70</v>
      </c>
      <c r="H144" s="1451">
        <v>0</v>
      </c>
      <c r="J144" s="1437">
        <v>0</v>
      </c>
      <c r="K144" s="1437">
        <v>0</v>
      </c>
      <c r="L144" s="1437">
        <v>69833.119999999995</v>
      </c>
    </row>
    <row r="145" spans="1:8" ht="15" x14ac:dyDescent="0.2">
      <c r="A145" s="1263"/>
      <c r="B145" s="1262"/>
      <c r="C145" s="1261"/>
      <c r="D145" s="1438"/>
      <c r="E145" s="1264"/>
      <c r="F145" s="1264"/>
      <c r="G145" s="1264"/>
      <c r="H145" s="1260"/>
    </row>
    <row r="146" spans="1:8" ht="46.5" customHeight="1" thickBot="1" x14ac:dyDescent="0.4">
      <c r="A146" s="3148" t="s">
        <v>735</v>
      </c>
      <c r="B146" s="3207"/>
      <c r="C146" s="3207"/>
      <c r="D146" s="3207"/>
      <c r="E146" s="1258">
        <f>SUM(E141)</f>
        <v>0</v>
      </c>
      <c r="F146" s="1258">
        <f>SUM(F141)</f>
        <v>30939</v>
      </c>
      <c r="G146" s="1258">
        <f>SUM(G141)</f>
        <v>20568</v>
      </c>
      <c r="H146" s="1257">
        <f>(G146/F146)*100</f>
        <v>66.47920100843595</v>
      </c>
    </row>
    <row r="147" spans="1:8" ht="13.5" thickTop="1" x14ac:dyDescent="0.2"/>
    <row r="266" spans="1:5" ht="13.5" thickBot="1" x14ac:dyDescent="0.25">
      <c r="A266" s="1409"/>
      <c r="B266" s="1409"/>
      <c r="C266" s="1409"/>
      <c r="D266" s="1477"/>
      <c r="E266" s="1478"/>
    </row>
    <row r="267" spans="1:5" ht="13.5" thickTop="1" x14ac:dyDescent="0.2">
      <c r="A267" s="1427"/>
      <c r="B267" s="1427"/>
      <c r="C267" s="1427"/>
      <c r="D267" s="1419"/>
      <c r="E267" s="1479"/>
    </row>
    <row r="268" spans="1:5" x14ac:dyDescent="0.2">
      <c r="D268" s="1372" t="e">
        <f>#REF!+#REF!</f>
        <v>#REF!</v>
      </c>
    </row>
  </sheetData>
  <mergeCells count="12">
    <mergeCell ref="A123:D123"/>
    <mergeCell ref="A133:D133"/>
    <mergeCell ref="A146:D146"/>
    <mergeCell ref="A33:D33"/>
    <mergeCell ref="A43:D43"/>
    <mergeCell ref="A53:D53"/>
    <mergeCell ref="A63:D63"/>
    <mergeCell ref="A73:D73"/>
    <mergeCell ref="A83:D83"/>
    <mergeCell ref="A93:D93"/>
    <mergeCell ref="A103:D103"/>
    <mergeCell ref="A113:D113"/>
  </mergeCells>
  <pageMargins left="0.98425196850393704" right="0.78740157480314965" top="0.98425196850393704" bottom="0.98425196850393704" header="0.51181102362204722" footer="0.51181102362204722"/>
  <pageSetup paperSize="9" scale="65" firstPageNumber="151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rowBreaks count="1" manualBreakCount="1">
    <brk id="54" max="7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11"/>
  <sheetViews>
    <sheetView showGridLines="0" view="pageBreakPreview" zoomScaleNormal="100" zoomScaleSheetLayoutView="100" workbookViewId="0">
      <selection activeCell="C3" sqref="C3"/>
    </sheetView>
  </sheetViews>
  <sheetFormatPr defaultRowHeight="12.75" x14ac:dyDescent="0.2"/>
  <cols>
    <col min="1" max="1" width="5.7109375" style="1371" customWidth="1"/>
    <col min="2" max="2" width="6.7109375" style="1371" customWidth="1"/>
    <col min="3" max="3" width="9.5703125" style="1371" customWidth="1"/>
    <col min="4" max="4" width="46.85546875" style="1372" customWidth="1"/>
    <col min="5" max="5" width="15.42578125" style="1398" customWidth="1"/>
    <col min="6" max="6" width="15.5703125" style="1398" customWidth="1"/>
    <col min="7" max="7" width="15.85546875" style="1398" customWidth="1"/>
    <col min="8" max="8" width="8.140625" style="1372" customWidth="1"/>
    <col min="9" max="9" width="14.28515625" style="1372" bestFit="1" customWidth="1"/>
    <col min="10" max="10" width="14.7109375" style="1372" bestFit="1" customWidth="1"/>
    <col min="11" max="11" width="16" style="1372" bestFit="1" customWidth="1"/>
    <col min="12" max="12" width="15.5703125" style="1372" customWidth="1"/>
    <col min="13" max="256" width="9.140625" style="1372"/>
    <col min="257" max="257" width="5.7109375" style="1372" customWidth="1"/>
    <col min="258" max="258" width="6.7109375" style="1372" customWidth="1"/>
    <col min="259" max="259" width="8.85546875" style="1372" customWidth="1"/>
    <col min="260" max="260" width="46.42578125" style="1372" customWidth="1"/>
    <col min="261" max="261" width="12.85546875" style="1372" customWidth="1"/>
    <col min="262" max="262" width="15.5703125" style="1372" customWidth="1"/>
    <col min="263" max="263" width="15.85546875" style="1372" customWidth="1"/>
    <col min="264" max="264" width="6.42578125" style="1372" customWidth="1"/>
    <col min="265" max="265" width="14.28515625" style="1372" bestFit="1" customWidth="1"/>
    <col min="266" max="266" width="14.7109375" style="1372" bestFit="1" customWidth="1"/>
    <col min="267" max="267" width="16" style="1372" bestFit="1" customWidth="1"/>
    <col min="268" max="268" width="15.5703125" style="1372" customWidth="1"/>
    <col min="269" max="512" width="9.140625" style="1372"/>
    <col min="513" max="513" width="5.7109375" style="1372" customWidth="1"/>
    <col min="514" max="514" width="6.7109375" style="1372" customWidth="1"/>
    <col min="515" max="515" width="8.85546875" style="1372" customWidth="1"/>
    <col min="516" max="516" width="46.42578125" style="1372" customWidth="1"/>
    <col min="517" max="517" width="12.85546875" style="1372" customWidth="1"/>
    <col min="518" max="518" width="15.5703125" style="1372" customWidth="1"/>
    <col min="519" max="519" width="15.85546875" style="1372" customWidth="1"/>
    <col min="520" max="520" width="6.42578125" style="1372" customWidth="1"/>
    <col min="521" max="521" width="14.28515625" style="1372" bestFit="1" customWidth="1"/>
    <col min="522" max="522" width="14.7109375" style="1372" bestFit="1" customWidth="1"/>
    <col min="523" max="523" width="16" style="1372" bestFit="1" customWidth="1"/>
    <col min="524" max="524" width="15.5703125" style="1372" customWidth="1"/>
    <col min="525" max="768" width="9.140625" style="1372"/>
    <col min="769" max="769" width="5.7109375" style="1372" customWidth="1"/>
    <col min="770" max="770" width="6.7109375" style="1372" customWidth="1"/>
    <col min="771" max="771" width="8.85546875" style="1372" customWidth="1"/>
    <col min="772" max="772" width="46.42578125" style="1372" customWidth="1"/>
    <col min="773" max="773" width="12.85546875" style="1372" customWidth="1"/>
    <col min="774" max="774" width="15.5703125" style="1372" customWidth="1"/>
    <col min="775" max="775" width="15.85546875" style="1372" customWidth="1"/>
    <col min="776" max="776" width="6.42578125" style="1372" customWidth="1"/>
    <col min="777" max="777" width="14.28515625" style="1372" bestFit="1" customWidth="1"/>
    <col min="778" max="778" width="14.7109375" style="1372" bestFit="1" customWidth="1"/>
    <col min="779" max="779" width="16" style="1372" bestFit="1" customWidth="1"/>
    <col min="780" max="780" width="15.5703125" style="1372" customWidth="1"/>
    <col min="781" max="1024" width="9.140625" style="1372"/>
    <col min="1025" max="1025" width="5.7109375" style="1372" customWidth="1"/>
    <col min="1026" max="1026" width="6.7109375" style="1372" customWidth="1"/>
    <col min="1027" max="1027" width="8.85546875" style="1372" customWidth="1"/>
    <col min="1028" max="1028" width="46.42578125" style="1372" customWidth="1"/>
    <col min="1029" max="1029" width="12.85546875" style="1372" customWidth="1"/>
    <col min="1030" max="1030" width="15.5703125" style="1372" customWidth="1"/>
    <col min="1031" max="1031" width="15.85546875" style="1372" customWidth="1"/>
    <col min="1032" max="1032" width="6.42578125" style="1372" customWidth="1"/>
    <col min="1033" max="1033" width="14.28515625" style="1372" bestFit="1" customWidth="1"/>
    <col min="1034" max="1034" width="14.7109375" style="1372" bestFit="1" customWidth="1"/>
    <col min="1035" max="1035" width="16" style="1372" bestFit="1" customWidth="1"/>
    <col min="1036" max="1036" width="15.5703125" style="1372" customWidth="1"/>
    <col min="1037" max="1280" width="9.140625" style="1372"/>
    <col min="1281" max="1281" width="5.7109375" style="1372" customWidth="1"/>
    <col min="1282" max="1282" width="6.7109375" style="1372" customWidth="1"/>
    <col min="1283" max="1283" width="8.85546875" style="1372" customWidth="1"/>
    <col min="1284" max="1284" width="46.42578125" style="1372" customWidth="1"/>
    <col min="1285" max="1285" width="12.85546875" style="1372" customWidth="1"/>
    <col min="1286" max="1286" width="15.5703125" style="1372" customWidth="1"/>
    <col min="1287" max="1287" width="15.85546875" style="1372" customWidth="1"/>
    <col min="1288" max="1288" width="6.42578125" style="1372" customWidth="1"/>
    <col min="1289" max="1289" width="14.28515625" style="1372" bestFit="1" customWidth="1"/>
    <col min="1290" max="1290" width="14.7109375" style="1372" bestFit="1" customWidth="1"/>
    <col min="1291" max="1291" width="16" style="1372" bestFit="1" customWidth="1"/>
    <col min="1292" max="1292" width="15.5703125" style="1372" customWidth="1"/>
    <col min="1293" max="1536" width="9.140625" style="1372"/>
    <col min="1537" max="1537" width="5.7109375" style="1372" customWidth="1"/>
    <col min="1538" max="1538" width="6.7109375" style="1372" customWidth="1"/>
    <col min="1539" max="1539" width="8.85546875" style="1372" customWidth="1"/>
    <col min="1540" max="1540" width="46.42578125" style="1372" customWidth="1"/>
    <col min="1541" max="1541" width="12.85546875" style="1372" customWidth="1"/>
    <col min="1542" max="1542" width="15.5703125" style="1372" customWidth="1"/>
    <col min="1543" max="1543" width="15.85546875" style="1372" customWidth="1"/>
    <col min="1544" max="1544" width="6.42578125" style="1372" customWidth="1"/>
    <col min="1545" max="1545" width="14.28515625" style="1372" bestFit="1" customWidth="1"/>
    <col min="1546" max="1546" width="14.7109375" style="1372" bestFit="1" customWidth="1"/>
    <col min="1547" max="1547" width="16" style="1372" bestFit="1" customWidth="1"/>
    <col min="1548" max="1548" width="15.5703125" style="1372" customWidth="1"/>
    <col min="1549" max="1792" width="9.140625" style="1372"/>
    <col min="1793" max="1793" width="5.7109375" style="1372" customWidth="1"/>
    <col min="1794" max="1794" width="6.7109375" style="1372" customWidth="1"/>
    <col min="1795" max="1795" width="8.85546875" style="1372" customWidth="1"/>
    <col min="1796" max="1796" width="46.42578125" style="1372" customWidth="1"/>
    <col min="1797" max="1797" width="12.85546875" style="1372" customWidth="1"/>
    <col min="1798" max="1798" width="15.5703125" style="1372" customWidth="1"/>
    <col min="1799" max="1799" width="15.85546875" style="1372" customWidth="1"/>
    <col min="1800" max="1800" width="6.42578125" style="1372" customWidth="1"/>
    <col min="1801" max="1801" width="14.28515625" style="1372" bestFit="1" customWidth="1"/>
    <col min="1802" max="1802" width="14.7109375" style="1372" bestFit="1" customWidth="1"/>
    <col min="1803" max="1803" width="16" style="1372" bestFit="1" customWidth="1"/>
    <col min="1804" max="1804" width="15.5703125" style="1372" customWidth="1"/>
    <col min="1805" max="2048" width="9.140625" style="1372"/>
    <col min="2049" max="2049" width="5.7109375" style="1372" customWidth="1"/>
    <col min="2050" max="2050" width="6.7109375" style="1372" customWidth="1"/>
    <col min="2051" max="2051" width="8.85546875" style="1372" customWidth="1"/>
    <col min="2052" max="2052" width="46.42578125" style="1372" customWidth="1"/>
    <col min="2053" max="2053" width="12.85546875" style="1372" customWidth="1"/>
    <col min="2054" max="2054" width="15.5703125" style="1372" customWidth="1"/>
    <col min="2055" max="2055" width="15.85546875" style="1372" customWidth="1"/>
    <col min="2056" max="2056" width="6.42578125" style="1372" customWidth="1"/>
    <col min="2057" max="2057" width="14.28515625" style="1372" bestFit="1" customWidth="1"/>
    <col min="2058" max="2058" width="14.7109375" style="1372" bestFit="1" customWidth="1"/>
    <col min="2059" max="2059" width="16" style="1372" bestFit="1" customWidth="1"/>
    <col min="2060" max="2060" width="15.5703125" style="1372" customWidth="1"/>
    <col min="2061" max="2304" width="9.140625" style="1372"/>
    <col min="2305" max="2305" width="5.7109375" style="1372" customWidth="1"/>
    <col min="2306" max="2306" width="6.7109375" style="1372" customWidth="1"/>
    <col min="2307" max="2307" width="8.85546875" style="1372" customWidth="1"/>
    <col min="2308" max="2308" width="46.42578125" style="1372" customWidth="1"/>
    <col min="2309" max="2309" width="12.85546875" style="1372" customWidth="1"/>
    <col min="2310" max="2310" width="15.5703125" style="1372" customWidth="1"/>
    <col min="2311" max="2311" width="15.85546875" style="1372" customWidth="1"/>
    <col min="2312" max="2312" width="6.42578125" style="1372" customWidth="1"/>
    <col min="2313" max="2313" width="14.28515625" style="1372" bestFit="1" customWidth="1"/>
    <col min="2314" max="2314" width="14.7109375" style="1372" bestFit="1" customWidth="1"/>
    <col min="2315" max="2315" width="16" style="1372" bestFit="1" customWidth="1"/>
    <col min="2316" max="2316" width="15.5703125" style="1372" customWidth="1"/>
    <col min="2317" max="2560" width="9.140625" style="1372"/>
    <col min="2561" max="2561" width="5.7109375" style="1372" customWidth="1"/>
    <col min="2562" max="2562" width="6.7109375" style="1372" customWidth="1"/>
    <col min="2563" max="2563" width="8.85546875" style="1372" customWidth="1"/>
    <col min="2564" max="2564" width="46.42578125" style="1372" customWidth="1"/>
    <col min="2565" max="2565" width="12.85546875" style="1372" customWidth="1"/>
    <col min="2566" max="2566" width="15.5703125" style="1372" customWidth="1"/>
    <col min="2567" max="2567" width="15.85546875" style="1372" customWidth="1"/>
    <col min="2568" max="2568" width="6.42578125" style="1372" customWidth="1"/>
    <col min="2569" max="2569" width="14.28515625" style="1372" bestFit="1" customWidth="1"/>
    <col min="2570" max="2570" width="14.7109375" style="1372" bestFit="1" customWidth="1"/>
    <col min="2571" max="2571" width="16" style="1372" bestFit="1" customWidth="1"/>
    <col min="2572" max="2572" width="15.5703125" style="1372" customWidth="1"/>
    <col min="2573" max="2816" width="9.140625" style="1372"/>
    <col min="2817" max="2817" width="5.7109375" style="1372" customWidth="1"/>
    <col min="2818" max="2818" width="6.7109375" style="1372" customWidth="1"/>
    <col min="2819" max="2819" width="8.85546875" style="1372" customWidth="1"/>
    <col min="2820" max="2820" width="46.42578125" style="1372" customWidth="1"/>
    <col min="2821" max="2821" width="12.85546875" style="1372" customWidth="1"/>
    <col min="2822" max="2822" width="15.5703125" style="1372" customWidth="1"/>
    <col min="2823" max="2823" width="15.85546875" style="1372" customWidth="1"/>
    <col min="2824" max="2824" width="6.42578125" style="1372" customWidth="1"/>
    <col min="2825" max="2825" width="14.28515625" style="1372" bestFit="1" customWidth="1"/>
    <col min="2826" max="2826" width="14.7109375" style="1372" bestFit="1" customWidth="1"/>
    <col min="2827" max="2827" width="16" style="1372" bestFit="1" customWidth="1"/>
    <col min="2828" max="2828" width="15.5703125" style="1372" customWidth="1"/>
    <col min="2829" max="3072" width="9.140625" style="1372"/>
    <col min="3073" max="3073" width="5.7109375" style="1372" customWidth="1"/>
    <col min="3074" max="3074" width="6.7109375" style="1372" customWidth="1"/>
    <col min="3075" max="3075" width="8.85546875" style="1372" customWidth="1"/>
    <col min="3076" max="3076" width="46.42578125" style="1372" customWidth="1"/>
    <col min="3077" max="3077" width="12.85546875" style="1372" customWidth="1"/>
    <col min="3078" max="3078" width="15.5703125" style="1372" customWidth="1"/>
    <col min="3079" max="3079" width="15.85546875" style="1372" customWidth="1"/>
    <col min="3080" max="3080" width="6.42578125" style="1372" customWidth="1"/>
    <col min="3081" max="3081" width="14.28515625" style="1372" bestFit="1" customWidth="1"/>
    <col min="3082" max="3082" width="14.7109375" style="1372" bestFit="1" customWidth="1"/>
    <col min="3083" max="3083" width="16" style="1372" bestFit="1" customWidth="1"/>
    <col min="3084" max="3084" width="15.5703125" style="1372" customWidth="1"/>
    <col min="3085" max="3328" width="9.140625" style="1372"/>
    <col min="3329" max="3329" width="5.7109375" style="1372" customWidth="1"/>
    <col min="3330" max="3330" width="6.7109375" style="1372" customWidth="1"/>
    <col min="3331" max="3331" width="8.85546875" style="1372" customWidth="1"/>
    <col min="3332" max="3332" width="46.42578125" style="1372" customWidth="1"/>
    <col min="3333" max="3333" width="12.85546875" style="1372" customWidth="1"/>
    <col min="3334" max="3334" width="15.5703125" style="1372" customWidth="1"/>
    <col min="3335" max="3335" width="15.85546875" style="1372" customWidth="1"/>
    <col min="3336" max="3336" width="6.42578125" style="1372" customWidth="1"/>
    <col min="3337" max="3337" width="14.28515625" style="1372" bestFit="1" customWidth="1"/>
    <col min="3338" max="3338" width="14.7109375" style="1372" bestFit="1" customWidth="1"/>
    <col min="3339" max="3339" width="16" style="1372" bestFit="1" customWidth="1"/>
    <col min="3340" max="3340" width="15.5703125" style="1372" customWidth="1"/>
    <col min="3341" max="3584" width="9.140625" style="1372"/>
    <col min="3585" max="3585" width="5.7109375" style="1372" customWidth="1"/>
    <col min="3586" max="3586" width="6.7109375" style="1372" customWidth="1"/>
    <col min="3587" max="3587" width="8.85546875" style="1372" customWidth="1"/>
    <col min="3588" max="3588" width="46.42578125" style="1372" customWidth="1"/>
    <col min="3589" max="3589" width="12.85546875" style="1372" customWidth="1"/>
    <col min="3590" max="3590" width="15.5703125" style="1372" customWidth="1"/>
    <col min="3591" max="3591" width="15.85546875" style="1372" customWidth="1"/>
    <col min="3592" max="3592" width="6.42578125" style="1372" customWidth="1"/>
    <col min="3593" max="3593" width="14.28515625" style="1372" bestFit="1" customWidth="1"/>
    <col min="3594" max="3594" width="14.7109375" style="1372" bestFit="1" customWidth="1"/>
    <col min="3595" max="3595" width="16" style="1372" bestFit="1" customWidth="1"/>
    <col min="3596" max="3596" width="15.5703125" style="1372" customWidth="1"/>
    <col min="3597" max="3840" width="9.140625" style="1372"/>
    <col min="3841" max="3841" width="5.7109375" style="1372" customWidth="1"/>
    <col min="3842" max="3842" width="6.7109375" style="1372" customWidth="1"/>
    <col min="3843" max="3843" width="8.85546875" style="1372" customWidth="1"/>
    <col min="3844" max="3844" width="46.42578125" style="1372" customWidth="1"/>
    <col min="3845" max="3845" width="12.85546875" style="1372" customWidth="1"/>
    <col min="3846" max="3846" width="15.5703125" style="1372" customWidth="1"/>
    <col min="3847" max="3847" width="15.85546875" style="1372" customWidth="1"/>
    <col min="3848" max="3848" width="6.42578125" style="1372" customWidth="1"/>
    <col min="3849" max="3849" width="14.28515625" style="1372" bestFit="1" customWidth="1"/>
    <col min="3850" max="3850" width="14.7109375" style="1372" bestFit="1" customWidth="1"/>
    <col min="3851" max="3851" width="16" style="1372" bestFit="1" customWidth="1"/>
    <col min="3852" max="3852" width="15.5703125" style="1372" customWidth="1"/>
    <col min="3853" max="4096" width="9.140625" style="1372"/>
    <col min="4097" max="4097" width="5.7109375" style="1372" customWidth="1"/>
    <col min="4098" max="4098" width="6.7109375" style="1372" customWidth="1"/>
    <col min="4099" max="4099" width="8.85546875" style="1372" customWidth="1"/>
    <col min="4100" max="4100" width="46.42578125" style="1372" customWidth="1"/>
    <col min="4101" max="4101" width="12.85546875" style="1372" customWidth="1"/>
    <col min="4102" max="4102" width="15.5703125" style="1372" customWidth="1"/>
    <col min="4103" max="4103" width="15.85546875" style="1372" customWidth="1"/>
    <col min="4104" max="4104" width="6.42578125" style="1372" customWidth="1"/>
    <col min="4105" max="4105" width="14.28515625" style="1372" bestFit="1" customWidth="1"/>
    <col min="4106" max="4106" width="14.7109375" style="1372" bestFit="1" customWidth="1"/>
    <col min="4107" max="4107" width="16" style="1372" bestFit="1" customWidth="1"/>
    <col min="4108" max="4108" width="15.5703125" style="1372" customWidth="1"/>
    <col min="4109" max="4352" width="9.140625" style="1372"/>
    <col min="4353" max="4353" width="5.7109375" style="1372" customWidth="1"/>
    <col min="4354" max="4354" width="6.7109375" style="1372" customWidth="1"/>
    <col min="4355" max="4355" width="8.85546875" style="1372" customWidth="1"/>
    <col min="4356" max="4356" width="46.42578125" style="1372" customWidth="1"/>
    <col min="4357" max="4357" width="12.85546875" style="1372" customWidth="1"/>
    <col min="4358" max="4358" width="15.5703125" style="1372" customWidth="1"/>
    <col min="4359" max="4359" width="15.85546875" style="1372" customWidth="1"/>
    <col min="4360" max="4360" width="6.42578125" style="1372" customWidth="1"/>
    <col min="4361" max="4361" width="14.28515625" style="1372" bestFit="1" customWidth="1"/>
    <col min="4362" max="4362" width="14.7109375" style="1372" bestFit="1" customWidth="1"/>
    <col min="4363" max="4363" width="16" style="1372" bestFit="1" customWidth="1"/>
    <col min="4364" max="4364" width="15.5703125" style="1372" customWidth="1"/>
    <col min="4365" max="4608" width="9.140625" style="1372"/>
    <col min="4609" max="4609" width="5.7109375" style="1372" customWidth="1"/>
    <col min="4610" max="4610" width="6.7109375" style="1372" customWidth="1"/>
    <col min="4611" max="4611" width="8.85546875" style="1372" customWidth="1"/>
    <col min="4612" max="4612" width="46.42578125" style="1372" customWidth="1"/>
    <col min="4613" max="4613" width="12.85546875" style="1372" customWidth="1"/>
    <col min="4614" max="4614" width="15.5703125" style="1372" customWidth="1"/>
    <col min="4615" max="4615" width="15.85546875" style="1372" customWidth="1"/>
    <col min="4616" max="4616" width="6.42578125" style="1372" customWidth="1"/>
    <col min="4617" max="4617" width="14.28515625" style="1372" bestFit="1" customWidth="1"/>
    <col min="4618" max="4618" width="14.7109375" style="1372" bestFit="1" customWidth="1"/>
    <col min="4619" max="4619" width="16" style="1372" bestFit="1" customWidth="1"/>
    <col min="4620" max="4620" width="15.5703125" style="1372" customWidth="1"/>
    <col min="4621" max="4864" width="9.140625" style="1372"/>
    <col min="4865" max="4865" width="5.7109375" style="1372" customWidth="1"/>
    <col min="4866" max="4866" width="6.7109375" style="1372" customWidth="1"/>
    <col min="4867" max="4867" width="8.85546875" style="1372" customWidth="1"/>
    <col min="4868" max="4868" width="46.42578125" style="1372" customWidth="1"/>
    <col min="4869" max="4869" width="12.85546875" style="1372" customWidth="1"/>
    <col min="4870" max="4870" width="15.5703125" style="1372" customWidth="1"/>
    <col min="4871" max="4871" width="15.85546875" style="1372" customWidth="1"/>
    <col min="4872" max="4872" width="6.42578125" style="1372" customWidth="1"/>
    <col min="4873" max="4873" width="14.28515625" style="1372" bestFit="1" customWidth="1"/>
    <col min="4874" max="4874" width="14.7109375" style="1372" bestFit="1" customWidth="1"/>
    <col min="4875" max="4875" width="16" style="1372" bestFit="1" customWidth="1"/>
    <col min="4876" max="4876" width="15.5703125" style="1372" customWidth="1"/>
    <col min="4877" max="5120" width="9.140625" style="1372"/>
    <col min="5121" max="5121" width="5.7109375" style="1372" customWidth="1"/>
    <col min="5122" max="5122" width="6.7109375" style="1372" customWidth="1"/>
    <col min="5123" max="5123" width="8.85546875" style="1372" customWidth="1"/>
    <col min="5124" max="5124" width="46.42578125" style="1372" customWidth="1"/>
    <col min="5125" max="5125" width="12.85546875" style="1372" customWidth="1"/>
    <col min="5126" max="5126" width="15.5703125" style="1372" customWidth="1"/>
    <col min="5127" max="5127" width="15.85546875" style="1372" customWidth="1"/>
    <col min="5128" max="5128" width="6.42578125" style="1372" customWidth="1"/>
    <col min="5129" max="5129" width="14.28515625" style="1372" bestFit="1" customWidth="1"/>
    <col min="5130" max="5130" width="14.7109375" style="1372" bestFit="1" customWidth="1"/>
    <col min="5131" max="5131" width="16" style="1372" bestFit="1" customWidth="1"/>
    <col min="5132" max="5132" width="15.5703125" style="1372" customWidth="1"/>
    <col min="5133" max="5376" width="9.140625" style="1372"/>
    <col min="5377" max="5377" width="5.7109375" style="1372" customWidth="1"/>
    <col min="5378" max="5378" width="6.7109375" style="1372" customWidth="1"/>
    <col min="5379" max="5379" width="8.85546875" style="1372" customWidth="1"/>
    <col min="5380" max="5380" width="46.42578125" style="1372" customWidth="1"/>
    <col min="5381" max="5381" width="12.85546875" style="1372" customWidth="1"/>
    <col min="5382" max="5382" width="15.5703125" style="1372" customWidth="1"/>
    <col min="5383" max="5383" width="15.85546875" style="1372" customWidth="1"/>
    <col min="5384" max="5384" width="6.42578125" style="1372" customWidth="1"/>
    <col min="5385" max="5385" width="14.28515625" style="1372" bestFit="1" customWidth="1"/>
    <col min="5386" max="5386" width="14.7109375" style="1372" bestFit="1" customWidth="1"/>
    <col min="5387" max="5387" width="16" style="1372" bestFit="1" customWidth="1"/>
    <col min="5388" max="5388" width="15.5703125" style="1372" customWidth="1"/>
    <col min="5389" max="5632" width="9.140625" style="1372"/>
    <col min="5633" max="5633" width="5.7109375" style="1372" customWidth="1"/>
    <col min="5634" max="5634" width="6.7109375" style="1372" customWidth="1"/>
    <col min="5635" max="5635" width="8.85546875" style="1372" customWidth="1"/>
    <col min="5636" max="5636" width="46.42578125" style="1372" customWidth="1"/>
    <col min="5637" max="5637" width="12.85546875" style="1372" customWidth="1"/>
    <col min="5638" max="5638" width="15.5703125" style="1372" customWidth="1"/>
    <col min="5639" max="5639" width="15.85546875" style="1372" customWidth="1"/>
    <col min="5640" max="5640" width="6.42578125" style="1372" customWidth="1"/>
    <col min="5641" max="5641" width="14.28515625" style="1372" bestFit="1" customWidth="1"/>
    <col min="5642" max="5642" width="14.7109375" style="1372" bestFit="1" customWidth="1"/>
    <col min="5643" max="5643" width="16" style="1372" bestFit="1" customWidth="1"/>
    <col min="5644" max="5644" width="15.5703125" style="1372" customWidth="1"/>
    <col min="5645" max="5888" width="9.140625" style="1372"/>
    <col min="5889" max="5889" width="5.7109375" style="1372" customWidth="1"/>
    <col min="5890" max="5890" width="6.7109375" style="1372" customWidth="1"/>
    <col min="5891" max="5891" width="8.85546875" style="1372" customWidth="1"/>
    <col min="5892" max="5892" width="46.42578125" style="1372" customWidth="1"/>
    <col min="5893" max="5893" width="12.85546875" style="1372" customWidth="1"/>
    <col min="5894" max="5894" width="15.5703125" style="1372" customWidth="1"/>
    <col min="5895" max="5895" width="15.85546875" style="1372" customWidth="1"/>
    <col min="5896" max="5896" width="6.42578125" style="1372" customWidth="1"/>
    <col min="5897" max="5897" width="14.28515625" style="1372" bestFit="1" customWidth="1"/>
    <col min="5898" max="5898" width="14.7109375" style="1372" bestFit="1" customWidth="1"/>
    <col min="5899" max="5899" width="16" style="1372" bestFit="1" customWidth="1"/>
    <col min="5900" max="5900" width="15.5703125" style="1372" customWidth="1"/>
    <col min="5901" max="6144" width="9.140625" style="1372"/>
    <col min="6145" max="6145" width="5.7109375" style="1372" customWidth="1"/>
    <col min="6146" max="6146" width="6.7109375" style="1372" customWidth="1"/>
    <col min="6147" max="6147" width="8.85546875" style="1372" customWidth="1"/>
    <col min="6148" max="6148" width="46.42578125" style="1372" customWidth="1"/>
    <col min="6149" max="6149" width="12.85546875" style="1372" customWidth="1"/>
    <col min="6150" max="6150" width="15.5703125" style="1372" customWidth="1"/>
    <col min="6151" max="6151" width="15.85546875" style="1372" customWidth="1"/>
    <col min="6152" max="6152" width="6.42578125" style="1372" customWidth="1"/>
    <col min="6153" max="6153" width="14.28515625" style="1372" bestFit="1" customWidth="1"/>
    <col min="6154" max="6154" width="14.7109375" style="1372" bestFit="1" customWidth="1"/>
    <col min="6155" max="6155" width="16" style="1372" bestFit="1" customWidth="1"/>
    <col min="6156" max="6156" width="15.5703125" style="1372" customWidth="1"/>
    <col min="6157" max="6400" width="9.140625" style="1372"/>
    <col min="6401" max="6401" width="5.7109375" style="1372" customWidth="1"/>
    <col min="6402" max="6402" width="6.7109375" style="1372" customWidth="1"/>
    <col min="6403" max="6403" width="8.85546875" style="1372" customWidth="1"/>
    <col min="6404" max="6404" width="46.42578125" style="1372" customWidth="1"/>
    <col min="6405" max="6405" width="12.85546875" style="1372" customWidth="1"/>
    <col min="6406" max="6406" width="15.5703125" style="1372" customWidth="1"/>
    <col min="6407" max="6407" width="15.85546875" style="1372" customWidth="1"/>
    <col min="6408" max="6408" width="6.42578125" style="1372" customWidth="1"/>
    <col min="6409" max="6409" width="14.28515625" style="1372" bestFit="1" customWidth="1"/>
    <col min="6410" max="6410" width="14.7109375" style="1372" bestFit="1" customWidth="1"/>
    <col min="6411" max="6411" width="16" style="1372" bestFit="1" customWidth="1"/>
    <col min="6412" max="6412" width="15.5703125" style="1372" customWidth="1"/>
    <col min="6413" max="6656" width="9.140625" style="1372"/>
    <col min="6657" max="6657" width="5.7109375" style="1372" customWidth="1"/>
    <col min="6658" max="6658" width="6.7109375" style="1372" customWidth="1"/>
    <col min="6659" max="6659" width="8.85546875" style="1372" customWidth="1"/>
    <col min="6660" max="6660" width="46.42578125" style="1372" customWidth="1"/>
    <col min="6661" max="6661" width="12.85546875" style="1372" customWidth="1"/>
    <col min="6662" max="6662" width="15.5703125" style="1372" customWidth="1"/>
    <col min="6663" max="6663" width="15.85546875" style="1372" customWidth="1"/>
    <col min="6664" max="6664" width="6.42578125" style="1372" customWidth="1"/>
    <col min="6665" max="6665" width="14.28515625" style="1372" bestFit="1" customWidth="1"/>
    <col min="6666" max="6666" width="14.7109375" style="1372" bestFit="1" customWidth="1"/>
    <col min="6667" max="6667" width="16" style="1372" bestFit="1" customWidth="1"/>
    <col min="6668" max="6668" width="15.5703125" style="1372" customWidth="1"/>
    <col min="6669" max="6912" width="9.140625" style="1372"/>
    <col min="6913" max="6913" width="5.7109375" style="1372" customWidth="1"/>
    <col min="6914" max="6914" width="6.7109375" style="1372" customWidth="1"/>
    <col min="6915" max="6915" width="8.85546875" style="1372" customWidth="1"/>
    <col min="6916" max="6916" width="46.42578125" style="1372" customWidth="1"/>
    <col min="6917" max="6917" width="12.85546875" style="1372" customWidth="1"/>
    <col min="6918" max="6918" width="15.5703125" style="1372" customWidth="1"/>
    <col min="6919" max="6919" width="15.85546875" style="1372" customWidth="1"/>
    <col min="6920" max="6920" width="6.42578125" style="1372" customWidth="1"/>
    <col min="6921" max="6921" width="14.28515625" style="1372" bestFit="1" customWidth="1"/>
    <col min="6922" max="6922" width="14.7109375" style="1372" bestFit="1" customWidth="1"/>
    <col min="6923" max="6923" width="16" style="1372" bestFit="1" customWidth="1"/>
    <col min="6924" max="6924" width="15.5703125" style="1372" customWidth="1"/>
    <col min="6925" max="7168" width="9.140625" style="1372"/>
    <col min="7169" max="7169" width="5.7109375" style="1372" customWidth="1"/>
    <col min="7170" max="7170" width="6.7109375" style="1372" customWidth="1"/>
    <col min="7171" max="7171" width="8.85546875" style="1372" customWidth="1"/>
    <col min="7172" max="7172" width="46.42578125" style="1372" customWidth="1"/>
    <col min="7173" max="7173" width="12.85546875" style="1372" customWidth="1"/>
    <col min="7174" max="7174" width="15.5703125" style="1372" customWidth="1"/>
    <col min="7175" max="7175" width="15.85546875" style="1372" customWidth="1"/>
    <col min="7176" max="7176" width="6.42578125" style="1372" customWidth="1"/>
    <col min="7177" max="7177" width="14.28515625" style="1372" bestFit="1" customWidth="1"/>
    <col min="7178" max="7178" width="14.7109375" style="1372" bestFit="1" customWidth="1"/>
    <col min="7179" max="7179" width="16" style="1372" bestFit="1" customWidth="1"/>
    <col min="7180" max="7180" width="15.5703125" style="1372" customWidth="1"/>
    <col min="7181" max="7424" width="9.140625" style="1372"/>
    <col min="7425" max="7425" width="5.7109375" style="1372" customWidth="1"/>
    <col min="7426" max="7426" width="6.7109375" style="1372" customWidth="1"/>
    <col min="7427" max="7427" width="8.85546875" style="1372" customWidth="1"/>
    <col min="7428" max="7428" width="46.42578125" style="1372" customWidth="1"/>
    <col min="7429" max="7429" width="12.85546875" style="1372" customWidth="1"/>
    <col min="7430" max="7430" width="15.5703125" style="1372" customWidth="1"/>
    <col min="7431" max="7431" width="15.85546875" style="1372" customWidth="1"/>
    <col min="7432" max="7432" width="6.42578125" style="1372" customWidth="1"/>
    <col min="7433" max="7433" width="14.28515625" style="1372" bestFit="1" customWidth="1"/>
    <col min="7434" max="7434" width="14.7109375" style="1372" bestFit="1" customWidth="1"/>
    <col min="7435" max="7435" width="16" style="1372" bestFit="1" customWidth="1"/>
    <col min="7436" max="7436" width="15.5703125" style="1372" customWidth="1"/>
    <col min="7437" max="7680" width="9.140625" style="1372"/>
    <col min="7681" max="7681" width="5.7109375" style="1372" customWidth="1"/>
    <col min="7682" max="7682" width="6.7109375" style="1372" customWidth="1"/>
    <col min="7683" max="7683" width="8.85546875" style="1372" customWidth="1"/>
    <col min="7684" max="7684" width="46.42578125" style="1372" customWidth="1"/>
    <col min="7685" max="7685" width="12.85546875" style="1372" customWidth="1"/>
    <col min="7686" max="7686" width="15.5703125" style="1372" customWidth="1"/>
    <col min="7687" max="7687" width="15.85546875" style="1372" customWidth="1"/>
    <col min="7688" max="7688" width="6.42578125" style="1372" customWidth="1"/>
    <col min="7689" max="7689" width="14.28515625" style="1372" bestFit="1" customWidth="1"/>
    <col min="7690" max="7690" width="14.7109375" style="1372" bestFit="1" customWidth="1"/>
    <col min="7691" max="7691" width="16" style="1372" bestFit="1" customWidth="1"/>
    <col min="7692" max="7692" width="15.5703125" style="1372" customWidth="1"/>
    <col min="7693" max="7936" width="9.140625" style="1372"/>
    <col min="7937" max="7937" width="5.7109375" style="1372" customWidth="1"/>
    <col min="7938" max="7938" width="6.7109375" style="1372" customWidth="1"/>
    <col min="7939" max="7939" width="8.85546875" style="1372" customWidth="1"/>
    <col min="7940" max="7940" width="46.42578125" style="1372" customWidth="1"/>
    <col min="7941" max="7941" width="12.85546875" style="1372" customWidth="1"/>
    <col min="7942" max="7942" width="15.5703125" style="1372" customWidth="1"/>
    <col min="7943" max="7943" width="15.85546875" style="1372" customWidth="1"/>
    <col min="7944" max="7944" width="6.42578125" style="1372" customWidth="1"/>
    <col min="7945" max="7945" width="14.28515625" style="1372" bestFit="1" customWidth="1"/>
    <col min="7946" max="7946" width="14.7109375" style="1372" bestFit="1" customWidth="1"/>
    <col min="7947" max="7947" width="16" style="1372" bestFit="1" customWidth="1"/>
    <col min="7948" max="7948" width="15.5703125" style="1372" customWidth="1"/>
    <col min="7949" max="8192" width="9.140625" style="1372"/>
    <col min="8193" max="8193" width="5.7109375" style="1372" customWidth="1"/>
    <col min="8194" max="8194" width="6.7109375" style="1372" customWidth="1"/>
    <col min="8195" max="8195" width="8.85546875" style="1372" customWidth="1"/>
    <col min="8196" max="8196" width="46.42578125" style="1372" customWidth="1"/>
    <col min="8197" max="8197" width="12.85546875" style="1372" customWidth="1"/>
    <col min="8198" max="8198" width="15.5703125" style="1372" customWidth="1"/>
    <col min="8199" max="8199" width="15.85546875" style="1372" customWidth="1"/>
    <col min="8200" max="8200" width="6.42578125" style="1372" customWidth="1"/>
    <col min="8201" max="8201" width="14.28515625" style="1372" bestFit="1" customWidth="1"/>
    <col min="8202" max="8202" width="14.7109375" style="1372" bestFit="1" customWidth="1"/>
    <col min="8203" max="8203" width="16" style="1372" bestFit="1" customWidth="1"/>
    <col min="8204" max="8204" width="15.5703125" style="1372" customWidth="1"/>
    <col min="8205" max="8448" width="9.140625" style="1372"/>
    <col min="8449" max="8449" width="5.7109375" style="1372" customWidth="1"/>
    <col min="8450" max="8450" width="6.7109375" style="1372" customWidth="1"/>
    <col min="8451" max="8451" width="8.85546875" style="1372" customWidth="1"/>
    <col min="8452" max="8452" width="46.42578125" style="1372" customWidth="1"/>
    <col min="8453" max="8453" width="12.85546875" style="1372" customWidth="1"/>
    <col min="8454" max="8454" width="15.5703125" style="1372" customWidth="1"/>
    <col min="8455" max="8455" width="15.85546875" style="1372" customWidth="1"/>
    <col min="8456" max="8456" width="6.42578125" style="1372" customWidth="1"/>
    <col min="8457" max="8457" width="14.28515625" style="1372" bestFit="1" customWidth="1"/>
    <col min="8458" max="8458" width="14.7109375" style="1372" bestFit="1" customWidth="1"/>
    <col min="8459" max="8459" width="16" style="1372" bestFit="1" customWidth="1"/>
    <col min="8460" max="8460" width="15.5703125" style="1372" customWidth="1"/>
    <col min="8461" max="8704" width="9.140625" style="1372"/>
    <col min="8705" max="8705" width="5.7109375" style="1372" customWidth="1"/>
    <col min="8706" max="8706" width="6.7109375" style="1372" customWidth="1"/>
    <col min="8707" max="8707" width="8.85546875" style="1372" customWidth="1"/>
    <col min="8708" max="8708" width="46.42578125" style="1372" customWidth="1"/>
    <col min="8709" max="8709" width="12.85546875" style="1372" customWidth="1"/>
    <col min="8710" max="8710" width="15.5703125" style="1372" customWidth="1"/>
    <col min="8711" max="8711" width="15.85546875" style="1372" customWidth="1"/>
    <col min="8712" max="8712" width="6.42578125" style="1372" customWidth="1"/>
    <col min="8713" max="8713" width="14.28515625" style="1372" bestFit="1" customWidth="1"/>
    <col min="8714" max="8714" width="14.7109375" style="1372" bestFit="1" customWidth="1"/>
    <col min="8715" max="8715" width="16" style="1372" bestFit="1" customWidth="1"/>
    <col min="8716" max="8716" width="15.5703125" style="1372" customWidth="1"/>
    <col min="8717" max="8960" width="9.140625" style="1372"/>
    <col min="8961" max="8961" width="5.7109375" style="1372" customWidth="1"/>
    <col min="8962" max="8962" width="6.7109375" style="1372" customWidth="1"/>
    <col min="8963" max="8963" width="8.85546875" style="1372" customWidth="1"/>
    <col min="8964" max="8964" width="46.42578125" style="1372" customWidth="1"/>
    <col min="8965" max="8965" width="12.85546875" style="1372" customWidth="1"/>
    <col min="8966" max="8966" width="15.5703125" style="1372" customWidth="1"/>
    <col min="8967" max="8967" width="15.85546875" style="1372" customWidth="1"/>
    <col min="8968" max="8968" width="6.42578125" style="1372" customWidth="1"/>
    <col min="8969" max="8969" width="14.28515625" style="1372" bestFit="1" customWidth="1"/>
    <col min="8970" max="8970" width="14.7109375" style="1372" bestFit="1" customWidth="1"/>
    <col min="8971" max="8971" width="16" style="1372" bestFit="1" customWidth="1"/>
    <col min="8972" max="8972" width="15.5703125" style="1372" customWidth="1"/>
    <col min="8973" max="9216" width="9.140625" style="1372"/>
    <col min="9217" max="9217" width="5.7109375" style="1372" customWidth="1"/>
    <col min="9218" max="9218" width="6.7109375" style="1372" customWidth="1"/>
    <col min="9219" max="9219" width="8.85546875" style="1372" customWidth="1"/>
    <col min="9220" max="9220" width="46.42578125" style="1372" customWidth="1"/>
    <col min="9221" max="9221" width="12.85546875" style="1372" customWidth="1"/>
    <col min="9222" max="9222" width="15.5703125" style="1372" customWidth="1"/>
    <col min="9223" max="9223" width="15.85546875" style="1372" customWidth="1"/>
    <col min="9224" max="9224" width="6.42578125" style="1372" customWidth="1"/>
    <col min="9225" max="9225" width="14.28515625" style="1372" bestFit="1" customWidth="1"/>
    <col min="9226" max="9226" width="14.7109375" style="1372" bestFit="1" customWidth="1"/>
    <col min="9227" max="9227" width="16" style="1372" bestFit="1" customWidth="1"/>
    <col min="9228" max="9228" width="15.5703125" style="1372" customWidth="1"/>
    <col min="9229" max="9472" width="9.140625" style="1372"/>
    <col min="9473" max="9473" width="5.7109375" style="1372" customWidth="1"/>
    <col min="9474" max="9474" width="6.7109375" style="1372" customWidth="1"/>
    <col min="9475" max="9475" width="8.85546875" style="1372" customWidth="1"/>
    <col min="9476" max="9476" width="46.42578125" style="1372" customWidth="1"/>
    <col min="9477" max="9477" width="12.85546875" style="1372" customWidth="1"/>
    <col min="9478" max="9478" width="15.5703125" style="1372" customWidth="1"/>
    <col min="9479" max="9479" width="15.85546875" style="1372" customWidth="1"/>
    <col min="9480" max="9480" width="6.42578125" style="1372" customWidth="1"/>
    <col min="9481" max="9481" width="14.28515625" style="1372" bestFit="1" customWidth="1"/>
    <col min="9482" max="9482" width="14.7109375" style="1372" bestFit="1" customWidth="1"/>
    <col min="9483" max="9483" width="16" style="1372" bestFit="1" customWidth="1"/>
    <col min="9484" max="9484" width="15.5703125" style="1372" customWidth="1"/>
    <col min="9485" max="9728" width="9.140625" style="1372"/>
    <col min="9729" max="9729" width="5.7109375" style="1372" customWidth="1"/>
    <col min="9730" max="9730" width="6.7109375" style="1372" customWidth="1"/>
    <col min="9731" max="9731" width="8.85546875" style="1372" customWidth="1"/>
    <col min="9732" max="9732" width="46.42578125" style="1372" customWidth="1"/>
    <col min="9733" max="9733" width="12.85546875" style="1372" customWidth="1"/>
    <col min="9734" max="9734" width="15.5703125" style="1372" customWidth="1"/>
    <col min="9735" max="9735" width="15.85546875" style="1372" customWidth="1"/>
    <col min="9736" max="9736" width="6.42578125" style="1372" customWidth="1"/>
    <col min="9737" max="9737" width="14.28515625" style="1372" bestFit="1" customWidth="1"/>
    <col min="9738" max="9738" width="14.7109375" style="1372" bestFit="1" customWidth="1"/>
    <col min="9739" max="9739" width="16" style="1372" bestFit="1" customWidth="1"/>
    <col min="9740" max="9740" width="15.5703125" style="1372" customWidth="1"/>
    <col min="9741" max="9984" width="9.140625" style="1372"/>
    <col min="9985" max="9985" width="5.7109375" style="1372" customWidth="1"/>
    <col min="9986" max="9986" width="6.7109375" style="1372" customWidth="1"/>
    <col min="9987" max="9987" width="8.85546875" style="1372" customWidth="1"/>
    <col min="9988" max="9988" width="46.42578125" style="1372" customWidth="1"/>
    <col min="9989" max="9989" width="12.85546875" style="1372" customWidth="1"/>
    <col min="9990" max="9990" width="15.5703125" style="1372" customWidth="1"/>
    <col min="9991" max="9991" width="15.85546875" style="1372" customWidth="1"/>
    <col min="9992" max="9992" width="6.42578125" style="1372" customWidth="1"/>
    <col min="9993" max="9993" width="14.28515625" style="1372" bestFit="1" customWidth="1"/>
    <col min="9994" max="9994" width="14.7109375" style="1372" bestFit="1" customWidth="1"/>
    <col min="9995" max="9995" width="16" style="1372" bestFit="1" customWidth="1"/>
    <col min="9996" max="9996" width="15.5703125" style="1372" customWidth="1"/>
    <col min="9997" max="10240" width="9.140625" style="1372"/>
    <col min="10241" max="10241" width="5.7109375" style="1372" customWidth="1"/>
    <col min="10242" max="10242" width="6.7109375" style="1372" customWidth="1"/>
    <col min="10243" max="10243" width="8.85546875" style="1372" customWidth="1"/>
    <col min="10244" max="10244" width="46.42578125" style="1372" customWidth="1"/>
    <col min="10245" max="10245" width="12.85546875" style="1372" customWidth="1"/>
    <col min="10246" max="10246" width="15.5703125" style="1372" customWidth="1"/>
    <col min="10247" max="10247" width="15.85546875" style="1372" customWidth="1"/>
    <col min="10248" max="10248" width="6.42578125" style="1372" customWidth="1"/>
    <col min="10249" max="10249" width="14.28515625" style="1372" bestFit="1" customWidth="1"/>
    <col min="10250" max="10250" width="14.7109375" style="1372" bestFit="1" customWidth="1"/>
    <col min="10251" max="10251" width="16" style="1372" bestFit="1" customWidth="1"/>
    <col min="10252" max="10252" width="15.5703125" style="1372" customWidth="1"/>
    <col min="10253" max="10496" width="9.140625" style="1372"/>
    <col min="10497" max="10497" width="5.7109375" style="1372" customWidth="1"/>
    <col min="10498" max="10498" width="6.7109375" style="1372" customWidth="1"/>
    <col min="10499" max="10499" width="8.85546875" style="1372" customWidth="1"/>
    <col min="10500" max="10500" width="46.42578125" style="1372" customWidth="1"/>
    <col min="10501" max="10501" width="12.85546875" style="1372" customWidth="1"/>
    <col min="10502" max="10502" width="15.5703125" style="1372" customWidth="1"/>
    <col min="10503" max="10503" width="15.85546875" style="1372" customWidth="1"/>
    <col min="10504" max="10504" width="6.42578125" style="1372" customWidth="1"/>
    <col min="10505" max="10505" width="14.28515625" style="1372" bestFit="1" customWidth="1"/>
    <col min="10506" max="10506" width="14.7109375" style="1372" bestFit="1" customWidth="1"/>
    <col min="10507" max="10507" width="16" style="1372" bestFit="1" customWidth="1"/>
    <col min="10508" max="10508" width="15.5703125" style="1372" customWidth="1"/>
    <col min="10509" max="10752" width="9.140625" style="1372"/>
    <col min="10753" max="10753" width="5.7109375" style="1372" customWidth="1"/>
    <col min="10754" max="10754" width="6.7109375" style="1372" customWidth="1"/>
    <col min="10755" max="10755" width="8.85546875" style="1372" customWidth="1"/>
    <col min="10756" max="10756" width="46.42578125" style="1372" customWidth="1"/>
    <col min="10757" max="10757" width="12.85546875" style="1372" customWidth="1"/>
    <col min="10758" max="10758" width="15.5703125" style="1372" customWidth="1"/>
    <col min="10759" max="10759" width="15.85546875" style="1372" customWidth="1"/>
    <col min="10760" max="10760" width="6.42578125" style="1372" customWidth="1"/>
    <col min="10761" max="10761" width="14.28515625" style="1372" bestFit="1" customWidth="1"/>
    <col min="10762" max="10762" width="14.7109375" style="1372" bestFit="1" customWidth="1"/>
    <col min="10763" max="10763" width="16" style="1372" bestFit="1" customWidth="1"/>
    <col min="10764" max="10764" width="15.5703125" style="1372" customWidth="1"/>
    <col min="10765" max="11008" width="9.140625" style="1372"/>
    <col min="11009" max="11009" width="5.7109375" style="1372" customWidth="1"/>
    <col min="11010" max="11010" width="6.7109375" style="1372" customWidth="1"/>
    <col min="11011" max="11011" width="8.85546875" style="1372" customWidth="1"/>
    <col min="11012" max="11012" width="46.42578125" style="1372" customWidth="1"/>
    <col min="11013" max="11013" width="12.85546875" style="1372" customWidth="1"/>
    <col min="11014" max="11014" width="15.5703125" style="1372" customWidth="1"/>
    <col min="11015" max="11015" width="15.85546875" style="1372" customWidth="1"/>
    <col min="11016" max="11016" width="6.42578125" style="1372" customWidth="1"/>
    <col min="11017" max="11017" width="14.28515625" style="1372" bestFit="1" customWidth="1"/>
    <col min="11018" max="11018" width="14.7109375" style="1372" bestFit="1" customWidth="1"/>
    <col min="11019" max="11019" width="16" style="1372" bestFit="1" customWidth="1"/>
    <col min="11020" max="11020" width="15.5703125" style="1372" customWidth="1"/>
    <col min="11021" max="11264" width="9.140625" style="1372"/>
    <col min="11265" max="11265" width="5.7109375" style="1372" customWidth="1"/>
    <col min="11266" max="11266" width="6.7109375" style="1372" customWidth="1"/>
    <col min="11267" max="11267" width="8.85546875" style="1372" customWidth="1"/>
    <col min="11268" max="11268" width="46.42578125" style="1372" customWidth="1"/>
    <col min="11269" max="11269" width="12.85546875" style="1372" customWidth="1"/>
    <col min="11270" max="11270" width="15.5703125" style="1372" customWidth="1"/>
    <col min="11271" max="11271" width="15.85546875" style="1372" customWidth="1"/>
    <col min="11272" max="11272" width="6.42578125" style="1372" customWidth="1"/>
    <col min="11273" max="11273" width="14.28515625" style="1372" bestFit="1" customWidth="1"/>
    <col min="11274" max="11274" width="14.7109375" style="1372" bestFit="1" customWidth="1"/>
    <col min="11275" max="11275" width="16" style="1372" bestFit="1" customWidth="1"/>
    <col min="11276" max="11276" width="15.5703125" style="1372" customWidth="1"/>
    <col min="11277" max="11520" width="9.140625" style="1372"/>
    <col min="11521" max="11521" width="5.7109375" style="1372" customWidth="1"/>
    <col min="11522" max="11522" width="6.7109375" style="1372" customWidth="1"/>
    <col min="11523" max="11523" width="8.85546875" style="1372" customWidth="1"/>
    <col min="11524" max="11524" width="46.42578125" style="1372" customWidth="1"/>
    <col min="11525" max="11525" width="12.85546875" style="1372" customWidth="1"/>
    <col min="11526" max="11526" width="15.5703125" style="1372" customWidth="1"/>
    <col min="11527" max="11527" width="15.85546875" style="1372" customWidth="1"/>
    <col min="11528" max="11528" width="6.42578125" style="1372" customWidth="1"/>
    <col min="11529" max="11529" width="14.28515625" style="1372" bestFit="1" customWidth="1"/>
    <col min="11530" max="11530" width="14.7109375" style="1372" bestFit="1" customWidth="1"/>
    <col min="11531" max="11531" width="16" style="1372" bestFit="1" customWidth="1"/>
    <col min="11532" max="11532" width="15.5703125" style="1372" customWidth="1"/>
    <col min="11533" max="11776" width="9.140625" style="1372"/>
    <col min="11777" max="11777" width="5.7109375" style="1372" customWidth="1"/>
    <col min="11778" max="11778" width="6.7109375" style="1372" customWidth="1"/>
    <col min="11779" max="11779" width="8.85546875" style="1372" customWidth="1"/>
    <col min="11780" max="11780" width="46.42578125" style="1372" customWidth="1"/>
    <col min="11781" max="11781" width="12.85546875" style="1372" customWidth="1"/>
    <col min="11782" max="11782" width="15.5703125" style="1372" customWidth="1"/>
    <col min="11783" max="11783" width="15.85546875" style="1372" customWidth="1"/>
    <col min="11784" max="11784" width="6.42578125" style="1372" customWidth="1"/>
    <col min="11785" max="11785" width="14.28515625" style="1372" bestFit="1" customWidth="1"/>
    <col min="11786" max="11786" width="14.7109375" style="1372" bestFit="1" customWidth="1"/>
    <col min="11787" max="11787" width="16" style="1372" bestFit="1" customWidth="1"/>
    <col min="11788" max="11788" width="15.5703125" style="1372" customWidth="1"/>
    <col min="11789" max="12032" width="9.140625" style="1372"/>
    <col min="12033" max="12033" width="5.7109375" style="1372" customWidth="1"/>
    <col min="12034" max="12034" width="6.7109375" style="1372" customWidth="1"/>
    <col min="12035" max="12035" width="8.85546875" style="1372" customWidth="1"/>
    <col min="12036" max="12036" width="46.42578125" style="1372" customWidth="1"/>
    <col min="12037" max="12037" width="12.85546875" style="1372" customWidth="1"/>
    <col min="12038" max="12038" width="15.5703125" style="1372" customWidth="1"/>
    <col min="12039" max="12039" width="15.85546875" style="1372" customWidth="1"/>
    <col min="12040" max="12040" width="6.42578125" style="1372" customWidth="1"/>
    <col min="12041" max="12041" width="14.28515625" style="1372" bestFit="1" customWidth="1"/>
    <col min="12042" max="12042" width="14.7109375" style="1372" bestFit="1" customWidth="1"/>
    <col min="12043" max="12043" width="16" style="1372" bestFit="1" customWidth="1"/>
    <col min="12044" max="12044" width="15.5703125" style="1372" customWidth="1"/>
    <col min="12045" max="12288" width="9.140625" style="1372"/>
    <col min="12289" max="12289" width="5.7109375" style="1372" customWidth="1"/>
    <col min="12290" max="12290" width="6.7109375" style="1372" customWidth="1"/>
    <col min="12291" max="12291" width="8.85546875" style="1372" customWidth="1"/>
    <col min="12292" max="12292" width="46.42578125" style="1372" customWidth="1"/>
    <col min="12293" max="12293" width="12.85546875" style="1372" customWidth="1"/>
    <col min="12294" max="12294" width="15.5703125" style="1372" customWidth="1"/>
    <col min="12295" max="12295" width="15.85546875" style="1372" customWidth="1"/>
    <col min="12296" max="12296" width="6.42578125" style="1372" customWidth="1"/>
    <col min="12297" max="12297" width="14.28515625" style="1372" bestFit="1" customWidth="1"/>
    <col min="12298" max="12298" width="14.7109375" style="1372" bestFit="1" customWidth="1"/>
    <col min="12299" max="12299" width="16" style="1372" bestFit="1" customWidth="1"/>
    <col min="12300" max="12300" width="15.5703125" style="1372" customWidth="1"/>
    <col min="12301" max="12544" width="9.140625" style="1372"/>
    <col min="12545" max="12545" width="5.7109375" style="1372" customWidth="1"/>
    <col min="12546" max="12546" width="6.7109375" style="1372" customWidth="1"/>
    <col min="12547" max="12547" width="8.85546875" style="1372" customWidth="1"/>
    <col min="12548" max="12548" width="46.42578125" style="1372" customWidth="1"/>
    <col min="12549" max="12549" width="12.85546875" style="1372" customWidth="1"/>
    <col min="12550" max="12550" width="15.5703125" style="1372" customWidth="1"/>
    <col min="12551" max="12551" width="15.85546875" style="1372" customWidth="1"/>
    <col min="12552" max="12552" width="6.42578125" style="1372" customWidth="1"/>
    <col min="12553" max="12553" width="14.28515625" style="1372" bestFit="1" customWidth="1"/>
    <col min="12554" max="12554" width="14.7109375" style="1372" bestFit="1" customWidth="1"/>
    <col min="12555" max="12555" width="16" style="1372" bestFit="1" customWidth="1"/>
    <col min="12556" max="12556" width="15.5703125" style="1372" customWidth="1"/>
    <col min="12557" max="12800" width="9.140625" style="1372"/>
    <col min="12801" max="12801" width="5.7109375" style="1372" customWidth="1"/>
    <col min="12802" max="12802" width="6.7109375" style="1372" customWidth="1"/>
    <col min="12803" max="12803" width="8.85546875" style="1372" customWidth="1"/>
    <col min="12804" max="12804" width="46.42578125" style="1372" customWidth="1"/>
    <col min="12805" max="12805" width="12.85546875" style="1372" customWidth="1"/>
    <col min="12806" max="12806" width="15.5703125" style="1372" customWidth="1"/>
    <col min="12807" max="12807" width="15.85546875" style="1372" customWidth="1"/>
    <col min="12808" max="12808" width="6.42578125" style="1372" customWidth="1"/>
    <col min="12809" max="12809" width="14.28515625" style="1372" bestFit="1" customWidth="1"/>
    <col min="12810" max="12810" width="14.7109375" style="1372" bestFit="1" customWidth="1"/>
    <col min="12811" max="12811" width="16" style="1372" bestFit="1" customWidth="1"/>
    <col min="12812" max="12812" width="15.5703125" style="1372" customWidth="1"/>
    <col min="12813" max="13056" width="9.140625" style="1372"/>
    <col min="13057" max="13057" width="5.7109375" style="1372" customWidth="1"/>
    <col min="13058" max="13058" width="6.7109375" style="1372" customWidth="1"/>
    <col min="13059" max="13059" width="8.85546875" style="1372" customWidth="1"/>
    <col min="13060" max="13060" width="46.42578125" style="1372" customWidth="1"/>
    <col min="13061" max="13061" width="12.85546875" style="1372" customWidth="1"/>
    <col min="13062" max="13062" width="15.5703125" style="1372" customWidth="1"/>
    <col min="13063" max="13063" width="15.85546875" style="1372" customWidth="1"/>
    <col min="13064" max="13064" width="6.42578125" style="1372" customWidth="1"/>
    <col min="13065" max="13065" width="14.28515625" style="1372" bestFit="1" customWidth="1"/>
    <col min="13066" max="13066" width="14.7109375" style="1372" bestFit="1" customWidth="1"/>
    <col min="13067" max="13067" width="16" style="1372" bestFit="1" customWidth="1"/>
    <col min="13068" max="13068" width="15.5703125" style="1372" customWidth="1"/>
    <col min="13069" max="13312" width="9.140625" style="1372"/>
    <col min="13313" max="13313" width="5.7109375" style="1372" customWidth="1"/>
    <col min="13314" max="13314" width="6.7109375" style="1372" customWidth="1"/>
    <col min="13315" max="13315" width="8.85546875" style="1372" customWidth="1"/>
    <col min="13316" max="13316" width="46.42578125" style="1372" customWidth="1"/>
    <col min="13317" max="13317" width="12.85546875" style="1372" customWidth="1"/>
    <col min="13318" max="13318" width="15.5703125" style="1372" customWidth="1"/>
    <col min="13319" max="13319" width="15.85546875" style="1372" customWidth="1"/>
    <col min="13320" max="13320" width="6.42578125" style="1372" customWidth="1"/>
    <col min="13321" max="13321" width="14.28515625" style="1372" bestFit="1" customWidth="1"/>
    <col min="13322" max="13322" width="14.7109375" style="1372" bestFit="1" customWidth="1"/>
    <col min="13323" max="13323" width="16" style="1372" bestFit="1" customWidth="1"/>
    <col min="13324" max="13324" width="15.5703125" style="1372" customWidth="1"/>
    <col min="13325" max="13568" width="9.140625" style="1372"/>
    <col min="13569" max="13569" width="5.7109375" style="1372" customWidth="1"/>
    <col min="13570" max="13570" width="6.7109375" style="1372" customWidth="1"/>
    <col min="13571" max="13571" width="8.85546875" style="1372" customWidth="1"/>
    <col min="13572" max="13572" width="46.42578125" style="1372" customWidth="1"/>
    <col min="13573" max="13573" width="12.85546875" style="1372" customWidth="1"/>
    <col min="13574" max="13574" width="15.5703125" style="1372" customWidth="1"/>
    <col min="13575" max="13575" width="15.85546875" style="1372" customWidth="1"/>
    <col min="13576" max="13576" width="6.42578125" style="1372" customWidth="1"/>
    <col min="13577" max="13577" width="14.28515625" style="1372" bestFit="1" customWidth="1"/>
    <col min="13578" max="13578" width="14.7109375" style="1372" bestFit="1" customWidth="1"/>
    <col min="13579" max="13579" width="16" style="1372" bestFit="1" customWidth="1"/>
    <col min="13580" max="13580" width="15.5703125" style="1372" customWidth="1"/>
    <col min="13581" max="13824" width="9.140625" style="1372"/>
    <col min="13825" max="13825" width="5.7109375" style="1372" customWidth="1"/>
    <col min="13826" max="13826" width="6.7109375" style="1372" customWidth="1"/>
    <col min="13827" max="13827" width="8.85546875" style="1372" customWidth="1"/>
    <col min="13828" max="13828" width="46.42578125" style="1372" customWidth="1"/>
    <col min="13829" max="13829" width="12.85546875" style="1372" customWidth="1"/>
    <col min="13830" max="13830" width="15.5703125" style="1372" customWidth="1"/>
    <col min="13831" max="13831" width="15.85546875" style="1372" customWidth="1"/>
    <col min="13832" max="13832" width="6.42578125" style="1372" customWidth="1"/>
    <col min="13833" max="13833" width="14.28515625" style="1372" bestFit="1" customWidth="1"/>
    <col min="13834" max="13834" width="14.7109375" style="1372" bestFit="1" customWidth="1"/>
    <col min="13835" max="13835" width="16" style="1372" bestFit="1" customWidth="1"/>
    <col min="13836" max="13836" width="15.5703125" style="1372" customWidth="1"/>
    <col min="13837" max="14080" width="9.140625" style="1372"/>
    <col min="14081" max="14081" width="5.7109375" style="1372" customWidth="1"/>
    <col min="14082" max="14082" width="6.7109375" style="1372" customWidth="1"/>
    <col min="14083" max="14083" width="8.85546875" style="1372" customWidth="1"/>
    <col min="14084" max="14084" width="46.42578125" style="1372" customWidth="1"/>
    <col min="14085" max="14085" width="12.85546875" style="1372" customWidth="1"/>
    <col min="14086" max="14086" width="15.5703125" style="1372" customWidth="1"/>
    <col min="14087" max="14087" width="15.85546875" style="1372" customWidth="1"/>
    <col min="14088" max="14088" width="6.42578125" style="1372" customWidth="1"/>
    <col min="14089" max="14089" width="14.28515625" style="1372" bestFit="1" customWidth="1"/>
    <col min="14090" max="14090" width="14.7109375" style="1372" bestFit="1" customWidth="1"/>
    <col min="14091" max="14091" width="16" style="1372" bestFit="1" customWidth="1"/>
    <col min="14092" max="14092" width="15.5703125" style="1372" customWidth="1"/>
    <col min="14093" max="14336" width="9.140625" style="1372"/>
    <col min="14337" max="14337" width="5.7109375" style="1372" customWidth="1"/>
    <col min="14338" max="14338" width="6.7109375" style="1372" customWidth="1"/>
    <col min="14339" max="14339" width="8.85546875" style="1372" customWidth="1"/>
    <col min="14340" max="14340" width="46.42578125" style="1372" customWidth="1"/>
    <col min="14341" max="14341" width="12.85546875" style="1372" customWidth="1"/>
    <col min="14342" max="14342" width="15.5703125" style="1372" customWidth="1"/>
    <col min="14343" max="14343" width="15.85546875" style="1372" customWidth="1"/>
    <col min="14344" max="14344" width="6.42578125" style="1372" customWidth="1"/>
    <col min="14345" max="14345" width="14.28515625" style="1372" bestFit="1" customWidth="1"/>
    <col min="14346" max="14346" width="14.7109375" style="1372" bestFit="1" customWidth="1"/>
    <col min="14347" max="14347" width="16" style="1372" bestFit="1" customWidth="1"/>
    <col min="14348" max="14348" width="15.5703125" style="1372" customWidth="1"/>
    <col min="14349" max="14592" width="9.140625" style="1372"/>
    <col min="14593" max="14593" width="5.7109375" style="1372" customWidth="1"/>
    <col min="14594" max="14594" width="6.7109375" style="1372" customWidth="1"/>
    <col min="14595" max="14595" width="8.85546875" style="1372" customWidth="1"/>
    <col min="14596" max="14596" width="46.42578125" style="1372" customWidth="1"/>
    <col min="14597" max="14597" width="12.85546875" style="1372" customWidth="1"/>
    <col min="14598" max="14598" width="15.5703125" style="1372" customWidth="1"/>
    <col min="14599" max="14599" width="15.85546875" style="1372" customWidth="1"/>
    <col min="14600" max="14600" width="6.42578125" style="1372" customWidth="1"/>
    <col min="14601" max="14601" width="14.28515625" style="1372" bestFit="1" customWidth="1"/>
    <col min="14602" max="14602" width="14.7109375" style="1372" bestFit="1" customWidth="1"/>
    <col min="14603" max="14603" width="16" style="1372" bestFit="1" customWidth="1"/>
    <col min="14604" max="14604" width="15.5703125" style="1372" customWidth="1"/>
    <col min="14605" max="14848" width="9.140625" style="1372"/>
    <col min="14849" max="14849" width="5.7109375" style="1372" customWidth="1"/>
    <col min="14850" max="14850" width="6.7109375" style="1372" customWidth="1"/>
    <col min="14851" max="14851" width="8.85546875" style="1372" customWidth="1"/>
    <col min="14852" max="14852" width="46.42578125" style="1372" customWidth="1"/>
    <col min="14853" max="14853" width="12.85546875" style="1372" customWidth="1"/>
    <col min="14854" max="14854" width="15.5703125" style="1372" customWidth="1"/>
    <col min="14855" max="14855" width="15.85546875" style="1372" customWidth="1"/>
    <col min="14856" max="14856" width="6.42578125" style="1372" customWidth="1"/>
    <col min="14857" max="14857" width="14.28515625" style="1372" bestFit="1" customWidth="1"/>
    <col min="14858" max="14858" width="14.7109375" style="1372" bestFit="1" customWidth="1"/>
    <col min="14859" max="14859" width="16" style="1372" bestFit="1" customWidth="1"/>
    <col min="14860" max="14860" width="15.5703125" style="1372" customWidth="1"/>
    <col min="14861" max="15104" width="9.140625" style="1372"/>
    <col min="15105" max="15105" width="5.7109375" style="1372" customWidth="1"/>
    <col min="15106" max="15106" width="6.7109375" style="1372" customWidth="1"/>
    <col min="15107" max="15107" width="8.85546875" style="1372" customWidth="1"/>
    <col min="15108" max="15108" width="46.42578125" style="1372" customWidth="1"/>
    <col min="15109" max="15109" width="12.85546875" style="1372" customWidth="1"/>
    <col min="15110" max="15110" width="15.5703125" style="1372" customWidth="1"/>
    <col min="15111" max="15111" width="15.85546875" style="1372" customWidth="1"/>
    <col min="15112" max="15112" width="6.42578125" style="1372" customWidth="1"/>
    <col min="15113" max="15113" width="14.28515625" style="1372" bestFit="1" customWidth="1"/>
    <col min="15114" max="15114" width="14.7109375" style="1372" bestFit="1" customWidth="1"/>
    <col min="15115" max="15115" width="16" style="1372" bestFit="1" customWidth="1"/>
    <col min="15116" max="15116" width="15.5703125" style="1372" customWidth="1"/>
    <col min="15117" max="15360" width="9.140625" style="1372"/>
    <col min="15361" max="15361" width="5.7109375" style="1372" customWidth="1"/>
    <col min="15362" max="15362" width="6.7109375" style="1372" customWidth="1"/>
    <col min="15363" max="15363" width="8.85546875" style="1372" customWidth="1"/>
    <col min="15364" max="15364" width="46.42578125" style="1372" customWidth="1"/>
    <col min="15365" max="15365" width="12.85546875" style="1372" customWidth="1"/>
    <col min="15366" max="15366" width="15.5703125" style="1372" customWidth="1"/>
    <col min="15367" max="15367" width="15.85546875" style="1372" customWidth="1"/>
    <col min="15368" max="15368" width="6.42578125" style="1372" customWidth="1"/>
    <col min="15369" max="15369" width="14.28515625" style="1372" bestFit="1" customWidth="1"/>
    <col min="15370" max="15370" width="14.7109375" style="1372" bestFit="1" customWidth="1"/>
    <col min="15371" max="15371" width="16" style="1372" bestFit="1" customWidth="1"/>
    <col min="15372" max="15372" width="15.5703125" style="1372" customWidth="1"/>
    <col min="15373" max="15616" width="9.140625" style="1372"/>
    <col min="15617" max="15617" width="5.7109375" style="1372" customWidth="1"/>
    <col min="15618" max="15618" width="6.7109375" style="1372" customWidth="1"/>
    <col min="15619" max="15619" width="8.85546875" style="1372" customWidth="1"/>
    <col min="15620" max="15620" width="46.42578125" style="1372" customWidth="1"/>
    <col min="15621" max="15621" width="12.85546875" style="1372" customWidth="1"/>
    <col min="15622" max="15622" width="15.5703125" style="1372" customWidth="1"/>
    <col min="15623" max="15623" width="15.85546875" style="1372" customWidth="1"/>
    <col min="15624" max="15624" width="6.42578125" style="1372" customWidth="1"/>
    <col min="15625" max="15625" width="14.28515625" style="1372" bestFit="1" customWidth="1"/>
    <col min="15626" max="15626" width="14.7109375" style="1372" bestFit="1" customWidth="1"/>
    <col min="15627" max="15627" width="16" style="1372" bestFit="1" customWidth="1"/>
    <col min="15628" max="15628" width="15.5703125" style="1372" customWidth="1"/>
    <col min="15629" max="15872" width="9.140625" style="1372"/>
    <col min="15873" max="15873" width="5.7109375" style="1372" customWidth="1"/>
    <col min="15874" max="15874" width="6.7109375" style="1372" customWidth="1"/>
    <col min="15875" max="15875" width="8.85546875" style="1372" customWidth="1"/>
    <col min="15876" max="15876" width="46.42578125" style="1372" customWidth="1"/>
    <col min="15877" max="15877" width="12.85546875" style="1372" customWidth="1"/>
    <col min="15878" max="15878" width="15.5703125" style="1372" customWidth="1"/>
    <col min="15879" max="15879" width="15.85546875" style="1372" customWidth="1"/>
    <col min="15880" max="15880" width="6.42578125" style="1372" customWidth="1"/>
    <col min="15881" max="15881" width="14.28515625" style="1372" bestFit="1" customWidth="1"/>
    <col min="15882" max="15882" width="14.7109375" style="1372" bestFit="1" customWidth="1"/>
    <col min="15883" max="15883" width="16" style="1372" bestFit="1" customWidth="1"/>
    <col min="15884" max="15884" width="15.5703125" style="1372" customWidth="1"/>
    <col min="15885" max="16128" width="9.140625" style="1372"/>
    <col min="16129" max="16129" width="5.7109375" style="1372" customWidth="1"/>
    <col min="16130" max="16130" width="6.7109375" style="1372" customWidth="1"/>
    <col min="16131" max="16131" width="8.85546875" style="1372" customWidth="1"/>
    <col min="16132" max="16132" width="46.42578125" style="1372" customWidth="1"/>
    <col min="16133" max="16133" width="12.85546875" style="1372" customWidth="1"/>
    <col min="16134" max="16134" width="15.5703125" style="1372" customWidth="1"/>
    <col min="16135" max="16135" width="15.85546875" style="1372" customWidth="1"/>
    <col min="16136" max="16136" width="6.42578125" style="1372" customWidth="1"/>
    <col min="16137" max="16137" width="14.28515625" style="1372" bestFit="1" customWidth="1"/>
    <col min="16138" max="16138" width="14.7109375" style="1372" bestFit="1" customWidth="1"/>
    <col min="16139" max="16139" width="16" style="1372" bestFit="1" customWidth="1"/>
    <col min="16140" max="16140" width="15.5703125" style="1372" customWidth="1"/>
    <col min="16141" max="16384" width="9.140625" style="1372"/>
  </cols>
  <sheetData>
    <row r="1" spans="1:8" ht="19.5" customHeight="1" thickBot="1" x14ac:dyDescent="0.3">
      <c r="A1" s="1342" t="s">
        <v>942</v>
      </c>
      <c r="B1" s="1341"/>
      <c r="C1" s="1367"/>
      <c r="D1" s="1339"/>
      <c r="E1" s="1338"/>
      <c r="F1" s="1339"/>
      <c r="G1" s="1467"/>
      <c r="H1" s="1342"/>
    </row>
    <row r="2" spans="1:8" ht="18" x14ac:dyDescent="0.25">
      <c r="A2" s="1376"/>
      <c r="B2" s="1400"/>
      <c r="C2" s="1400"/>
      <c r="D2" s="1400"/>
      <c r="E2" s="1400"/>
      <c r="F2" s="1400"/>
      <c r="G2" s="1400"/>
      <c r="H2" s="1445" t="s">
        <v>943</v>
      </c>
    </row>
    <row r="3" spans="1:8" ht="18" x14ac:dyDescent="0.25">
      <c r="A3" s="1337" t="s">
        <v>336</v>
      </c>
      <c r="B3" s="1400"/>
      <c r="C3" s="1370" t="s">
        <v>2009</v>
      </c>
      <c r="D3" s="1400"/>
      <c r="E3" s="1400"/>
      <c r="F3" s="1400"/>
      <c r="G3" s="1400"/>
      <c r="H3" s="1445"/>
    </row>
    <row r="4" spans="1:8" ht="18" x14ac:dyDescent="0.25">
      <c r="A4" s="1376"/>
      <c r="B4" s="1400"/>
      <c r="C4" s="1370" t="s">
        <v>1450</v>
      </c>
      <c r="D4" s="1400"/>
      <c r="E4" s="1400"/>
      <c r="F4" s="1400"/>
      <c r="G4" s="1400"/>
      <c r="H4" s="1445"/>
    </row>
    <row r="5" spans="1:8" ht="18" x14ac:dyDescent="0.25">
      <c r="A5" s="1375" t="s">
        <v>944</v>
      </c>
      <c r="B5" s="1400"/>
      <c r="C5" s="1400"/>
      <c r="D5" s="1400"/>
      <c r="E5" s="1400"/>
      <c r="F5" s="1400"/>
      <c r="G5" s="1400"/>
      <c r="H5" s="1445"/>
    </row>
    <row r="6" spans="1:8" ht="18" x14ac:dyDescent="0.25">
      <c r="A6" s="1375"/>
      <c r="B6" s="1400"/>
      <c r="C6" s="1400"/>
      <c r="D6" s="1400"/>
      <c r="E6" s="1400"/>
      <c r="F6" s="1400"/>
      <c r="G6" s="1400"/>
      <c r="H6" s="1445"/>
    </row>
    <row r="7" spans="1:8" ht="15" x14ac:dyDescent="0.25">
      <c r="A7" s="1541" t="s">
        <v>1713</v>
      </c>
      <c r="B7" s="1423"/>
      <c r="C7" s="1423"/>
      <c r="D7" s="1423"/>
    </row>
    <row r="8" spans="1:8" ht="15.75" thickBot="1" x14ac:dyDescent="0.3">
      <c r="A8" s="1542" t="s">
        <v>1714</v>
      </c>
      <c r="B8" s="1543"/>
      <c r="C8" s="1543"/>
      <c r="H8" s="1459" t="s">
        <v>148</v>
      </c>
    </row>
    <row r="9" spans="1:8" s="1292" customFormat="1" ht="25.5" thickTop="1" thickBot="1" x14ac:dyDescent="0.25">
      <c r="A9" s="1378" t="s">
        <v>149</v>
      </c>
      <c r="B9" s="1379" t="s">
        <v>688</v>
      </c>
      <c r="C9" s="1379" t="s">
        <v>345</v>
      </c>
      <c r="D9" s="1380" t="s">
        <v>151</v>
      </c>
      <c r="E9" s="1402" t="s">
        <v>569</v>
      </c>
      <c r="F9" s="1402" t="s">
        <v>570</v>
      </c>
      <c r="G9" s="1403" t="s">
        <v>797</v>
      </c>
      <c r="H9" s="1404" t="s">
        <v>798</v>
      </c>
    </row>
    <row r="10" spans="1:8" s="1292" customFormat="1" ht="13.5" thickTop="1" thickBot="1" x14ac:dyDescent="0.25">
      <c r="A10" s="1297">
        <v>1</v>
      </c>
      <c r="B10" s="1296">
        <v>2</v>
      </c>
      <c r="C10" s="1296">
        <v>3</v>
      </c>
      <c r="D10" s="1296">
        <v>4</v>
      </c>
      <c r="E10" s="1295">
        <v>5</v>
      </c>
      <c r="F10" s="1295">
        <v>6</v>
      </c>
      <c r="G10" s="1446">
        <v>7</v>
      </c>
      <c r="H10" s="1468" t="s">
        <v>54</v>
      </c>
    </row>
    <row r="11" spans="1:8" s="1473" customFormat="1" ht="15.75" thickTop="1" x14ac:dyDescent="0.2">
      <c r="A11" s="1463">
        <v>6172</v>
      </c>
      <c r="B11" s="1469">
        <v>5011</v>
      </c>
      <c r="C11" s="1529" t="s">
        <v>2099</v>
      </c>
      <c r="D11" s="1405" t="s">
        <v>189</v>
      </c>
      <c r="E11" s="1414">
        <v>140</v>
      </c>
      <c r="F11" s="1414">
        <v>51</v>
      </c>
      <c r="G11" s="1414">
        <v>40</v>
      </c>
      <c r="H11" s="1390">
        <f t="shared" ref="H11:H20" si="0">G11/F11*100</f>
        <v>78.431372549019613</v>
      </c>
    </row>
    <row r="12" spans="1:8" s="1473" customFormat="1" ht="15" x14ac:dyDescent="0.2">
      <c r="A12" s="1463">
        <v>6172</v>
      </c>
      <c r="B12" s="1469">
        <v>5011</v>
      </c>
      <c r="C12" s="1529" t="s">
        <v>2098</v>
      </c>
      <c r="D12" s="1405" t="s">
        <v>189</v>
      </c>
      <c r="E12" s="1414">
        <v>0</v>
      </c>
      <c r="F12" s="1414">
        <v>267</v>
      </c>
      <c r="G12" s="1414">
        <v>225</v>
      </c>
      <c r="H12" s="1390">
        <f t="shared" si="0"/>
        <v>84.269662921348313</v>
      </c>
    </row>
    <row r="13" spans="1:8" s="1473" customFormat="1" ht="15" x14ac:dyDescent="0.2">
      <c r="A13" s="1463">
        <v>6172</v>
      </c>
      <c r="B13" s="1469">
        <v>5021</v>
      </c>
      <c r="C13" s="1529" t="s">
        <v>2099</v>
      </c>
      <c r="D13" s="1405" t="s">
        <v>356</v>
      </c>
      <c r="E13" s="1414">
        <v>0</v>
      </c>
      <c r="F13" s="1414">
        <v>50</v>
      </c>
      <c r="G13" s="1414">
        <v>36</v>
      </c>
      <c r="H13" s="1390">
        <f t="shared" si="0"/>
        <v>72</v>
      </c>
    </row>
    <row r="14" spans="1:8" s="1473" customFormat="1" ht="15" x14ac:dyDescent="0.2">
      <c r="A14" s="1463">
        <v>6172</v>
      </c>
      <c r="B14" s="1469">
        <v>5021</v>
      </c>
      <c r="C14" s="1529" t="s">
        <v>2098</v>
      </c>
      <c r="D14" s="1405" t="s">
        <v>356</v>
      </c>
      <c r="E14" s="1414">
        <v>0</v>
      </c>
      <c r="F14" s="1414">
        <v>209</v>
      </c>
      <c r="G14" s="1414">
        <v>206</v>
      </c>
      <c r="H14" s="1390">
        <f t="shared" si="0"/>
        <v>98.564593301435409</v>
      </c>
    </row>
    <row r="15" spans="1:8" s="1473" customFormat="1" ht="30" x14ac:dyDescent="0.2">
      <c r="A15" s="1463">
        <v>6172</v>
      </c>
      <c r="B15" s="1469">
        <v>5031</v>
      </c>
      <c r="C15" s="1529" t="s">
        <v>2099</v>
      </c>
      <c r="D15" s="1405" t="s">
        <v>1165</v>
      </c>
      <c r="E15" s="1414">
        <v>0</v>
      </c>
      <c r="F15" s="1414">
        <v>25</v>
      </c>
      <c r="G15" s="1414">
        <v>19</v>
      </c>
      <c r="H15" s="1390">
        <f t="shared" si="0"/>
        <v>76</v>
      </c>
    </row>
    <row r="16" spans="1:8" s="1473" customFormat="1" ht="30" x14ac:dyDescent="0.2">
      <c r="A16" s="1463">
        <v>6172</v>
      </c>
      <c r="B16" s="1469">
        <v>5031</v>
      </c>
      <c r="C16" s="1529" t="s">
        <v>2098</v>
      </c>
      <c r="D16" s="1405" t="s">
        <v>1165</v>
      </c>
      <c r="E16" s="1414">
        <v>0</v>
      </c>
      <c r="F16" s="1414">
        <v>118</v>
      </c>
      <c r="G16" s="1414">
        <v>108</v>
      </c>
      <c r="H16" s="1390">
        <f t="shared" si="0"/>
        <v>91.525423728813564</v>
      </c>
    </row>
    <row r="17" spans="1:8" s="1473" customFormat="1" ht="30" x14ac:dyDescent="0.2">
      <c r="A17" s="1463">
        <v>6172</v>
      </c>
      <c r="B17" s="1469">
        <v>5032</v>
      </c>
      <c r="C17" s="1529" t="s">
        <v>2099</v>
      </c>
      <c r="D17" s="1405" t="s">
        <v>1058</v>
      </c>
      <c r="E17" s="1414">
        <v>0</v>
      </c>
      <c r="F17" s="1414">
        <v>15</v>
      </c>
      <c r="G17" s="1414">
        <v>7</v>
      </c>
      <c r="H17" s="1390">
        <f t="shared" si="0"/>
        <v>46.666666666666664</v>
      </c>
    </row>
    <row r="18" spans="1:8" s="1473" customFormat="1" ht="30" x14ac:dyDescent="0.2">
      <c r="A18" s="1463">
        <v>6172</v>
      </c>
      <c r="B18" s="1469">
        <v>5032</v>
      </c>
      <c r="C18" s="1529" t="s">
        <v>2098</v>
      </c>
      <c r="D18" s="1405" t="s">
        <v>1058</v>
      </c>
      <c r="E18" s="1414">
        <v>0</v>
      </c>
      <c r="F18" s="1414">
        <v>40</v>
      </c>
      <c r="G18" s="1414">
        <v>38</v>
      </c>
      <c r="H18" s="1390">
        <f t="shared" si="0"/>
        <v>95</v>
      </c>
    </row>
    <row r="19" spans="1:8" s="1473" customFormat="1" ht="15" hidden="1" x14ac:dyDescent="0.2">
      <c r="A19" s="1463">
        <v>6172</v>
      </c>
      <c r="B19" s="1469">
        <v>5137</v>
      </c>
      <c r="C19" s="1529" t="s">
        <v>2099</v>
      </c>
      <c r="D19" s="1405" t="s">
        <v>142</v>
      </c>
      <c r="E19" s="1414"/>
      <c r="F19" s="1414"/>
      <c r="G19" s="1414"/>
      <c r="H19" s="1390" t="e">
        <f t="shared" si="0"/>
        <v>#DIV/0!</v>
      </c>
    </row>
    <row r="20" spans="1:8" s="1473" customFormat="1" ht="15" hidden="1" x14ac:dyDescent="0.2">
      <c r="A20" s="1463">
        <v>6172</v>
      </c>
      <c r="B20" s="1469">
        <v>5137</v>
      </c>
      <c r="C20" s="1529" t="s">
        <v>2098</v>
      </c>
      <c r="D20" s="1405" t="s">
        <v>142</v>
      </c>
      <c r="E20" s="1414"/>
      <c r="F20" s="1414"/>
      <c r="G20" s="1414"/>
      <c r="H20" s="1390" t="e">
        <f t="shared" si="0"/>
        <v>#DIV/0!</v>
      </c>
    </row>
    <row r="21" spans="1:8" s="1415" customFormat="1" ht="15" hidden="1" x14ac:dyDescent="0.2">
      <c r="A21" s="1463">
        <v>4399</v>
      </c>
      <c r="B21" s="1471">
        <v>5139</v>
      </c>
      <c r="C21" s="1529">
        <v>33113233</v>
      </c>
      <c r="D21" s="1405" t="s">
        <v>249</v>
      </c>
      <c r="E21" s="1414"/>
      <c r="F21" s="1414"/>
      <c r="G21" s="1414"/>
      <c r="H21" s="1390">
        <v>0</v>
      </c>
    </row>
    <row r="22" spans="1:8" s="1415" customFormat="1" ht="15" hidden="1" x14ac:dyDescent="0.2">
      <c r="A22" s="1463">
        <v>4399</v>
      </c>
      <c r="B22" s="1471">
        <v>5139</v>
      </c>
      <c r="C22" s="1529">
        <v>33513233</v>
      </c>
      <c r="D22" s="1405" t="s">
        <v>249</v>
      </c>
      <c r="E22" s="1414"/>
      <c r="F22" s="1414"/>
      <c r="G22" s="1414"/>
      <c r="H22" s="1390" t="e">
        <f t="shared" ref="H22:H34" si="1">G22/F22*100</f>
        <v>#DIV/0!</v>
      </c>
    </row>
    <row r="23" spans="1:8" ht="15" hidden="1" x14ac:dyDescent="0.2">
      <c r="A23" s="1463">
        <v>4399</v>
      </c>
      <c r="B23" s="1471">
        <v>5162</v>
      </c>
      <c r="C23" s="1529">
        <v>33113233</v>
      </c>
      <c r="D23" s="1405" t="s">
        <v>780</v>
      </c>
      <c r="E23" s="1414"/>
      <c r="F23" s="1414"/>
      <c r="G23" s="1414"/>
      <c r="H23" s="1390" t="e">
        <f t="shared" si="1"/>
        <v>#DIV/0!</v>
      </c>
    </row>
    <row r="24" spans="1:8" ht="15" hidden="1" x14ac:dyDescent="0.2">
      <c r="A24" s="1463">
        <v>4399</v>
      </c>
      <c r="B24" s="1471">
        <v>5162</v>
      </c>
      <c r="C24" s="1529">
        <v>33513233</v>
      </c>
      <c r="D24" s="1405" t="s">
        <v>780</v>
      </c>
      <c r="E24" s="1414"/>
      <c r="F24" s="1414"/>
      <c r="G24" s="1414"/>
      <c r="H24" s="1390" t="e">
        <f t="shared" si="1"/>
        <v>#DIV/0!</v>
      </c>
    </row>
    <row r="25" spans="1:8" ht="15" hidden="1" x14ac:dyDescent="0.2">
      <c r="A25" s="1463">
        <v>4399</v>
      </c>
      <c r="B25" s="1471">
        <v>5164</v>
      </c>
      <c r="C25" s="1529">
        <v>33113233</v>
      </c>
      <c r="D25" s="1405" t="s">
        <v>157</v>
      </c>
      <c r="E25" s="1414"/>
      <c r="F25" s="1414"/>
      <c r="G25" s="1414"/>
      <c r="H25" s="1390" t="e">
        <f t="shared" si="1"/>
        <v>#DIV/0!</v>
      </c>
    </row>
    <row r="26" spans="1:8" ht="15" hidden="1" x14ac:dyDescent="0.2">
      <c r="A26" s="1463">
        <v>4399</v>
      </c>
      <c r="B26" s="1471">
        <v>5164</v>
      </c>
      <c r="C26" s="1529">
        <v>33513233</v>
      </c>
      <c r="D26" s="1405" t="s">
        <v>157</v>
      </c>
      <c r="E26" s="1414"/>
      <c r="F26" s="1414"/>
      <c r="G26" s="1414"/>
      <c r="H26" s="1390" t="e">
        <f t="shared" si="1"/>
        <v>#DIV/0!</v>
      </c>
    </row>
    <row r="27" spans="1:8" ht="15" hidden="1" x14ac:dyDescent="0.2">
      <c r="A27" s="1463">
        <v>4399</v>
      </c>
      <c r="B27" s="1471">
        <v>5166</v>
      </c>
      <c r="C27" s="1529">
        <v>33113233</v>
      </c>
      <c r="D27" s="1405" t="s">
        <v>553</v>
      </c>
      <c r="E27" s="1414"/>
      <c r="F27" s="1414"/>
      <c r="G27" s="1414"/>
      <c r="H27" s="1390" t="e">
        <f t="shared" si="1"/>
        <v>#DIV/0!</v>
      </c>
    </row>
    <row r="28" spans="1:8" ht="15" hidden="1" x14ac:dyDescent="0.2">
      <c r="A28" s="1463">
        <v>4399</v>
      </c>
      <c r="B28" s="1471">
        <v>5166</v>
      </c>
      <c r="C28" s="1529">
        <v>33513233</v>
      </c>
      <c r="D28" s="1405" t="s">
        <v>553</v>
      </c>
      <c r="E28" s="1414"/>
      <c r="F28" s="1414"/>
      <c r="G28" s="1414"/>
      <c r="H28" s="1390" t="e">
        <f t="shared" si="1"/>
        <v>#DIV/0!</v>
      </c>
    </row>
    <row r="29" spans="1:8" ht="15" x14ac:dyDescent="0.2">
      <c r="A29" s="1463">
        <v>6172</v>
      </c>
      <c r="B29" s="1471">
        <v>5169</v>
      </c>
      <c r="C29" s="1529" t="s">
        <v>2099</v>
      </c>
      <c r="D29" s="1405" t="s">
        <v>769</v>
      </c>
      <c r="E29" s="1414">
        <v>160</v>
      </c>
      <c r="F29" s="1414">
        <v>478</v>
      </c>
      <c r="G29" s="1414">
        <v>178</v>
      </c>
      <c r="H29" s="1390">
        <f t="shared" si="1"/>
        <v>37.238493723849366</v>
      </c>
    </row>
    <row r="30" spans="1:8" ht="15" x14ac:dyDescent="0.2">
      <c r="A30" s="1463">
        <v>6172</v>
      </c>
      <c r="B30" s="1469">
        <v>5169</v>
      </c>
      <c r="C30" s="1529" t="s">
        <v>2101</v>
      </c>
      <c r="D30" s="1405" t="s">
        <v>769</v>
      </c>
      <c r="E30" s="1414">
        <v>0</v>
      </c>
      <c r="F30" s="1414">
        <v>400</v>
      </c>
      <c r="G30" s="1414">
        <v>248</v>
      </c>
      <c r="H30" s="1390">
        <f t="shared" si="1"/>
        <v>62</v>
      </c>
    </row>
    <row r="31" spans="1:8" ht="15" hidden="1" x14ac:dyDescent="0.2">
      <c r="A31" s="1463">
        <v>6172</v>
      </c>
      <c r="B31" s="1469">
        <v>5169</v>
      </c>
      <c r="C31" s="1529">
        <v>33113233</v>
      </c>
      <c r="D31" s="1405" t="s">
        <v>1038</v>
      </c>
      <c r="E31" s="1414"/>
      <c r="F31" s="1414"/>
      <c r="G31" s="1414"/>
      <c r="H31" s="1390" t="e">
        <f t="shared" si="1"/>
        <v>#DIV/0!</v>
      </c>
    </row>
    <row r="32" spans="1:8" ht="15" hidden="1" x14ac:dyDescent="0.2">
      <c r="A32" s="1463">
        <v>6172</v>
      </c>
      <c r="B32" s="1469">
        <v>5169</v>
      </c>
      <c r="C32" s="1529">
        <v>33513233</v>
      </c>
      <c r="D32" s="1405" t="s">
        <v>1038</v>
      </c>
      <c r="E32" s="1414"/>
      <c r="F32" s="1414"/>
      <c r="G32" s="1414"/>
      <c r="H32" s="1390" t="e">
        <f t="shared" si="1"/>
        <v>#DIV/0!</v>
      </c>
    </row>
    <row r="33" spans="1:9" ht="15" hidden="1" x14ac:dyDescent="0.2">
      <c r="A33" s="1463">
        <v>6172</v>
      </c>
      <c r="B33" s="1469">
        <v>5169</v>
      </c>
      <c r="C33" s="1529">
        <v>33113233</v>
      </c>
      <c r="D33" s="1405" t="s">
        <v>587</v>
      </c>
      <c r="E33" s="1414"/>
      <c r="F33" s="1414"/>
      <c r="G33" s="1414"/>
      <c r="H33" s="1390" t="e">
        <f t="shared" si="1"/>
        <v>#DIV/0!</v>
      </c>
    </row>
    <row r="34" spans="1:9" s="1415" customFormat="1" ht="15" hidden="1" x14ac:dyDescent="0.2">
      <c r="A34" s="1463">
        <v>6172</v>
      </c>
      <c r="B34" s="1469">
        <v>5169</v>
      </c>
      <c r="C34" s="1529">
        <v>33513233</v>
      </c>
      <c r="D34" s="1405" t="s">
        <v>587</v>
      </c>
      <c r="E34" s="1414"/>
      <c r="F34" s="1414"/>
      <c r="G34" s="1414"/>
      <c r="H34" s="1390" t="e">
        <f t="shared" si="1"/>
        <v>#DIV/0!</v>
      </c>
    </row>
    <row r="35" spans="1:9" s="1415" customFormat="1" ht="15.75" thickBot="1" x14ac:dyDescent="0.25">
      <c r="A35" s="1463">
        <v>6172</v>
      </c>
      <c r="B35" s="1469">
        <v>5169</v>
      </c>
      <c r="C35" s="1529" t="s">
        <v>2098</v>
      </c>
      <c r="D35" s="1405" t="s">
        <v>1715</v>
      </c>
      <c r="E35" s="1414">
        <v>0</v>
      </c>
      <c r="F35" s="1414">
        <v>1403</v>
      </c>
      <c r="G35" s="1414">
        <v>759</v>
      </c>
      <c r="H35" s="1396">
        <v>0</v>
      </c>
    </row>
    <row r="36" spans="1:9" s="1397" customFormat="1" ht="16.5" thickTop="1" thickBot="1" x14ac:dyDescent="0.3">
      <c r="A36" s="3219" t="s">
        <v>690</v>
      </c>
      <c r="B36" s="3220"/>
      <c r="C36" s="3220"/>
      <c r="D36" s="3220"/>
      <c r="E36" s="1387">
        <f>SUM(E11:E35)</f>
        <v>300</v>
      </c>
      <c r="F36" s="1387">
        <f>SUM(F11:F35)</f>
        <v>3056</v>
      </c>
      <c r="G36" s="1387">
        <f>SUM(G11:G35)</f>
        <v>1864</v>
      </c>
      <c r="H36" s="1396">
        <f>G36/F36*100</f>
        <v>60.994764397905755</v>
      </c>
      <c r="I36" s="1476"/>
    </row>
    <row r="37" spans="1:9" ht="13.5" thickTop="1" x14ac:dyDescent="0.2">
      <c r="I37" s="1398"/>
    </row>
    <row r="38" spans="1:9" ht="15" hidden="1" x14ac:dyDescent="0.25">
      <c r="A38" s="1541" t="s">
        <v>1716</v>
      </c>
      <c r="B38" s="1423"/>
      <c r="C38" s="1423"/>
      <c r="D38" s="1423"/>
    </row>
    <row r="39" spans="1:9" ht="15" hidden="1" x14ac:dyDescent="0.25">
      <c r="A39" s="1542" t="s">
        <v>1717</v>
      </c>
      <c r="B39" s="1543"/>
      <c r="C39" s="1543"/>
      <c r="H39" s="1459" t="s">
        <v>148</v>
      </c>
    </row>
    <row r="40" spans="1:9" s="1292" customFormat="1" ht="25.5" hidden="1" thickTop="1" thickBot="1" x14ac:dyDescent="0.25">
      <c r="A40" s="1378" t="s">
        <v>149</v>
      </c>
      <c r="B40" s="1379" t="s">
        <v>688</v>
      </c>
      <c r="C40" s="1379" t="s">
        <v>345</v>
      </c>
      <c r="D40" s="1380" t="s">
        <v>151</v>
      </c>
      <c r="E40" s="1402" t="s">
        <v>569</v>
      </c>
      <c r="F40" s="1402" t="s">
        <v>570</v>
      </c>
      <c r="G40" s="1403" t="s">
        <v>797</v>
      </c>
      <c r="H40" s="1404" t="s">
        <v>798</v>
      </c>
    </row>
    <row r="41" spans="1:9" s="1292" customFormat="1" ht="13.5" hidden="1" thickTop="1" thickBot="1" x14ac:dyDescent="0.25">
      <c r="A41" s="1297">
        <v>1</v>
      </c>
      <c r="B41" s="1296">
        <v>2</v>
      </c>
      <c r="C41" s="1296">
        <v>3</v>
      </c>
      <c r="D41" s="1296">
        <v>4</v>
      </c>
      <c r="E41" s="1295">
        <v>5</v>
      </c>
      <c r="F41" s="1295">
        <v>6</v>
      </c>
      <c r="G41" s="1446">
        <v>7</v>
      </c>
      <c r="H41" s="1468" t="s">
        <v>54</v>
      </c>
    </row>
    <row r="42" spans="1:9" s="1473" customFormat="1" ht="15.75" hidden="1" customHeight="1" thickTop="1" x14ac:dyDescent="0.2">
      <c r="A42" s="1463">
        <v>4378</v>
      </c>
      <c r="B42" s="1469">
        <v>5011</v>
      </c>
      <c r="C42" s="1470">
        <v>33113233</v>
      </c>
      <c r="D42" s="1405" t="s">
        <v>189</v>
      </c>
      <c r="E42" s="1414">
        <v>0</v>
      </c>
      <c r="F42" s="1414"/>
      <c r="G42" s="1414"/>
      <c r="H42" s="1390" t="e">
        <f t="shared" ref="H42:H53" si="2">G42/F42*100</f>
        <v>#DIV/0!</v>
      </c>
    </row>
    <row r="43" spans="1:9" s="1473" customFormat="1" ht="15" hidden="1" x14ac:dyDescent="0.2">
      <c r="A43" s="1463">
        <v>4378</v>
      </c>
      <c r="B43" s="1469">
        <v>5011</v>
      </c>
      <c r="C43" s="1470">
        <v>33513233</v>
      </c>
      <c r="D43" s="1405" t="s">
        <v>189</v>
      </c>
      <c r="E43" s="1414">
        <v>0</v>
      </c>
      <c r="F43" s="1414"/>
      <c r="G43" s="1414"/>
      <c r="H43" s="1390" t="e">
        <f t="shared" si="2"/>
        <v>#DIV/0!</v>
      </c>
    </row>
    <row r="44" spans="1:9" s="1473" customFormat="1" ht="15" hidden="1" customHeight="1" x14ac:dyDescent="0.2">
      <c r="A44" s="1463">
        <v>4378</v>
      </c>
      <c r="B44" s="1469">
        <v>5021</v>
      </c>
      <c r="C44" s="1470">
        <v>33113233</v>
      </c>
      <c r="D44" s="1405" t="s">
        <v>356</v>
      </c>
      <c r="E44" s="1414">
        <v>0</v>
      </c>
      <c r="F44" s="1414"/>
      <c r="G44" s="1414"/>
      <c r="H44" s="1390" t="e">
        <f t="shared" si="2"/>
        <v>#DIV/0!</v>
      </c>
    </row>
    <row r="45" spans="1:9" s="1473" customFormat="1" ht="15" hidden="1" customHeight="1" x14ac:dyDescent="0.2">
      <c r="A45" s="1463">
        <v>4378</v>
      </c>
      <c r="B45" s="1469">
        <v>5021</v>
      </c>
      <c r="C45" s="1470">
        <v>33513233</v>
      </c>
      <c r="D45" s="1405" t="s">
        <v>356</v>
      </c>
      <c r="E45" s="1414">
        <v>0</v>
      </c>
      <c r="F45" s="1414"/>
      <c r="G45" s="1414"/>
      <c r="H45" s="1390" t="e">
        <f t="shared" si="2"/>
        <v>#DIV/0!</v>
      </c>
    </row>
    <row r="46" spans="1:9" s="1473" customFormat="1" ht="30" hidden="1" customHeight="1" x14ac:dyDescent="0.2">
      <c r="A46" s="1463">
        <v>4378</v>
      </c>
      <c r="B46" s="1469">
        <v>5031</v>
      </c>
      <c r="C46" s="1470">
        <v>33113233</v>
      </c>
      <c r="D46" s="1405" t="s">
        <v>1165</v>
      </c>
      <c r="E46" s="1414">
        <v>0</v>
      </c>
      <c r="F46" s="1414"/>
      <c r="G46" s="1414"/>
      <c r="H46" s="1390" t="e">
        <f t="shared" si="2"/>
        <v>#DIV/0!</v>
      </c>
    </row>
    <row r="47" spans="1:9" s="1473" customFormat="1" ht="30" hidden="1" customHeight="1" x14ac:dyDescent="0.2">
      <c r="A47" s="1463">
        <v>4378</v>
      </c>
      <c r="B47" s="1469">
        <v>5031</v>
      </c>
      <c r="C47" s="1470">
        <v>33513233</v>
      </c>
      <c r="D47" s="1405" t="s">
        <v>1165</v>
      </c>
      <c r="E47" s="1414">
        <v>0</v>
      </c>
      <c r="F47" s="1414"/>
      <c r="G47" s="1414"/>
      <c r="H47" s="1390" t="e">
        <f t="shared" si="2"/>
        <v>#DIV/0!</v>
      </c>
    </row>
    <row r="48" spans="1:9" s="1473" customFormat="1" ht="30" hidden="1" x14ac:dyDescent="0.2">
      <c r="A48" s="1463">
        <v>4378</v>
      </c>
      <c r="B48" s="1469">
        <v>5032</v>
      </c>
      <c r="C48" s="1470">
        <v>33113233</v>
      </c>
      <c r="D48" s="1405" t="s">
        <v>1058</v>
      </c>
      <c r="E48" s="1414">
        <v>0</v>
      </c>
      <c r="F48" s="1414"/>
      <c r="G48" s="1414"/>
      <c r="H48" s="1390" t="e">
        <f t="shared" si="2"/>
        <v>#DIV/0!</v>
      </c>
    </row>
    <row r="49" spans="1:8" s="1473" customFormat="1" ht="30" hidden="1" x14ac:dyDescent="0.2">
      <c r="A49" s="1463">
        <v>4378</v>
      </c>
      <c r="B49" s="1469">
        <v>5032</v>
      </c>
      <c r="C49" s="1470">
        <v>33513233</v>
      </c>
      <c r="D49" s="1405" t="s">
        <v>1058</v>
      </c>
      <c r="E49" s="1414">
        <v>0</v>
      </c>
      <c r="F49" s="1414"/>
      <c r="G49" s="1414"/>
      <c r="H49" s="1390" t="e">
        <f t="shared" si="2"/>
        <v>#DIV/0!</v>
      </c>
    </row>
    <row r="50" spans="1:8" s="1473" customFormat="1" ht="15" hidden="1" x14ac:dyDescent="0.2">
      <c r="A50" s="1463">
        <v>4378</v>
      </c>
      <c r="B50" s="1469">
        <v>5137</v>
      </c>
      <c r="C50" s="1470">
        <v>33113233</v>
      </c>
      <c r="D50" s="1405" t="s">
        <v>142</v>
      </c>
      <c r="E50" s="1414">
        <v>0</v>
      </c>
      <c r="F50" s="1414"/>
      <c r="G50" s="1414"/>
      <c r="H50" s="1390" t="e">
        <f t="shared" si="2"/>
        <v>#DIV/0!</v>
      </c>
    </row>
    <row r="51" spans="1:8" s="1473" customFormat="1" ht="15" hidden="1" x14ac:dyDescent="0.2">
      <c r="A51" s="1463">
        <v>4378</v>
      </c>
      <c r="B51" s="1469">
        <v>5137</v>
      </c>
      <c r="C51" s="1470">
        <v>33513233</v>
      </c>
      <c r="D51" s="1405" t="s">
        <v>142</v>
      </c>
      <c r="E51" s="1414">
        <v>0</v>
      </c>
      <c r="F51" s="1414"/>
      <c r="G51" s="1414"/>
      <c r="H51" s="1390" t="e">
        <f t="shared" si="2"/>
        <v>#DIV/0!</v>
      </c>
    </row>
    <row r="52" spans="1:8" s="1415" customFormat="1" ht="15" hidden="1" x14ac:dyDescent="0.2">
      <c r="A52" s="1463">
        <v>4378</v>
      </c>
      <c r="B52" s="1471">
        <v>5139</v>
      </c>
      <c r="C52" s="1470">
        <v>33113233</v>
      </c>
      <c r="D52" s="1405" t="s">
        <v>249</v>
      </c>
      <c r="E52" s="1414">
        <v>0</v>
      </c>
      <c r="F52" s="1414"/>
      <c r="G52" s="1414"/>
      <c r="H52" s="1390" t="e">
        <f t="shared" si="2"/>
        <v>#DIV/0!</v>
      </c>
    </row>
    <row r="53" spans="1:8" s="1415" customFormat="1" ht="15" hidden="1" x14ac:dyDescent="0.2">
      <c r="A53" s="1463">
        <v>4378</v>
      </c>
      <c r="B53" s="1471">
        <v>5139</v>
      </c>
      <c r="C53" s="1470">
        <v>33513233</v>
      </c>
      <c r="D53" s="1405" t="s">
        <v>249</v>
      </c>
      <c r="E53" s="1414">
        <v>0</v>
      </c>
      <c r="F53" s="1414"/>
      <c r="G53" s="1414"/>
      <c r="H53" s="1390" t="e">
        <f t="shared" si="2"/>
        <v>#DIV/0!</v>
      </c>
    </row>
    <row r="54" spans="1:8" ht="15" hidden="1" x14ac:dyDescent="0.2">
      <c r="A54" s="1463">
        <v>4378</v>
      </c>
      <c r="B54" s="1471">
        <v>5162</v>
      </c>
      <c r="C54" s="1470">
        <v>33113233</v>
      </c>
      <c r="D54" s="1405" t="s">
        <v>780</v>
      </c>
      <c r="E54" s="1414">
        <v>0</v>
      </c>
      <c r="F54" s="1414"/>
      <c r="G54" s="1414"/>
      <c r="H54" s="1390">
        <v>0</v>
      </c>
    </row>
    <row r="55" spans="1:8" ht="15" hidden="1" x14ac:dyDescent="0.2">
      <c r="A55" s="1463">
        <v>4378</v>
      </c>
      <c r="B55" s="1471">
        <v>5162</v>
      </c>
      <c r="C55" s="1470">
        <v>33513233</v>
      </c>
      <c r="D55" s="1405" t="s">
        <v>780</v>
      </c>
      <c r="E55" s="1414">
        <v>0</v>
      </c>
      <c r="F55" s="1414"/>
      <c r="G55" s="1414"/>
      <c r="H55" s="1390" t="e">
        <f t="shared" ref="H55:H61" si="3">G55/F55*100</f>
        <v>#DIV/0!</v>
      </c>
    </row>
    <row r="56" spans="1:8" ht="15" hidden="1" x14ac:dyDescent="0.2">
      <c r="A56" s="1463">
        <v>4378</v>
      </c>
      <c r="B56" s="1471">
        <v>5166</v>
      </c>
      <c r="C56" s="1470">
        <v>33113233</v>
      </c>
      <c r="D56" s="1405" t="s">
        <v>553</v>
      </c>
      <c r="E56" s="1414">
        <v>0</v>
      </c>
      <c r="F56" s="1414"/>
      <c r="G56" s="1414"/>
      <c r="H56" s="1390" t="e">
        <f t="shared" si="3"/>
        <v>#DIV/0!</v>
      </c>
    </row>
    <row r="57" spans="1:8" ht="15" hidden="1" x14ac:dyDescent="0.2">
      <c r="A57" s="1463">
        <v>4378</v>
      </c>
      <c r="B57" s="1471">
        <v>5166</v>
      </c>
      <c r="C57" s="1470">
        <v>33513233</v>
      </c>
      <c r="D57" s="1405" t="s">
        <v>553</v>
      </c>
      <c r="E57" s="1414">
        <v>0</v>
      </c>
      <c r="F57" s="1414"/>
      <c r="G57" s="1414"/>
      <c r="H57" s="1390" t="e">
        <f t="shared" si="3"/>
        <v>#DIV/0!</v>
      </c>
    </row>
    <row r="58" spans="1:8" ht="15" hidden="1" x14ac:dyDescent="0.2">
      <c r="A58" s="1463">
        <v>4378</v>
      </c>
      <c r="B58" s="1471">
        <v>5169</v>
      </c>
      <c r="C58" s="1470">
        <v>33113233</v>
      </c>
      <c r="D58" s="1405" t="s">
        <v>769</v>
      </c>
      <c r="E58" s="1414">
        <v>0</v>
      </c>
      <c r="F58" s="1414"/>
      <c r="G58" s="1414"/>
      <c r="H58" s="1390" t="e">
        <f t="shared" si="3"/>
        <v>#DIV/0!</v>
      </c>
    </row>
    <row r="59" spans="1:8" ht="15" hidden="1" x14ac:dyDescent="0.2">
      <c r="A59" s="1463">
        <v>4378</v>
      </c>
      <c r="B59" s="1469">
        <v>5169</v>
      </c>
      <c r="C59" s="1470">
        <v>33513233</v>
      </c>
      <c r="D59" s="1405" t="s">
        <v>769</v>
      </c>
      <c r="E59" s="1414">
        <v>0</v>
      </c>
      <c r="F59" s="1414"/>
      <c r="G59" s="1414"/>
      <c r="H59" s="1390" t="e">
        <f t="shared" si="3"/>
        <v>#DIV/0!</v>
      </c>
    </row>
    <row r="60" spans="1:8" ht="15.75" hidden="1" customHeight="1" x14ac:dyDescent="0.2">
      <c r="A60" s="1463">
        <v>4378</v>
      </c>
      <c r="B60" s="1469">
        <v>5175</v>
      </c>
      <c r="C60" s="1470">
        <v>33113233</v>
      </c>
      <c r="D60" s="1405" t="s">
        <v>605</v>
      </c>
      <c r="E60" s="1414">
        <v>0</v>
      </c>
      <c r="F60" s="1414"/>
      <c r="G60" s="1414"/>
      <c r="H60" s="1390" t="e">
        <f t="shared" si="3"/>
        <v>#DIV/0!</v>
      </c>
    </row>
    <row r="61" spans="1:8" ht="15.75" hidden="1" customHeight="1" x14ac:dyDescent="0.2">
      <c r="A61" s="1463">
        <v>4378</v>
      </c>
      <c r="B61" s="1469">
        <v>5175</v>
      </c>
      <c r="C61" s="1470">
        <v>33513233</v>
      </c>
      <c r="D61" s="1405" t="s">
        <v>605</v>
      </c>
      <c r="E61" s="1414">
        <v>0</v>
      </c>
      <c r="F61" s="1414"/>
      <c r="G61" s="1414"/>
      <c r="H61" s="1390" t="e">
        <f t="shared" si="3"/>
        <v>#DIV/0!</v>
      </c>
    </row>
    <row r="62" spans="1:8" ht="15" hidden="1" x14ac:dyDescent="0.2">
      <c r="A62" s="1463">
        <v>4378</v>
      </c>
      <c r="B62" s="1469">
        <v>5424</v>
      </c>
      <c r="C62" s="1470">
        <v>33113233</v>
      </c>
      <c r="D62" s="1405" t="s">
        <v>587</v>
      </c>
      <c r="E62" s="1414">
        <v>0</v>
      </c>
      <c r="F62" s="1414"/>
      <c r="G62" s="1414"/>
      <c r="H62" s="1390">
        <v>0</v>
      </c>
    </row>
    <row r="63" spans="1:8" ht="15" hidden="1" x14ac:dyDescent="0.2">
      <c r="A63" s="1463">
        <v>4378</v>
      </c>
      <c r="B63" s="1469">
        <v>5424</v>
      </c>
      <c r="C63" s="1470">
        <v>33513233</v>
      </c>
      <c r="D63" s="1405" t="s">
        <v>587</v>
      </c>
      <c r="E63" s="1414">
        <v>0</v>
      </c>
      <c r="F63" s="1414"/>
      <c r="G63" s="1414"/>
      <c r="H63" s="1390" t="e">
        <f>G63/F63*100</f>
        <v>#DIV/0!</v>
      </c>
    </row>
    <row r="64" spans="1:8" ht="15" hidden="1" x14ac:dyDescent="0.2">
      <c r="A64" s="1463">
        <v>4378</v>
      </c>
      <c r="B64" s="1469">
        <v>5901</v>
      </c>
      <c r="C64" s="1470">
        <v>33113233</v>
      </c>
      <c r="D64" s="1405" t="s">
        <v>547</v>
      </c>
      <c r="E64" s="1414">
        <v>0</v>
      </c>
      <c r="F64" s="1414"/>
      <c r="G64" s="1414"/>
      <c r="H64" s="1390" t="e">
        <f>G64/F64*100</f>
        <v>#DIV/0!</v>
      </c>
    </row>
    <row r="65" spans="1:9" s="1415" customFormat="1" ht="15.75" hidden="1" thickBot="1" x14ac:dyDescent="0.25">
      <c r="A65" s="1463">
        <v>6172</v>
      </c>
      <c r="B65" s="1469">
        <v>5166</v>
      </c>
      <c r="C65" s="1470">
        <v>0</v>
      </c>
      <c r="D65" s="1405" t="s">
        <v>553</v>
      </c>
      <c r="E65" s="1414"/>
      <c r="F65" s="1414"/>
      <c r="G65" s="1414"/>
      <c r="H65" s="1396">
        <v>0</v>
      </c>
    </row>
    <row r="66" spans="1:9" s="1397" customFormat="1" ht="16.5" hidden="1" thickTop="1" thickBot="1" x14ac:dyDescent="0.3">
      <c r="A66" s="3219" t="s">
        <v>690</v>
      </c>
      <c r="B66" s="3220"/>
      <c r="C66" s="3220"/>
      <c r="D66" s="3220"/>
      <c r="E66" s="1387">
        <f>SUM(E42:E65)</f>
        <v>0</v>
      </c>
      <c r="F66" s="1387">
        <f>SUM(F42:F65)</f>
        <v>0</v>
      </c>
      <c r="G66" s="1387">
        <f>SUM(G42:G65)</f>
        <v>0</v>
      </c>
      <c r="H66" s="1391">
        <v>0</v>
      </c>
      <c r="I66" s="1476"/>
    </row>
    <row r="67" spans="1:9" s="1397" customFormat="1" ht="15" hidden="1" x14ac:dyDescent="0.25">
      <c r="A67" s="1392"/>
      <c r="B67" s="1392"/>
      <c r="C67" s="1392"/>
      <c r="D67" s="1392"/>
      <c r="E67" s="1393"/>
      <c r="F67" s="1393"/>
      <c r="G67" s="1393"/>
      <c r="H67" s="1418"/>
      <c r="I67" s="1476"/>
    </row>
    <row r="68" spans="1:9" s="1397" customFormat="1" ht="15" hidden="1" x14ac:dyDescent="0.25">
      <c r="A68" s="1392"/>
      <c r="B68" s="1392"/>
      <c r="C68" s="1392"/>
      <c r="D68" s="1392"/>
      <c r="E68" s="1393"/>
      <c r="F68" s="1393"/>
      <c r="G68" s="1393"/>
      <c r="H68" s="1418"/>
      <c r="I68" s="1476"/>
    </row>
    <row r="69" spans="1:9" s="1397" customFormat="1" ht="15" hidden="1" x14ac:dyDescent="0.25">
      <c r="A69" s="1392"/>
      <c r="B69" s="1392"/>
      <c r="C69" s="1392"/>
      <c r="D69" s="1392"/>
      <c r="E69" s="1393"/>
      <c r="F69" s="1393"/>
      <c r="G69" s="1393"/>
      <c r="H69" s="1418"/>
      <c r="I69" s="1476"/>
    </row>
    <row r="70" spans="1:9" s="1397" customFormat="1" ht="15" hidden="1" x14ac:dyDescent="0.25">
      <c r="A70" s="1392"/>
      <c r="B70" s="1392"/>
      <c r="C70" s="1392"/>
      <c r="D70" s="1392"/>
      <c r="E70" s="1393"/>
      <c r="F70" s="1393"/>
      <c r="G70" s="1393"/>
      <c r="H70" s="1418"/>
      <c r="I70" s="1476"/>
    </row>
    <row r="71" spans="1:9" s="1397" customFormat="1" ht="15" hidden="1" x14ac:dyDescent="0.25">
      <c r="A71" s="1392"/>
      <c r="B71" s="1392"/>
      <c r="C71" s="1392"/>
      <c r="D71" s="1392"/>
      <c r="E71" s="1393"/>
      <c r="F71" s="1393"/>
      <c r="G71" s="1393"/>
      <c r="H71" s="1418"/>
      <c r="I71" s="1476"/>
    </row>
    <row r="72" spans="1:9" s="1397" customFormat="1" ht="15" hidden="1" x14ac:dyDescent="0.25">
      <c r="A72" s="1392"/>
      <c r="B72" s="1392"/>
      <c r="C72" s="1392"/>
      <c r="D72" s="1392"/>
      <c r="E72" s="1393"/>
      <c r="F72" s="1393"/>
      <c r="G72" s="1393"/>
      <c r="H72" s="1418"/>
      <c r="I72" s="1476"/>
    </row>
    <row r="73" spans="1:9" s="1397" customFormat="1" ht="15" x14ac:dyDescent="0.25">
      <c r="A73" s="1392"/>
      <c r="B73" s="1392"/>
      <c r="C73" s="1392"/>
      <c r="D73" s="1392"/>
      <c r="E73" s="1393"/>
      <c r="F73" s="1393"/>
      <c r="G73" s="1393"/>
      <c r="H73" s="1418"/>
      <c r="I73" s="1476"/>
    </row>
    <row r="74" spans="1:9" ht="15" x14ac:dyDescent="0.25">
      <c r="A74" s="1541" t="s">
        <v>1357</v>
      </c>
      <c r="B74" s="1423"/>
      <c r="C74" s="1423"/>
      <c r="D74" s="1423"/>
    </row>
    <row r="75" spans="1:9" ht="15.75" thickBot="1" x14ac:dyDescent="0.3">
      <c r="A75" s="1542" t="s">
        <v>1358</v>
      </c>
      <c r="B75" s="1543"/>
      <c r="C75" s="1543"/>
      <c r="H75" s="1459" t="s">
        <v>148</v>
      </c>
    </row>
    <row r="76" spans="1:9" s="1292" customFormat="1" ht="25.5" thickTop="1" thickBot="1" x14ac:dyDescent="0.25">
      <c r="A76" s="1378" t="s">
        <v>149</v>
      </c>
      <c r="B76" s="1379" t="s">
        <v>688</v>
      </c>
      <c r="C76" s="1379" t="s">
        <v>345</v>
      </c>
      <c r="D76" s="1380" t="s">
        <v>151</v>
      </c>
      <c r="E76" s="1402" t="s">
        <v>569</v>
      </c>
      <c r="F76" s="1402" t="s">
        <v>570</v>
      </c>
      <c r="G76" s="1403" t="s">
        <v>797</v>
      </c>
      <c r="H76" s="1404" t="s">
        <v>798</v>
      </c>
    </row>
    <row r="77" spans="1:9" s="1292" customFormat="1" ht="13.5" thickTop="1" thickBot="1" x14ac:dyDescent="0.25">
      <c r="A77" s="1297">
        <v>1</v>
      </c>
      <c r="B77" s="1296">
        <v>2</v>
      </c>
      <c r="C77" s="1296">
        <v>3</v>
      </c>
      <c r="D77" s="1296">
        <v>4</v>
      </c>
      <c r="E77" s="1295">
        <v>5</v>
      </c>
      <c r="F77" s="1295">
        <v>6</v>
      </c>
      <c r="G77" s="1446">
        <v>7</v>
      </c>
      <c r="H77" s="1468" t="s">
        <v>54</v>
      </c>
    </row>
    <row r="78" spans="1:9" s="1473" customFormat="1" ht="15.75" hidden="1" customHeight="1" thickTop="1" x14ac:dyDescent="0.2">
      <c r="A78" s="1463">
        <v>4399</v>
      </c>
      <c r="B78" s="1469">
        <v>5011</v>
      </c>
      <c r="C78" s="1470">
        <v>33113233</v>
      </c>
      <c r="D78" s="1405" t="s">
        <v>189</v>
      </c>
      <c r="E78" s="1414"/>
      <c r="F78" s="1414"/>
      <c r="G78" s="1414"/>
      <c r="H78" s="1390" t="e">
        <f t="shared" ref="H78:H89" si="4">G78/F78*100</f>
        <v>#DIV/0!</v>
      </c>
    </row>
    <row r="79" spans="1:9" s="1473" customFormat="1" ht="15.75" hidden="1" thickTop="1" x14ac:dyDescent="0.2">
      <c r="A79" s="1463">
        <v>4399</v>
      </c>
      <c r="B79" s="1469">
        <v>5011</v>
      </c>
      <c r="C79" s="1470">
        <v>33513233</v>
      </c>
      <c r="D79" s="1405" t="s">
        <v>189</v>
      </c>
      <c r="E79" s="1414"/>
      <c r="F79" s="1414"/>
      <c r="G79" s="1414"/>
      <c r="H79" s="1390" t="e">
        <f t="shared" si="4"/>
        <v>#DIV/0!</v>
      </c>
    </row>
    <row r="80" spans="1:9" s="1473" customFormat="1" ht="15" hidden="1" customHeight="1" x14ac:dyDescent="0.2">
      <c r="A80" s="1463">
        <v>4399</v>
      </c>
      <c r="B80" s="1469">
        <v>5021</v>
      </c>
      <c r="C80" s="1470">
        <v>33113233</v>
      </c>
      <c r="D80" s="1405" t="s">
        <v>356</v>
      </c>
      <c r="E80" s="1414"/>
      <c r="F80" s="1414"/>
      <c r="G80" s="1414"/>
      <c r="H80" s="1390" t="e">
        <f t="shared" si="4"/>
        <v>#DIV/0!</v>
      </c>
    </row>
    <row r="81" spans="1:8" s="1473" customFormat="1" ht="15" hidden="1" customHeight="1" x14ac:dyDescent="0.2">
      <c r="A81" s="1463">
        <v>4399</v>
      </c>
      <c r="B81" s="1469">
        <v>5021</v>
      </c>
      <c r="C81" s="1470">
        <v>33513233</v>
      </c>
      <c r="D81" s="1405" t="s">
        <v>356</v>
      </c>
      <c r="E81" s="1414"/>
      <c r="F81" s="1414"/>
      <c r="G81" s="1414"/>
      <c r="H81" s="1390" t="e">
        <f t="shared" si="4"/>
        <v>#DIV/0!</v>
      </c>
    </row>
    <row r="82" spans="1:8" s="1473" customFormat="1" ht="30" hidden="1" customHeight="1" x14ac:dyDescent="0.2">
      <c r="A82" s="1463">
        <v>4399</v>
      </c>
      <c r="B82" s="1469">
        <v>5031</v>
      </c>
      <c r="C82" s="1470">
        <v>33113233</v>
      </c>
      <c r="D82" s="1405" t="s">
        <v>1165</v>
      </c>
      <c r="E82" s="1414"/>
      <c r="F82" s="1414"/>
      <c r="G82" s="1414"/>
      <c r="H82" s="1390" t="e">
        <f t="shared" si="4"/>
        <v>#DIV/0!</v>
      </c>
    </row>
    <row r="83" spans="1:8" s="1473" customFormat="1" ht="30" hidden="1" customHeight="1" x14ac:dyDescent="0.2">
      <c r="A83" s="1463">
        <v>4399</v>
      </c>
      <c r="B83" s="1469">
        <v>5031</v>
      </c>
      <c r="C83" s="1470">
        <v>33513233</v>
      </c>
      <c r="D83" s="1405" t="s">
        <v>1165</v>
      </c>
      <c r="E83" s="1414"/>
      <c r="F83" s="1414"/>
      <c r="G83" s="1414"/>
      <c r="H83" s="1390" t="e">
        <f t="shared" si="4"/>
        <v>#DIV/0!</v>
      </c>
    </row>
    <row r="84" spans="1:8" s="1473" customFormat="1" ht="30.75" hidden="1" thickTop="1" x14ac:dyDescent="0.2">
      <c r="A84" s="1463">
        <v>4399</v>
      </c>
      <c r="B84" s="1469">
        <v>5032</v>
      </c>
      <c r="C84" s="1470">
        <v>33113233</v>
      </c>
      <c r="D84" s="1405" t="s">
        <v>1058</v>
      </c>
      <c r="E84" s="1414"/>
      <c r="F84" s="1414"/>
      <c r="G84" s="1414"/>
      <c r="H84" s="1390" t="e">
        <f t="shared" si="4"/>
        <v>#DIV/0!</v>
      </c>
    </row>
    <row r="85" spans="1:8" s="1473" customFormat="1" ht="30.75" hidden="1" thickTop="1" x14ac:dyDescent="0.2">
      <c r="A85" s="1463">
        <v>4399</v>
      </c>
      <c r="B85" s="1469">
        <v>5032</v>
      </c>
      <c r="C85" s="1470">
        <v>33513233</v>
      </c>
      <c r="D85" s="1405" t="s">
        <v>1058</v>
      </c>
      <c r="E85" s="1414"/>
      <c r="F85" s="1414"/>
      <c r="G85" s="1414"/>
      <c r="H85" s="1390" t="e">
        <f t="shared" si="4"/>
        <v>#DIV/0!</v>
      </c>
    </row>
    <row r="86" spans="1:8" s="1473" customFormat="1" ht="15.75" hidden="1" thickTop="1" x14ac:dyDescent="0.2">
      <c r="A86" s="1463">
        <v>4399</v>
      </c>
      <c r="B86" s="1469">
        <v>5137</v>
      </c>
      <c r="C86" s="1470">
        <v>33113233</v>
      </c>
      <c r="D86" s="1405" t="s">
        <v>142</v>
      </c>
      <c r="E86" s="1414"/>
      <c r="F86" s="1414"/>
      <c r="G86" s="1414"/>
      <c r="H86" s="1390" t="e">
        <f t="shared" si="4"/>
        <v>#DIV/0!</v>
      </c>
    </row>
    <row r="87" spans="1:8" s="1473" customFormat="1" ht="15.75" hidden="1" thickTop="1" x14ac:dyDescent="0.2">
      <c r="A87" s="1463">
        <v>4399</v>
      </c>
      <c r="B87" s="1469">
        <v>5137</v>
      </c>
      <c r="C87" s="1470">
        <v>33513233</v>
      </c>
      <c r="D87" s="1405" t="s">
        <v>142</v>
      </c>
      <c r="E87" s="1414"/>
      <c r="F87" s="1414"/>
      <c r="G87" s="1414"/>
      <c r="H87" s="1390" t="e">
        <f t="shared" si="4"/>
        <v>#DIV/0!</v>
      </c>
    </row>
    <row r="88" spans="1:8" s="1415" customFormat="1" ht="15.75" hidden="1" thickTop="1" x14ac:dyDescent="0.2">
      <c r="A88" s="1463">
        <v>4399</v>
      </c>
      <c r="B88" s="1471">
        <v>5139</v>
      </c>
      <c r="C88" s="1470">
        <v>33113233</v>
      </c>
      <c r="D88" s="1405" t="s">
        <v>249</v>
      </c>
      <c r="E88" s="1414"/>
      <c r="F88" s="1414"/>
      <c r="G88" s="1414"/>
      <c r="H88" s="1390" t="e">
        <f t="shared" si="4"/>
        <v>#DIV/0!</v>
      </c>
    </row>
    <row r="89" spans="1:8" s="1415" customFormat="1" ht="15.75" hidden="1" thickTop="1" x14ac:dyDescent="0.2">
      <c r="A89" s="1463">
        <v>4399</v>
      </c>
      <c r="B89" s="1471">
        <v>5139</v>
      </c>
      <c r="C89" s="1470">
        <v>33513233</v>
      </c>
      <c r="D89" s="1405" t="s">
        <v>249</v>
      </c>
      <c r="E89" s="1414"/>
      <c r="F89" s="1414"/>
      <c r="G89" s="1414"/>
      <c r="H89" s="1390" t="e">
        <f t="shared" si="4"/>
        <v>#DIV/0!</v>
      </c>
    </row>
    <row r="90" spans="1:8" ht="15.75" hidden="1" thickTop="1" x14ac:dyDescent="0.2">
      <c r="A90" s="1463">
        <v>4399</v>
      </c>
      <c r="B90" s="1471">
        <v>5162</v>
      </c>
      <c r="C90" s="1470">
        <v>33113233</v>
      </c>
      <c r="D90" s="1405" t="s">
        <v>780</v>
      </c>
      <c r="E90" s="1414"/>
      <c r="F90" s="1414"/>
      <c r="G90" s="1414"/>
      <c r="H90" s="1390">
        <v>0</v>
      </c>
    </row>
    <row r="91" spans="1:8" ht="15.75" hidden="1" thickTop="1" x14ac:dyDescent="0.2">
      <c r="A91" s="1463">
        <v>4399</v>
      </c>
      <c r="B91" s="1471">
        <v>5162</v>
      </c>
      <c r="C91" s="1470">
        <v>33513233</v>
      </c>
      <c r="D91" s="1405" t="s">
        <v>780</v>
      </c>
      <c r="E91" s="1414"/>
      <c r="F91" s="1414"/>
      <c r="G91" s="1414"/>
      <c r="H91" s="1390">
        <v>0</v>
      </c>
    </row>
    <row r="92" spans="1:8" ht="15.75" hidden="1" thickTop="1" x14ac:dyDescent="0.2">
      <c r="A92" s="1463">
        <v>4399</v>
      </c>
      <c r="B92" s="1471">
        <v>5164</v>
      </c>
      <c r="C92" s="1470">
        <v>33113233</v>
      </c>
      <c r="D92" s="1405" t="s">
        <v>157</v>
      </c>
      <c r="E92" s="1414"/>
      <c r="F92" s="1414"/>
      <c r="G92" s="1414"/>
      <c r="H92" s="1390" t="e">
        <f t="shared" ref="H92:H99" si="5">G92/F92*100</f>
        <v>#DIV/0!</v>
      </c>
    </row>
    <row r="93" spans="1:8" ht="15.75" hidden="1" thickTop="1" x14ac:dyDescent="0.2">
      <c r="A93" s="1463">
        <v>4399</v>
      </c>
      <c r="B93" s="1471">
        <v>5164</v>
      </c>
      <c r="C93" s="1470">
        <v>33513233</v>
      </c>
      <c r="D93" s="1405" t="s">
        <v>157</v>
      </c>
      <c r="E93" s="1414"/>
      <c r="F93" s="1414"/>
      <c r="G93" s="1414"/>
      <c r="H93" s="1390" t="e">
        <f t="shared" si="5"/>
        <v>#DIV/0!</v>
      </c>
    </row>
    <row r="94" spans="1:8" ht="15.75" hidden="1" thickTop="1" x14ac:dyDescent="0.2">
      <c r="A94" s="1463">
        <v>4399</v>
      </c>
      <c r="B94" s="1471">
        <v>5166</v>
      </c>
      <c r="C94" s="1470">
        <v>33113233</v>
      </c>
      <c r="D94" s="1405" t="s">
        <v>553</v>
      </c>
      <c r="E94" s="1414"/>
      <c r="F94" s="1414"/>
      <c r="G94" s="1414"/>
      <c r="H94" s="1390" t="e">
        <f t="shared" si="5"/>
        <v>#DIV/0!</v>
      </c>
    </row>
    <row r="95" spans="1:8" ht="15.75" hidden="1" thickTop="1" x14ac:dyDescent="0.2">
      <c r="A95" s="1463">
        <v>4399</v>
      </c>
      <c r="B95" s="1471">
        <v>5166</v>
      </c>
      <c r="C95" s="1470">
        <v>33513233</v>
      </c>
      <c r="D95" s="1405" t="s">
        <v>553</v>
      </c>
      <c r="E95" s="1414"/>
      <c r="F95" s="1414"/>
      <c r="G95" s="1414"/>
      <c r="H95" s="1390" t="e">
        <f t="shared" si="5"/>
        <v>#DIV/0!</v>
      </c>
    </row>
    <row r="96" spans="1:8" ht="15.75" hidden="1" thickTop="1" x14ac:dyDescent="0.2">
      <c r="A96" s="1463">
        <v>4399</v>
      </c>
      <c r="B96" s="1471">
        <v>5169</v>
      </c>
      <c r="C96" s="1470">
        <v>33113233</v>
      </c>
      <c r="D96" s="1405" t="s">
        <v>769</v>
      </c>
      <c r="E96" s="1414"/>
      <c r="F96" s="1414"/>
      <c r="G96" s="1414"/>
      <c r="H96" s="1390" t="e">
        <f t="shared" si="5"/>
        <v>#DIV/0!</v>
      </c>
    </row>
    <row r="97" spans="1:9" ht="15.75" hidden="1" thickTop="1" x14ac:dyDescent="0.2">
      <c r="A97" s="1463">
        <v>4399</v>
      </c>
      <c r="B97" s="1469">
        <v>5169</v>
      </c>
      <c r="C97" s="1470">
        <v>33513233</v>
      </c>
      <c r="D97" s="1405" t="s">
        <v>769</v>
      </c>
      <c r="E97" s="1414"/>
      <c r="F97" s="1414"/>
      <c r="G97" s="1414"/>
      <c r="H97" s="1390" t="e">
        <f t="shared" si="5"/>
        <v>#DIV/0!</v>
      </c>
    </row>
    <row r="98" spans="1:9" ht="15.75" hidden="1" customHeight="1" x14ac:dyDescent="0.2">
      <c r="A98" s="1463">
        <v>4399</v>
      </c>
      <c r="B98" s="1469">
        <v>5175</v>
      </c>
      <c r="C98" s="1470">
        <v>33113233</v>
      </c>
      <c r="D98" s="1405" t="s">
        <v>605</v>
      </c>
      <c r="E98" s="1414"/>
      <c r="F98" s="1414"/>
      <c r="G98" s="1414"/>
      <c r="H98" s="1390" t="e">
        <f t="shared" si="5"/>
        <v>#DIV/0!</v>
      </c>
    </row>
    <row r="99" spans="1:9" ht="15.75" hidden="1" customHeight="1" x14ac:dyDescent="0.2">
      <c r="A99" s="1463">
        <v>4399</v>
      </c>
      <c r="B99" s="1469">
        <v>5175</v>
      </c>
      <c r="C99" s="1470">
        <v>33513233</v>
      </c>
      <c r="D99" s="1405" t="s">
        <v>605</v>
      </c>
      <c r="E99" s="1414"/>
      <c r="F99" s="1414"/>
      <c r="G99" s="1414"/>
      <c r="H99" s="1390" t="e">
        <f t="shared" si="5"/>
        <v>#DIV/0!</v>
      </c>
    </row>
    <row r="100" spans="1:9" ht="15.75" hidden="1" thickTop="1" x14ac:dyDescent="0.2">
      <c r="A100" s="1463">
        <v>4399</v>
      </c>
      <c r="B100" s="1469">
        <v>5424</v>
      </c>
      <c r="C100" s="1470">
        <v>33113233</v>
      </c>
      <c r="D100" s="1405" t="s">
        <v>587</v>
      </c>
      <c r="E100" s="1414"/>
      <c r="F100" s="1414"/>
      <c r="G100" s="1414"/>
      <c r="H100" s="1390">
        <v>0</v>
      </c>
    </row>
    <row r="101" spans="1:9" ht="15.75" thickTop="1" x14ac:dyDescent="0.2">
      <c r="A101" s="1463">
        <v>4399</v>
      </c>
      <c r="B101" s="1469">
        <v>5362</v>
      </c>
      <c r="C101" s="1529" t="s">
        <v>1760</v>
      </c>
      <c r="D101" s="1405" t="s">
        <v>1300</v>
      </c>
      <c r="E101" s="1414">
        <v>0</v>
      </c>
      <c r="F101" s="1414">
        <v>2</v>
      </c>
      <c r="G101" s="1414">
        <v>2</v>
      </c>
      <c r="H101" s="1390">
        <f>G101/F101*100</f>
        <v>100</v>
      </c>
    </row>
    <row r="102" spans="1:9" ht="15" hidden="1" x14ac:dyDescent="0.2">
      <c r="A102" s="1463">
        <v>4399</v>
      </c>
      <c r="B102" s="1469">
        <v>5901</v>
      </c>
      <c r="C102" s="1529">
        <v>33113233</v>
      </c>
      <c r="D102" s="1405" t="s">
        <v>547</v>
      </c>
      <c r="E102" s="1414"/>
      <c r="F102" s="1414"/>
      <c r="G102" s="1414"/>
      <c r="H102" s="1390" t="e">
        <f>G102/F102*100</f>
        <v>#DIV/0!</v>
      </c>
    </row>
    <row r="103" spans="1:9" s="1415" customFormat="1" ht="15.75" thickBot="1" x14ac:dyDescent="0.25">
      <c r="A103" s="1463">
        <v>4399</v>
      </c>
      <c r="B103" s="1469">
        <v>5363</v>
      </c>
      <c r="C103" s="1529" t="s">
        <v>1760</v>
      </c>
      <c r="D103" s="1405" t="s">
        <v>1353</v>
      </c>
      <c r="E103" s="1414">
        <v>0</v>
      </c>
      <c r="F103" s="1414">
        <v>120</v>
      </c>
      <c r="G103" s="1414">
        <v>80</v>
      </c>
      <c r="H103" s="1396">
        <v>0</v>
      </c>
    </row>
    <row r="104" spans="1:9" s="1397" customFormat="1" ht="16.5" thickTop="1" thickBot="1" x14ac:dyDescent="0.3">
      <c r="A104" s="3219" t="s">
        <v>690</v>
      </c>
      <c r="B104" s="3220"/>
      <c r="C104" s="3220"/>
      <c r="D104" s="3220"/>
      <c r="E104" s="1387">
        <f>SUM(E78:E103)</f>
        <v>0</v>
      </c>
      <c r="F104" s="1387">
        <f>SUM(F78:F103)</f>
        <v>122</v>
      </c>
      <c r="G104" s="1387">
        <f>SUM(G78:G103)</f>
        <v>82</v>
      </c>
      <c r="H104" s="1391">
        <f>G104/F104*100</f>
        <v>67.213114754098356</v>
      </c>
      <c r="I104" s="1476"/>
    </row>
    <row r="105" spans="1:9" ht="13.5" thickTop="1" x14ac:dyDescent="0.2">
      <c r="I105" s="1398"/>
    </row>
    <row r="106" spans="1:9" x14ac:dyDescent="0.2">
      <c r="I106" s="1398"/>
    </row>
    <row r="107" spans="1:9" ht="15" x14ac:dyDescent="0.25">
      <c r="A107" s="1541" t="s">
        <v>494</v>
      </c>
      <c r="B107" s="1423"/>
      <c r="C107" s="1423"/>
      <c r="D107" s="1423"/>
    </row>
    <row r="108" spans="1:9" ht="15.75" thickBot="1" x14ac:dyDescent="0.3">
      <c r="A108" s="1542" t="s">
        <v>52</v>
      </c>
      <c r="B108" s="1543"/>
      <c r="C108" s="1543"/>
      <c r="H108" s="1459" t="s">
        <v>148</v>
      </c>
    </row>
    <row r="109" spans="1:9" s="1292" customFormat="1" ht="25.5" thickTop="1" thickBot="1" x14ac:dyDescent="0.25">
      <c r="A109" s="1378" t="s">
        <v>149</v>
      </c>
      <c r="B109" s="1379" t="s">
        <v>688</v>
      </c>
      <c r="C109" s="1379" t="s">
        <v>345</v>
      </c>
      <c r="D109" s="1380" t="s">
        <v>151</v>
      </c>
      <c r="E109" s="1402" t="s">
        <v>569</v>
      </c>
      <c r="F109" s="1402" t="s">
        <v>570</v>
      </c>
      <c r="G109" s="1403" t="s">
        <v>797</v>
      </c>
      <c r="H109" s="1404" t="s">
        <v>798</v>
      </c>
    </row>
    <row r="110" spans="1:9" s="1292" customFormat="1" ht="13.5" thickTop="1" thickBot="1" x14ac:dyDescent="0.25">
      <c r="A110" s="1297">
        <v>1</v>
      </c>
      <c r="B110" s="1296">
        <v>2</v>
      </c>
      <c r="C110" s="1296">
        <v>3</v>
      </c>
      <c r="D110" s="1296">
        <v>4</v>
      </c>
      <c r="E110" s="1295">
        <v>5</v>
      </c>
      <c r="F110" s="1295">
        <v>6</v>
      </c>
      <c r="G110" s="1446">
        <v>7</v>
      </c>
      <c r="H110" s="1468" t="s">
        <v>54</v>
      </c>
    </row>
    <row r="111" spans="1:9" s="1473" customFormat="1" ht="15.75" hidden="1" customHeight="1" thickTop="1" x14ac:dyDescent="0.2">
      <c r="A111" s="1463">
        <v>6172</v>
      </c>
      <c r="B111" s="1469">
        <v>5011</v>
      </c>
      <c r="C111" s="1470">
        <v>33100880</v>
      </c>
      <c r="D111" s="1405" t="s">
        <v>189</v>
      </c>
      <c r="E111" s="1414"/>
      <c r="F111" s="1414"/>
      <c r="G111" s="1414"/>
      <c r="H111" s="1390" t="e">
        <f t="shared" ref="H111:H127" si="6">G111/F111*100</f>
        <v>#DIV/0!</v>
      </c>
    </row>
    <row r="112" spans="1:9" s="1473" customFormat="1" ht="15.75" hidden="1" thickTop="1" x14ac:dyDescent="0.2">
      <c r="A112" s="1463">
        <v>6172</v>
      </c>
      <c r="B112" s="1469">
        <v>5011</v>
      </c>
      <c r="C112" s="1470">
        <v>33514013</v>
      </c>
      <c r="D112" s="1405" t="s">
        <v>189</v>
      </c>
      <c r="E112" s="1414"/>
      <c r="F112" s="1414"/>
      <c r="G112" s="1414"/>
      <c r="H112" s="1390" t="e">
        <f t="shared" si="6"/>
        <v>#DIV/0!</v>
      </c>
    </row>
    <row r="113" spans="1:8" s="1473" customFormat="1" ht="15.75" hidden="1" thickTop="1" x14ac:dyDescent="0.2">
      <c r="A113" s="1463">
        <v>6172</v>
      </c>
      <c r="B113" s="1469">
        <v>5021</v>
      </c>
      <c r="C113" s="1470">
        <v>33100880</v>
      </c>
      <c r="D113" s="1405" t="s">
        <v>356</v>
      </c>
      <c r="E113" s="1414"/>
      <c r="F113" s="1414"/>
      <c r="G113" s="1414"/>
      <c r="H113" s="1390" t="e">
        <f t="shared" si="6"/>
        <v>#DIV/0!</v>
      </c>
    </row>
    <row r="114" spans="1:8" s="1473" customFormat="1" ht="15.75" hidden="1" thickTop="1" x14ac:dyDescent="0.2">
      <c r="A114" s="1463">
        <v>6172</v>
      </c>
      <c r="B114" s="1469">
        <v>5021</v>
      </c>
      <c r="C114" s="1470">
        <v>33514013</v>
      </c>
      <c r="D114" s="1405" t="s">
        <v>356</v>
      </c>
      <c r="E114" s="1414"/>
      <c r="F114" s="1414"/>
      <c r="G114" s="1414"/>
      <c r="H114" s="1390" t="e">
        <f t="shared" si="6"/>
        <v>#DIV/0!</v>
      </c>
    </row>
    <row r="115" spans="1:8" s="1473" customFormat="1" ht="30" hidden="1" customHeight="1" x14ac:dyDescent="0.2">
      <c r="A115" s="1463">
        <v>6172</v>
      </c>
      <c r="B115" s="1469">
        <v>5031</v>
      </c>
      <c r="C115" s="1470">
        <v>33100880</v>
      </c>
      <c r="D115" s="1405" t="s">
        <v>1165</v>
      </c>
      <c r="E115" s="1414"/>
      <c r="F115" s="1414"/>
      <c r="G115" s="1414"/>
      <c r="H115" s="1390" t="e">
        <f t="shared" si="6"/>
        <v>#DIV/0!</v>
      </c>
    </row>
    <row r="116" spans="1:8" s="1473" customFormat="1" ht="30" customHeight="1" thickTop="1" thickBot="1" x14ac:dyDescent="0.25">
      <c r="A116" s="1463">
        <v>6172</v>
      </c>
      <c r="B116" s="1469">
        <v>5363</v>
      </c>
      <c r="C116" s="1529" t="s">
        <v>1760</v>
      </c>
      <c r="D116" s="1405" t="s">
        <v>1353</v>
      </c>
      <c r="E116" s="1414">
        <v>0</v>
      </c>
      <c r="F116" s="1414">
        <v>179</v>
      </c>
      <c r="G116" s="1414">
        <v>179</v>
      </c>
      <c r="H116" s="1396">
        <f t="shared" si="6"/>
        <v>100</v>
      </c>
    </row>
    <row r="117" spans="1:8" s="1473" customFormat="1" ht="31.5" hidden="1" thickTop="1" thickBot="1" x14ac:dyDescent="0.25">
      <c r="A117" s="1463">
        <v>6172</v>
      </c>
      <c r="B117" s="1469">
        <v>5032</v>
      </c>
      <c r="C117" s="1470">
        <v>33100880</v>
      </c>
      <c r="D117" s="1405" t="s">
        <v>1058</v>
      </c>
      <c r="E117" s="1414"/>
      <c r="F117" s="1414"/>
      <c r="G117" s="1414"/>
      <c r="H117" s="1390" t="e">
        <f t="shared" si="6"/>
        <v>#DIV/0!</v>
      </c>
    </row>
    <row r="118" spans="1:8" s="1473" customFormat="1" ht="31.5" hidden="1" thickTop="1" thickBot="1" x14ac:dyDescent="0.25">
      <c r="A118" s="1463">
        <v>6172</v>
      </c>
      <c r="B118" s="1469">
        <v>5032</v>
      </c>
      <c r="C118" s="1470">
        <v>33514013</v>
      </c>
      <c r="D118" s="1405" t="s">
        <v>1058</v>
      </c>
      <c r="E118" s="1414"/>
      <c r="F118" s="1414"/>
      <c r="G118" s="1414"/>
      <c r="H118" s="1390" t="e">
        <f t="shared" si="6"/>
        <v>#DIV/0!</v>
      </c>
    </row>
    <row r="119" spans="1:8" s="1473" customFormat="1" ht="16.5" hidden="1" thickTop="1" thickBot="1" x14ac:dyDescent="0.25">
      <c r="A119" s="1463">
        <v>6172</v>
      </c>
      <c r="B119" s="1469">
        <v>5137</v>
      </c>
      <c r="C119" s="1470">
        <v>33100880</v>
      </c>
      <c r="D119" s="1405" t="s">
        <v>142</v>
      </c>
      <c r="E119" s="1414"/>
      <c r="F119" s="1414"/>
      <c r="G119" s="1414"/>
      <c r="H119" s="1390" t="e">
        <f t="shared" si="6"/>
        <v>#DIV/0!</v>
      </c>
    </row>
    <row r="120" spans="1:8" s="1473" customFormat="1" ht="16.5" hidden="1" thickTop="1" thickBot="1" x14ac:dyDescent="0.25">
      <c r="A120" s="1463">
        <v>6172</v>
      </c>
      <c r="B120" s="1469">
        <v>5137</v>
      </c>
      <c r="C120" s="1470">
        <v>33514013</v>
      </c>
      <c r="D120" s="1405" t="s">
        <v>142</v>
      </c>
      <c r="E120" s="1414"/>
      <c r="F120" s="1414"/>
      <c r="G120" s="1414"/>
      <c r="H120" s="1390" t="e">
        <f t="shared" si="6"/>
        <v>#DIV/0!</v>
      </c>
    </row>
    <row r="121" spans="1:8" s="1415" customFormat="1" ht="16.5" hidden="1" thickTop="1" thickBot="1" x14ac:dyDescent="0.25">
      <c r="A121" s="1463">
        <v>6172</v>
      </c>
      <c r="B121" s="1471">
        <v>5139</v>
      </c>
      <c r="C121" s="1470">
        <v>33100880</v>
      </c>
      <c r="D121" s="1405" t="s">
        <v>249</v>
      </c>
      <c r="E121" s="1414"/>
      <c r="F121" s="1414"/>
      <c r="G121" s="1414"/>
      <c r="H121" s="1390" t="e">
        <f t="shared" si="6"/>
        <v>#DIV/0!</v>
      </c>
    </row>
    <row r="122" spans="1:8" s="1415" customFormat="1" ht="16.5" hidden="1" thickTop="1" thickBot="1" x14ac:dyDescent="0.25">
      <c r="A122" s="1463">
        <v>6172</v>
      </c>
      <c r="B122" s="1471">
        <v>5139</v>
      </c>
      <c r="C122" s="1470">
        <v>33514013</v>
      </c>
      <c r="D122" s="1405" t="s">
        <v>249</v>
      </c>
      <c r="E122" s="1414"/>
      <c r="F122" s="1414"/>
      <c r="G122" s="1414"/>
      <c r="H122" s="1390" t="e">
        <f t="shared" si="6"/>
        <v>#DIV/0!</v>
      </c>
    </row>
    <row r="123" spans="1:8" ht="16.5" hidden="1" thickTop="1" thickBot="1" x14ac:dyDescent="0.25">
      <c r="A123" s="1463">
        <v>6172</v>
      </c>
      <c r="B123" s="1471">
        <v>5164</v>
      </c>
      <c r="C123" s="1470">
        <v>33100880</v>
      </c>
      <c r="D123" s="1405" t="s">
        <v>157</v>
      </c>
      <c r="E123" s="1414"/>
      <c r="F123" s="1414"/>
      <c r="G123" s="1414"/>
      <c r="H123" s="1390" t="e">
        <f t="shared" si="6"/>
        <v>#DIV/0!</v>
      </c>
    </row>
    <row r="124" spans="1:8" ht="16.5" hidden="1" thickTop="1" thickBot="1" x14ac:dyDescent="0.25">
      <c r="A124" s="1463">
        <v>6172</v>
      </c>
      <c r="B124" s="1471">
        <v>5164</v>
      </c>
      <c r="C124" s="1470">
        <v>33514013</v>
      </c>
      <c r="D124" s="1405" t="s">
        <v>157</v>
      </c>
      <c r="E124" s="1414"/>
      <c r="F124" s="1414"/>
      <c r="G124" s="1414"/>
      <c r="H124" s="1390" t="e">
        <f t="shared" si="6"/>
        <v>#DIV/0!</v>
      </c>
    </row>
    <row r="125" spans="1:8" ht="16.5" hidden="1" thickTop="1" thickBot="1" x14ac:dyDescent="0.25">
      <c r="A125" s="1463">
        <v>6172</v>
      </c>
      <c r="B125" s="1471">
        <v>5166</v>
      </c>
      <c r="C125" s="1470">
        <v>33100880</v>
      </c>
      <c r="D125" s="1405" t="s">
        <v>553</v>
      </c>
      <c r="E125" s="1414"/>
      <c r="F125" s="1414"/>
      <c r="G125" s="1414"/>
      <c r="H125" s="1390" t="e">
        <f t="shared" si="6"/>
        <v>#DIV/0!</v>
      </c>
    </row>
    <row r="126" spans="1:8" ht="16.5" hidden="1" thickTop="1" thickBot="1" x14ac:dyDescent="0.25">
      <c r="A126" s="1463">
        <v>6172</v>
      </c>
      <c r="B126" s="1471">
        <v>5166</v>
      </c>
      <c r="C126" s="1470">
        <v>33500881</v>
      </c>
      <c r="D126" s="1405" t="s">
        <v>553</v>
      </c>
      <c r="E126" s="1414"/>
      <c r="F126" s="1414"/>
      <c r="G126" s="1414"/>
      <c r="H126" s="1390" t="e">
        <f t="shared" si="6"/>
        <v>#DIV/0!</v>
      </c>
    </row>
    <row r="127" spans="1:8" ht="16.5" hidden="1" thickTop="1" thickBot="1" x14ac:dyDescent="0.25">
      <c r="A127" s="1463">
        <v>6172</v>
      </c>
      <c r="B127" s="1471">
        <v>5166</v>
      </c>
      <c r="C127" s="1470">
        <v>33514013</v>
      </c>
      <c r="D127" s="1405" t="s">
        <v>553</v>
      </c>
      <c r="E127" s="1414"/>
      <c r="F127" s="1414"/>
      <c r="G127" s="1414"/>
      <c r="H127" s="1390" t="e">
        <f t="shared" si="6"/>
        <v>#DIV/0!</v>
      </c>
    </row>
    <row r="128" spans="1:8" ht="16.5" hidden="1" thickTop="1" thickBot="1" x14ac:dyDescent="0.25">
      <c r="A128" s="1463">
        <v>6172</v>
      </c>
      <c r="B128" s="1471">
        <v>5166</v>
      </c>
      <c r="C128" s="1470">
        <v>38100880</v>
      </c>
      <c r="D128" s="1405" t="s">
        <v>553</v>
      </c>
      <c r="E128" s="1414"/>
      <c r="F128" s="1414"/>
      <c r="G128" s="1414"/>
      <c r="H128" s="1390">
        <v>0</v>
      </c>
    </row>
    <row r="129" spans="1:9" ht="16.5" hidden="1" thickTop="1" thickBot="1" x14ac:dyDescent="0.25">
      <c r="A129" s="1463">
        <v>6172</v>
      </c>
      <c r="B129" s="1471">
        <v>5169</v>
      </c>
      <c r="C129" s="1470">
        <v>33100880</v>
      </c>
      <c r="D129" s="1405" t="s">
        <v>769</v>
      </c>
      <c r="E129" s="1414"/>
      <c r="F129" s="1414"/>
      <c r="G129" s="1414"/>
      <c r="H129" s="1390" t="e">
        <f t="shared" ref="H129:H136" si="7">G129/F129*100</f>
        <v>#DIV/0!</v>
      </c>
    </row>
    <row r="130" spans="1:9" ht="16.5" hidden="1" thickTop="1" thickBot="1" x14ac:dyDescent="0.25">
      <c r="A130" s="1463">
        <v>6172</v>
      </c>
      <c r="B130" s="1469">
        <v>5169</v>
      </c>
      <c r="C130" s="1470">
        <v>33514013</v>
      </c>
      <c r="D130" s="1405" t="s">
        <v>769</v>
      </c>
      <c r="E130" s="1414"/>
      <c r="F130" s="1414"/>
      <c r="G130" s="1414"/>
      <c r="H130" s="1390" t="e">
        <f t="shared" si="7"/>
        <v>#DIV/0!</v>
      </c>
    </row>
    <row r="131" spans="1:9" ht="16.5" hidden="1" thickTop="1" thickBot="1" x14ac:dyDescent="0.25">
      <c r="A131" s="1463">
        <v>6172</v>
      </c>
      <c r="B131" s="1469">
        <v>5172</v>
      </c>
      <c r="C131" s="1470">
        <v>33100880</v>
      </c>
      <c r="D131" s="1405" t="s">
        <v>812</v>
      </c>
      <c r="E131" s="1414"/>
      <c r="F131" s="1414"/>
      <c r="G131" s="1414"/>
      <c r="H131" s="1390" t="e">
        <f t="shared" si="7"/>
        <v>#DIV/0!</v>
      </c>
    </row>
    <row r="132" spans="1:9" ht="16.5" hidden="1" thickTop="1" thickBot="1" x14ac:dyDescent="0.25">
      <c r="A132" s="1463">
        <v>6172</v>
      </c>
      <c r="B132" s="1469">
        <v>5172</v>
      </c>
      <c r="C132" s="1470">
        <v>33500881</v>
      </c>
      <c r="D132" s="1405" t="s">
        <v>812</v>
      </c>
      <c r="E132" s="1414"/>
      <c r="F132" s="1414"/>
      <c r="G132" s="1414"/>
      <c r="H132" s="1390" t="e">
        <f t="shared" si="7"/>
        <v>#DIV/0!</v>
      </c>
    </row>
    <row r="133" spans="1:9" ht="15.75" hidden="1" customHeight="1" x14ac:dyDescent="0.2">
      <c r="A133" s="1463">
        <v>6172</v>
      </c>
      <c r="B133" s="1469">
        <v>5175</v>
      </c>
      <c r="C133" s="1470">
        <v>33100880</v>
      </c>
      <c r="D133" s="1405" t="s">
        <v>945</v>
      </c>
      <c r="E133" s="1414"/>
      <c r="F133" s="1414"/>
      <c r="G133" s="1414"/>
      <c r="H133" s="1390" t="e">
        <f t="shared" si="7"/>
        <v>#DIV/0!</v>
      </c>
    </row>
    <row r="134" spans="1:9" s="1415" customFormat="1" ht="15.75" hidden="1" customHeight="1" x14ac:dyDescent="0.2">
      <c r="A134" s="1463">
        <v>6172</v>
      </c>
      <c r="B134" s="1469">
        <v>5175</v>
      </c>
      <c r="C134" s="1470">
        <v>33514013</v>
      </c>
      <c r="D134" s="1405" t="s">
        <v>945</v>
      </c>
      <c r="E134" s="1414"/>
      <c r="F134" s="1414"/>
      <c r="G134" s="1414"/>
      <c r="H134" s="1390" t="e">
        <f t="shared" si="7"/>
        <v>#DIV/0!</v>
      </c>
    </row>
    <row r="135" spans="1:9" s="1415" customFormat="1" ht="16.5" hidden="1" thickTop="1" thickBot="1" x14ac:dyDescent="0.25">
      <c r="A135" s="1463">
        <v>6172</v>
      </c>
      <c r="B135" s="1469">
        <v>6111</v>
      </c>
      <c r="C135" s="1470">
        <v>33100880</v>
      </c>
      <c r="D135" s="1405" t="s">
        <v>812</v>
      </c>
      <c r="E135" s="1414"/>
      <c r="F135" s="1414"/>
      <c r="G135" s="1414"/>
      <c r="H135" s="1390" t="e">
        <f t="shared" si="7"/>
        <v>#DIV/0!</v>
      </c>
    </row>
    <row r="136" spans="1:9" s="1415" customFormat="1" ht="16.5" hidden="1" thickTop="1" thickBot="1" x14ac:dyDescent="0.25">
      <c r="A136" s="1482">
        <v>6172</v>
      </c>
      <c r="B136" s="1483">
        <v>6111</v>
      </c>
      <c r="C136" s="1540">
        <v>33500881</v>
      </c>
      <c r="D136" s="1410" t="s">
        <v>812</v>
      </c>
      <c r="E136" s="1411"/>
      <c r="F136" s="1411"/>
      <c r="G136" s="1411"/>
      <c r="H136" s="1396" t="e">
        <f t="shared" si="7"/>
        <v>#DIV/0!</v>
      </c>
    </row>
    <row r="137" spans="1:9" s="1415" customFormat="1" ht="15.75" hidden="1" customHeight="1" thickBot="1" x14ac:dyDescent="0.25">
      <c r="A137" s="1463">
        <v>6330</v>
      </c>
      <c r="B137" s="1469">
        <v>5345</v>
      </c>
      <c r="C137" s="1470">
        <v>0</v>
      </c>
      <c r="D137" s="1405" t="s">
        <v>693</v>
      </c>
      <c r="E137" s="1414"/>
      <c r="F137" s="1414"/>
      <c r="G137" s="1414"/>
      <c r="H137" s="1396">
        <v>0</v>
      </c>
    </row>
    <row r="138" spans="1:9" s="1397" customFormat="1" ht="16.5" thickTop="1" thickBot="1" x14ac:dyDescent="0.3">
      <c r="A138" s="3219" t="s">
        <v>690</v>
      </c>
      <c r="B138" s="3220"/>
      <c r="C138" s="3220"/>
      <c r="D138" s="3220"/>
      <c r="E138" s="1387">
        <f>SUM(E111:E137)</f>
        <v>0</v>
      </c>
      <c r="F138" s="1387">
        <f>SUM(F111:F137)</f>
        <v>179</v>
      </c>
      <c r="G138" s="1387">
        <f>SUM(G111:G137)</f>
        <v>179</v>
      </c>
      <c r="H138" s="1396">
        <f>G138/F138*100</f>
        <v>100</v>
      </c>
      <c r="I138" s="1476"/>
    </row>
    <row r="139" spans="1:9" ht="13.5" thickTop="1" x14ac:dyDescent="0.2">
      <c r="I139" s="1398"/>
    </row>
    <row r="140" spans="1:9" x14ac:dyDescent="0.2">
      <c r="I140" s="1398"/>
    </row>
    <row r="141" spans="1:9" ht="15" x14ac:dyDescent="0.25">
      <c r="A141" s="1541" t="s">
        <v>946</v>
      </c>
      <c r="B141" s="1423"/>
      <c r="C141" s="1423"/>
      <c r="D141" s="1423"/>
    </row>
    <row r="142" spans="1:9" ht="15.75" thickBot="1" x14ac:dyDescent="0.3">
      <c r="A142" s="1542" t="s">
        <v>947</v>
      </c>
      <c r="B142" s="1543"/>
      <c r="C142" s="1543"/>
      <c r="H142" s="1459" t="s">
        <v>148</v>
      </c>
    </row>
    <row r="143" spans="1:9" s="1292" customFormat="1" ht="25.5" thickTop="1" thickBot="1" x14ac:dyDescent="0.25">
      <c r="A143" s="1378" t="s">
        <v>149</v>
      </c>
      <c r="B143" s="1379" t="s">
        <v>688</v>
      </c>
      <c r="C143" s="1379" t="s">
        <v>345</v>
      </c>
      <c r="D143" s="1380" t="s">
        <v>151</v>
      </c>
      <c r="E143" s="1402" t="s">
        <v>569</v>
      </c>
      <c r="F143" s="1402" t="s">
        <v>570</v>
      </c>
      <c r="G143" s="1403" t="s">
        <v>797</v>
      </c>
      <c r="H143" s="1404" t="s">
        <v>798</v>
      </c>
    </row>
    <row r="144" spans="1:9" s="1292" customFormat="1" ht="13.5" thickTop="1" thickBot="1" x14ac:dyDescent="0.25">
      <c r="A144" s="1297">
        <v>1</v>
      </c>
      <c r="B144" s="1296">
        <v>2</v>
      </c>
      <c r="C144" s="1296">
        <v>3</v>
      </c>
      <c r="D144" s="1296">
        <v>4</v>
      </c>
      <c r="E144" s="1295">
        <v>5</v>
      </c>
      <c r="F144" s="1295">
        <v>6</v>
      </c>
      <c r="G144" s="1446">
        <v>7</v>
      </c>
      <c r="H144" s="1468" t="s">
        <v>54</v>
      </c>
    </row>
    <row r="145" spans="1:8" s="1473" customFormat="1" ht="15.75" hidden="1" customHeight="1" thickTop="1" x14ac:dyDescent="0.2">
      <c r="A145" s="1463">
        <v>6172</v>
      </c>
      <c r="B145" s="1469">
        <v>5011</v>
      </c>
      <c r="C145" s="1470">
        <v>33100880</v>
      </c>
      <c r="D145" s="1405" t="s">
        <v>189</v>
      </c>
      <c r="E145" s="1414"/>
      <c r="F145" s="1414"/>
      <c r="G145" s="1414"/>
      <c r="H145" s="1390" t="e">
        <f t="shared" ref="H145:H161" si="8">G145/F145*100</f>
        <v>#DIV/0!</v>
      </c>
    </row>
    <row r="146" spans="1:8" s="1473" customFormat="1" ht="15.75" hidden="1" thickTop="1" x14ac:dyDescent="0.2">
      <c r="A146" s="1463">
        <v>6172</v>
      </c>
      <c r="B146" s="1469">
        <v>5011</v>
      </c>
      <c r="C146" s="1470">
        <v>33514012</v>
      </c>
      <c r="D146" s="1405" t="s">
        <v>189</v>
      </c>
      <c r="E146" s="1414"/>
      <c r="F146" s="1414"/>
      <c r="G146" s="1414"/>
      <c r="H146" s="1390" t="e">
        <f t="shared" si="8"/>
        <v>#DIV/0!</v>
      </c>
    </row>
    <row r="147" spans="1:8" s="1473" customFormat="1" ht="15.75" hidden="1" thickTop="1" x14ac:dyDescent="0.2">
      <c r="A147" s="1463">
        <v>6172</v>
      </c>
      <c r="B147" s="1469">
        <v>5021</v>
      </c>
      <c r="C147" s="1470">
        <v>33100880</v>
      </c>
      <c r="D147" s="1405" t="s">
        <v>356</v>
      </c>
      <c r="E147" s="1414"/>
      <c r="F147" s="1414"/>
      <c r="G147" s="1414"/>
      <c r="H147" s="1390" t="e">
        <f t="shared" si="8"/>
        <v>#DIV/0!</v>
      </c>
    </row>
    <row r="148" spans="1:8" s="1473" customFormat="1" ht="15.75" hidden="1" thickTop="1" x14ac:dyDescent="0.2">
      <c r="A148" s="1463">
        <v>6172</v>
      </c>
      <c r="B148" s="1469">
        <v>5021</v>
      </c>
      <c r="C148" s="1470">
        <v>33500881</v>
      </c>
      <c r="D148" s="1405" t="s">
        <v>356</v>
      </c>
      <c r="E148" s="1414"/>
      <c r="F148" s="1414"/>
      <c r="G148" s="1414"/>
      <c r="H148" s="1390" t="e">
        <f t="shared" si="8"/>
        <v>#DIV/0!</v>
      </c>
    </row>
    <row r="149" spans="1:8" s="1473" customFormat="1" ht="15.75" hidden="1" thickTop="1" x14ac:dyDescent="0.2">
      <c r="A149" s="1463">
        <v>6172</v>
      </c>
      <c r="B149" s="1469">
        <v>5021</v>
      </c>
      <c r="C149" s="1470">
        <v>33514012</v>
      </c>
      <c r="D149" s="1405" t="s">
        <v>356</v>
      </c>
      <c r="E149" s="1414"/>
      <c r="F149" s="1414"/>
      <c r="G149" s="1414"/>
      <c r="H149" s="1390" t="e">
        <f t="shared" si="8"/>
        <v>#DIV/0!</v>
      </c>
    </row>
    <row r="150" spans="1:8" s="1473" customFormat="1" ht="30" hidden="1" customHeight="1" x14ac:dyDescent="0.2">
      <c r="A150" s="1463">
        <v>6172</v>
      </c>
      <c r="B150" s="1469">
        <v>5031</v>
      </c>
      <c r="C150" s="1470">
        <v>33100880</v>
      </c>
      <c r="D150" s="1405" t="s">
        <v>1165</v>
      </c>
      <c r="E150" s="1414"/>
      <c r="F150" s="1414"/>
      <c r="G150" s="1414"/>
      <c r="H150" s="1390" t="e">
        <f t="shared" si="8"/>
        <v>#DIV/0!</v>
      </c>
    </row>
    <row r="151" spans="1:8" s="1473" customFormat="1" ht="30" hidden="1" customHeight="1" x14ac:dyDescent="0.2">
      <c r="A151" s="1463">
        <v>6172</v>
      </c>
      <c r="B151" s="1469">
        <v>5031</v>
      </c>
      <c r="C151" s="1470">
        <v>33514012</v>
      </c>
      <c r="D151" s="1405" t="s">
        <v>1165</v>
      </c>
      <c r="E151" s="1414"/>
      <c r="F151" s="1414"/>
      <c r="G151" s="1414"/>
      <c r="H151" s="1390" t="e">
        <f t="shared" si="8"/>
        <v>#DIV/0!</v>
      </c>
    </row>
    <row r="152" spans="1:8" s="1473" customFormat="1" ht="30.75" hidden="1" thickTop="1" x14ac:dyDescent="0.2">
      <c r="A152" s="1463">
        <v>6172</v>
      </c>
      <c r="B152" s="1469">
        <v>5032</v>
      </c>
      <c r="C152" s="1470">
        <v>33100880</v>
      </c>
      <c r="D152" s="1405" t="s">
        <v>1058</v>
      </c>
      <c r="E152" s="1414"/>
      <c r="F152" s="1414"/>
      <c r="G152" s="1414"/>
      <c r="H152" s="1390" t="e">
        <f t="shared" si="8"/>
        <v>#DIV/0!</v>
      </c>
    </row>
    <row r="153" spans="1:8" s="1473" customFormat="1" ht="30.75" hidden="1" thickTop="1" x14ac:dyDescent="0.2">
      <c r="A153" s="1463">
        <v>6172</v>
      </c>
      <c r="B153" s="1469">
        <v>5032</v>
      </c>
      <c r="C153" s="1470">
        <v>33514012</v>
      </c>
      <c r="D153" s="1405" t="s">
        <v>1058</v>
      </c>
      <c r="E153" s="1414"/>
      <c r="F153" s="1414"/>
      <c r="G153" s="1414"/>
      <c r="H153" s="1390" t="e">
        <f t="shared" si="8"/>
        <v>#DIV/0!</v>
      </c>
    </row>
    <row r="154" spans="1:8" s="1473" customFormat="1" ht="15.75" hidden="1" thickTop="1" x14ac:dyDescent="0.2">
      <c r="A154" s="1463">
        <v>6172</v>
      </c>
      <c r="B154" s="1469">
        <v>5137</v>
      </c>
      <c r="C154" s="1470">
        <v>33100880</v>
      </c>
      <c r="D154" s="1405" t="s">
        <v>142</v>
      </c>
      <c r="E154" s="1414"/>
      <c r="F154" s="1414"/>
      <c r="G154" s="1414"/>
      <c r="H154" s="1390" t="e">
        <f t="shared" si="8"/>
        <v>#DIV/0!</v>
      </c>
    </row>
    <row r="155" spans="1:8" s="1473" customFormat="1" ht="15.75" hidden="1" thickTop="1" x14ac:dyDescent="0.2">
      <c r="A155" s="1463">
        <v>6172</v>
      </c>
      <c r="B155" s="1469">
        <v>5137</v>
      </c>
      <c r="C155" s="1470">
        <v>33514012</v>
      </c>
      <c r="D155" s="1405" t="s">
        <v>142</v>
      </c>
      <c r="E155" s="1414"/>
      <c r="F155" s="1414"/>
      <c r="G155" s="1414"/>
      <c r="H155" s="1390" t="e">
        <f t="shared" si="8"/>
        <v>#DIV/0!</v>
      </c>
    </row>
    <row r="156" spans="1:8" s="1415" customFormat="1" ht="15.75" hidden="1" thickTop="1" x14ac:dyDescent="0.2">
      <c r="A156" s="1463">
        <v>6172</v>
      </c>
      <c r="B156" s="1471">
        <v>5139</v>
      </c>
      <c r="C156" s="1470">
        <v>33100880</v>
      </c>
      <c r="D156" s="1405" t="s">
        <v>249</v>
      </c>
      <c r="E156" s="1414"/>
      <c r="F156" s="1414"/>
      <c r="G156" s="1414"/>
      <c r="H156" s="1390" t="e">
        <f t="shared" si="8"/>
        <v>#DIV/0!</v>
      </c>
    </row>
    <row r="157" spans="1:8" s="1415" customFormat="1" ht="15.75" hidden="1" thickTop="1" x14ac:dyDescent="0.2">
      <c r="A157" s="1463">
        <v>6172</v>
      </c>
      <c r="B157" s="1471">
        <v>5139</v>
      </c>
      <c r="C157" s="1470">
        <v>33500881</v>
      </c>
      <c r="D157" s="1405" t="s">
        <v>249</v>
      </c>
      <c r="E157" s="1414"/>
      <c r="F157" s="1414"/>
      <c r="G157" s="1414"/>
      <c r="H157" s="1390" t="e">
        <f t="shared" si="8"/>
        <v>#DIV/0!</v>
      </c>
    </row>
    <row r="158" spans="1:8" ht="15.75" hidden="1" thickTop="1" x14ac:dyDescent="0.2">
      <c r="A158" s="1463">
        <v>6172</v>
      </c>
      <c r="B158" s="1471">
        <v>5139</v>
      </c>
      <c r="C158" s="1470">
        <v>33514012</v>
      </c>
      <c r="D158" s="1405" t="s">
        <v>249</v>
      </c>
      <c r="E158" s="1414"/>
      <c r="F158" s="1414"/>
      <c r="G158" s="1414"/>
      <c r="H158" s="1390" t="e">
        <f t="shared" si="8"/>
        <v>#DIV/0!</v>
      </c>
    </row>
    <row r="159" spans="1:8" ht="15.75" hidden="1" thickTop="1" x14ac:dyDescent="0.2">
      <c r="A159" s="1463">
        <v>6172</v>
      </c>
      <c r="B159" s="1471">
        <v>5162</v>
      </c>
      <c r="C159" s="1470">
        <v>33513233</v>
      </c>
      <c r="D159" s="1405" t="s">
        <v>780</v>
      </c>
      <c r="E159" s="1414"/>
      <c r="F159" s="1414"/>
      <c r="G159" s="1414"/>
      <c r="H159" s="1390" t="e">
        <f t="shared" si="8"/>
        <v>#DIV/0!</v>
      </c>
    </row>
    <row r="160" spans="1:8" ht="15.75" hidden="1" thickTop="1" x14ac:dyDescent="0.2">
      <c r="A160" s="1463">
        <v>6172</v>
      </c>
      <c r="B160" s="1471">
        <v>5166</v>
      </c>
      <c r="C160" s="1470">
        <v>33113233</v>
      </c>
      <c r="D160" s="1405" t="s">
        <v>553</v>
      </c>
      <c r="E160" s="1414"/>
      <c r="F160" s="1414"/>
      <c r="G160" s="1414"/>
      <c r="H160" s="1390" t="e">
        <f t="shared" si="8"/>
        <v>#DIV/0!</v>
      </c>
    </row>
    <row r="161" spans="1:9" ht="15.75" hidden="1" thickTop="1" x14ac:dyDescent="0.2">
      <c r="A161" s="1463">
        <v>6172</v>
      </c>
      <c r="B161" s="1471">
        <v>5166</v>
      </c>
      <c r="C161" s="1470">
        <v>33100880</v>
      </c>
      <c r="D161" s="1405" t="s">
        <v>553</v>
      </c>
      <c r="E161" s="1414"/>
      <c r="F161" s="1414"/>
      <c r="G161" s="1414"/>
      <c r="H161" s="1390" t="e">
        <f t="shared" si="8"/>
        <v>#DIV/0!</v>
      </c>
    </row>
    <row r="162" spans="1:9" ht="15.75" hidden="1" thickTop="1" x14ac:dyDescent="0.2">
      <c r="A162" s="1463">
        <v>6172</v>
      </c>
      <c r="B162" s="1471">
        <v>5166</v>
      </c>
      <c r="C162" s="1470">
        <v>33500881</v>
      </c>
      <c r="D162" s="1405" t="s">
        <v>553</v>
      </c>
      <c r="E162" s="1414"/>
      <c r="F162" s="1414"/>
      <c r="G162" s="1414"/>
      <c r="H162" s="1390">
        <v>0</v>
      </c>
    </row>
    <row r="163" spans="1:9" ht="15.75" hidden="1" thickTop="1" x14ac:dyDescent="0.2">
      <c r="A163" s="1463">
        <v>6172</v>
      </c>
      <c r="B163" s="1471">
        <v>5166</v>
      </c>
      <c r="C163" s="1470">
        <v>33514012</v>
      </c>
      <c r="D163" s="1405" t="s">
        <v>553</v>
      </c>
      <c r="E163" s="1414"/>
      <c r="F163" s="1414"/>
      <c r="G163" s="1414"/>
      <c r="H163" s="1390" t="e">
        <f>G163/F163*100</f>
        <v>#DIV/0!</v>
      </c>
    </row>
    <row r="164" spans="1:9" ht="15.75" hidden="1" thickTop="1" x14ac:dyDescent="0.2">
      <c r="A164" s="1463">
        <v>6172</v>
      </c>
      <c r="B164" s="1469">
        <v>5173</v>
      </c>
      <c r="C164" s="1470">
        <v>33113233</v>
      </c>
      <c r="D164" s="1405" t="s">
        <v>1038</v>
      </c>
      <c r="E164" s="1414">
        <v>0</v>
      </c>
      <c r="F164" s="1414">
        <v>0</v>
      </c>
      <c r="G164" s="1414">
        <v>0</v>
      </c>
      <c r="H164" s="1390" t="e">
        <f>G164/F164*100</f>
        <v>#DIV/0!</v>
      </c>
    </row>
    <row r="165" spans="1:9" ht="15.75" hidden="1" thickTop="1" x14ac:dyDescent="0.2">
      <c r="A165" s="1463">
        <v>6172</v>
      </c>
      <c r="B165" s="1469">
        <v>5173</v>
      </c>
      <c r="C165" s="1470">
        <v>33513233</v>
      </c>
      <c r="D165" s="1405" t="s">
        <v>1038</v>
      </c>
      <c r="E165" s="1414">
        <v>0</v>
      </c>
      <c r="F165" s="1414">
        <v>0</v>
      </c>
      <c r="G165" s="1414">
        <v>0</v>
      </c>
      <c r="H165" s="1390" t="e">
        <f>G165/F165*100</f>
        <v>#DIV/0!</v>
      </c>
    </row>
    <row r="166" spans="1:9" ht="15.75" hidden="1" thickTop="1" x14ac:dyDescent="0.2">
      <c r="A166" s="1463">
        <v>6172</v>
      </c>
      <c r="B166" s="1469">
        <v>5901</v>
      </c>
      <c r="C166" s="1470">
        <v>33100880</v>
      </c>
      <c r="D166" s="1405" t="s">
        <v>547</v>
      </c>
      <c r="E166" s="1414">
        <v>0</v>
      </c>
      <c r="F166" s="1414">
        <v>0</v>
      </c>
      <c r="G166" s="1414">
        <v>0</v>
      </c>
      <c r="H166" s="1390" t="e">
        <f>G166/F166*100</f>
        <v>#DIV/0!</v>
      </c>
    </row>
    <row r="167" spans="1:9" s="1415" customFormat="1" ht="16.5" thickTop="1" thickBot="1" x14ac:dyDescent="0.25">
      <c r="A167" s="1463">
        <v>6172</v>
      </c>
      <c r="B167" s="1469">
        <v>5363</v>
      </c>
      <c r="C167" s="1529" t="s">
        <v>1760</v>
      </c>
      <c r="D167" s="1405" t="s">
        <v>1353</v>
      </c>
      <c r="E167" s="1414">
        <v>0</v>
      </c>
      <c r="F167" s="1414">
        <v>29</v>
      </c>
      <c r="G167" s="1414">
        <v>20</v>
      </c>
      <c r="H167" s="1390">
        <f>G167/F167*100</f>
        <v>68.965517241379317</v>
      </c>
    </row>
    <row r="168" spans="1:9" s="1415" customFormat="1" ht="15.75" hidden="1" thickBot="1" x14ac:dyDescent="0.25">
      <c r="A168" s="1463">
        <v>6330</v>
      </c>
      <c r="B168" s="1469">
        <v>5345</v>
      </c>
      <c r="C168" s="1470">
        <v>0</v>
      </c>
      <c r="D168" s="1405" t="s">
        <v>693</v>
      </c>
      <c r="E168" s="1414">
        <v>0</v>
      </c>
      <c r="F168" s="1414">
        <v>0</v>
      </c>
      <c r="G168" s="1414">
        <v>0</v>
      </c>
      <c r="H168" s="1396">
        <v>0</v>
      </c>
    </row>
    <row r="169" spans="1:9" s="1397" customFormat="1" ht="16.5" thickTop="1" thickBot="1" x14ac:dyDescent="0.3">
      <c r="A169" s="3219" t="s">
        <v>690</v>
      </c>
      <c r="B169" s="3220"/>
      <c r="C169" s="3220"/>
      <c r="D169" s="3220"/>
      <c r="E169" s="1387">
        <f>SUM(E145:E168)</f>
        <v>0</v>
      </c>
      <c r="F169" s="1387">
        <f>SUM(F145:F168)</f>
        <v>29</v>
      </c>
      <c r="G169" s="1387">
        <f>SUM(G145:G168)</f>
        <v>20</v>
      </c>
      <c r="H169" s="1391">
        <f>G169/F169*100</f>
        <v>68.965517241379317</v>
      </c>
      <c r="I169" s="1476"/>
    </row>
    <row r="170" spans="1:9" ht="13.5" thickTop="1" x14ac:dyDescent="0.2">
      <c r="I170" s="1398"/>
    </row>
    <row r="171" spans="1:9" ht="15" x14ac:dyDescent="0.25">
      <c r="A171" s="1541" t="s">
        <v>1514</v>
      </c>
      <c r="B171" s="1423"/>
      <c r="C171" s="1423"/>
      <c r="D171" s="1423"/>
    </row>
    <row r="172" spans="1:9" ht="15.75" thickBot="1" x14ac:dyDescent="0.3">
      <c r="A172" s="1542" t="s">
        <v>1515</v>
      </c>
      <c r="B172" s="1543"/>
      <c r="C172" s="1543"/>
      <c r="H172" s="1459" t="s">
        <v>148</v>
      </c>
    </row>
    <row r="173" spans="1:9" s="1292" customFormat="1" ht="25.5" thickTop="1" thickBot="1" x14ac:dyDescent="0.25">
      <c r="A173" s="1378" t="s">
        <v>149</v>
      </c>
      <c r="B173" s="1379" t="s">
        <v>688</v>
      </c>
      <c r="C173" s="1379" t="s">
        <v>345</v>
      </c>
      <c r="D173" s="1380" t="s">
        <v>151</v>
      </c>
      <c r="E173" s="1402" t="s">
        <v>569</v>
      </c>
      <c r="F173" s="1402" t="s">
        <v>570</v>
      </c>
      <c r="G173" s="1403" t="s">
        <v>797</v>
      </c>
      <c r="H173" s="1404" t="s">
        <v>798</v>
      </c>
    </row>
    <row r="174" spans="1:9" s="1292" customFormat="1" ht="13.5" thickTop="1" thickBot="1" x14ac:dyDescent="0.25">
      <c r="A174" s="1297">
        <v>1</v>
      </c>
      <c r="B174" s="1296">
        <v>2</v>
      </c>
      <c r="C174" s="1296">
        <v>3</v>
      </c>
      <c r="D174" s="1296">
        <v>4</v>
      </c>
      <c r="E174" s="1295">
        <v>5</v>
      </c>
      <c r="F174" s="1295">
        <v>6</v>
      </c>
      <c r="G174" s="1446">
        <v>7</v>
      </c>
      <c r="H174" s="1468" t="s">
        <v>54</v>
      </c>
    </row>
    <row r="175" spans="1:9" s="1473" customFormat="1" ht="15.75" customHeight="1" thickTop="1" x14ac:dyDescent="0.2">
      <c r="A175" s="1463">
        <v>4378</v>
      </c>
      <c r="B175" s="1469">
        <v>5011</v>
      </c>
      <c r="C175" s="1529" t="s">
        <v>1768</v>
      </c>
      <c r="D175" s="1405" t="s">
        <v>189</v>
      </c>
      <c r="E175" s="1414">
        <v>0</v>
      </c>
      <c r="F175" s="1414">
        <v>47</v>
      </c>
      <c r="G175" s="1414">
        <v>15</v>
      </c>
      <c r="H175" s="1390">
        <f t="shared" ref="H175:H199" si="9">G175/F175*100</f>
        <v>31.914893617021278</v>
      </c>
    </row>
    <row r="176" spans="1:9" s="1473" customFormat="1" ht="15" x14ac:dyDescent="0.2">
      <c r="A176" s="1463">
        <v>4378</v>
      </c>
      <c r="B176" s="1469">
        <v>5011</v>
      </c>
      <c r="C176" s="1529" t="s">
        <v>1769</v>
      </c>
      <c r="D176" s="1405" t="s">
        <v>189</v>
      </c>
      <c r="E176" s="1414">
        <v>0</v>
      </c>
      <c r="F176" s="1414">
        <v>267</v>
      </c>
      <c r="G176" s="1414">
        <v>88</v>
      </c>
      <c r="H176" s="1390">
        <f t="shared" si="9"/>
        <v>32.958801498127336</v>
      </c>
    </row>
    <row r="177" spans="1:8" s="1473" customFormat="1" ht="15" hidden="1" x14ac:dyDescent="0.2">
      <c r="A177" s="1463">
        <v>4378</v>
      </c>
      <c r="B177" s="1469">
        <v>5021</v>
      </c>
      <c r="C177" s="1529">
        <v>33113233</v>
      </c>
      <c r="D177" s="1405" t="s">
        <v>356</v>
      </c>
      <c r="E177" s="1414"/>
      <c r="F177" s="1414"/>
      <c r="G177" s="1414"/>
      <c r="H177" s="1390" t="e">
        <f t="shared" si="9"/>
        <v>#DIV/0!</v>
      </c>
    </row>
    <row r="178" spans="1:8" s="1473" customFormat="1" ht="15" hidden="1" x14ac:dyDescent="0.2">
      <c r="A178" s="1463">
        <v>4378</v>
      </c>
      <c r="B178" s="1469">
        <v>5021</v>
      </c>
      <c r="C178" s="1529">
        <v>33513233</v>
      </c>
      <c r="D178" s="1405" t="s">
        <v>356</v>
      </c>
      <c r="E178" s="1414"/>
      <c r="F178" s="1414"/>
      <c r="G178" s="1414"/>
      <c r="H178" s="1390" t="e">
        <f t="shared" si="9"/>
        <v>#DIV/0!</v>
      </c>
    </row>
    <row r="179" spans="1:8" s="1473" customFormat="1" ht="15" hidden="1" x14ac:dyDescent="0.2">
      <c r="A179" s="1463">
        <v>4378</v>
      </c>
      <c r="B179" s="1469">
        <v>5021</v>
      </c>
      <c r="C179" s="1529">
        <v>33113233</v>
      </c>
      <c r="D179" s="1405" t="s">
        <v>356</v>
      </c>
      <c r="E179" s="1414"/>
      <c r="F179" s="1414"/>
      <c r="G179" s="1414"/>
      <c r="H179" s="1390" t="e">
        <f t="shared" si="9"/>
        <v>#DIV/0!</v>
      </c>
    </row>
    <row r="180" spans="1:8" s="1473" customFormat="1" ht="30" customHeight="1" x14ac:dyDescent="0.2">
      <c r="A180" s="1463">
        <v>4378</v>
      </c>
      <c r="B180" s="1469">
        <v>5031</v>
      </c>
      <c r="C180" s="1529" t="s">
        <v>1769</v>
      </c>
      <c r="D180" s="1405" t="s">
        <v>1165</v>
      </c>
      <c r="E180" s="1414">
        <v>0</v>
      </c>
      <c r="F180" s="1414">
        <v>12</v>
      </c>
      <c r="G180" s="1414">
        <v>4</v>
      </c>
      <c r="H180" s="1390">
        <f t="shared" si="9"/>
        <v>33.333333333333329</v>
      </c>
    </row>
    <row r="181" spans="1:8" s="1473" customFormat="1" ht="30" customHeight="1" x14ac:dyDescent="0.2">
      <c r="A181" s="1463">
        <v>4378</v>
      </c>
      <c r="B181" s="1469">
        <v>5031</v>
      </c>
      <c r="C181" s="1529" t="s">
        <v>1768</v>
      </c>
      <c r="D181" s="1405" t="s">
        <v>1165</v>
      </c>
      <c r="E181" s="1414">
        <v>0</v>
      </c>
      <c r="F181" s="1414">
        <v>71</v>
      </c>
      <c r="G181" s="1414">
        <v>22</v>
      </c>
      <c r="H181" s="1390">
        <f t="shared" si="9"/>
        <v>30.985915492957744</v>
      </c>
    </row>
    <row r="182" spans="1:8" s="1473" customFormat="1" ht="30" x14ac:dyDescent="0.2">
      <c r="A182" s="1463">
        <v>4378</v>
      </c>
      <c r="B182" s="1469">
        <v>5032</v>
      </c>
      <c r="C182" s="1529" t="s">
        <v>1769</v>
      </c>
      <c r="D182" s="1405" t="s">
        <v>1058</v>
      </c>
      <c r="E182" s="1414">
        <v>0</v>
      </c>
      <c r="F182" s="1414">
        <v>6</v>
      </c>
      <c r="G182" s="1414">
        <v>1</v>
      </c>
      <c r="H182" s="1390">
        <f t="shared" si="9"/>
        <v>16.666666666666664</v>
      </c>
    </row>
    <row r="183" spans="1:8" s="1473" customFormat="1" ht="30" x14ac:dyDescent="0.2">
      <c r="A183" s="1463">
        <v>4378</v>
      </c>
      <c r="B183" s="1469">
        <v>5032</v>
      </c>
      <c r="C183" s="1529" t="s">
        <v>1768</v>
      </c>
      <c r="D183" s="1405" t="s">
        <v>1058</v>
      </c>
      <c r="E183" s="1414">
        <v>0</v>
      </c>
      <c r="F183" s="1414">
        <v>33</v>
      </c>
      <c r="G183" s="1414">
        <v>8</v>
      </c>
      <c r="H183" s="1390">
        <f t="shared" si="9"/>
        <v>24.242424242424242</v>
      </c>
    </row>
    <row r="184" spans="1:8" s="1473" customFormat="1" ht="15" hidden="1" x14ac:dyDescent="0.2">
      <c r="A184" s="1463">
        <v>4378</v>
      </c>
      <c r="B184" s="1469">
        <v>5137</v>
      </c>
      <c r="C184" s="1529">
        <v>33513233</v>
      </c>
      <c r="D184" s="1405" t="s">
        <v>142</v>
      </c>
      <c r="E184" s="1414"/>
      <c r="F184" s="1414"/>
      <c r="G184" s="1414"/>
      <c r="H184" s="1390" t="e">
        <f t="shared" si="9"/>
        <v>#DIV/0!</v>
      </c>
    </row>
    <row r="185" spans="1:8" s="1473" customFormat="1" ht="15" hidden="1" x14ac:dyDescent="0.2">
      <c r="A185" s="1463">
        <v>4378</v>
      </c>
      <c r="B185" s="1469">
        <v>5137</v>
      </c>
      <c r="C185" s="1529">
        <v>33514012</v>
      </c>
      <c r="D185" s="1405" t="s">
        <v>142</v>
      </c>
      <c r="E185" s="1414"/>
      <c r="F185" s="1414"/>
      <c r="G185" s="1414"/>
      <c r="H185" s="1390" t="e">
        <f t="shared" si="9"/>
        <v>#DIV/0!</v>
      </c>
    </row>
    <row r="186" spans="1:8" s="1415" customFormat="1" ht="15" hidden="1" x14ac:dyDescent="0.2">
      <c r="A186" s="1463">
        <v>4378</v>
      </c>
      <c r="B186" s="1471">
        <v>5139</v>
      </c>
      <c r="C186" s="1529" t="s">
        <v>1768</v>
      </c>
      <c r="D186" s="1405" t="s">
        <v>249</v>
      </c>
      <c r="E186" s="1414"/>
      <c r="F186" s="1414"/>
      <c r="G186" s="1414"/>
      <c r="H186" s="1390" t="e">
        <f t="shared" si="9"/>
        <v>#DIV/0!</v>
      </c>
    </row>
    <row r="187" spans="1:8" s="1415" customFormat="1" ht="15" hidden="1" x14ac:dyDescent="0.2">
      <c r="A187" s="1463">
        <v>4378</v>
      </c>
      <c r="B187" s="1471">
        <v>5139</v>
      </c>
      <c r="C187" s="1529" t="s">
        <v>1769</v>
      </c>
      <c r="D187" s="1405" t="s">
        <v>249</v>
      </c>
      <c r="E187" s="1414"/>
      <c r="F187" s="1414"/>
      <c r="G187" s="1414"/>
      <c r="H187" s="1390" t="e">
        <f t="shared" si="9"/>
        <v>#DIV/0!</v>
      </c>
    </row>
    <row r="188" spans="1:8" ht="15" hidden="1" x14ac:dyDescent="0.2">
      <c r="A188" s="1463">
        <v>4378</v>
      </c>
      <c r="B188" s="1471">
        <v>5139</v>
      </c>
      <c r="C188" s="1529">
        <v>33113233</v>
      </c>
      <c r="D188" s="1405" t="s">
        <v>249</v>
      </c>
      <c r="E188" s="1414"/>
      <c r="F188" s="1414"/>
      <c r="G188" s="1414"/>
      <c r="H188" s="1390" t="e">
        <f t="shared" si="9"/>
        <v>#DIV/0!</v>
      </c>
    </row>
    <row r="189" spans="1:8" ht="15" hidden="1" x14ac:dyDescent="0.2">
      <c r="A189" s="1463">
        <v>4378</v>
      </c>
      <c r="B189" s="1471">
        <v>5162</v>
      </c>
      <c r="C189" s="1529">
        <v>33513233</v>
      </c>
      <c r="D189" s="1405" t="s">
        <v>780</v>
      </c>
      <c r="E189" s="1414"/>
      <c r="F189" s="1414"/>
      <c r="G189" s="1414"/>
      <c r="H189" s="1390" t="e">
        <f t="shared" si="9"/>
        <v>#DIV/0!</v>
      </c>
    </row>
    <row r="190" spans="1:8" ht="15" hidden="1" x14ac:dyDescent="0.2">
      <c r="A190" s="1463">
        <v>4378</v>
      </c>
      <c r="B190" s="1471">
        <v>5166</v>
      </c>
      <c r="C190" s="1529">
        <v>33113233</v>
      </c>
      <c r="D190" s="1405" t="s">
        <v>553</v>
      </c>
      <c r="E190" s="1414"/>
      <c r="F190" s="1414"/>
      <c r="G190" s="1414"/>
      <c r="H190" s="1390" t="e">
        <f t="shared" si="9"/>
        <v>#DIV/0!</v>
      </c>
    </row>
    <row r="191" spans="1:8" ht="15" x14ac:dyDescent="0.2">
      <c r="A191" s="1463">
        <v>4378</v>
      </c>
      <c r="B191" s="1471">
        <v>5166</v>
      </c>
      <c r="C191" s="1529" t="s">
        <v>1768</v>
      </c>
      <c r="D191" s="1405" t="s">
        <v>553</v>
      </c>
      <c r="E191" s="1414">
        <v>0</v>
      </c>
      <c r="F191" s="1414">
        <v>33</v>
      </c>
      <c r="G191" s="1414">
        <v>23</v>
      </c>
      <c r="H191" s="1390">
        <f t="shared" si="9"/>
        <v>69.696969696969703</v>
      </c>
    </row>
    <row r="192" spans="1:8" ht="15" x14ac:dyDescent="0.2">
      <c r="A192" s="1463">
        <v>4378</v>
      </c>
      <c r="B192" s="1471">
        <v>5166</v>
      </c>
      <c r="C192" s="1529" t="s">
        <v>1769</v>
      </c>
      <c r="D192" s="1405" t="s">
        <v>553</v>
      </c>
      <c r="E192" s="1414">
        <v>0</v>
      </c>
      <c r="F192" s="1414">
        <v>187</v>
      </c>
      <c r="G192" s="1414">
        <v>129</v>
      </c>
      <c r="H192" s="1390">
        <f t="shared" si="9"/>
        <v>68.983957219251337</v>
      </c>
    </row>
    <row r="193" spans="1:9" ht="15" hidden="1" x14ac:dyDescent="0.2">
      <c r="A193" s="1463">
        <v>4378</v>
      </c>
      <c r="B193" s="1471">
        <v>5166</v>
      </c>
      <c r="C193" s="1529">
        <v>33113233</v>
      </c>
      <c r="D193" s="1405" t="s">
        <v>553</v>
      </c>
      <c r="E193" s="1414"/>
      <c r="F193" s="1414"/>
      <c r="G193" s="1414"/>
      <c r="H193" s="1390" t="e">
        <f t="shared" si="9"/>
        <v>#DIV/0!</v>
      </c>
    </row>
    <row r="194" spans="1:9" ht="15" x14ac:dyDescent="0.2">
      <c r="A194" s="1463">
        <v>4378</v>
      </c>
      <c r="B194" s="1469">
        <v>5169</v>
      </c>
      <c r="C194" s="1529" t="s">
        <v>1768</v>
      </c>
      <c r="D194" s="1405" t="s">
        <v>769</v>
      </c>
      <c r="E194" s="1414">
        <v>0</v>
      </c>
      <c r="F194" s="1414">
        <v>1018</v>
      </c>
      <c r="G194" s="1414">
        <v>784</v>
      </c>
      <c r="H194" s="1390">
        <f t="shared" si="9"/>
        <v>77.013752455795682</v>
      </c>
    </row>
    <row r="195" spans="1:9" ht="15" x14ac:dyDescent="0.2">
      <c r="A195" s="1463">
        <v>4378</v>
      </c>
      <c r="B195" s="1469">
        <v>5169</v>
      </c>
      <c r="C195" s="1529" t="s">
        <v>1769</v>
      </c>
      <c r="D195" s="1405" t="s">
        <v>769</v>
      </c>
      <c r="E195" s="1414">
        <v>0</v>
      </c>
      <c r="F195" s="1414">
        <v>5768</v>
      </c>
      <c r="G195" s="1414">
        <v>4442</v>
      </c>
      <c r="H195" s="1390">
        <f t="shared" si="9"/>
        <v>77.011095700416092</v>
      </c>
    </row>
    <row r="196" spans="1:9" ht="15" x14ac:dyDescent="0.2">
      <c r="A196" s="1463">
        <v>4378</v>
      </c>
      <c r="B196" s="1469">
        <v>5175</v>
      </c>
      <c r="C196" s="1529" t="s">
        <v>1768</v>
      </c>
      <c r="D196" s="1405" t="s">
        <v>605</v>
      </c>
      <c r="E196" s="1414">
        <v>0</v>
      </c>
      <c r="F196" s="1414">
        <v>3</v>
      </c>
      <c r="G196" s="1414">
        <v>1</v>
      </c>
      <c r="H196" s="1390">
        <f t="shared" si="9"/>
        <v>33.333333333333329</v>
      </c>
    </row>
    <row r="197" spans="1:9" s="1415" customFormat="1" ht="15" x14ac:dyDescent="0.2">
      <c r="A197" s="1463">
        <v>4378</v>
      </c>
      <c r="B197" s="1469">
        <v>5175</v>
      </c>
      <c r="C197" s="1529" t="s">
        <v>1769</v>
      </c>
      <c r="D197" s="1405" t="s">
        <v>605</v>
      </c>
      <c r="E197" s="1414">
        <v>0</v>
      </c>
      <c r="F197" s="1414">
        <v>17</v>
      </c>
      <c r="G197" s="1414">
        <v>4</v>
      </c>
      <c r="H197" s="1390">
        <f t="shared" si="9"/>
        <v>23.52941176470588</v>
      </c>
    </row>
    <row r="198" spans="1:9" s="1415" customFormat="1" ht="15" x14ac:dyDescent="0.2">
      <c r="A198" s="1463">
        <v>4378</v>
      </c>
      <c r="B198" s="1469">
        <v>5424</v>
      </c>
      <c r="C198" s="1529" t="s">
        <v>1768</v>
      </c>
      <c r="D198" s="1405" t="s">
        <v>587</v>
      </c>
      <c r="E198" s="1414">
        <v>0</v>
      </c>
      <c r="F198" s="1414">
        <v>5</v>
      </c>
      <c r="G198" s="1414">
        <v>0</v>
      </c>
      <c r="H198" s="1390">
        <f t="shared" si="9"/>
        <v>0</v>
      </c>
    </row>
    <row r="199" spans="1:9" s="1415" customFormat="1" ht="15.75" thickBot="1" x14ac:dyDescent="0.25">
      <c r="A199" s="1463">
        <v>4378</v>
      </c>
      <c r="B199" s="1469">
        <v>5424</v>
      </c>
      <c r="C199" s="1529" t="s">
        <v>1769</v>
      </c>
      <c r="D199" s="1405" t="s">
        <v>587</v>
      </c>
      <c r="E199" s="1414">
        <v>0</v>
      </c>
      <c r="F199" s="1414">
        <v>30</v>
      </c>
      <c r="G199" s="1414">
        <v>0</v>
      </c>
      <c r="H199" s="1390">
        <f t="shared" si="9"/>
        <v>0</v>
      </c>
    </row>
    <row r="200" spans="1:9" s="1415" customFormat="1" ht="15.75" hidden="1" thickBot="1" x14ac:dyDescent="0.25">
      <c r="A200" s="1463">
        <v>6330</v>
      </c>
      <c r="B200" s="1469">
        <v>5345</v>
      </c>
      <c r="C200" s="1529" t="s">
        <v>2100</v>
      </c>
      <c r="D200" s="1405" t="s">
        <v>693</v>
      </c>
      <c r="E200" s="1414"/>
      <c r="F200" s="1414"/>
      <c r="G200" s="1414"/>
      <c r="H200" s="1396">
        <v>0</v>
      </c>
    </row>
    <row r="201" spans="1:9" s="1397" customFormat="1" ht="16.5" thickTop="1" thickBot="1" x14ac:dyDescent="0.3">
      <c r="A201" s="3219" t="s">
        <v>690</v>
      </c>
      <c r="B201" s="3220"/>
      <c r="C201" s="3220"/>
      <c r="D201" s="3220"/>
      <c r="E201" s="1387">
        <f>SUM(E175:E200)</f>
        <v>0</v>
      </c>
      <c r="F201" s="1387">
        <f>SUM(F175:F200)</f>
        <v>7497</v>
      </c>
      <c r="G201" s="1387">
        <f>SUM(G175:G200)</f>
        <v>5521</v>
      </c>
      <c r="H201" s="1391">
        <f>G201/F201*100</f>
        <v>73.642790449513143</v>
      </c>
      <c r="I201" s="1476"/>
    </row>
    <row r="202" spans="1:9" ht="13.5" thickTop="1" x14ac:dyDescent="0.2">
      <c r="I202" s="1398"/>
    </row>
    <row r="203" spans="1:9" ht="15" x14ac:dyDescent="0.25">
      <c r="A203" s="1541" t="s">
        <v>1718</v>
      </c>
      <c r="B203" s="1423"/>
      <c r="C203" s="1423"/>
      <c r="D203" s="1423"/>
    </row>
    <row r="204" spans="1:9" ht="15.75" thickBot="1" x14ac:dyDescent="0.3">
      <c r="A204" s="1542" t="s">
        <v>1719</v>
      </c>
      <c r="B204" s="1543"/>
      <c r="C204" s="1543"/>
      <c r="H204" s="1459" t="s">
        <v>148</v>
      </c>
    </row>
    <row r="205" spans="1:9" s="1292" customFormat="1" ht="25.5" thickTop="1" thickBot="1" x14ac:dyDescent="0.25">
      <c r="A205" s="1378" t="s">
        <v>149</v>
      </c>
      <c r="B205" s="1379" t="s">
        <v>688</v>
      </c>
      <c r="C205" s="1379" t="s">
        <v>345</v>
      </c>
      <c r="D205" s="1380" t="s">
        <v>151</v>
      </c>
      <c r="E205" s="1402" t="s">
        <v>569</v>
      </c>
      <c r="F205" s="1402" t="s">
        <v>570</v>
      </c>
      <c r="G205" s="1403" t="s">
        <v>797</v>
      </c>
      <c r="H205" s="1404" t="s">
        <v>798</v>
      </c>
    </row>
    <row r="206" spans="1:9" s="1292" customFormat="1" ht="13.5" thickTop="1" thickBot="1" x14ac:dyDescent="0.25">
      <c r="A206" s="1297">
        <v>1</v>
      </c>
      <c r="B206" s="1296">
        <v>2</v>
      </c>
      <c r="C206" s="1296">
        <v>3</v>
      </c>
      <c r="D206" s="1296">
        <v>4</v>
      </c>
      <c r="E206" s="1295">
        <v>5</v>
      </c>
      <c r="F206" s="1295">
        <v>6</v>
      </c>
      <c r="G206" s="1446">
        <v>7</v>
      </c>
      <c r="H206" s="1468" t="s">
        <v>54</v>
      </c>
    </row>
    <row r="207" spans="1:9" s="1473" customFormat="1" ht="15.75" customHeight="1" thickTop="1" x14ac:dyDescent="0.2">
      <c r="A207" s="1463">
        <v>4399</v>
      </c>
      <c r="B207" s="1469">
        <v>5011</v>
      </c>
      <c r="C207" s="1529" t="s">
        <v>1768</v>
      </c>
      <c r="D207" s="1405" t="s">
        <v>189</v>
      </c>
      <c r="E207" s="1414">
        <v>0</v>
      </c>
      <c r="F207" s="1414">
        <v>36</v>
      </c>
      <c r="G207" s="1414">
        <v>21</v>
      </c>
      <c r="H207" s="1390">
        <f t="shared" ref="H207:H232" si="10">G207/F207*100</f>
        <v>58.333333333333336</v>
      </c>
    </row>
    <row r="208" spans="1:9" s="1473" customFormat="1" ht="15" x14ac:dyDescent="0.2">
      <c r="A208" s="1463">
        <v>4399</v>
      </c>
      <c r="B208" s="1469">
        <v>5011</v>
      </c>
      <c r="C208" s="1529" t="s">
        <v>1769</v>
      </c>
      <c r="D208" s="1405" t="s">
        <v>189</v>
      </c>
      <c r="E208" s="1414">
        <v>0</v>
      </c>
      <c r="F208" s="1414">
        <v>204</v>
      </c>
      <c r="G208" s="1414">
        <v>121</v>
      </c>
      <c r="H208" s="1390">
        <f t="shared" si="10"/>
        <v>59.313725490196077</v>
      </c>
    </row>
    <row r="209" spans="1:8" s="1473" customFormat="1" ht="15" hidden="1" x14ac:dyDescent="0.2">
      <c r="A209" s="1463">
        <v>4399</v>
      </c>
      <c r="B209" s="1469">
        <v>5021</v>
      </c>
      <c r="C209" s="1529">
        <v>33113233</v>
      </c>
      <c r="D209" s="1405" t="s">
        <v>356</v>
      </c>
      <c r="E209" s="1414"/>
      <c r="F209" s="1414"/>
      <c r="G209" s="1414"/>
      <c r="H209" s="1390" t="e">
        <f t="shared" si="10"/>
        <v>#DIV/0!</v>
      </c>
    </row>
    <row r="210" spans="1:8" s="1473" customFormat="1" ht="15" x14ac:dyDescent="0.2">
      <c r="A210" s="1463">
        <v>4399</v>
      </c>
      <c r="B210" s="1469">
        <v>5021</v>
      </c>
      <c r="C210" s="1529" t="s">
        <v>1769</v>
      </c>
      <c r="D210" s="1405" t="s">
        <v>356</v>
      </c>
      <c r="E210" s="1414">
        <v>0</v>
      </c>
      <c r="F210" s="1414">
        <v>27</v>
      </c>
      <c r="G210" s="1414">
        <v>12</v>
      </c>
      <c r="H210" s="1390">
        <f t="shared" si="10"/>
        <v>44.444444444444443</v>
      </c>
    </row>
    <row r="211" spans="1:8" s="1473" customFormat="1" ht="15" x14ac:dyDescent="0.2">
      <c r="A211" s="1463">
        <v>4399</v>
      </c>
      <c r="B211" s="1469">
        <v>5021</v>
      </c>
      <c r="C211" s="1529" t="s">
        <v>1768</v>
      </c>
      <c r="D211" s="1405" t="s">
        <v>356</v>
      </c>
      <c r="E211" s="1414">
        <v>0</v>
      </c>
      <c r="F211" s="1414">
        <v>155</v>
      </c>
      <c r="G211" s="1414">
        <v>70</v>
      </c>
      <c r="H211" s="1390">
        <f t="shared" si="10"/>
        <v>45.161290322580641</v>
      </c>
    </row>
    <row r="212" spans="1:8" s="1473" customFormat="1" ht="30" customHeight="1" x14ac:dyDescent="0.2">
      <c r="A212" s="1463">
        <v>4399</v>
      </c>
      <c r="B212" s="1469">
        <v>5031</v>
      </c>
      <c r="C212" s="1529" t="s">
        <v>1769</v>
      </c>
      <c r="D212" s="1405" t="s">
        <v>1165</v>
      </c>
      <c r="E212" s="1414">
        <v>0</v>
      </c>
      <c r="F212" s="1414">
        <v>15</v>
      </c>
      <c r="G212" s="1414">
        <v>5</v>
      </c>
      <c r="H212" s="1390">
        <f t="shared" si="10"/>
        <v>33.333333333333329</v>
      </c>
    </row>
    <row r="213" spans="1:8" s="1473" customFormat="1" ht="30" customHeight="1" x14ac:dyDescent="0.2">
      <c r="A213" s="1463">
        <v>4399</v>
      </c>
      <c r="B213" s="1469">
        <v>5031</v>
      </c>
      <c r="C213" s="1529" t="s">
        <v>1768</v>
      </c>
      <c r="D213" s="1405" t="s">
        <v>1165</v>
      </c>
      <c r="E213" s="1414">
        <v>0</v>
      </c>
      <c r="F213" s="1414">
        <v>86</v>
      </c>
      <c r="G213" s="1414">
        <v>30</v>
      </c>
      <c r="H213" s="1390">
        <f t="shared" si="10"/>
        <v>34.883720930232556</v>
      </c>
    </row>
    <row r="214" spans="1:8" s="1473" customFormat="1" ht="30" x14ac:dyDescent="0.2">
      <c r="A214" s="1463">
        <v>4399</v>
      </c>
      <c r="B214" s="1469">
        <v>5032</v>
      </c>
      <c r="C214" s="1529" t="s">
        <v>1769</v>
      </c>
      <c r="D214" s="1405" t="s">
        <v>1058</v>
      </c>
      <c r="E214" s="1414">
        <v>0</v>
      </c>
      <c r="F214" s="1414">
        <v>5</v>
      </c>
      <c r="G214" s="1414">
        <v>2</v>
      </c>
      <c r="H214" s="1390">
        <f t="shared" si="10"/>
        <v>40</v>
      </c>
    </row>
    <row r="215" spans="1:8" s="1473" customFormat="1" ht="30" x14ac:dyDescent="0.2">
      <c r="A215" s="1463">
        <v>4399</v>
      </c>
      <c r="B215" s="1469">
        <v>5032</v>
      </c>
      <c r="C215" s="1529" t="s">
        <v>1768</v>
      </c>
      <c r="D215" s="1405" t="s">
        <v>1058</v>
      </c>
      <c r="E215" s="1414">
        <v>0</v>
      </c>
      <c r="F215" s="1414">
        <v>30</v>
      </c>
      <c r="G215" s="1414">
        <v>11</v>
      </c>
      <c r="H215" s="1390">
        <f t="shared" si="10"/>
        <v>36.666666666666664</v>
      </c>
    </row>
    <row r="216" spans="1:8" s="1473" customFormat="1" ht="15" hidden="1" x14ac:dyDescent="0.2">
      <c r="A216" s="1463">
        <v>4399</v>
      </c>
      <c r="B216" s="1469">
        <v>5137</v>
      </c>
      <c r="C216" s="1529">
        <v>33513233</v>
      </c>
      <c r="D216" s="1405" t="s">
        <v>142</v>
      </c>
      <c r="E216" s="1414"/>
      <c r="F216" s="1414"/>
      <c r="G216" s="1414"/>
      <c r="H216" s="1390" t="e">
        <f t="shared" si="10"/>
        <v>#DIV/0!</v>
      </c>
    </row>
    <row r="217" spans="1:8" s="1473" customFormat="1" ht="15" hidden="1" x14ac:dyDescent="0.2">
      <c r="A217" s="1463">
        <v>4399</v>
      </c>
      <c r="B217" s="1469">
        <v>5137</v>
      </c>
      <c r="C217" s="1529">
        <v>33514012</v>
      </c>
      <c r="D217" s="1405" t="s">
        <v>142</v>
      </c>
      <c r="E217" s="1414"/>
      <c r="F217" s="1414"/>
      <c r="G217" s="1414"/>
      <c r="H217" s="1390" t="e">
        <f t="shared" si="10"/>
        <v>#DIV/0!</v>
      </c>
    </row>
    <row r="218" spans="1:8" s="1415" customFormat="1" ht="15" x14ac:dyDescent="0.2">
      <c r="A218" s="1463">
        <v>4399</v>
      </c>
      <c r="B218" s="1471">
        <v>5139</v>
      </c>
      <c r="C218" s="1529" t="s">
        <v>1768</v>
      </c>
      <c r="D218" s="1405" t="s">
        <v>249</v>
      </c>
      <c r="E218" s="1414">
        <v>0</v>
      </c>
      <c r="F218" s="1414">
        <v>18</v>
      </c>
      <c r="G218" s="1414">
        <v>11</v>
      </c>
      <c r="H218" s="1390">
        <f t="shared" si="10"/>
        <v>61.111111111111114</v>
      </c>
    </row>
    <row r="219" spans="1:8" s="1415" customFormat="1" ht="15" x14ac:dyDescent="0.2">
      <c r="A219" s="1463">
        <v>4399</v>
      </c>
      <c r="B219" s="1471">
        <v>5139</v>
      </c>
      <c r="C219" s="1529" t="s">
        <v>1769</v>
      </c>
      <c r="D219" s="1405" t="s">
        <v>249</v>
      </c>
      <c r="E219" s="1414">
        <v>0</v>
      </c>
      <c r="F219" s="1414">
        <v>102</v>
      </c>
      <c r="G219" s="1414">
        <v>61</v>
      </c>
      <c r="H219" s="1390">
        <f t="shared" si="10"/>
        <v>59.803921568627452</v>
      </c>
    </row>
    <row r="220" spans="1:8" ht="15" hidden="1" x14ac:dyDescent="0.2">
      <c r="A220" s="1463">
        <v>4399</v>
      </c>
      <c r="B220" s="1471">
        <v>5139</v>
      </c>
      <c r="C220" s="1529">
        <v>33113233</v>
      </c>
      <c r="D220" s="1405" t="s">
        <v>249</v>
      </c>
      <c r="E220" s="1414"/>
      <c r="F220" s="1414"/>
      <c r="G220" s="1414"/>
      <c r="H220" s="1390" t="e">
        <f t="shared" si="10"/>
        <v>#DIV/0!</v>
      </c>
    </row>
    <row r="221" spans="1:8" ht="15" hidden="1" x14ac:dyDescent="0.2">
      <c r="A221" s="1463">
        <v>4399</v>
      </c>
      <c r="B221" s="1471">
        <v>5162</v>
      </c>
      <c r="C221" s="1529">
        <v>33513233</v>
      </c>
      <c r="D221" s="1405" t="s">
        <v>780</v>
      </c>
      <c r="E221" s="1414"/>
      <c r="F221" s="1414"/>
      <c r="G221" s="1414"/>
      <c r="H221" s="1390" t="e">
        <f t="shared" si="10"/>
        <v>#DIV/0!</v>
      </c>
    </row>
    <row r="222" spans="1:8" ht="15" hidden="1" x14ac:dyDescent="0.2">
      <c r="A222" s="1463">
        <v>4399</v>
      </c>
      <c r="B222" s="1471">
        <v>5166</v>
      </c>
      <c r="C222" s="1529">
        <v>33113233</v>
      </c>
      <c r="D222" s="1405" t="s">
        <v>553</v>
      </c>
      <c r="E222" s="1414"/>
      <c r="F222" s="1414"/>
      <c r="G222" s="1414"/>
      <c r="H222" s="1390" t="e">
        <f t="shared" si="10"/>
        <v>#DIV/0!</v>
      </c>
    </row>
    <row r="223" spans="1:8" ht="15" x14ac:dyDescent="0.2">
      <c r="A223" s="1463">
        <v>4399</v>
      </c>
      <c r="B223" s="1471">
        <v>5164</v>
      </c>
      <c r="C223" s="1529" t="s">
        <v>1768</v>
      </c>
      <c r="D223" s="1405" t="s">
        <v>157</v>
      </c>
      <c r="E223" s="1414">
        <v>0</v>
      </c>
      <c r="F223" s="1414">
        <v>2</v>
      </c>
      <c r="G223" s="1414">
        <v>2</v>
      </c>
      <c r="H223" s="1390">
        <f t="shared" si="10"/>
        <v>100</v>
      </c>
    </row>
    <row r="224" spans="1:8" ht="15" x14ac:dyDescent="0.2">
      <c r="A224" s="1463">
        <v>4399</v>
      </c>
      <c r="B224" s="1471">
        <v>5164</v>
      </c>
      <c r="C224" s="1529" t="s">
        <v>1769</v>
      </c>
      <c r="D224" s="1405" t="s">
        <v>157</v>
      </c>
      <c r="E224" s="1414">
        <v>0</v>
      </c>
      <c r="F224" s="1414">
        <v>13</v>
      </c>
      <c r="G224" s="1414">
        <v>8</v>
      </c>
      <c r="H224" s="1390">
        <f t="shared" si="10"/>
        <v>61.53846153846154</v>
      </c>
    </row>
    <row r="225" spans="1:9" ht="15" x14ac:dyDescent="0.2">
      <c r="A225" s="1463">
        <v>4399</v>
      </c>
      <c r="B225" s="1471">
        <v>5166</v>
      </c>
      <c r="C225" s="1529" t="s">
        <v>1768</v>
      </c>
      <c r="D225" s="1405" t="s">
        <v>553</v>
      </c>
      <c r="E225" s="1414">
        <v>0</v>
      </c>
      <c r="F225" s="1414">
        <v>85</v>
      </c>
      <c r="G225" s="1414">
        <v>67</v>
      </c>
      <c r="H225" s="1390">
        <f t="shared" si="10"/>
        <v>78.82352941176471</v>
      </c>
    </row>
    <row r="226" spans="1:9" ht="15" x14ac:dyDescent="0.2">
      <c r="A226" s="1463">
        <v>4399</v>
      </c>
      <c r="B226" s="1471">
        <v>5166</v>
      </c>
      <c r="C226" s="1529" t="s">
        <v>1769</v>
      </c>
      <c r="D226" s="1405" t="s">
        <v>553</v>
      </c>
      <c r="E226" s="1414">
        <v>0</v>
      </c>
      <c r="F226" s="1414">
        <v>485</v>
      </c>
      <c r="G226" s="1414">
        <v>381</v>
      </c>
      <c r="H226" s="1390">
        <f t="shared" si="10"/>
        <v>78.55670103092784</v>
      </c>
    </row>
    <row r="227" spans="1:9" ht="15" x14ac:dyDescent="0.2">
      <c r="A227" s="1463">
        <v>4399</v>
      </c>
      <c r="B227" s="1469">
        <v>5169</v>
      </c>
      <c r="C227" s="1529" t="s">
        <v>1768</v>
      </c>
      <c r="D227" s="1405" t="s">
        <v>769</v>
      </c>
      <c r="E227" s="1414">
        <v>0</v>
      </c>
      <c r="F227" s="1414">
        <v>66</v>
      </c>
      <c r="G227" s="1414">
        <v>65</v>
      </c>
      <c r="H227" s="1390">
        <f t="shared" si="10"/>
        <v>98.484848484848484</v>
      </c>
    </row>
    <row r="228" spans="1:9" ht="15" x14ac:dyDescent="0.2">
      <c r="A228" s="1463">
        <v>4399</v>
      </c>
      <c r="B228" s="1469">
        <v>5169</v>
      </c>
      <c r="C228" s="1529" t="s">
        <v>1769</v>
      </c>
      <c r="D228" s="1405" t="s">
        <v>769</v>
      </c>
      <c r="E228" s="1414">
        <v>0</v>
      </c>
      <c r="F228" s="1414">
        <v>376</v>
      </c>
      <c r="G228" s="1414">
        <v>366</v>
      </c>
      <c r="H228" s="1390">
        <f t="shared" si="10"/>
        <v>97.340425531914903</v>
      </c>
    </row>
    <row r="229" spans="1:9" ht="15" x14ac:dyDescent="0.2">
      <c r="A229" s="1463">
        <v>4399</v>
      </c>
      <c r="B229" s="1469">
        <v>5175</v>
      </c>
      <c r="C229" s="1529" t="s">
        <v>1768</v>
      </c>
      <c r="D229" s="1405" t="s">
        <v>605</v>
      </c>
      <c r="E229" s="1414">
        <v>0</v>
      </c>
      <c r="F229" s="1414">
        <v>10</v>
      </c>
      <c r="G229" s="1414">
        <v>6</v>
      </c>
      <c r="H229" s="1390">
        <f t="shared" si="10"/>
        <v>60</v>
      </c>
    </row>
    <row r="230" spans="1:9" s="1415" customFormat="1" ht="15" x14ac:dyDescent="0.2">
      <c r="A230" s="1463">
        <v>4399</v>
      </c>
      <c r="B230" s="1469">
        <v>5175</v>
      </c>
      <c r="C230" s="1529" t="s">
        <v>1769</v>
      </c>
      <c r="D230" s="1405" t="s">
        <v>605</v>
      </c>
      <c r="E230" s="1414">
        <v>0</v>
      </c>
      <c r="F230" s="1414">
        <v>55</v>
      </c>
      <c r="G230" s="1414">
        <v>34</v>
      </c>
      <c r="H230" s="1390">
        <f t="shared" si="10"/>
        <v>61.818181818181813</v>
      </c>
    </row>
    <row r="231" spans="1:9" s="1415" customFormat="1" ht="15" x14ac:dyDescent="0.2">
      <c r="A231" s="1463">
        <v>4399</v>
      </c>
      <c r="B231" s="1469">
        <v>5424</v>
      </c>
      <c r="C231" s="1529" t="s">
        <v>1768</v>
      </c>
      <c r="D231" s="1405" t="s">
        <v>587</v>
      </c>
      <c r="E231" s="1414">
        <v>0</v>
      </c>
      <c r="F231" s="1414">
        <v>1</v>
      </c>
      <c r="G231" s="1414">
        <v>0</v>
      </c>
      <c r="H231" s="1390">
        <f t="shared" si="10"/>
        <v>0</v>
      </c>
    </row>
    <row r="232" spans="1:9" s="1415" customFormat="1" ht="15.75" thickBot="1" x14ac:dyDescent="0.25">
      <c r="A232" s="1463">
        <v>4399</v>
      </c>
      <c r="B232" s="1469">
        <v>5424</v>
      </c>
      <c r="C232" s="1529" t="s">
        <v>1769</v>
      </c>
      <c r="D232" s="1405" t="s">
        <v>587</v>
      </c>
      <c r="E232" s="1414">
        <v>0</v>
      </c>
      <c r="F232" s="1414">
        <v>4</v>
      </c>
      <c r="G232" s="1414">
        <v>0</v>
      </c>
      <c r="H232" s="1390">
        <f t="shared" si="10"/>
        <v>0</v>
      </c>
    </row>
    <row r="233" spans="1:9" s="1415" customFormat="1" ht="15.75" hidden="1" thickBot="1" x14ac:dyDescent="0.25">
      <c r="A233" s="1463">
        <v>6330</v>
      </c>
      <c r="B233" s="1469">
        <v>5345</v>
      </c>
      <c r="C233" s="1529">
        <v>0</v>
      </c>
      <c r="D233" s="1405" t="s">
        <v>693</v>
      </c>
      <c r="E233" s="1414"/>
      <c r="F233" s="1414"/>
      <c r="G233" s="1414"/>
      <c r="H233" s="1396">
        <v>0</v>
      </c>
    </row>
    <row r="234" spans="1:9" s="1397" customFormat="1" ht="16.5" thickTop="1" thickBot="1" x14ac:dyDescent="0.3">
      <c r="A234" s="3219" t="s">
        <v>690</v>
      </c>
      <c r="B234" s="3220"/>
      <c r="C234" s="3220"/>
      <c r="D234" s="3220"/>
      <c r="E234" s="1387">
        <f>SUM(E207:E233)</f>
        <v>0</v>
      </c>
      <c r="F234" s="1387">
        <f>SUM(F207:F233)</f>
        <v>1775</v>
      </c>
      <c r="G234" s="1387">
        <f>SUM(G207:G233)</f>
        <v>1273</v>
      </c>
      <c r="H234" s="1391">
        <f>G234/F234*100</f>
        <v>71.718309859154928</v>
      </c>
      <c r="I234" s="1476"/>
    </row>
    <row r="235" spans="1:9" ht="13.5" thickTop="1" x14ac:dyDescent="0.2">
      <c r="I235" s="1398"/>
    </row>
    <row r="236" spans="1:9" hidden="1" x14ac:dyDescent="0.2">
      <c r="I236" s="1398"/>
    </row>
    <row r="237" spans="1:9" hidden="1" x14ac:dyDescent="0.2">
      <c r="I237" s="1398"/>
    </row>
    <row r="238" spans="1:9" hidden="1" x14ac:dyDescent="0.2">
      <c r="I238" s="1398"/>
    </row>
    <row r="239" spans="1:9" ht="15" x14ac:dyDescent="0.25">
      <c r="A239" s="1541" t="s">
        <v>1720</v>
      </c>
      <c r="B239" s="1423"/>
      <c r="C239" s="1423"/>
      <c r="D239" s="1423"/>
    </row>
    <row r="240" spans="1:9" ht="15.75" thickBot="1" x14ac:dyDescent="0.3">
      <c r="A240" s="1542" t="s">
        <v>1721</v>
      </c>
      <c r="B240" s="1543"/>
      <c r="C240" s="1543"/>
      <c r="H240" s="1459" t="s">
        <v>148</v>
      </c>
    </row>
    <row r="241" spans="1:8" s="1292" customFormat="1" ht="25.5" thickTop="1" thickBot="1" x14ac:dyDescent="0.25">
      <c r="A241" s="1378" t="s">
        <v>149</v>
      </c>
      <c r="B241" s="1379" t="s">
        <v>688</v>
      </c>
      <c r="C241" s="1379" t="s">
        <v>345</v>
      </c>
      <c r="D241" s="1380" t="s">
        <v>151</v>
      </c>
      <c r="E241" s="1402" t="s">
        <v>569</v>
      </c>
      <c r="F241" s="1402" t="s">
        <v>570</v>
      </c>
      <c r="G241" s="1403" t="s">
        <v>797</v>
      </c>
      <c r="H241" s="1404" t="s">
        <v>798</v>
      </c>
    </row>
    <row r="242" spans="1:8" s="1292" customFormat="1" ht="13.5" thickTop="1" thickBot="1" x14ac:dyDescent="0.25">
      <c r="A242" s="1297">
        <v>1</v>
      </c>
      <c r="B242" s="1296">
        <v>2</v>
      </c>
      <c r="C242" s="1296">
        <v>3</v>
      </c>
      <c r="D242" s="1296">
        <v>4</v>
      </c>
      <c r="E242" s="1295">
        <v>5</v>
      </c>
      <c r="F242" s="1295">
        <v>6</v>
      </c>
      <c r="G242" s="1446">
        <v>7</v>
      </c>
      <c r="H242" s="1468" t="s">
        <v>54</v>
      </c>
    </row>
    <row r="243" spans="1:8" s="1473" customFormat="1" ht="15.75" hidden="1" customHeight="1" x14ac:dyDescent="0.2">
      <c r="A243" s="1463">
        <v>6172</v>
      </c>
      <c r="B243" s="1469">
        <v>5011</v>
      </c>
      <c r="C243" s="1470">
        <v>33100880</v>
      </c>
      <c r="D243" s="1405" t="s">
        <v>189</v>
      </c>
      <c r="E243" s="1414"/>
      <c r="F243" s="1414"/>
      <c r="G243" s="1414"/>
      <c r="H243" s="1390" t="e">
        <f t="shared" ref="H243:H262" si="11">G243/F243*100</f>
        <v>#DIV/0!</v>
      </c>
    </row>
    <row r="244" spans="1:8" s="1473" customFormat="1" ht="15.75" hidden="1" thickTop="1" x14ac:dyDescent="0.2">
      <c r="A244" s="1463">
        <v>6172</v>
      </c>
      <c r="B244" s="1469">
        <v>5011</v>
      </c>
      <c r="C244" s="1470">
        <v>33514012</v>
      </c>
      <c r="D244" s="1405" t="s">
        <v>189</v>
      </c>
      <c r="E244" s="1414"/>
      <c r="F244" s="1414"/>
      <c r="G244" s="1414"/>
      <c r="H244" s="1390" t="e">
        <f t="shared" si="11"/>
        <v>#DIV/0!</v>
      </c>
    </row>
    <row r="245" spans="1:8" s="1473" customFormat="1" ht="15.75" hidden="1" thickTop="1" x14ac:dyDescent="0.2">
      <c r="A245" s="1463">
        <v>6172</v>
      </c>
      <c r="B245" s="1469">
        <v>5021</v>
      </c>
      <c r="C245" s="1470">
        <v>33100880</v>
      </c>
      <c r="D245" s="1405" t="s">
        <v>356</v>
      </c>
      <c r="E245" s="1414"/>
      <c r="F245" s="1414"/>
      <c r="G245" s="1414"/>
      <c r="H245" s="1390" t="e">
        <f t="shared" si="11"/>
        <v>#DIV/0!</v>
      </c>
    </row>
    <row r="246" spans="1:8" s="1473" customFormat="1" ht="15.75" hidden="1" thickTop="1" x14ac:dyDescent="0.2">
      <c r="A246" s="1463">
        <v>6172</v>
      </c>
      <c r="B246" s="1469">
        <v>5021</v>
      </c>
      <c r="C246" s="1470">
        <v>33500881</v>
      </c>
      <c r="D246" s="1405" t="s">
        <v>356</v>
      </c>
      <c r="E246" s="1414"/>
      <c r="F246" s="1414"/>
      <c r="G246" s="1414"/>
      <c r="H246" s="1390" t="e">
        <f t="shared" si="11"/>
        <v>#DIV/0!</v>
      </c>
    </row>
    <row r="247" spans="1:8" s="1473" customFormat="1" ht="15.75" hidden="1" thickTop="1" x14ac:dyDescent="0.2">
      <c r="A247" s="1463">
        <v>6172</v>
      </c>
      <c r="B247" s="1469">
        <v>5021</v>
      </c>
      <c r="C247" s="1470">
        <v>33514012</v>
      </c>
      <c r="D247" s="1405" t="s">
        <v>356</v>
      </c>
      <c r="E247" s="1414"/>
      <c r="F247" s="1414"/>
      <c r="G247" s="1414"/>
      <c r="H247" s="1390" t="e">
        <f t="shared" si="11"/>
        <v>#DIV/0!</v>
      </c>
    </row>
    <row r="248" spans="1:8" s="1473" customFormat="1" ht="30" hidden="1" customHeight="1" x14ac:dyDescent="0.2">
      <c r="A248" s="1463">
        <v>6172</v>
      </c>
      <c r="B248" s="1469">
        <v>5031</v>
      </c>
      <c r="C248" s="1470">
        <v>33100880</v>
      </c>
      <c r="D248" s="1405" t="s">
        <v>1165</v>
      </c>
      <c r="E248" s="1414"/>
      <c r="F248" s="1414"/>
      <c r="G248" s="1414"/>
      <c r="H248" s="1390" t="e">
        <f t="shared" si="11"/>
        <v>#DIV/0!</v>
      </c>
    </row>
    <row r="249" spans="1:8" s="1473" customFormat="1" ht="30" hidden="1" customHeight="1" x14ac:dyDescent="0.2">
      <c r="A249" s="1463">
        <v>6172</v>
      </c>
      <c r="B249" s="1469">
        <v>5031</v>
      </c>
      <c r="C249" s="1470">
        <v>33514012</v>
      </c>
      <c r="D249" s="1405" t="s">
        <v>1165</v>
      </c>
      <c r="E249" s="1414"/>
      <c r="F249" s="1414"/>
      <c r="G249" s="1414"/>
      <c r="H249" s="1390" t="e">
        <f t="shared" si="11"/>
        <v>#DIV/0!</v>
      </c>
    </row>
    <row r="250" spans="1:8" s="1473" customFormat="1" ht="30.75" hidden="1" thickTop="1" x14ac:dyDescent="0.2">
      <c r="A250" s="1463">
        <v>6172</v>
      </c>
      <c r="B250" s="1469">
        <v>5032</v>
      </c>
      <c r="C250" s="1470">
        <v>33100880</v>
      </c>
      <c r="D250" s="1405" t="s">
        <v>1058</v>
      </c>
      <c r="E250" s="1414"/>
      <c r="F250" s="1414"/>
      <c r="G250" s="1414"/>
      <c r="H250" s="1390" t="e">
        <f t="shared" si="11"/>
        <v>#DIV/0!</v>
      </c>
    </row>
    <row r="251" spans="1:8" s="1473" customFormat="1" ht="30.75" hidden="1" thickTop="1" x14ac:dyDescent="0.2">
      <c r="A251" s="1463">
        <v>6172</v>
      </c>
      <c r="B251" s="1469">
        <v>5032</v>
      </c>
      <c r="C251" s="1470">
        <v>33514012</v>
      </c>
      <c r="D251" s="1405" t="s">
        <v>1058</v>
      </c>
      <c r="E251" s="1414"/>
      <c r="F251" s="1414"/>
      <c r="G251" s="1414"/>
      <c r="H251" s="1390" t="e">
        <f t="shared" si="11"/>
        <v>#DIV/0!</v>
      </c>
    </row>
    <row r="252" spans="1:8" s="1473" customFormat="1" ht="15.75" hidden="1" thickTop="1" x14ac:dyDescent="0.2">
      <c r="A252" s="1463">
        <v>6172</v>
      </c>
      <c r="B252" s="1469">
        <v>5137</v>
      </c>
      <c r="C252" s="1470">
        <v>33100880</v>
      </c>
      <c r="D252" s="1405" t="s">
        <v>142</v>
      </c>
      <c r="E252" s="1414"/>
      <c r="F252" s="1414"/>
      <c r="G252" s="1414"/>
      <c r="H252" s="1390" t="e">
        <f t="shared" si="11"/>
        <v>#DIV/0!</v>
      </c>
    </row>
    <row r="253" spans="1:8" s="1473" customFormat="1" ht="15.75" hidden="1" thickTop="1" x14ac:dyDescent="0.2">
      <c r="A253" s="1463">
        <v>6172</v>
      </c>
      <c r="B253" s="1469">
        <v>5137</v>
      </c>
      <c r="C253" s="1470">
        <v>33514012</v>
      </c>
      <c r="D253" s="1405" t="s">
        <v>142</v>
      </c>
      <c r="E253" s="1414"/>
      <c r="F253" s="1414"/>
      <c r="G253" s="1414"/>
      <c r="H253" s="1390" t="e">
        <f t="shared" si="11"/>
        <v>#DIV/0!</v>
      </c>
    </row>
    <row r="254" spans="1:8" s="1415" customFormat="1" ht="15.75" hidden="1" thickTop="1" x14ac:dyDescent="0.2">
      <c r="A254" s="1463">
        <v>6172</v>
      </c>
      <c r="B254" s="1471">
        <v>5139</v>
      </c>
      <c r="C254" s="1470">
        <v>33100880</v>
      </c>
      <c r="D254" s="1405" t="s">
        <v>249</v>
      </c>
      <c r="E254" s="1414"/>
      <c r="F254" s="1414"/>
      <c r="G254" s="1414"/>
      <c r="H254" s="1390" t="e">
        <f t="shared" si="11"/>
        <v>#DIV/0!</v>
      </c>
    </row>
    <row r="255" spans="1:8" s="1415" customFormat="1" ht="15.75" hidden="1" thickTop="1" x14ac:dyDescent="0.2">
      <c r="A255" s="1463">
        <v>6172</v>
      </c>
      <c r="B255" s="1471">
        <v>5139</v>
      </c>
      <c r="C255" s="1470">
        <v>33500881</v>
      </c>
      <c r="D255" s="1405" t="s">
        <v>249</v>
      </c>
      <c r="E255" s="1414"/>
      <c r="F255" s="1414"/>
      <c r="G255" s="1414"/>
      <c r="H255" s="1390" t="e">
        <f t="shared" si="11"/>
        <v>#DIV/0!</v>
      </c>
    </row>
    <row r="256" spans="1:8" ht="15.75" hidden="1" thickTop="1" x14ac:dyDescent="0.2">
      <c r="A256" s="1463">
        <v>6172</v>
      </c>
      <c r="B256" s="1471">
        <v>5139</v>
      </c>
      <c r="C256" s="1470">
        <v>33514012</v>
      </c>
      <c r="D256" s="1405" t="s">
        <v>249</v>
      </c>
      <c r="E256" s="1414"/>
      <c r="F256" s="1414"/>
      <c r="G256" s="1414"/>
      <c r="H256" s="1390" t="e">
        <f t="shared" si="11"/>
        <v>#DIV/0!</v>
      </c>
    </row>
    <row r="257" spans="1:11" ht="15.75" hidden="1" thickTop="1" x14ac:dyDescent="0.2">
      <c r="A257" s="1463">
        <v>6172</v>
      </c>
      <c r="B257" s="1471">
        <v>5162</v>
      </c>
      <c r="C257" s="1470">
        <v>33513233</v>
      </c>
      <c r="D257" s="1405" t="s">
        <v>780</v>
      </c>
      <c r="E257" s="1414"/>
      <c r="F257" s="1414"/>
      <c r="G257" s="1414"/>
      <c r="H257" s="1390" t="e">
        <f t="shared" si="11"/>
        <v>#DIV/0!</v>
      </c>
    </row>
    <row r="258" spans="1:11" ht="15.75" hidden="1" thickTop="1" x14ac:dyDescent="0.2">
      <c r="A258" s="1463">
        <v>6172</v>
      </c>
      <c r="B258" s="1471">
        <v>5166</v>
      </c>
      <c r="C258" s="1470">
        <v>33113233</v>
      </c>
      <c r="D258" s="1405" t="s">
        <v>553</v>
      </c>
      <c r="E258" s="1414"/>
      <c r="F258" s="1414"/>
      <c r="G258" s="1414"/>
      <c r="H258" s="1390" t="e">
        <f t="shared" si="11"/>
        <v>#DIV/0!</v>
      </c>
    </row>
    <row r="259" spans="1:11" ht="15.75" thickTop="1" x14ac:dyDescent="0.2">
      <c r="A259" s="1463">
        <v>6172</v>
      </c>
      <c r="B259" s="1471">
        <v>5021</v>
      </c>
      <c r="C259" s="1529" t="s">
        <v>2099</v>
      </c>
      <c r="D259" s="1405" t="s">
        <v>189</v>
      </c>
      <c r="E259" s="1414">
        <v>0</v>
      </c>
      <c r="F259" s="1414">
        <v>9</v>
      </c>
      <c r="G259" s="1414">
        <v>9</v>
      </c>
      <c r="H259" s="1390">
        <f t="shared" si="11"/>
        <v>100</v>
      </c>
    </row>
    <row r="260" spans="1:11" ht="15" x14ac:dyDescent="0.2">
      <c r="A260" s="1463">
        <v>6172</v>
      </c>
      <c r="B260" s="1471">
        <v>5021</v>
      </c>
      <c r="C260" s="1529" t="s">
        <v>2098</v>
      </c>
      <c r="D260" s="1405" t="s">
        <v>189</v>
      </c>
      <c r="E260" s="1414">
        <v>0</v>
      </c>
      <c r="F260" s="1414">
        <v>52</v>
      </c>
      <c r="G260" s="1414">
        <v>52</v>
      </c>
      <c r="H260" s="1390">
        <f t="shared" si="11"/>
        <v>100</v>
      </c>
    </row>
    <row r="261" spans="1:11" ht="30" x14ac:dyDescent="0.2">
      <c r="A261" s="1463">
        <v>6172</v>
      </c>
      <c r="B261" s="1471">
        <v>5031</v>
      </c>
      <c r="C261" s="1529" t="s">
        <v>2099</v>
      </c>
      <c r="D261" s="1405" t="s">
        <v>1165</v>
      </c>
      <c r="E261" s="1414">
        <v>0</v>
      </c>
      <c r="F261" s="1414">
        <v>1</v>
      </c>
      <c r="G261" s="1414">
        <v>1</v>
      </c>
      <c r="H261" s="1390">
        <f t="shared" si="11"/>
        <v>100</v>
      </c>
    </row>
    <row r="262" spans="1:11" ht="30" x14ac:dyDescent="0.2">
      <c r="A262" s="1463">
        <v>6172</v>
      </c>
      <c r="B262" s="1469">
        <v>5031</v>
      </c>
      <c r="C262" s="1529" t="s">
        <v>2098</v>
      </c>
      <c r="D262" s="1405" t="s">
        <v>1165</v>
      </c>
      <c r="E262" s="1414">
        <v>0</v>
      </c>
      <c r="F262" s="1414">
        <v>7</v>
      </c>
      <c r="G262" s="1414">
        <v>7</v>
      </c>
      <c r="H262" s="1390">
        <f t="shared" si="11"/>
        <v>100</v>
      </c>
    </row>
    <row r="263" spans="1:11" ht="30" x14ac:dyDescent="0.2">
      <c r="A263" s="1463">
        <v>6172</v>
      </c>
      <c r="B263" s="1469">
        <v>5032</v>
      </c>
      <c r="C263" s="1529" t="s">
        <v>2099</v>
      </c>
      <c r="D263" s="1405" t="s">
        <v>1058</v>
      </c>
      <c r="E263" s="1414">
        <v>0</v>
      </c>
      <c r="F263" s="1414">
        <v>0</v>
      </c>
      <c r="G263" s="1414">
        <v>0</v>
      </c>
      <c r="H263" s="1390">
        <v>0</v>
      </c>
    </row>
    <row r="264" spans="1:11" ht="30" x14ac:dyDescent="0.2">
      <c r="A264" s="1463">
        <v>6172</v>
      </c>
      <c r="B264" s="1469">
        <v>5032</v>
      </c>
      <c r="C264" s="1529" t="s">
        <v>2098</v>
      </c>
      <c r="D264" s="1405" t="s">
        <v>1058</v>
      </c>
      <c r="E264" s="1414">
        <v>0</v>
      </c>
      <c r="F264" s="1414">
        <v>2</v>
      </c>
      <c r="G264" s="1414">
        <v>2</v>
      </c>
      <c r="H264" s="1390">
        <f>G264/F264*100</f>
        <v>100</v>
      </c>
    </row>
    <row r="265" spans="1:11" s="1415" customFormat="1" ht="15" x14ac:dyDescent="0.2">
      <c r="A265" s="1463">
        <v>6172</v>
      </c>
      <c r="B265" s="1469">
        <v>5139</v>
      </c>
      <c r="C265" s="1529" t="s">
        <v>2099</v>
      </c>
      <c r="D265" s="1405" t="s">
        <v>249</v>
      </c>
      <c r="E265" s="1414">
        <v>300</v>
      </c>
      <c r="F265" s="1414">
        <v>1</v>
      </c>
      <c r="G265" s="1414">
        <v>1</v>
      </c>
      <c r="H265" s="1390">
        <f>G265/F265*100</f>
        <v>100</v>
      </c>
      <c r="K265" s="1933"/>
    </row>
    <row r="266" spans="1:11" s="1415" customFormat="1" ht="15.75" thickBot="1" x14ac:dyDescent="0.25">
      <c r="A266" s="1463">
        <v>6172</v>
      </c>
      <c r="B266" s="1469">
        <v>5139</v>
      </c>
      <c r="C266" s="1529" t="s">
        <v>2098</v>
      </c>
      <c r="D266" s="1405" t="s">
        <v>249</v>
      </c>
      <c r="E266" s="1414">
        <v>0</v>
      </c>
      <c r="F266" s="1414">
        <v>3</v>
      </c>
      <c r="G266" s="1414">
        <v>3</v>
      </c>
      <c r="H266" s="1390">
        <f>G266/F266*100</f>
        <v>100</v>
      </c>
    </row>
    <row r="267" spans="1:11" s="1397" customFormat="1" ht="16.5" thickTop="1" thickBot="1" x14ac:dyDescent="0.3">
      <c r="A267" s="3219" t="s">
        <v>690</v>
      </c>
      <c r="B267" s="3220"/>
      <c r="C267" s="3220"/>
      <c r="D267" s="3220"/>
      <c r="E267" s="1387">
        <f>SUM(E243:E266)</f>
        <v>300</v>
      </c>
      <c r="F267" s="1387">
        <f>SUM(F243:F266)</f>
        <v>75</v>
      </c>
      <c r="G267" s="1387">
        <f>SUM(G243:G266)</f>
        <v>75</v>
      </c>
      <c r="H267" s="1391">
        <f>G267/F267*100</f>
        <v>100</v>
      </c>
      <c r="I267" s="1476"/>
    </row>
    <row r="268" spans="1:11" ht="13.5" thickTop="1" x14ac:dyDescent="0.2">
      <c r="I268" s="1398"/>
    </row>
    <row r="269" spans="1:11" x14ac:dyDescent="0.2">
      <c r="I269" s="1398"/>
    </row>
    <row r="270" spans="1:11" ht="15.75" thickBot="1" x14ac:dyDescent="0.3">
      <c r="A270" s="1377" t="s">
        <v>229</v>
      </c>
      <c r="D270" s="1371"/>
      <c r="E270" s="1372"/>
      <c r="H270" s="1459" t="s">
        <v>148</v>
      </c>
      <c r="I270" s="1458"/>
    </row>
    <row r="271" spans="1:11" ht="25.5" thickTop="1" thickBot="1" x14ac:dyDescent="0.25">
      <c r="A271" s="1378" t="s">
        <v>149</v>
      </c>
      <c r="B271" s="1379" t="s">
        <v>688</v>
      </c>
      <c r="C271" s="1379" t="s">
        <v>345</v>
      </c>
      <c r="D271" s="1380" t="s">
        <v>151</v>
      </c>
      <c r="E271" s="1402" t="s">
        <v>569</v>
      </c>
      <c r="F271" s="1402" t="s">
        <v>570</v>
      </c>
      <c r="G271" s="1403" t="s">
        <v>797</v>
      </c>
      <c r="H271" s="1404" t="s">
        <v>798</v>
      </c>
    </row>
    <row r="272" spans="1:11" ht="14.25" thickTop="1" thickBot="1" x14ac:dyDescent="0.25">
      <c r="A272" s="1297">
        <v>1</v>
      </c>
      <c r="B272" s="1296">
        <v>2</v>
      </c>
      <c r="C272" s="1296">
        <v>3</v>
      </c>
      <c r="D272" s="1296">
        <v>5</v>
      </c>
      <c r="E272" s="1295">
        <v>6</v>
      </c>
      <c r="F272" s="1295">
        <v>7</v>
      </c>
      <c r="G272" s="1446">
        <v>8</v>
      </c>
      <c r="H272" s="1383" t="s">
        <v>689</v>
      </c>
    </row>
    <row r="273" spans="1:12" s="1400" customFormat="1" ht="16.5" thickTop="1" thickBot="1" x14ac:dyDescent="0.3">
      <c r="A273" s="1457">
        <v>6330</v>
      </c>
      <c r="B273" s="1385">
        <v>5345</v>
      </c>
      <c r="C273" s="2830" t="s">
        <v>1760</v>
      </c>
      <c r="D273" s="1454" t="s">
        <v>693</v>
      </c>
      <c r="E273" s="1401">
        <v>0</v>
      </c>
      <c r="F273" s="1401">
        <v>0</v>
      </c>
      <c r="G273" s="1456">
        <v>10670</v>
      </c>
      <c r="H273" s="1388">
        <v>0</v>
      </c>
    </row>
    <row r="274" spans="1:12" s="1919" customFormat="1" ht="30.75" hidden="1" thickBot="1" x14ac:dyDescent="0.3">
      <c r="A274" s="2845">
        <v>6409</v>
      </c>
      <c r="B274" s="1471">
        <v>5909</v>
      </c>
      <c r="C274" s="1529" t="s">
        <v>1760</v>
      </c>
      <c r="D274" s="1488" t="s">
        <v>705</v>
      </c>
      <c r="E274" s="2844">
        <v>0</v>
      </c>
      <c r="F274" s="2844">
        <v>0</v>
      </c>
      <c r="G274" s="2843">
        <v>0</v>
      </c>
      <c r="H274" s="2842">
        <v>0</v>
      </c>
    </row>
    <row r="275" spans="1:12" ht="16.5" thickTop="1" thickBot="1" x14ac:dyDescent="0.3">
      <c r="A275" s="1406" t="s">
        <v>690</v>
      </c>
      <c r="B275" s="1407"/>
      <c r="C275" s="1407"/>
      <c r="D275" s="1408"/>
      <c r="E275" s="1387">
        <f>SUM(E273:E274)</f>
        <v>0</v>
      </c>
      <c r="F275" s="1387">
        <f>SUM(F273:F274)</f>
        <v>0</v>
      </c>
      <c r="G275" s="1387">
        <f>SUM(G273:G274)</f>
        <v>10670</v>
      </c>
      <c r="H275" s="1391">
        <v>0</v>
      </c>
    </row>
    <row r="276" spans="1:12" ht="13.5" thickTop="1" x14ac:dyDescent="0.2">
      <c r="I276" s="1398"/>
    </row>
    <row r="277" spans="1:12" x14ac:dyDescent="0.2">
      <c r="I277" s="1398"/>
    </row>
    <row r="278" spans="1:12" x14ac:dyDescent="0.2">
      <c r="I278" s="1398"/>
    </row>
    <row r="279" spans="1:12" x14ac:dyDescent="0.2">
      <c r="I279" s="1398"/>
    </row>
    <row r="280" spans="1:12" x14ac:dyDescent="0.2">
      <c r="I280" s="1398"/>
    </row>
    <row r="281" spans="1:12" x14ac:dyDescent="0.2">
      <c r="I281" s="1398"/>
    </row>
    <row r="282" spans="1:12" x14ac:dyDescent="0.2">
      <c r="I282" s="1398"/>
    </row>
    <row r="284" spans="1:12" ht="16.5" x14ac:dyDescent="0.25">
      <c r="A284" s="1429" t="s">
        <v>423</v>
      </c>
      <c r="B284" s="1430"/>
      <c r="C284" s="1431"/>
      <c r="D284" s="1432"/>
      <c r="E284" s="1433">
        <f>SUM(E285:E287)</f>
        <v>600</v>
      </c>
      <c r="F284" s="1433">
        <f>F285+F286+F287+F288</f>
        <v>12733</v>
      </c>
      <c r="G284" s="1433">
        <f>G285+G286+G287+G288</f>
        <v>19684</v>
      </c>
      <c r="H284" s="1452">
        <f>G284/F284*100</f>
        <v>154.59043430456293</v>
      </c>
      <c r="J284" s="1435">
        <f>J285+J286+J287</f>
        <v>600000</v>
      </c>
      <c r="K284" s="1435">
        <f>K285+K286+K287</f>
        <v>12733241.369999999</v>
      </c>
      <c r="L284" s="1435">
        <f>L285+L286+L287</f>
        <v>19684715.43</v>
      </c>
    </row>
    <row r="285" spans="1:12" ht="15" x14ac:dyDescent="0.2">
      <c r="A285" s="1263" t="s">
        <v>242</v>
      </c>
      <c r="B285" s="1265"/>
      <c r="C285" s="1261"/>
      <c r="D285" s="1436"/>
      <c r="E285" s="1264">
        <f>E11+E12+E13+E14+E15+E16+E17+E18+E29+E30+E35+E101+E103+E116+E167+E175+E176+E180+E181+E182+E183+E191+E192+E194+E195+E196+E197+E198+E199+E207+E208+E210+E211+E212+E213+E214+E215+E218+E219+E223+E224+E225+E226+E227+E228+E229+E230+E231+E232+E259+E260+E261+E262+E263+E264+E265+E266</f>
        <v>600</v>
      </c>
      <c r="F285" s="1264">
        <f>F11+F12+F13+F14+F15+F16+F17+F18+F29+F30+F35+F101+F103+F116+F167+F175+F176+F180+F181+F182+F183+F191+F192+F194+F195+F196+F197+F198+F199+F207+F208+F210+F211+F212+F213+F214+F215+F218+F219+F223+F224+F225+F226+F227+F228+F229+F230+F231+F232+F259+F260+F261+F262+F263+F264+F265+F266</f>
        <v>12733</v>
      </c>
      <c r="G285" s="1264">
        <f>G11+G12+G13+G14+G15+G16+G17+G18+G29+G30+G35+G101+G103+G116+G167+G175+G176+G180+G181+G182+G183+G191+G192+G194+G195+G196+G197+G198+G199+G207+G208+G210+G211+G212+G213+G214+G215+G218+G219+G223+G224+G225+G226+G227+G228+G229+G230+G231+G232+G259+G260+G261+G262+G263+G264+G265+G266</f>
        <v>9014</v>
      </c>
      <c r="H285" s="1451">
        <f>G285/F285*100</f>
        <v>70.792429121181172</v>
      </c>
      <c r="J285" s="1437">
        <v>600000</v>
      </c>
      <c r="K285" s="1437">
        <v>12733241.369999999</v>
      </c>
      <c r="L285" s="1437">
        <f>19684715.43-10670563.76</f>
        <v>9014151.6699999999</v>
      </c>
    </row>
    <row r="286" spans="1:12" ht="15" x14ac:dyDescent="0.2">
      <c r="A286" s="1263" t="s">
        <v>243</v>
      </c>
      <c r="B286" s="1262"/>
      <c r="C286" s="1261"/>
      <c r="D286" s="1438"/>
      <c r="E286" s="1264">
        <v>0</v>
      </c>
      <c r="F286" s="1264">
        <v>0</v>
      </c>
      <c r="G286" s="1264">
        <v>0</v>
      </c>
      <c r="H286" s="1451">
        <v>0</v>
      </c>
      <c r="J286" s="1437">
        <v>0</v>
      </c>
      <c r="K286" s="1437">
        <v>0</v>
      </c>
      <c r="L286" s="1437">
        <v>0</v>
      </c>
    </row>
    <row r="287" spans="1:12" ht="15" x14ac:dyDescent="0.2">
      <c r="A287" s="1263" t="s">
        <v>424</v>
      </c>
      <c r="B287" s="1262"/>
      <c r="C287" s="1261"/>
      <c r="D287" s="1438"/>
      <c r="E287" s="1264">
        <f>E273</f>
        <v>0</v>
      </c>
      <c r="F287" s="1264">
        <f>F273</f>
        <v>0</v>
      </c>
      <c r="G287" s="1264">
        <f>G273</f>
        <v>10670</v>
      </c>
      <c r="H287" s="1451">
        <v>0</v>
      </c>
      <c r="J287" s="1437">
        <v>0</v>
      </c>
      <c r="K287" s="1437">
        <v>0</v>
      </c>
      <c r="L287" s="1437">
        <v>10670563.76</v>
      </c>
    </row>
    <row r="288" spans="1:12" ht="15" x14ac:dyDescent="0.2">
      <c r="A288" s="1263"/>
      <c r="B288" s="1262"/>
      <c r="C288" s="1261"/>
      <c r="D288" s="1438"/>
      <c r="E288" s="1264"/>
      <c r="F288" s="1264"/>
      <c r="G288" s="1264"/>
      <c r="H288" s="1260"/>
    </row>
    <row r="289" spans="1:8" ht="46.5" customHeight="1" thickBot="1" x14ac:dyDescent="0.4">
      <c r="A289" s="3148" t="s">
        <v>948</v>
      </c>
      <c r="B289" s="3207"/>
      <c r="C289" s="3207"/>
      <c r="D289" s="3207"/>
      <c r="E289" s="1258">
        <f>SUM(E284)</f>
        <v>600</v>
      </c>
      <c r="F289" s="1258">
        <f>SUM(F284)</f>
        <v>12733</v>
      </c>
      <c r="G289" s="1258">
        <f>SUM(G284)</f>
        <v>19684</v>
      </c>
      <c r="H289" s="1257">
        <f>(G289/F289)*100</f>
        <v>154.59043430456293</v>
      </c>
    </row>
    <row r="290" spans="1:8" ht="13.5" thickTop="1" x14ac:dyDescent="0.2"/>
    <row r="409" spans="1:5" ht="13.5" thickBot="1" x14ac:dyDescent="0.25">
      <c r="A409" s="1409"/>
      <c r="B409" s="1409"/>
      <c r="C409" s="1409"/>
      <c r="D409" s="1477"/>
      <c r="E409" s="1478"/>
    </row>
    <row r="410" spans="1:5" ht="13.5" thickTop="1" x14ac:dyDescent="0.2">
      <c r="A410" s="1427"/>
      <c r="B410" s="1427"/>
      <c r="C410" s="1427"/>
      <c r="D410" s="1419"/>
      <c r="E410" s="1479"/>
    </row>
    <row r="411" spans="1:5" x14ac:dyDescent="0.2">
      <c r="D411" s="1372" t="e">
        <f>#REF!+#REF!</f>
        <v>#REF!</v>
      </c>
    </row>
  </sheetData>
  <mergeCells count="9">
    <mergeCell ref="A234:D234"/>
    <mergeCell ref="A267:D267"/>
    <mergeCell ref="A289:D289"/>
    <mergeCell ref="A36:D36"/>
    <mergeCell ref="A66:D66"/>
    <mergeCell ref="A104:D104"/>
    <mergeCell ref="A138:D138"/>
    <mergeCell ref="A169:D169"/>
    <mergeCell ref="A201:D201"/>
  </mergeCells>
  <pageMargins left="0.98425196850393704" right="0.78740157480314965" top="0.98425196850393704" bottom="0.98425196850393704" header="0.51181102362204722" footer="0.51181102362204722"/>
  <pageSetup paperSize="9" scale="65" firstPageNumber="153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rowBreaks count="1" manualBreakCount="1">
    <brk id="170" max="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67"/>
  <sheetViews>
    <sheetView view="pageBreakPreview" zoomScaleNormal="100" zoomScaleSheetLayoutView="100" workbookViewId="0">
      <selection activeCell="D474" sqref="D474"/>
    </sheetView>
  </sheetViews>
  <sheetFormatPr defaultRowHeight="12.75" x14ac:dyDescent="0.2"/>
  <cols>
    <col min="1" max="1" width="5" style="1551" customWidth="1"/>
    <col min="2" max="2" width="6.7109375" style="1551" customWidth="1"/>
    <col min="3" max="3" width="9.85546875" style="1551" customWidth="1"/>
    <col min="4" max="4" width="47.85546875" style="1551" customWidth="1"/>
    <col min="5" max="5" width="15.42578125" style="1551" customWidth="1"/>
    <col min="6" max="6" width="15.5703125" style="1551" customWidth="1"/>
    <col min="7" max="7" width="15.85546875" style="1551" customWidth="1"/>
    <col min="8" max="8" width="9.140625" style="1551" customWidth="1"/>
    <col min="9" max="10" width="9.140625" style="1551"/>
    <col min="11" max="11" width="18.85546875" style="1551" customWidth="1"/>
    <col min="12" max="12" width="17.7109375" style="1551" customWidth="1"/>
    <col min="13" max="256" width="9.140625" style="1551"/>
    <col min="257" max="257" width="4.7109375" style="1551" customWidth="1"/>
    <col min="258" max="258" width="6.7109375" style="1551" customWidth="1"/>
    <col min="259" max="259" width="8.85546875" style="1551" customWidth="1"/>
    <col min="260" max="260" width="47.85546875" style="1551" customWidth="1"/>
    <col min="261" max="261" width="12.85546875" style="1551" customWidth="1"/>
    <col min="262" max="262" width="15.5703125" style="1551" customWidth="1"/>
    <col min="263" max="263" width="15.85546875" style="1551" customWidth="1"/>
    <col min="264" max="264" width="6.42578125" style="1551" customWidth="1"/>
    <col min="265" max="266" width="9.140625" style="1551"/>
    <col min="267" max="267" width="18.85546875" style="1551" customWidth="1"/>
    <col min="268" max="268" width="17.7109375" style="1551" customWidth="1"/>
    <col min="269" max="512" width="9.140625" style="1551"/>
    <col min="513" max="513" width="4.7109375" style="1551" customWidth="1"/>
    <col min="514" max="514" width="6.7109375" style="1551" customWidth="1"/>
    <col min="515" max="515" width="8.85546875" style="1551" customWidth="1"/>
    <col min="516" max="516" width="47.85546875" style="1551" customWidth="1"/>
    <col min="517" max="517" width="12.85546875" style="1551" customWidth="1"/>
    <col min="518" max="518" width="15.5703125" style="1551" customWidth="1"/>
    <col min="519" max="519" width="15.85546875" style="1551" customWidth="1"/>
    <col min="520" max="520" width="6.42578125" style="1551" customWidth="1"/>
    <col min="521" max="522" width="9.140625" style="1551"/>
    <col min="523" max="523" width="18.85546875" style="1551" customWidth="1"/>
    <col min="524" max="524" width="17.7109375" style="1551" customWidth="1"/>
    <col min="525" max="768" width="9.140625" style="1551"/>
    <col min="769" max="769" width="4.7109375" style="1551" customWidth="1"/>
    <col min="770" max="770" width="6.7109375" style="1551" customWidth="1"/>
    <col min="771" max="771" width="8.85546875" style="1551" customWidth="1"/>
    <col min="772" max="772" width="47.85546875" style="1551" customWidth="1"/>
    <col min="773" max="773" width="12.85546875" style="1551" customWidth="1"/>
    <col min="774" max="774" width="15.5703125" style="1551" customWidth="1"/>
    <col min="775" max="775" width="15.85546875" style="1551" customWidth="1"/>
    <col min="776" max="776" width="6.42578125" style="1551" customWidth="1"/>
    <col min="777" max="778" width="9.140625" style="1551"/>
    <col min="779" max="779" width="18.85546875" style="1551" customWidth="1"/>
    <col min="780" max="780" width="17.7109375" style="1551" customWidth="1"/>
    <col min="781" max="1024" width="9.140625" style="1551"/>
    <col min="1025" max="1025" width="4.7109375" style="1551" customWidth="1"/>
    <col min="1026" max="1026" width="6.7109375" style="1551" customWidth="1"/>
    <col min="1027" max="1027" width="8.85546875" style="1551" customWidth="1"/>
    <col min="1028" max="1028" width="47.85546875" style="1551" customWidth="1"/>
    <col min="1029" max="1029" width="12.85546875" style="1551" customWidth="1"/>
    <col min="1030" max="1030" width="15.5703125" style="1551" customWidth="1"/>
    <col min="1031" max="1031" width="15.85546875" style="1551" customWidth="1"/>
    <col min="1032" max="1032" width="6.42578125" style="1551" customWidth="1"/>
    <col min="1033" max="1034" width="9.140625" style="1551"/>
    <col min="1035" max="1035" width="18.85546875" style="1551" customWidth="1"/>
    <col min="1036" max="1036" width="17.7109375" style="1551" customWidth="1"/>
    <col min="1037" max="1280" width="9.140625" style="1551"/>
    <col min="1281" max="1281" width="4.7109375" style="1551" customWidth="1"/>
    <col min="1282" max="1282" width="6.7109375" style="1551" customWidth="1"/>
    <col min="1283" max="1283" width="8.85546875" style="1551" customWidth="1"/>
    <col min="1284" max="1284" width="47.85546875" style="1551" customWidth="1"/>
    <col min="1285" max="1285" width="12.85546875" style="1551" customWidth="1"/>
    <col min="1286" max="1286" width="15.5703125" style="1551" customWidth="1"/>
    <col min="1287" max="1287" width="15.85546875" style="1551" customWidth="1"/>
    <col min="1288" max="1288" width="6.42578125" style="1551" customWidth="1"/>
    <col min="1289" max="1290" width="9.140625" style="1551"/>
    <col min="1291" max="1291" width="18.85546875" style="1551" customWidth="1"/>
    <col min="1292" max="1292" width="17.7109375" style="1551" customWidth="1"/>
    <col min="1293" max="1536" width="9.140625" style="1551"/>
    <col min="1537" max="1537" width="4.7109375" style="1551" customWidth="1"/>
    <col min="1538" max="1538" width="6.7109375" style="1551" customWidth="1"/>
    <col min="1539" max="1539" width="8.85546875" style="1551" customWidth="1"/>
    <col min="1540" max="1540" width="47.85546875" style="1551" customWidth="1"/>
    <col min="1541" max="1541" width="12.85546875" style="1551" customWidth="1"/>
    <col min="1542" max="1542" width="15.5703125" style="1551" customWidth="1"/>
    <col min="1543" max="1543" width="15.85546875" style="1551" customWidth="1"/>
    <col min="1544" max="1544" width="6.42578125" style="1551" customWidth="1"/>
    <col min="1545" max="1546" width="9.140625" style="1551"/>
    <col min="1547" max="1547" width="18.85546875" style="1551" customWidth="1"/>
    <col min="1548" max="1548" width="17.7109375" style="1551" customWidth="1"/>
    <col min="1549" max="1792" width="9.140625" style="1551"/>
    <col min="1793" max="1793" width="4.7109375" style="1551" customWidth="1"/>
    <col min="1794" max="1794" width="6.7109375" style="1551" customWidth="1"/>
    <col min="1795" max="1795" width="8.85546875" style="1551" customWidth="1"/>
    <col min="1796" max="1796" width="47.85546875" style="1551" customWidth="1"/>
    <col min="1797" max="1797" width="12.85546875" style="1551" customWidth="1"/>
    <col min="1798" max="1798" width="15.5703125" style="1551" customWidth="1"/>
    <col min="1799" max="1799" width="15.85546875" style="1551" customWidth="1"/>
    <col min="1800" max="1800" width="6.42578125" style="1551" customWidth="1"/>
    <col min="1801" max="1802" width="9.140625" style="1551"/>
    <col min="1803" max="1803" width="18.85546875" style="1551" customWidth="1"/>
    <col min="1804" max="1804" width="17.7109375" style="1551" customWidth="1"/>
    <col min="1805" max="2048" width="9.140625" style="1551"/>
    <col min="2049" max="2049" width="4.7109375" style="1551" customWidth="1"/>
    <col min="2050" max="2050" width="6.7109375" style="1551" customWidth="1"/>
    <col min="2051" max="2051" width="8.85546875" style="1551" customWidth="1"/>
    <col min="2052" max="2052" width="47.85546875" style="1551" customWidth="1"/>
    <col min="2053" max="2053" width="12.85546875" style="1551" customWidth="1"/>
    <col min="2054" max="2054" width="15.5703125" style="1551" customWidth="1"/>
    <col min="2055" max="2055" width="15.85546875" style="1551" customWidth="1"/>
    <col min="2056" max="2056" width="6.42578125" style="1551" customWidth="1"/>
    <col min="2057" max="2058" width="9.140625" style="1551"/>
    <col min="2059" max="2059" width="18.85546875" style="1551" customWidth="1"/>
    <col min="2060" max="2060" width="17.7109375" style="1551" customWidth="1"/>
    <col min="2061" max="2304" width="9.140625" style="1551"/>
    <col min="2305" max="2305" width="4.7109375" style="1551" customWidth="1"/>
    <col min="2306" max="2306" width="6.7109375" style="1551" customWidth="1"/>
    <col min="2307" max="2307" width="8.85546875" style="1551" customWidth="1"/>
    <col min="2308" max="2308" width="47.85546875" style="1551" customWidth="1"/>
    <col min="2309" max="2309" width="12.85546875" style="1551" customWidth="1"/>
    <col min="2310" max="2310" width="15.5703125" style="1551" customWidth="1"/>
    <col min="2311" max="2311" width="15.85546875" style="1551" customWidth="1"/>
    <col min="2312" max="2312" width="6.42578125" style="1551" customWidth="1"/>
    <col min="2313" max="2314" width="9.140625" style="1551"/>
    <col min="2315" max="2315" width="18.85546875" style="1551" customWidth="1"/>
    <col min="2316" max="2316" width="17.7109375" style="1551" customWidth="1"/>
    <col min="2317" max="2560" width="9.140625" style="1551"/>
    <col min="2561" max="2561" width="4.7109375" style="1551" customWidth="1"/>
    <col min="2562" max="2562" width="6.7109375" style="1551" customWidth="1"/>
    <col min="2563" max="2563" width="8.85546875" style="1551" customWidth="1"/>
    <col min="2564" max="2564" width="47.85546875" style="1551" customWidth="1"/>
    <col min="2565" max="2565" width="12.85546875" style="1551" customWidth="1"/>
    <col min="2566" max="2566" width="15.5703125" style="1551" customWidth="1"/>
    <col min="2567" max="2567" width="15.85546875" style="1551" customWidth="1"/>
    <col min="2568" max="2568" width="6.42578125" style="1551" customWidth="1"/>
    <col min="2569" max="2570" width="9.140625" style="1551"/>
    <col min="2571" max="2571" width="18.85546875" style="1551" customWidth="1"/>
    <col min="2572" max="2572" width="17.7109375" style="1551" customWidth="1"/>
    <col min="2573" max="2816" width="9.140625" style="1551"/>
    <col min="2817" max="2817" width="4.7109375" style="1551" customWidth="1"/>
    <col min="2818" max="2818" width="6.7109375" style="1551" customWidth="1"/>
    <col min="2819" max="2819" width="8.85546875" style="1551" customWidth="1"/>
    <col min="2820" max="2820" width="47.85546875" style="1551" customWidth="1"/>
    <col min="2821" max="2821" width="12.85546875" style="1551" customWidth="1"/>
    <col min="2822" max="2822" width="15.5703125" style="1551" customWidth="1"/>
    <col min="2823" max="2823" width="15.85546875" style="1551" customWidth="1"/>
    <col min="2824" max="2824" width="6.42578125" style="1551" customWidth="1"/>
    <col min="2825" max="2826" width="9.140625" style="1551"/>
    <col min="2827" max="2827" width="18.85546875" style="1551" customWidth="1"/>
    <col min="2828" max="2828" width="17.7109375" style="1551" customWidth="1"/>
    <col min="2829" max="3072" width="9.140625" style="1551"/>
    <col min="3073" max="3073" width="4.7109375" style="1551" customWidth="1"/>
    <col min="3074" max="3074" width="6.7109375" style="1551" customWidth="1"/>
    <col min="3075" max="3075" width="8.85546875" style="1551" customWidth="1"/>
    <col min="3076" max="3076" width="47.85546875" style="1551" customWidth="1"/>
    <col min="3077" max="3077" width="12.85546875" style="1551" customWidth="1"/>
    <col min="3078" max="3078" width="15.5703125" style="1551" customWidth="1"/>
    <col min="3079" max="3079" width="15.85546875" style="1551" customWidth="1"/>
    <col min="3080" max="3080" width="6.42578125" style="1551" customWidth="1"/>
    <col min="3081" max="3082" width="9.140625" style="1551"/>
    <col min="3083" max="3083" width="18.85546875" style="1551" customWidth="1"/>
    <col min="3084" max="3084" width="17.7109375" style="1551" customWidth="1"/>
    <col min="3085" max="3328" width="9.140625" style="1551"/>
    <col min="3329" max="3329" width="4.7109375" style="1551" customWidth="1"/>
    <col min="3330" max="3330" width="6.7109375" style="1551" customWidth="1"/>
    <col min="3331" max="3331" width="8.85546875" style="1551" customWidth="1"/>
    <col min="3332" max="3332" width="47.85546875" style="1551" customWidth="1"/>
    <col min="3333" max="3333" width="12.85546875" style="1551" customWidth="1"/>
    <col min="3334" max="3334" width="15.5703125" style="1551" customWidth="1"/>
    <col min="3335" max="3335" width="15.85546875" style="1551" customWidth="1"/>
    <col min="3336" max="3336" width="6.42578125" style="1551" customWidth="1"/>
    <col min="3337" max="3338" width="9.140625" style="1551"/>
    <col min="3339" max="3339" width="18.85546875" style="1551" customWidth="1"/>
    <col min="3340" max="3340" width="17.7109375" style="1551" customWidth="1"/>
    <col min="3341" max="3584" width="9.140625" style="1551"/>
    <col min="3585" max="3585" width="4.7109375" style="1551" customWidth="1"/>
    <col min="3586" max="3586" width="6.7109375" style="1551" customWidth="1"/>
    <col min="3587" max="3587" width="8.85546875" style="1551" customWidth="1"/>
    <col min="3588" max="3588" width="47.85546875" style="1551" customWidth="1"/>
    <col min="3589" max="3589" width="12.85546875" style="1551" customWidth="1"/>
    <col min="3590" max="3590" width="15.5703125" style="1551" customWidth="1"/>
    <col min="3591" max="3591" width="15.85546875" style="1551" customWidth="1"/>
    <col min="3592" max="3592" width="6.42578125" style="1551" customWidth="1"/>
    <col min="3593" max="3594" width="9.140625" style="1551"/>
    <col min="3595" max="3595" width="18.85546875" style="1551" customWidth="1"/>
    <col min="3596" max="3596" width="17.7109375" style="1551" customWidth="1"/>
    <col min="3597" max="3840" width="9.140625" style="1551"/>
    <col min="3841" max="3841" width="4.7109375" style="1551" customWidth="1"/>
    <col min="3842" max="3842" width="6.7109375" style="1551" customWidth="1"/>
    <col min="3843" max="3843" width="8.85546875" style="1551" customWidth="1"/>
    <col min="3844" max="3844" width="47.85546875" style="1551" customWidth="1"/>
    <col min="3845" max="3845" width="12.85546875" style="1551" customWidth="1"/>
    <col min="3846" max="3846" width="15.5703125" style="1551" customWidth="1"/>
    <col min="3847" max="3847" width="15.85546875" style="1551" customWidth="1"/>
    <col min="3848" max="3848" width="6.42578125" style="1551" customWidth="1"/>
    <col min="3849" max="3850" width="9.140625" style="1551"/>
    <col min="3851" max="3851" width="18.85546875" style="1551" customWidth="1"/>
    <col min="3852" max="3852" width="17.7109375" style="1551" customWidth="1"/>
    <col min="3853" max="4096" width="9.140625" style="1551"/>
    <col min="4097" max="4097" width="4.7109375" style="1551" customWidth="1"/>
    <col min="4098" max="4098" width="6.7109375" style="1551" customWidth="1"/>
    <col min="4099" max="4099" width="8.85546875" style="1551" customWidth="1"/>
    <col min="4100" max="4100" width="47.85546875" style="1551" customWidth="1"/>
    <col min="4101" max="4101" width="12.85546875" style="1551" customWidth="1"/>
    <col min="4102" max="4102" width="15.5703125" style="1551" customWidth="1"/>
    <col min="4103" max="4103" width="15.85546875" style="1551" customWidth="1"/>
    <col min="4104" max="4104" width="6.42578125" style="1551" customWidth="1"/>
    <col min="4105" max="4106" width="9.140625" style="1551"/>
    <col min="4107" max="4107" width="18.85546875" style="1551" customWidth="1"/>
    <col min="4108" max="4108" width="17.7109375" style="1551" customWidth="1"/>
    <col min="4109" max="4352" width="9.140625" style="1551"/>
    <col min="4353" max="4353" width="4.7109375" style="1551" customWidth="1"/>
    <col min="4354" max="4354" width="6.7109375" style="1551" customWidth="1"/>
    <col min="4355" max="4355" width="8.85546875" style="1551" customWidth="1"/>
    <col min="4356" max="4356" width="47.85546875" style="1551" customWidth="1"/>
    <col min="4357" max="4357" width="12.85546875" style="1551" customWidth="1"/>
    <col min="4358" max="4358" width="15.5703125" style="1551" customWidth="1"/>
    <col min="4359" max="4359" width="15.85546875" style="1551" customWidth="1"/>
    <col min="4360" max="4360" width="6.42578125" style="1551" customWidth="1"/>
    <col min="4361" max="4362" width="9.140625" style="1551"/>
    <col min="4363" max="4363" width="18.85546875" style="1551" customWidth="1"/>
    <col min="4364" max="4364" width="17.7109375" style="1551" customWidth="1"/>
    <col min="4365" max="4608" width="9.140625" style="1551"/>
    <col min="4609" max="4609" width="4.7109375" style="1551" customWidth="1"/>
    <col min="4610" max="4610" width="6.7109375" style="1551" customWidth="1"/>
    <col min="4611" max="4611" width="8.85546875" style="1551" customWidth="1"/>
    <col min="4612" max="4612" width="47.85546875" style="1551" customWidth="1"/>
    <col min="4613" max="4613" width="12.85546875" style="1551" customWidth="1"/>
    <col min="4614" max="4614" width="15.5703125" style="1551" customWidth="1"/>
    <col min="4615" max="4615" width="15.85546875" style="1551" customWidth="1"/>
    <col min="4616" max="4616" width="6.42578125" style="1551" customWidth="1"/>
    <col min="4617" max="4618" width="9.140625" style="1551"/>
    <col min="4619" max="4619" width="18.85546875" style="1551" customWidth="1"/>
    <col min="4620" max="4620" width="17.7109375" style="1551" customWidth="1"/>
    <col min="4621" max="4864" width="9.140625" style="1551"/>
    <col min="4865" max="4865" width="4.7109375" style="1551" customWidth="1"/>
    <col min="4866" max="4866" width="6.7109375" style="1551" customWidth="1"/>
    <col min="4867" max="4867" width="8.85546875" style="1551" customWidth="1"/>
    <col min="4868" max="4868" width="47.85546875" style="1551" customWidth="1"/>
    <col min="4869" max="4869" width="12.85546875" style="1551" customWidth="1"/>
    <col min="4870" max="4870" width="15.5703125" style="1551" customWidth="1"/>
    <col min="4871" max="4871" width="15.85546875" style="1551" customWidth="1"/>
    <col min="4872" max="4872" width="6.42578125" style="1551" customWidth="1"/>
    <col min="4873" max="4874" width="9.140625" style="1551"/>
    <col min="4875" max="4875" width="18.85546875" style="1551" customWidth="1"/>
    <col min="4876" max="4876" width="17.7109375" style="1551" customWidth="1"/>
    <col min="4877" max="5120" width="9.140625" style="1551"/>
    <col min="5121" max="5121" width="4.7109375" style="1551" customWidth="1"/>
    <col min="5122" max="5122" width="6.7109375" style="1551" customWidth="1"/>
    <col min="5123" max="5123" width="8.85546875" style="1551" customWidth="1"/>
    <col min="5124" max="5124" width="47.85546875" style="1551" customWidth="1"/>
    <col min="5125" max="5125" width="12.85546875" style="1551" customWidth="1"/>
    <col min="5126" max="5126" width="15.5703125" style="1551" customWidth="1"/>
    <col min="5127" max="5127" width="15.85546875" style="1551" customWidth="1"/>
    <col min="5128" max="5128" width="6.42578125" style="1551" customWidth="1"/>
    <col min="5129" max="5130" width="9.140625" style="1551"/>
    <col min="5131" max="5131" width="18.85546875" style="1551" customWidth="1"/>
    <col min="5132" max="5132" width="17.7109375" style="1551" customWidth="1"/>
    <col min="5133" max="5376" width="9.140625" style="1551"/>
    <col min="5377" max="5377" width="4.7109375" style="1551" customWidth="1"/>
    <col min="5378" max="5378" width="6.7109375" style="1551" customWidth="1"/>
    <col min="5379" max="5379" width="8.85546875" style="1551" customWidth="1"/>
    <col min="5380" max="5380" width="47.85546875" style="1551" customWidth="1"/>
    <col min="5381" max="5381" width="12.85546875" style="1551" customWidth="1"/>
    <col min="5382" max="5382" width="15.5703125" style="1551" customWidth="1"/>
    <col min="5383" max="5383" width="15.85546875" style="1551" customWidth="1"/>
    <col min="5384" max="5384" width="6.42578125" style="1551" customWidth="1"/>
    <col min="5385" max="5386" width="9.140625" style="1551"/>
    <col min="5387" max="5387" width="18.85546875" style="1551" customWidth="1"/>
    <col min="5388" max="5388" width="17.7109375" style="1551" customWidth="1"/>
    <col min="5389" max="5632" width="9.140625" style="1551"/>
    <col min="5633" max="5633" width="4.7109375" style="1551" customWidth="1"/>
    <col min="5634" max="5634" width="6.7109375" style="1551" customWidth="1"/>
    <col min="5635" max="5635" width="8.85546875" style="1551" customWidth="1"/>
    <col min="5636" max="5636" width="47.85546875" style="1551" customWidth="1"/>
    <col min="5637" max="5637" width="12.85546875" style="1551" customWidth="1"/>
    <col min="5638" max="5638" width="15.5703125" style="1551" customWidth="1"/>
    <col min="5639" max="5639" width="15.85546875" style="1551" customWidth="1"/>
    <col min="5640" max="5640" width="6.42578125" style="1551" customWidth="1"/>
    <col min="5641" max="5642" width="9.140625" style="1551"/>
    <col min="5643" max="5643" width="18.85546875" style="1551" customWidth="1"/>
    <col min="5644" max="5644" width="17.7109375" style="1551" customWidth="1"/>
    <col min="5645" max="5888" width="9.140625" style="1551"/>
    <col min="5889" max="5889" width="4.7109375" style="1551" customWidth="1"/>
    <col min="5890" max="5890" width="6.7109375" style="1551" customWidth="1"/>
    <col min="5891" max="5891" width="8.85546875" style="1551" customWidth="1"/>
    <col min="5892" max="5892" width="47.85546875" style="1551" customWidth="1"/>
    <col min="5893" max="5893" width="12.85546875" style="1551" customWidth="1"/>
    <col min="5894" max="5894" width="15.5703125" style="1551" customWidth="1"/>
    <col min="5895" max="5895" width="15.85546875" style="1551" customWidth="1"/>
    <col min="5896" max="5896" width="6.42578125" style="1551" customWidth="1"/>
    <col min="5897" max="5898" width="9.140625" style="1551"/>
    <col min="5899" max="5899" width="18.85546875" style="1551" customWidth="1"/>
    <col min="5900" max="5900" width="17.7109375" style="1551" customWidth="1"/>
    <col min="5901" max="6144" width="9.140625" style="1551"/>
    <col min="6145" max="6145" width="4.7109375" style="1551" customWidth="1"/>
    <col min="6146" max="6146" width="6.7109375" style="1551" customWidth="1"/>
    <col min="6147" max="6147" width="8.85546875" style="1551" customWidth="1"/>
    <col min="6148" max="6148" width="47.85546875" style="1551" customWidth="1"/>
    <col min="6149" max="6149" width="12.85546875" style="1551" customWidth="1"/>
    <col min="6150" max="6150" width="15.5703125" style="1551" customWidth="1"/>
    <col min="6151" max="6151" width="15.85546875" style="1551" customWidth="1"/>
    <col min="6152" max="6152" width="6.42578125" style="1551" customWidth="1"/>
    <col min="6153" max="6154" width="9.140625" style="1551"/>
    <col min="6155" max="6155" width="18.85546875" style="1551" customWidth="1"/>
    <col min="6156" max="6156" width="17.7109375" style="1551" customWidth="1"/>
    <col min="6157" max="6400" width="9.140625" style="1551"/>
    <col min="6401" max="6401" width="4.7109375" style="1551" customWidth="1"/>
    <col min="6402" max="6402" width="6.7109375" style="1551" customWidth="1"/>
    <col min="6403" max="6403" width="8.85546875" style="1551" customWidth="1"/>
    <col min="6404" max="6404" width="47.85546875" style="1551" customWidth="1"/>
    <col min="6405" max="6405" width="12.85546875" style="1551" customWidth="1"/>
    <col min="6406" max="6406" width="15.5703125" style="1551" customWidth="1"/>
    <col min="6407" max="6407" width="15.85546875" style="1551" customWidth="1"/>
    <col min="6408" max="6408" width="6.42578125" style="1551" customWidth="1"/>
    <col min="6409" max="6410" width="9.140625" style="1551"/>
    <col min="6411" max="6411" width="18.85546875" style="1551" customWidth="1"/>
    <col min="6412" max="6412" width="17.7109375" style="1551" customWidth="1"/>
    <col min="6413" max="6656" width="9.140625" style="1551"/>
    <col min="6657" max="6657" width="4.7109375" style="1551" customWidth="1"/>
    <col min="6658" max="6658" width="6.7109375" style="1551" customWidth="1"/>
    <col min="6659" max="6659" width="8.85546875" style="1551" customWidth="1"/>
    <col min="6660" max="6660" width="47.85546875" style="1551" customWidth="1"/>
    <col min="6661" max="6661" width="12.85546875" style="1551" customWidth="1"/>
    <col min="6662" max="6662" width="15.5703125" style="1551" customWidth="1"/>
    <col min="6663" max="6663" width="15.85546875" style="1551" customWidth="1"/>
    <col min="6664" max="6664" width="6.42578125" style="1551" customWidth="1"/>
    <col min="6665" max="6666" width="9.140625" style="1551"/>
    <col min="6667" max="6667" width="18.85546875" style="1551" customWidth="1"/>
    <col min="6668" max="6668" width="17.7109375" style="1551" customWidth="1"/>
    <col min="6669" max="6912" width="9.140625" style="1551"/>
    <col min="6913" max="6913" width="4.7109375" style="1551" customWidth="1"/>
    <col min="6914" max="6914" width="6.7109375" style="1551" customWidth="1"/>
    <col min="6915" max="6915" width="8.85546875" style="1551" customWidth="1"/>
    <col min="6916" max="6916" width="47.85546875" style="1551" customWidth="1"/>
    <col min="6917" max="6917" width="12.85546875" style="1551" customWidth="1"/>
    <col min="6918" max="6918" width="15.5703125" style="1551" customWidth="1"/>
    <col min="6919" max="6919" width="15.85546875" style="1551" customWidth="1"/>
    <col min="6920" max="6920" width="6.42578125" style="1551" customWidth="1"/>
    <col min="6921" max="6922" width="9.140625" style="1551"/>
    <col min="6923" max="6923" width="18.85546875" style="1551" customWidth="1"/>
    <col min="6924" max="6924" width="17.7109375" style="1551" customWidth="1"/>
    <col min="6925" max="7168" width="9.140625" style="1551"/>
    <col min="7169" max="7169" width="4.7109375" style="1551" customWidth="1"/>
    <col min="7170" max="7170" width="6.7109375" style="1551" customWidth="1"/>
    <col min="7171" max="7171" width="8.85546875" style="1551" customWidth="1"/>
    <col min="7172" max="7172" width="47.85546875" style="1551" customWidth="1"/>
    <col min="7173" max="7173" width="12.85546875" style="1551" customWidth="1"/>
    <col min="7174" max="7174" width="15.5703125" style="1551" customWidth="1"/>
    <col min="7175" max="7175" width="15.85546875" style="1551" customWidth="1"/>
    <col min="7176" max="7176" width="6.42578125" style="1551" customWidth="1"/>
    <col min="7177" max="7178" width="9.140625" style="1551"/>
    <col min="7179" max="7179" width="18.85546875" style="1551" customWidth="1"/>
    <col min="7180" max="7180" width="17.7109375" style="1551" customWidth="1"/>
    <col min="7181" max="7424" width="9.140625" style="1551"/>
    <col min="7425" max="7425" width="4.7109375" style="1551" customWidth="1"/>
    <col min="7426" max="7426" width="6.7109375" style="1551" customWidth="1"/>
    <col min="7427" max="7427" width="8.85546875" style="1551" customWidth="1"/>
    <col min="7428" max="7428" width="47.85546875" style="1551" customWidth="1"/>
    <col min="7429" max="7429" width="12.85546875" style="1551" customWidth="1"/>
    <col min="7430" max="7430" width="15.5703125" style="1551" customWidth="1"/>
    <col min="7431" max="7431" width="15.85546875" style="1551" customWidth="1"/>
    <col min="7432" max="7432" width="6.42578125" style="1551" customWidth="1"/>
    <col min="7433" max="7434" width="9.140625" style="1551"/>
    <col min="7435" max="7435" width="18.85546875" style="1551" customWidth="1"/>
    <col min="7436" max="7436" width="17.7109375" style="1551" customWidth="1"/>
    <col min="7437" max="7680" width="9.140625" style="1551"/>
    <col min="7681" max="7681" width="4.7109375" style="1551" customWidth="1"/>
    <col min="7682" max="7682" width="6.7109375" style="1551" customWidth="1"/>
    <col min="7683" max="7683" width="8.85546875" style="1551" customWidth="1"/>
    <col min="7684" max="7684" width="47.85546875" style="1551" customWidth="1"/>
    <col min="7685" max="7685" width="12.85546875" style="1551" customWidth="1"/>
    <col min="7686" max="7686" width="15.5703125" style="1551" customWidth="1"/>
    <col min="7687" max="7687" width="15.85546875" style="1551" customWidth="1"/>
    <col min="7688" max="7688" width="6.42578125" style="1551" customWidth="1"/>
    <col min="7689" max="7690" width="9.140625" style="1551"/>
    <col min="7691" max="7691" width="18.85546875" style="1551" customWidth="1"/>
    <col min="7692" max="7692" width="17.7109375" style="1551" customWidth="1"/>
    <col min="7693" max="7936" width="9.140625" style="1551"/>
    <col min="7937" max="7937" width="4.7109375" style="1551" customWidth="1"/>
    <col min="7938" max="7938" width="6.7109375" style="1551" customWidth="1"/>
    <col min="7939" max="7939" width="8.85546875" style="1551" customWidth="1"/>
    <col min="7940" max="7940" width="47.85546875" style="1551" customWidth="1"/>
    <col min="7941" max="7941" width="12.85546875" style="1551" customWidth="1"/>
    <col min="7942" max="7942" width="15.5703125" style="1551" customWidth="1"/>
    <col min="7943" max="7943" width="15.85546875" style="1551" customWidth="1"/>
    <col min="7944" max="7944" width="6.42578125" style="1551" customWidth="1"/>
    <col min="7945" max="7946" width="9.140625" style="1551"/>
    <col min="7947" max="7947" width="18.85546875" style="1551" customWidth="1"/>
    <col min="7948" max="7948" width="17.7109375" style="1551" customWidth="1"/>
    <col min="7949" max="8192" width="9.140625" style="1551"/>
    <col min="8193" max="8193" width="4.7109375" style="1551" customWidth="1"/>
    <col min="8194" max="8194" width="6.7109375" style="1551" customWidth="1"/>
    <col min="8195" max="8195" width="8.85546875" style="1551" customWidth="1"/>
    <col min="8196" max="8196" width="47.85546875" style="1551" customWidth="1"/>
    <col min="8197" max="8197" width="12.85546875" style="1551" customWidth="1"/>
    <col min="8198" max="8198" width="15.5703125" style="1551" customWidth="1"/>
    <col min="8199" max="8199" width="15.85546875" style="1551" customWidth="1"/>
    <col min="8200" max="8200" width="6.42578125" style="1551" customWidth="1"/>
    <col min="8201" max="8202" width="9.140625" style="1551"/>
    <col min="8203" max="8203" width="18.85546875" style="1551" customWidth="1"/>
    <col min="8204" max="8204" width="17.7109375" style="1551" customWidth="1"/>
    <col min="8205" max="8448" width="9.140625" style="1551"/>
    <col min="8449" max="8449" width="4.7109375" style="1551" customWidth="1"/>
    <col min="8450" max="8450" width="6.7109375" style="1551" customWidth="1"/>
    <col min="8451" max="8451" width="8.85546875" style="1551" customWidth="1"/>
    <col min="8452" max="8452" width="47.85546875" style="1551" customWidth="1"/>
    <col min="8453" max="8453" width="12.85546875" style="1551" customWidth="1"/>
    <col min="8454" max="8454" width="15.5703125" style="1551" customWidth="1"/>
    <col min="8455" max="8455" width="15.85546875" style="1551" customWidth="1"/>
    <col min="8456" max="8456" width="6.42578125" style="1551" customWidth="1"/>
    <col min="8457" max="8458" width="9.140625" style="1551"/>
    <col min="8459" max="8459" width="18.85546875" style="1551" customWidth="1"/>
    <col min="8460" max="8460" width="17.7109375" style="1551" customWidth="1"/>
    <col min="8461" max="8704" width="9.140625" style="1551"/>
    <col min="8705" max="8705" width="4.7109375" style="1551" customWidth="1"/>
    <col min="8706" max="8706" width="6.7109375" style="1551" customWidth="1"/>
    <col min="8707" max="8707" width="8.85546875" style="1551" customWidth="1"/>
    <col min="8708" max="8708" width="47.85546875" style="1551" customWidth="1"/>
    <col min="8709" max="8709" width="12.85546875" style="1551" customWidth="1"/>
    <col min="8710" max="8710" width="15.5703125" style="1551" customWidth="1"/>
    <col min="8711" max="8711" width="15.85546875" style="1551" customWidth="1"/>
    <col min="8712" max="8712" width="6.42578125" style="1551" customWidth="1"/>
    <col min="8713" max="8714" width="9.140625" style="1551"/>
    <col min="8715" max="8715" width="18.85546875" style="1551" customWidth="1"/>
    <col min="8716" max="8716" width="17.7109375" style="1551" customWidth="1"/>
    <col min="8717" max="8960" width="9.140625" style="1551"/>
    <col min="8961" max="8961" width="4.7109375" style="1551" customWidth="1"/>
    <col min="8962" max="8962" width="6.7109375" style="1551" customWidth="1"/>
    <col min="8963" max="8963" width="8.85546875" style="1551" customWidth="1"/>
    <col min="8964" max="8964" width="47.85546875" style="1551" customWidth="1"/>
    <col min="8965" max="8965" width="12.85546875" style="1551" customWidth="1"/>
    <col min="8966" max="8966" width="15.5703125" style="1551" customWidth="1"/>
    <col min="8967" max="8967" width="15.85546875" style="1551" customWidth="1"/>
    <col min="8968" max="8968" width="6.42578125" style="1551" customWidth="1"/>
    <col min="8969" max="8970" width="9.140625" style="1551"/>
    <col min="8971" max="8971" width="18.85546875" style="1551" customWidth="1"/>
    <col min="8972" max="8972" width="17.7109375" style="1551" customWidth="1"/>
    <col min="8973" max="9216" width="9.140625" style="1551"/>
    <col min="9217" max="9217" width="4.7109375" style="1551" customWidth="1"/>
    <col min="9218" max="9218" width="6.7109375" style="1551" customWidth="1"/>
    <col min="9219" max="9219" width="8.85546875" style="1551" customWidth="1"/>
    <col min="9220" max="9220" width="47.85546875" style="1551" customWidth="1"/>
    <col min="9221" max="9221" width="12.85546875" style="1551" customWidth="1"/>
    <col min="9222" max="9222" width="15.5703125" style="1551" customWidth="1"/>
    <col min="9223" max="9223" width="15.85546875" style="1551" customWidth="1"/>
    <col min="9224" max="9224" width="6.42578125" style="1551" customWidth="1"/>
    <col min="9225" max="9226" width="9.140625" style="1551"/>
    <col min="9227" max="9227" width="18.85546875" style="1551" customWidth="1"/>
    <col min="9228" max="9228" width="17.7109375" style="1551" customWidth="1"/>
    <col min="9229" max="9472" width="9.140625" style="1551"/>
    <col min="9473" max="9473" width="4.7109375" style="1551" customWidth="1"/>
    <col min="9474" max="9474" width="6.7109375" style="1551" customWidth="1"/>
    <col min="9475" max="9475" width="8.85546875" style="1551" customWidth="1"/>
    <col min="9476" max="9476" width="47.85546875" style="1551" customWidth="1"/>
    <col min="9477" max="9477" width="12.85546875" style="1551" customWidth="1"/>
    <col min="9478" max="9478" width="15.5703125" style="1551" customWidth="1"/>
    <col min="9479" max="9479" width="15.85546875" style="1551" customWidth="1"/>
    <col min="9480" max="9480" width="6.42578125" style="1551" customWidth="1"/>
    <col min="9481" max="9482" width="9.140625" style="1551"/>
    <col min="9483" max="9483" width="18.85546875" style="1551" customWidth="1"/>
    <col min="9484" max="9484" width="17.7109375" style="1551" customWidth="1"/>
    <col min="9485" max="9728" width="9.140625" style="1551"/>
    <col min="9729" max="9729" width="4.7109375" style="1551" customWidth="1"/>
    <col min="9730" max="9730" width="6.7109375" style="1551" customWidth="1"/>
    <col min="9731" max="9731" width="8.85546875" style="1551" customWidth="1"/>
    <col min="9732" max="9732" width="47.85546875" style="1551" customWidth="1"/>
    <col min="9733" max="9733" width="12.85546875" style="1551" customWidth="1"/>
    <col min="9734" max="9734" width="15.5703125" style="1551" customWidth="1"/>
    <col min="9735" max="9735" width="15.85546875" style="1551" customWidth="1"/>
    <col min="9736" max="9736" width="6.42578125" style="1551" customWidth="1"/>
    <col min="9737" max="9738" width="9.140625" style="1551"/>
    <col min="9739" max="9739" width="18.85546875" style="1551" customWidth="1"/>
    <col min="9740" max="9740" width="17.7109375" style="1551" customWidth="1"/>
    <col min="9741" max="9984" width="9.140625" style="1551"/>
    <col min="9985" max="9985" width="4.7109375" style="1551" customWidth="1"/>
    <col min="9986" max="9986" width="6.7109375" style="1551" customWidth="1"/>
    <col min="9987" max="9987" width="8.85546875" style="1551" customWidth="1"/>
    <col min="9988" max="9988" width="47.85546875" style="1551" customWidth="1"/>
    <col min="9989" max="9989" width="12.85546875" style="1551" customWidth="1"/>
    <col min="9990" max="9990" width="15.5703125" style="1551" customWidth="1"/>
    <col min="9991" max="9991" width="15.85546875" style="1551" customWidth="1"/>
    <col min="9992" max="9992" width="6.42578125" style="1551" customWidth="1"/>
    <col min="9993" max="9994" width="9.140625" style="1551"/>
    <col min="9995" max="9995" width="18.85546875" style="1551" customWidth="1"/>
    <col min="9996" max="9996" width="17.7109375" style="1551" customWidth="1"/>
    <col min="9997" max="10240" width="9.140625" style="1551"/>
    <col min="10241" max="10241" width="4.7109375" style="1551" customWidth="1"/>
    <col min="10242" max="10242" width="6.7109375" style="1551" customWidth="1"/>
    <col min="10243" max="10243" width="8.85546875" style="1551" customWidth="1"/>
    <col min="10244" max="10244" width="47.85546875" style="1551" customWidth="1"/>
    <col min="10245" max="10245" width="12.85546875" style="1551" customWidth="1"/>
    <col min="10246" max="10246" width="15.5703125" style="1551" customWidth="1"/>
    <col min="10247" max="10247" width="15.85546875" style="1551" customWidth="1"/>
    <col min="10248" max="10248" width="6.42578125" style="1551" customWidth="1"/>
    <col min="10249" max="10250" width="9.140625" style="1551"/>
    <col min="10251" max="10251" width="18.85546875" style="1551" customWidth="1"/>
    <col min="10252" max="10252" width="17.7109375" style="1551" customWidth="1"/>
    <col min="10253" max="10496" width="9.140625" style="1551"/>
    <col min="10497" max="10497" width="4.7109375" style="1551" customWidth="1"/>
    <col min="10498" max="10498" width="6.7109375" style="1551" customWidth="1"/>
    <col min="10499" max="10499" width="8.85546875" style="1551" customWidth="1"/>
    <col min="10500" max="10500" width="47.85546875" style="1551" customWidth="1"/>
    <col min="10501" max="10501" width="12.85546875" style="1551" customWidth="1"/>
    <col min="10502" max="10502" width="15.5703125" style="1551" customWidth="1"/>
    <col min="10503" max="10503" width="15.85546875" style="1551" customWidth="1"/>
    <col min="10504" max="10504" width="6.42578125" style="1551" customWidth="1"/>
    <col min="10505" max="10506" width="9.140625" style="1551"/>
    <col min="10507" max="10507" width="18.85546875" style="1551" customWidth="1"/>
    <col min="10508" max="10508" width="17.7109375" style="1551" customWidth="1"/>
    <col min="10509" max="10752" width="9.140625" style="1551"/>
    <col min="10753" max="10753" width="4.7109375" style="1551" customWidth="1"/>
    <col min="10754" max="10754" width="6.7109375" style="1551" customWidth="1"/>
    <col min="10755" max="10755" width="8.85546875" style="1551" customWidth="1"/>
    <col min="10756" max="10756" width="47.85546875" style="1551" customWidth="1"/>
    <col min="10757" max="10757" width="12.85546875" style="1551" customWidth="1"/>
    <col min="10758" max="10758" width="15.5703125" style="1551" customWidth="1"/>
    <col min="10759" max="10759" width="15.85546875" style="1551" customWidth="1"/>
    <col min="10760" max="10760" width="6.42578125" style="1551" customWidth="1"/>
    <col min="10761" max="10762" width="9.140625" style="1551"/>
    <col min="10763" max="10763" width="18.85546875" style="1551" customWidth="1"/>
    <col min="10764" max="10764" width="17.7109375" style="1551" customWidth="1"/>
    <col min="10765" max="11008" width="9.140625" style="1551"/>
    <col min="11009" max="11009" width="4.7109375" style="1551" customWidth="1"/>
    <col min="11010" max="11010" width="6.7109375" style="1551" customWidth="1"/>
    <col min="11011" max="11011" width="8.85546875" style="1551" customWidth="1"/>
    <col min="11012" max="11012" width="47.85546875" style="1551" customWidth="1"/>
    <col min="11013" max="11013" width="12.85546875" style="1551" customWidth="1"/>
    <col min="11014" max="11014" width="15.5703125" style="1551" customWidth="1"/>
    <col min="11015" max="11015" width="15.85546875" style="1551" customWidth="1"/>
    <col min="11016" max="11016" width="6.42578125" style="1551" customWidth="1"/>
    <col min="11017" max="11018" width="9.140625" style="1551"/>
    <col min="11019" max="11019" width="18.85546875" style="1551" customWidth="1"/>
    <col min="11020" max="11020" width="17.7109375" style="1551" customWidth="1"/>
    <col min="11021" max="11264" width="9.140625" style="1551"/>
    <col min="11265" max="11265" width="4.7109375" style="1551" customWidth="1"/>
    <col min="11266" max="11266" width="6.7109375" style="1551" customWidth="1"/>
    <col min="11267" max="11267" width="8.85546875" style="1551" customWidth="1"/>
    <col min="11268" max="11268" width="47.85546875" style="1551" customWidth="1"/>
    <col min="11269" max="11269" width="12.85546875" style="1551" customWidth="1"/>
    <col min="11270" max="11270" width="15.5703125" style="1551" customWidth="1"/>
    <col min="11271" max="11271" width="15.85546875" style="1551" customWidth="1"/>
    <col min="11272" max="11272" width="6.42578125" style="1551" customWidth="1"/>
    <col min="11273" max="11274" width="9.140625" style="1551"/>
    <col min="11275" max="11275" width="18.85546875" style="1551" customWidth="1"/>
    <col min="11276" max="11276" width="17.7109375" style="1551" customWidth="1"/>
    <col min="11277" max="11520" width="9.140625" style="1551"/>
    <col min="11521" max="11521" width="4.7109375" style="1551" customWidth="1"/>
    <col min="11522" max="11522" width="6.7109375" style="1551" customWidth="1"/>
    <col min="11523" max="11523" width="8.85546875" style="1551" customWidth="1"/>
    <col min="11524" max="11524" width="47.85546875" style="1551" customWidth="1"/>
    <col min="11525" max="11525" width="12.85546875" style="1551" customWidth="1"/>
    <col min="11526" max="11526" width="15.5703125" style="1551" customWidth="1"/>
    <col min="11527" max="11527" width="15.85546875" style="1551" customWidth="1"/>
    <col min="11528" max="11528" width="6.42578125" style="1551" customWidth="1"/>
    <col min="11529" max="11530" width="9.140625" style="1551"/>
    <col min="11531" max="11531" width="18.85546875" style="1551" customWidth="1"/>
    <col min="11532" max="11532" width="17.7109375" style="1551" customWidth="1"/>
    <col min="11533" max="11776" width="9.140625" style="1551"/>
    <col min="11777" max="11777" width="4.7109375" style="1551" customWidth="1"/>
    <col min="11778" max="11778" width="6.7109375" style="1551" customWidth="1"/>
    <col min="11779" max="11779" width="8.85546875" style="1551" customWidth="1"/>
    <col min="11780" max="11780" width="47.85546875" style="1551" customWidth="1"/>
    <col min="11781" max="11781" width="12.85546875" style="1551" customWidth="1"/>
    <col min="11782" max="11782" width="15.5703125" style="1551" customWidth="1"/>
    <col min="11783" max="11783" width="15.85546875" style="1551" customWidth="1"/>
    <col min="11784" max="11784" width="6.42578125" style="1551" customWidth="1"/>
    <col min="11785" max="11786" width="9.140625" style="1551"/>
    <col min="11787" max="11787" width="18.85546875" style="1551" customWidth="1"/>
    <col min="11788" max="11788" width="17.7109375" style="1551" customWidth="1"/>
    <col min="11789" max="12032" width="9.140625" style="1551"/>
    <col min="12033" max="12033" width="4.7109375" style="1551" customWidth="1"/>
    <col min="12034" max="12034" width="6.7109375" style="1551" customWidth="1"/>
    <col min="12035" max="12035" width="8.85546875" style="1551" customWidth="1"/>
    <col min="12036" max="12036" width="47.85546875" style="1551" customWidth="1"/>
    <col min="12037" max="12037" width="12.85546875" style="1551" customWidth="1"/>
    <col min="12038" max="12038" width="15.5703125" style="1551" customWidth="1"/>
    <col min="12039" max="12039" width="15.85546875" style="1551" customWidth="1"/>
    <col min="12040" max="12040" width="6.42578125" style="1551" customWidth="1"/>
    <col min="12041" max="12042" width="9.140625" style="1551"/>
    <col min="12043" max="12043" width="18.85546875" style="1551" customWidth="1"/>
    <col min="12044" max="12044" width="17.7109375" style="1551" customWidth="1"/>
    <col min="12045" max="12288" width="9.140625" style="1551"/>
    <col min="12289" max="12289" width="4.7109375" style="1551" customWidth="1"/>
    <col min="12290" max="12290" width="6.7109375" style="1551" customWidth="1"/>
    <col min="12291" max="12291" width="8.85546875" style="1551" customWidth="1"/>
    <col min="12292" max="12292" width="47.85546875" style="1551" customWidth="1"/>
    <col min="12293" max="12293" width="12.85546875" style="1551" customWidth="1"/>
    <col min="12294" max="12294" width="15.5703125" style="1551" customWidth="1"/>
    <col min="12295" max="12295" width="15.85546875" style="1551" customWidth="1"/>
    <col min="12296" max="12296" width="6.42578125" style="1551" customWidth="1"/>
    <col min="12297" max="12298" width="9.140625" style="1551"/>
    <col min="12299" max="12299" width="18.85546875" style="1551" customWidth="1"/>
    <col min="12300" max="12300" width="17.7109375" style="1551" customWidth="1"/>
    <col min="12301" max="12544" width="9.140625" style="1551"/>
    <col min="12545" max="12545" width="4.7109375" style="1551" customWidth="1"/>
    <col min="12546" max="12546" width="6.7109375" style="1551" customWidth="1"/>
    <col min="12547" max="12547" width="8.85546875" style="1551" customWidth="1"/>
    <col min="12548" max="12548" width="47.85546875" style="1551" customWidth="1"/>
    <col min="12549" max="12549" width="12.85546875" style="1551" customWidth="1"/>
    <col min="12550" max="12550" width="15.5703125" style="1551" customWidth="1"/>
    <col min="12551" max="12551" width="15.85546875" style="1551" customWidth="1"/>
    <col min="12552" max="12552" width="6.42578125" style="1551" customWidth="1"/>
    <col min="12553" max="12554" width="9.140625" style="1551"/>
    <col min="12555" max="12555" width="18.85546875" style="1551" customWidth="1"/>
    <col min="12556" max="12556" width="17.7109375" style="1551" customWidth="1"/>
    <col min="12557" max="12800" width="9.140625" style="1551"/>
    <col min="12801" max="12801" width="4.7109375" style="1551" customWidth="1"/>
    <col min="12802" max="12802" width="6.7109375" style="1551" customWidth="1"/>
    <col min="12803" max="12803" width="8.85546875" style="1551" customWidth="1"/>
    <col min="12804" max="12804" width="47.85546875" style="1551" customWidth="1"/>
    <col min="12805" max="12805" width="12.85546875" style="1551" customWidth="1"/>
    <col min="12806" max="12806" width="15.5703125" style="1551" customWidth="1"/>
    <col min="12807" max="12807" width="15.85546875" style="1551" customWidth="1"/>
    <col min="12808" max="12808" width="6.42578125" style="1551" customWidth="1"/>
    <col min="12809" max="12810" width="9.140625" style="1551"/>
    <col min="12811" max="12811" width="18.85546875" style="1551" customWidth="1"/>
    <col min="12812" max="12812" width="17.7109375" style="1551" customWidth="1"/>
    <col min="12813" max="13056" width="9.140625" style="1551"/>
    <col min="13057" max="13057" width="4.7109375" style="1551" customWidth="1"/>
    <col min="13058" max="13058" width="6.7109375" style="1551" customWidth="1"/>
    <col min="13059" max="13059" width="8.85546875" style="1551" customWidth="1"/>
    <col min="13060" max="13060" width="47.85546875" style="1551" customWidth="1"/>
    <col min="13061" max="13061" width="12.85546875" style="1551" customWidth="1"/>
    <col min="13062" max="13062" width="15.5703125" style="1551" customWidth="1"/>
    <col min="13063" max="13063" width="15.85546875" style="1551" customWidth="1"/>
    <col min="13064" max="13064" width="6.42578125" style="1551" customWidth="1"/>
    <col min="13065" max="13066" width="9.140625" style="1551"/>
    <col min="13067" max="13067" width="18.85546875" style="1551" customWidth="1"/>
    <col min="13068" max="13068" width="17.7109375" style="1551" customWidth="1"/>
    <col min="13069" max="13312" width="9.140625" style="1551"/>
    <col min="13313" max="13313" width="4.7109375" style="1551" customWidth="1"/>
    <col min="13314" max="13314" width="6.7109375" style="1551" customWidth="1"/>
    <col min="13315" max="13315" width="8.85546875" style="1551" customWidth="1"/>
    <col min="13316" max="13316" width="47.85546875" style="1551" customWidth="1"/>
    <col min="13317" max="13317" width="12.85546875" style="1551" customWidth="1"/>
    <col min="13318" max="13318" width="15.5703125" style="1551" customWidth="1"/>
    <col min="13319" max="13319" width="15.85546875" style="1551" customWidth="1"/>
    <col min="13320" max="13320" width="6.42578125" style="1551" customWidth="1"/>
    <col min="13321" max="13322" width="9.140625" style="1551"/>
    <col min="13323" max="13323" width="18.85546875" style="1551" customWidth="1"/>
    <col min="13324" max="13324" width="17.7109375" style="1551" customWidth="1"/>
    <col min="13325" max="13568" width="9.140625" style="1551"/>
    <col min="13569" max="13569" width="4.7109375" style="1551" customWidth="1"/>
    <col min="13570" max="13570" width="6.7109375" style="1551" customWidth="1"/>
    <col min="13571" max="13571" width="8.85546875" style="1551" customWidth="1"/>
    <col min="13572" max="13572" width="47.85546875" style="1551" customWidth="1"/>
    <col min="13573" max="13573" width="12.85546875" style="1551" customWidth="1"/>
    <col min="13574" max="13574" width="15.5703125" style="1551" customWidth="1"/>
    <col min="13575" max="13575" width="15.85546875" style="1551" customWidth="1"/>
    <col min="13576" max="13576" width="6.42578125" style="1551" customWidth="1"/>
    <col min="13577" max="13578" width="9.140625" style="1551"/>
    <col min="13579" max="13579" width="18.85546875" style="1551" customWidth="1"/>
    <col min="13580" max="13580" width="17.7109375" style="1551" customWidth="1"/>
    <col min="13581" max="13824" width="9.140625" style="1551"/>
    <col min="13825" max="13825" width="4.7109375" style="1551" customWidth="1"/>
    <col min="13826" max="13826" width="6.7109375" style="1551" customWidth="1"/>
    <col min="13827" max="13827" width="8.85546875" style="1551" customWidth="1"/>
    <col min="13828" max="13828" width="47.85546875" style="1551" customWidth="1"/>
    <col min="13829" max="13829" width="12.85546875" style="1551" customWidth="1"/>
    <col min="13830" max="13830" width="15.5703125" style="1551" customWidth="1"/>
    <col min="13831" max="13831" width="15.85546875" style="1551" customWidth="1"/>
    <col min="13832" max="13832" width="6.42578125" style="1551" customWidth="1"/>
    <col min="13833" max="13834" width="9.140625" style="1551"/>
    <col min="13835" max="13835" width="18.85546875" style="1551" customWidth="1"/>
    <col min="13836" max="13836" width="17.7109375" style="1551" customWidth="1"/>
    <col min="13837" max="14080" width="9.140625" style="1551"/>
    <col min="14081" max="14081" width="4.7109375" style="1551" customWidth="1"/>
    <col min="14082" max="14082" width="6.7109375" style="1551" customWidth="1"/>
    <col min="14083" max="14083" width="8.85546875" style="1551" customWidth="1"/>
    <col min="14084" max="14084" width="47.85546875" style="1551" customWidth="1"/>
    <col min="14085" max="14085" width="12.85546875" style="1551" customWidth="1"/>
    <col min="14086" max="14086" width="15.5703125" style="1551" customWidth="1"/>
    <col min="14087" max="14087" width="15.85546875" style="1551" customWidth="1"/>
    <col min="14088" max="14088" width="6.42578125" style="1551" customWidth="1"/>
    <col min="14089" max="14090" width="9.140625" style="1551"/>
    <col min="14091" max="14091" width="18.85546875" style="1551" customWidth="1"/>
    <col min="14092" max="14092" width="17.7109375" style="1551" customWidth="1"/>
    <col min="14093" max="14336" width="9.140625" style="1551"/>
    <col min="14337" max="14337" width="4.7109375" style="1551" customWidth="1"/>
    <col min="14338" max="14338" width="6.7109375" style="1551" customWidth="1"/>
    <col min="14339" max="14339" width="8.85546875" style="1551" customWidth="1"/>
    <col min="14340" max="14340" width="47.85546875" style="1551" customWidth="1"/>
    <col min="14341" max="14341" width="12.85546875" style="1551" customWidth="1"/>
    <col min="14342" max="14342" width="15.5703125" style="1551" customWidth="1"/>
    <col min="14343" max="14343" width="15.85546875" style="1551" customWidth="1"/>
    <col min="14344" max="14344" width="6.42578125" style="1551" customWidth="1"/>
    <col min="14345" max="14346" width="9.140625" style="1551"/>
    <col min="14347" max="14347" width="18.85546875" style="1551" customWidth="1"/>
    <col min="14348" max="14348" width="17.7109375" style="1551" customWidth="1"/>
    <col min="14349" max="14592" width="9.140625" style="1551"/>
    <col min="14593" max="14593" width="4.7109375" style="1551" customWidth="1"/>
    <col min="14594" max="14594" width="6.7109375" style="1551" customWidth="1"/>
    <col min="14595" max="14595" width="8.85546875" style="1551" customWidth="1"/>
    <col min="14596" max="14596" width="47.85546875" style="1551" customWidth="1"/>
    <col min="14597" max="14597" width="12.85546875" style="1551" customWidth="1"/>
    <col min="14598" max="14598" width="15.5703125" style="1551" customWidth="1"/>
    <col min="14599" max="14599" width="15.85546875" style="1551" customWidth="1"/>
    <col min="14600" max="14600" width="6.42578125" style="1551" customWidth="1"/>
    <col min="14601" max="14602" width="9.140625" style="1551"/>
    <col min="14603" max="14603" width="18.85546875" style="1551" customWidth="1"/>
    <col min="14604" max="14604" width="17.7109375" style="1551" customWidth="1"/>
    <col min="14605" max="14848" width="9.140625" style="1551"/>
    <col min="14849" max="14849" width="4.7109375" style="1551" customWidth="1"/>
    <col min="14850" max="14850" width="6.7109375" style="1551" customWidth="1"/>
    <col min="14851" max="14851" width="8.85546875" style="1551" customWidth="1"/>
    <col min="14852" max="14852" width="47.85546875" style="1551" customWidth="1"/>
    <col min="14853" max="14853" width="12.85546875" style="1551" customWidth="1"/>
    <col min="14854" max="14854" width="15.5703125" style="1551" customWidth="1"/>
    <col min="14855" max="14855" width="15.85546875" style="1551" customWidth="1"/>
    <col min="14856" max="14856" width="6.42578125" style="1551" customWidth="1"/>
    <col min="14857" max="14858" width="9.140625" style="1551"/>
    <col min="14859" max="14859" width="18.85546875" style="1551" customWidth="1"/>
    <col min="14860" max="14860" width="17.7109375" style="1551" customWidth="1"/>
    <col min="14861" max="15104" width="9.140625" style="1551"/>
    <col min="15105" max="15105" width="4.7109375" style="1551" customWidth="1"/>
    <col min="15106" max="15106" width="6.7109375" style="1551" customWidth="1"/>
    <col min="15107" max="15107" width="8.85546875" style="1551" customWidth="1"/>
    <col min="15108" max="15108" width="47.85546875" style="1551" customWidth="1"/>
    <col min="15109" max="15109" width="12.85546875" style="1551" customWidth="1"/>
    <col min="15110" max="15110" width="15.5703125" style="1551" customWidth="1"/>
    <col min="15111" max="15111" width="15.85546875" style="1551" customWidth="1"/>
    <col min="15112" max="15112" width="6.42578125" style="1551" customWidth="1"/>
    <col min="15113" max="15114" width="9.140625" style="1551"/>
    <col min="15115" max="15115" width="18.85546875" style="1551" customWidth="1"/>
    <col min="15116" max="15116" width="17.7109375" style="1551" customWidth="1"/>
    <col min="15117" max="15360" width="9.140625" style="1551"/>
    <col min="15361" max="15361" width="4.7109375" style="1551" customWidth="1"/>
    <col min="15362" max="15362" width="6.7109375" style="1551" customWidth="1"/>
    <col min="15363" max="15363" width="8.85546875" style="1551" customWidth="1"/>
    <col min="15364" max="15364" width="47.85546875" style="1551" customWidth="1"/>
    <col min="15365" max="15365" width="12.85546875" style="1551" customWidth="1"/>
    <col min="15366" max="15366" width="15.5703125" style="1551" customWidth="1"/>
    <col min="15367" max="15367" width="15.85546875" style="1551" customWidth="1"/>
    <col min="15368" max="15368" width="6.42578125" style="1551" customWidth="1"/>
    <col min="15369" max="15370" width="9.140625" style="1551"/>
    <col min="15371" max="15371" width="18.85546875" style="1551" customWidth="1"/>
    <col min="15372" max="15372" width="17.7109375" style="1551" customWidth="1"/>
    <col min="15373" max="15616" width="9.140625" style="1551"/>
    <col min="15617" max="15617" width="4.7109375" style="1551" customWidth="1"/>
    <col min="15618" max="15618" width="6.7109375" style="1551" customWidth="1"/>
    <col min="15619" max="15619" width="8.85546875" style="1551" customWidth="1"/>
    <col min="15620" max="15620" width="47.85546875" style="1551" customWidth="1"/>
    <col min="15621" max="15621" width="12.85546875" style="1551" customWidth="1"/>
    <col min="15622" max="15622" width="15.5703125" style="1551" customWidth="1"/>
    <col min="15623" max="15623" width="15.85546875" style="1551" customWidth="1"/>
    <col min="15624" max="15624" width="6.42578125" style="1551" customWidth="1"/>
    <col min="15625" max="15626" width="9.140625" style="1551"/>
    <col min="15627" max="15627" width="18.85546875" style="1551" customWidth="1"/>
    <col min="15628" max="15628" width="17.7109375" style="1551" customWidth="1"/>
    <col min="15629" max="15872" width="9.140625" style="1551"/>
    <col min="15873" max="15873" width="4.7109375" style="1551" customWidth="1"/>
    <col min="15874" max="15874" width="6.7109375" style="1551" customWidth="1"/>
    <col min="15875" max="15875" width="8.85546875" style="1551" customWidth="1"/>
    <col min="15876" max="15876" width="47.85546875" style="1551" customWidth="1"/>
    <col min="15877" max="15877" width="12.85546875" style="1551" customWidth="1"/>
    <col min="15878" max="15878" width="15.5703125" style="1551" customWidth="1"/>
    <col min="15879" max="15879" width="15.85546875" style="1551" customWidth="1"/>
    <col min="15880" max="15880" width="6.42578125" style="1551" customWidth="1"/>
    <col min="15881" max="15882" width="9.140625" style="1551"/>
    <col min="15883" max="15883" width="18.85546875" style="1551" customWidth="1"/>
    <col min="15884" max="15884" width="17.7109375" style="1551" customWidth="1"/>
    <col min="15885" max="16128" width="9.140625" style="1551"/>
    <col min="16129" max="16129" width="4.7109375" style="1551" customWidth="1"/>
    <col min="16130" max="16130" width="6.7109375" style="1551" customWidth="1"/>
    <col min="16131" max="16131" width="8.85546875" style="1551" customWidth="1"/>
    <col min="16132" max="16132" width="47.85546875" style="1551" customWidth="1"/>
    <col min="16133" max="16133" width="12.85546875" style="1551" customWidth="1"/>
    <col min="16134" max="16134" width="15.5703125" style="1551" customWidth="1"/>
    <col min="16135" max="16135" width="15.85546875" style="1551" customWidth="1"/>
    <col min="16136" max="16136" width="6.42578125" style="1551" customWidth="1"/>
    <col min="16137" max="16138" width="9.140625" style="1551"/>
    <col min="16139" max="16139" width="18.85546875" style="1551" customWidth="1"/>
    <col min="16140" max="16140" width="17.7109375" style="1551" customWidth="1"/>
    <col min="16141" max="16384" width="9.140625" style="1551"/>
  </cols>
  <sheetData>
    <row r="1" spans="1:8" ht="18.75" thickBot="1" x14ac:dyDescent="0.3">
      <c r="A1" s="1545" t="s">
        <v>1244</v>
      </c>
      <c r="B1" s="1546"/>
      <c r="C1" s="1547"/>
      <c r="D1" s="1548"/>
      <c r="E1" s="1549"/>
      <c r="F1" s="1548"/>
      <c r="G1" s="1550"/>
      <c r="H1" s="1545"/>
    </row>
    <row r="2" spans="1:8" ht="18" x14ac:dyDescent="0.25">
      <c r="A2" s="1552"/>
      <c r="B2" s="1553"/>
      <c r="C2" s="1553"/>
      <c r="D2" s="1553"/>
      <c r="E2" s="1553"/>
      <c r="F2" s="1553"/>
      <c r="G2" s="1553"/>
      <c r="H2" s="1554" t="s">
        <v>1243</v>
      </c>
    </row>
    <row r="3" spans="1:8" ht="18" x14ac:dyDescent="0.25">
      <c r="A3" s="1555" t="s">
        <v>336</v>
      </c>
      <c r="B3" s="1553"/>
      <c r="C3" s="2852" t="s">
        <v>2009</v>
      </c>
      <c r="D3" s="1553"/>
      <c r="E3" s="1553"/>
      <c r="F3" s="1553"/>
      <c r="G3" s="1553"/>
      <c r="H3" s="1554"/>
    </row>
    <row r="4" spans="1:8" ht="18" x14ac:dyDescent="0.25">
      <c r="A4" s="1552"/>
      <c r="B4" s="1553"/>
      <c r="C4" s="2852" t="s">
        <v>1450</v>
      </c>
      <c r="D4" s="1712"/>
      <c r="E4" s="1553"/>
      <c r="F4" s="1553"/>
      <c r="G4" s="1553"/>
      <c r="H4" s="1554"/>
    </row>
    <row r="5" spans="1:8" ht="18" x14ac:dyDescent="0.25">
      <c r="A5" s="1557" t="s">
        <v>1242</v>
      </c>
      <c r="B5" s="1553"/>
      <c r="C5" s="1553"/>
      <c r="D5" s="1553"/>
      <c r="E5" s="1553"/>
      <c r="F5" s="1553"/>
      <c r="G5" s="1553"/>
      <c r="H5" s="1554"/>
    </row>
    <row r="6" spans="1:8" x14ac:dyDescent="0.2">
      <c r="A6" s="1558"/>
      <c r="B6" s="1558"/>
      <c r="C6" s="1558"/>
      <c r="E6" s="1559"/>
      <c r="F6" s="1559"/>
      <c r="G6" s="1559"/>
    </row>
    <row r="7" spans="1:8" ht="15.75" thickBot="1" x14ac:dyDescent="0.3">
      <c r="A7" s="1544" t="s">
        <v>229</v>
      </c>
      <c r="B7" s="1558"/>
      <c r="C7" s="1558"/>
      <c r="E7" s="1559"/>
      <c r="F7" s="1559"/>
      <c r="G7" s="1559"/>
      <c r="H7" s="1560" t="s">
        <v>148</v>
      </c>
    </row>
    <row r="8" spans="1:8" ht="25.5" thickTop="1" thickBot="1" x14ac:dyDescent="0.25">
      <c r="A8" s="1561" t="s">
        <v>149</v>
      </c>
      <c r="B8" s="1562" t="s">
        <v>688</v>
      </c>
      <c r="C8" s="1562" t="s">
        <v>345</v>
      </c>
      <c r="D8" s="1563" t="s">
        <v>151</v>
      </c>
      <c r="E8" s="1564" t="s">
        <v>569</v>
      </c>
      <c r="F8" s="1564" t="s">
        <v>570</v>
      </c>
      <c r="G8" s="1565" t="s">
        <v>797</v>
      </c>
      <c r="H8" s="1566" t="s">
        <v>798</v>
      </c>
    </row>
    <row r="9" spans="1:8" ht="14.25" thickTop="1" thickBot="1" x14ac:dyDescent="0.25">
      <c r="A9" s="1567">
        <v>1</v>
      </c>
      <c r="B9" s="1568">
        <v>2</v>
      </c>
      <c r="C9" s="1568">
        <v>3</v>
      </c>
      <c r="D9" s="1568">
        <v>4</v>
      </c>
      <c r="E9" s="1569">
        <v>5</v>
      </c>
      <c r="F9" s="1569">
        <v>6</v>
      </c>
      <c r="G9" s="1570">
        <v>7</v>
      </c>
      <c r="H9" s="1571" t="s">
        <v>54</v>
      </c>
    </row>
    <row r="10" spans="1:8" ht="45.75" thickTop="1" x14ac:dyDescent="0.2">
      <c r="A10" s="1572">
        <v>3299</v>
      </c>
      <c r="B10" s="1573">
        <v>5213</v>
      </c>
      <c r="C10" s="2851" t="s">
        <v>2097</v>
      </c>
      <c r="D10" s="1574" t="s">
        <v>1129</v>
      </c>
      <c r="E10" s="1575">
        <v>0</v>
      </c>
      <c r="F10" s="1575">
        <v>103</v>
      </c>
      <c r="G10" s="1575">
        <v>103</v>
      </c>
      <c r="H10" s="1576">
        <f t="shared" ref="H10:H28" si="0">G10/F10*100</f>
        <v>100</v>
      </c>
    </row>
    <row r="11" spans="1:8" ht="45" x14ac:dyDescent="0.2">
      <c r="A11" s="1577">
        <v>3299</v>
      </c>
      <c r="B11" s="1578">
        <v>5213</v>
      </c>
      <c r="C11" s="1629" t="s">
        <v>2096</v>
      </c>
      <c r="D11" s="1579" t="s">
        <v>1129</v>
      </c>
      <c r="E11" s="1580">
        <v>0</v>
      </c>
      <c r="F11" s="1580">
        <v>583</v>
      </c>
      <c r="G11" s="1580">
        <v>583</v>
      </c>
      <c r="H11" s="1581">
        <f t="shared" si="0"/>
        <v>100</v>
      </c>
    </row>
    <row r="12" spans="1:8" ht="30" x14ac:dyDescent="0.2">
      <c r="A12" s="1577">
        <v>3299</v>
      </c>
      <c r="B12" s="1578">
        <v>5221</v>
      </c>
      <c r="C12" s="1629" t="s">
        <v>2097</v>
      </c>
      <c r="D12" s="1579" t="s">
        <v>1183</v>
      </c>
      <c r="E12" s="1580">
        <v>0</v>
      </c>
      <c r="F12" s="1580">
        <v>167</v>
      </c>
      <c r="G12" s="1580">
        <v>167</v>
      </c>
      <c r="H12" s="1581">
        <f t="shared" si="0"/>
        <v>100</v>
      </c>
    </row>
    <row r="13" spans="1:8" ht="30" x14ac:dyDescent="0.2">
      <c r="A13" s="1577">
        <v>3299</v>
      </c>
      <c r="B13" s="1578">
        <v>5221</v>
      </c>
      <c r="C13" s="1629" t="s">
        <v>2096</v>
      </c>
      <c r="D13" s="1579" t="s">
        <v>1183</v>
      </c>
      <c r="E13" s="1580">
        <v>0</v>
      </c>
      <c r="F13" s="1580">
        <v>949</v>
      </c>
      <c r="G13" s="1580">
        <v>949</v>
      </c>
      <c r="H13" s="1581">
        <f t="shared" si="0"/>
        <v>100</v>
      </c>
    </row>
    <row r="14" spans="1:8" ht="30" x14ac:dyDescent="0.2">
      <c r="A14" s="1577">
        <v>3299</v>
      </c>
      <c r="B14" s="1578">
        <v>5223</v>
      </c>
      <c r="C14" s="1629" t="s">
        <v>2097</v>
      </c>
      <c r="D14" s="1579" t="s">
        <v>1722</v>
      </c>
      <c r="E14" s="1580">
        <v>0</v>
      </c>
      <c r="F14" s="1580">
        <v>82</v>
      </c>
      <c r="G14" s="1580">
        <v>82</v>
      </c>
      <c r="H14" s="1581">
        <f t="shared" si="0"/>
        <v>100</v>
      </c>
    </row>
    <row r="15" spans="1:8" ht="30" x14ac:dyDescent="0.2">
      <c r="A15" s="1577">
        <v>3299</v>
      </c>
      <c r="B15" s="1578">
        <v>5223</v>
      </c>
      <c r="C15" s="1629" t="s">
        <v>2096</v>
      </c>
      <c r="D15" s="1579" t="s">
        <v>1722</v>
      </c>
      <c r="E15" s="1580">
        <v>0</v>
      </c>
      <c r="F15" s="1580">
        <v>464</v>
      </c>
      <c r="G15" s="1580">
        <v>464</v>
      </c>
      <c r="H15" s="1581">
        <f t="shared" si="0"/>
        <v>100</v>
      </c>
    </row>
    <row r="16" spans="1:8" ht="31.5" hidden="1" customHeight="1" x14ac:dyDescent="0.2">
      <c r="A16" s="1577">
        <v>3299</v>
      </c>
      <c r="B16" s="1578">
        <v>5229</v>
      </c>
      <c r="C16" s="1629" t="s">
        <v>2097</v>
      </c>
      <c r="D16" s="1579" t="s">
        <v>872</v>
      </c>
      <c r="E16" s="1580">
        <v>0</v>
      </c>
      <c r="F16" s="1580"/>
      <c r="G16" s="1580"/>
      <c r="H16" s="1581" t="e">
        <f t="shared" si="0"/>
        <v>#DIV/0!</v>
      </c>
    </row>
    <row r="17" spans="1:11" ht="30" hidden="1" x14ac:dyDescent="0.2">
      <c r="A17" s="1577">
        <v>3299</v>
      </c>
      <c r="B17" s="1578">
        <v>5229</v>
      </c>
      <c r="C17" s="1629" t="s">
        <v>2096</v>
      </c>
      <c r="D17" s="1579" t="s">
        <v>872</v>
      </c>
      <c r="E17" s="1580">
        <v>0</v>
      </c>
      <c r="F17" s="1580"/>
      <c r="G17" s="1580"/>
      <c r="H17" s="1581" t="e">
        <f t="shared" si="0"/>
        <v>#DIV/0!</v>
      </c>
    </row>
    <row r="18" spans="1:11" ht="25.5" x14ac:dyDescent="0.2">
      <c r="A18" s="1577">
        <v>3299</v>
      </c>
      <c r="B18" s="1578">
        <v>5332</v>
      </c>
      <c r="C18" s="2850" t="s">
        <v>2097</v>
      </c>
      <c r="D18" s="1579" t="s">
        <v>560</v>
      </c>
      <c r="E18" s="1580">
        <v>0</v>
      </c>
      <c r="F18" s="1580">
        <v>181</v>
      </c>
      <c r="G18" s="1580">
        <v>181</v>
      </c>
      <c r="H18" s="1581">
        <f t="shared" si="0"/>
        <v>100</v>
      </c>
    </row>
    <row r="19" spans="1:11" ht="25.5" x14ac:dyDescent="0.2">
      <c r="A19" s="1577">
        <v>3299</v>
      </c>
      <c r="B19" s="1578">
        <v>5332</v>
      </c>
      <c r="C19" s="2850" t="s">
        <v>2096</v>
      </c>
      <c r="D19" s="1579" t="s">
        <v>560</v>
      </c>
      <c r="E19" s="1580">
        <v>0</v>
      </c>
      <c r="F19" s="1580">
        <v>1023</v>
      </c>
      <c r="G19" s="1580">
        <v>1023</v>
      </c>
      <c r="H19" s="1581">
        <f t="shared" si="0"/>
        <v>100</v>
      </c>
    </row>
    <row r="20" spans="1:11" ht="15" customHeight="1" x14ac:dyDescent="0.2">
      <c r="A20" s="1577">
        <v>3299</v>
      </c>
      <c r="B20" s="1578">
        <v>5901</v>
      </c>
      <c r="C20" s="2850" t="s">
        <v>2097</v>
      </c>
      <c r="D20" s="1579" t="s">
        <v>547</v>
      </c>
      <c r="E20" s="1580">
        <v>0</v>
      </c>
      <c r="F20" s="1580">
        <v>724</v>
      </c>
      <c r="G20" s="1580">
        <v>0</v>
      </c>
      <c r="H20" s="1581">
        <f t="shared" si="0"/>
        <v>0</v>
      </c>
    </row>
    <row r="21" spans="1:11" ht="15" customHeight="1" x14ac:dyDescent="0.2">
      <c r="A21" s="1577">
        <v>3299</v>
      </c>
      <c r="B21" s="1578">
        <v>5901</v>
      </c>
      <c r="C21" s="2850" t="s">
        <v>2096</v>
      </c>
      <c r="D21" s="1579" t="s">
        <v>547</v>
      </c>
      <c r="E21" s="1580">
        <v>0</v>
      </c>
      <c r="F21" s="1580">
        <v>4103</v>
      </c>
      <c r="G21" s="1580">
        <v>0</v>
      </c>
      <c r="H21" s="1581">
        <f t="shared" si="0"/>
        <v>0</v>
      </c>
    </row>
    <row r="22" spans="1:11" ht="15" customHeight="1" x14ac:dyDescent="0.2">
      <c r="A22" s="1577">
        <v>3299</v>
      </c>
      <c r="B22" s="1578">
        <v>5909</v>
      </c>
      <c r="C22" s="2850" t="s">
        <v>1760</v>
      </c>
      <c r="D22" s="1579" t="s">
        <v>588</v>
      </c>
      <c r="E22" s="1580">
        <v>0</v>
      </c>
      <c r="F22" s="1580">
        <v>8</v>
      </c>
      <c r="G22" s="1580">
        <v>8</v>
      </c>
      <c r="H22" s="1581">
        <f t="shared" si="0"/>
        <v>100</v>
      </c>
    </row>
    <row r="23" spans="1:11" ht="30" hidden="1" x14ac:dyDescent="0.2">
      <c r="A23" s="1577">
        <v>3299</v>
      </c>
      <c r="B23" s="1578">
        <v>6321</v>
      </c>
      <c r="C23" s="2850" t="s">
        <v>2103</v>
      </c>
      <c r="D23" s="1579" t="s">
        <v>1027</v>
      </c>
      <c r="E23" s="1580"/>
      <c r="F23" s="1580"/>
      <c r="G23" s="1580"/>
      <c r="H23" s="1581" t="e">
        <f t="shared" si="0"/>
        <v>#DIV/0!</v>
      </c>
    </row>
    <row r="24" spans="1:11" ht="30" hidden="1" x14ac:dyDescent="0.2">
      <c r="A24" s="1577">
        <v>3299</v>
      </c>
      <c r="B24" s="1578">
        <v>6321</v>
      </c>
      <c r="C24" s="2850" t="s">
        <v>2102</v>
      </c>
      <c r="D24" s="1579" t="s">
        <v>1027</v>
      </c>
      <c r="E24" s="1580"/>
      <c r="F24" s="1580"/>
      <c r="G24" s="1580"/>
      <c r="H24" s="1581" t="e">
        <f t="shared" si="0"/>
        <v>#DIV/0!</v>
      </c>
    </row>
    <row r="25" spans="1:11" ht="30" hidden="1" x14ac:dyDescent="0.2">
      <c r="A25" s="1577">
        <v>3299</v>
      </c>
      <c r="B25" s="1578">
        <v>6323</v>
      </c>
      <c r="C25" s="2850" t="s">
        <v>2103</v>
      </c>
      <c r="D25" s="1579" t="s">
        <v>497</v>
      </c>
      <c r="E25" s="1580"/>
      <c r="F25" s="1580"/>
      <c r="G25" s="1580"/>
      <c r="H25" s="1581" t="e">
        <f t="shared" si="0"/>
        <v>#DIV/0!</v>
      </c>
    </row>
    <row r="26" spans="1:11" ht="30" hidden="1" x14ac:dyDescent="0.2">
      <c r="A26" s="1577">
        <v>3299</v>
      </c>
      <c r="B26" s="1578">
        <v>6323</v>
      </c>
      <c r="C26" s="2850" t="s">
        <v>2102</v>
      </c>
      <c r="D26" s="1579" t="s">
        <v>497</v>
      </c>
      <c r="E26" s="1580"/>
      <c r="F26" s="1580"/>
      <c r="G26" s="1580"/>
      <c r="H26" s="1581" t="e">
        <f t="shared" si="0"/>
        <v>#DIV/0!</v>
      </c>
    </row>
    <row r="27" spans="1:11" ht="15" customHeight="1" x14ac:dyDescent="0.2">
      <c r="A27" s="1577">
        <v>3636</v>
      </c>
      <c r="B27" s="1578">
        <v>6901</v>
      </c>
      <c r="C27" s="2850" t="s">
        <v>2103</v>
      </c>
      <c r="D27" s="1579" t="s">
        <v>391</v>
      </c>
      <c r="E27" s="1580">
        <v>0</v>
      </c>
      <c r="F27" s="1580">
        <v>71</v>
      </c>
      <c r="G27" s="1580">
        <v>0</v>
      </c>
      <c r="H27" s="1581">
        <f t="shared" si="0"/>
        <v>0</v>
      </c>
    </row>
    <row r="28" spans="1:11" ht="25.5" x14ac:dyDescent="0.2">
      <c r="A28" s="1577">
        <v>3636</v>
      </c>
      <c r="B28" s="1578">
        <v>6901</v>
      </c>
      <c r="C28" s="2850" t="s">
        <v>2102</v>
      </c>
      <c r="D28" s="1579" t="s">
        <v>391</v>
      </c>
      <c r="E28" s="1580">
        <v>0</v>
      </c>
      <c r="F28" s="1580">
        <v>404</v>
      </c>
      <c r="G28" s="1580">
        <v>0</v>
      </c>
      <c r="H28" s="1581">
        <f t="shared" si="0"/>
        <v>0</v>
      </c>
    </row>
    <row r="29" spans="1:11" ht="25.5" x14ac:dyDescent="0.2">
      <c r="A29" s="1577">
        <v>6330</v>
      </c>
      <c r="B29" s="1578">
        <v>5345</v>
      </c>
      <c r="C29" s="2850" t="s">
        <v>1760</v>
      </c>
      <c r="D29" s="1579" t="s">
        <v>693</v>
      </c>
      <c r="E29" s="1580">
        <v>0</v>
      </c>
      <c r="F29" s="1580">
        <v>0</v>
      </c>
      <c r="G29" s="1580">
        <v>6000</v>
      </c>
      <c r="H29" s="1581">
        <v>0</v>
      </c>
    </row>
    <row r="30" spans="1:11" ht="26.25" thickBot="1" x14ac:dyDescent="0.25">
      <c r="A30" s="1577">
        <v>6402</v>
      </c>
      <c r="B30" s="1578">
        <v>5363</v>
      </c>
      <c r="C30" s="2850" t="s">
        <v>1786</v>
      </c>
      <c r="D30" s="1579" t="s">
        <v>1353</v>
      </c>
      <c r="E30" s="1580">
        <v>0</v>
      </c>
      <c r="F30" s="1580">
        <v>112</v>
      </c>
      <c r="G30" s="1580">
        <v>2</v>
      </c>
      <c r="H30" s="1581">
        <f>G30/F30*100</f>
        <v>1.7857142857142856</v>
      </c>
      <c r="J30" s="1551">
        <f>17887.85+40.38</f>
        <v>17928.23</v>
      </c>
      <c r="K30" s="1551">
        <f>31179.23+82654322.71</f>
        <v>82685501.939999998</v>
      </c>
    </row>
    <row r="31" spans="1:11" ht="16.5" thickTop="1" thickBot="1" x14ac:dyDescent="0.3">
      <c r="A31" s="3231" t="s">
        <v>690</v>
      </c>
      <c r="B31" s="3232"/>
      <c r="C31" s="3232"/>
      <c r="D31" s="3232"/>
      <c r="E31" s="1584">
        <f>SUM(E10:E30)</f>
        <v>0</v>
      </c>
      <c r="F31" s="1584">
        <f>SUM(F10:F30)</f>
        <v>8974</v>
      </c>
      <c r="G31" s="1584">
        <f>SUM(G10:G30)</f>
        <v>9562</v>
      </c>
      <c r="H31" s="1585">
        <f>G31/F31*100</f>
        <v>106.55226209048362</v>
      </c>
    </row>
    <row r="32" spans="1:11" ht="13.5" thickTop="1" x14ac:dyDescent="0.2"/>
    <row r="34" spans="1:12" ht="15" hidden="1" x14ac:dyDescent="0.25">
      <c r="A34" s="1544" t="s">
        <v>1434</v>
      </c>
      <c r="B34" s="1558"/>
      <c r="C34" s="1558"/>
      <c r="D34" s="1558"/>
      <c r="F34" s="1559"/>
      <c r="G34" s="1559"/>
      <c r="H34" s="1559"/>
      <c r="I34" s="1559"/>
    </row>
    <row r="35" spans="1:12" ht="15" hidden="1" x14ac:dyDescent="0.25">
      <c r="A35" s="1544" t="s">
        <v>1359</v>
      </c>
      <c r="B35" s="1558"/>
      <c r="C35" s="1558"/>
      <c r="D35" s="1558"/>
      <c r="F35" s="1559"/>
      <c r="G35" s="1559"/>
      <c r="H35" s="1560" t="s">
        <v>148</v>
      </c>
      <c r="I35" s="1559"/>
    </row>
    <row r="36" spans="1:12" ht="25.5" hidden="1" thickTop="1" thickBot="1" x14ac:dyDescent="0.25">
      <c r="A36" s="1561" t="s">
        <v>149</v>
      </c>
      <c r="B36" s="1562" t="s">
        <v>688</v>
      </c>
      <c r="C36" s="1562" t="s">
        <v>345</v>
      </c>
      <c r="D36" s="1563" t="s">
        <v>151</v>
      </c>
      <c r="E36" s="1564" t="s">
        <v>569</v>
      </c>
      <c r="F36" s="1564" t="s">
        <v>570</v>
      </c>
      <c r="G36" s="1565" t="s">
        <v>797</v>
      </c>
      <c r="H36" s="1566" t="s">
        <v>798</v>
      </c>
      <c r="I36" s="1559"/>
    </row>
    <row r="37" spans="1:12" ht="14.25" hidden="1" thickTop="1" thickBot="1" x14ac:dyDescent="0.25">
      <c r="A37" s="1567">
        <v>1</v>
      </c>
      <c r="B37" s="1568">
        <v>2</v>
      </c>
      <c r="C37" s="1568">
        <v>3</v>
      </c>
      <c r="D37" s="1568">
        <v>5</v>
      </c>
      <c r="E37" s="1569">
        <v>6</v>
      </c>
      <c r="F37" s="1569">
        <v>7</v>
      </c>
      <c r="G37" s="1570">
        <v>8</v>
      </c>
      <c r="H37" s="1586" t="s">
        <v>689</v>
      </c>
      <c r="I37" s="1559"/>
    </row>
    <row r="38" spans="1:12" ht="30.75" hidden="1" thickTop="1" x14ac:dyDescent="0.2">
      <c r="A38" s="1577">
        <v>3299</v>
      </c>
      <c r="B38" s="1578">
        <v>5336</v>
      </c>
      <c r="C38" s="1629">
        <v>32133030</v>
      </c>
      <c r="D38" s="1579" t="s">
        <v>1131</v>
      </c>
      <c r="E38" s="1575"/>
      <c r="F38" s="1575"/>
      <c r="G38" s="1587"/>
      <c r="H38" s="1576" t="e">
        <f>G38/F38*100</f>
        <v>#DIV/0!</v>
      </c>
      <c r="I38" s="1559"/>
    </row>
    <row r="39" spans="1:12" ht="30" hidden="1" x14ac:dyDescent="0.2">
      <c r="A39" s="1577">
        <v>3299</v>
      </c>
      <c r="B39" s="1578">
        <v>5336</v>
      </c>
      <c r="C39" s="1629">
        <v>32533030</v>
      </c>
      <c r="D39" s="1579" t="s">
        <v>1131</v>
      </c>
      <c r="E39" s="1580"/>
      <c r="F39" s="1580"/>
      <c r="G39" s="1588"/>
      <c r="H39" s="1581" t="e">
        <f>G39/F39*100</f>
        <v>#DIV/0!</v>
      </c>
      <c r="I39" s="1559"/>
    </row>
    <row r="40" spans="1:12" ht="30" hidden="1" x14ac:dyDescent="0.2">
      <c r="A40" s="1577">
        <v>3299</v>
      </c>
      <c r="B40" s="1578">
        <v>6351</v>
      </c>
      <c r="C40" s="1578">
        <v>32133926</v>
      </c>
      <c r="D40" s="1579" t="s">
        <v>1145</v>
      </c>
      <c r="E40" s="1580">
        <v>0</v>
      </c>
      <c r="F40" s="1580">
        <v>0</v>
      </c>
      <c r="G40" s="1588">
        <v>0</v>
      </c>
      <c r="H40" s="1581" t="e">
        <f>G40/F40*100</f>
        <v>#DIV/0!</v>
      </c>
      <c r="I40" s="1559"/>
    </row>
    <row r="41" spans="1:12" ht="30" hidden="1" x14ac:dyDescent="0.2">
      <c r="A41" s="1577">
        <v>3299</v>
      </c>
      <c r="B41" s="1578">
        <v>6351</v>
      </c>
      <c r="C41" s="1578">
        <v>32533926</v>
      </c>
      <c r="D41" s="1579" t="s">
        <v>1145</v>
      </c>
      <c r="E41" s="1580">
        <v>0</v>
      </c>
      <c r="F41" s="1580">
        <v>0</v>
      </c>
      <c r="G41" s="1588">
        <v>0</v>
      </c>
      <c r="H41" s="1581" t="e">
        <f>G41/F41*100</f>
        <v>#DIV/0!</v>
      </c>
      <c r="I41" s="1559"/>
    </row>
    <row r="42" spans="1:12" ht="16.5" hidden="1" thickTop="1" thickBot="1" x14ac:dyDescent="0.3">
      <c r="A42" s="1589" t="s">
        <v>690</v>
      </c>
      <c r="B42" s="1590"/>
      <c r="C42" s="1590"/>
      <c r="D42" s="1591"/>
      <c r="E42" s="1584">
        <f>SUM(E38:E41)</f>
        <v>0</v>
      </c>
      <c r="F42" s="1584">
        <f>SUM(F38:F41)</f>
        <v>0</v>
      </c>
      <c r="G42" s="1584">
        <f>SUM(G38:G41)</f>
        <v>0</v>
      </c>
      <c r="H42" s="1585" t="e">
        <f>G42/F42*100</f>
        <v>#DIV/0!</v>
      </c>
      <c r="I42" s="1559"/>
    </row>
    <row r="43" spans="1:12" hidden="1" x14ac:dyDescent="0.2">
      <c r="A43" s="1558"/>
      <c r="B43" s="1558"/>
      <c r="C43" s="1558"/>
      <c r="E43" s="1559"/>
      <c r="F43" s="1559"/>
      <c r="G43" s="1559"/>
      <c r="I43" s="1559"/>
    </row>
    <row r="44" spans="1:12" ht="15" x14ac:dyDescent="0.25">
      <c r="A44" s="1544" t="s">
        <v>1516</v>
      </c>
      <c r="B44" s="1558"/>
      <c r="C44" s="1558"/>
      <c r="D44" s="1558"/>
      <c r="F44" s="1559"/>
      <c r="G44" s="1559"/>
      <c r="H44" s="1559"/>
      <c r="I44" s="1559"/>
    </row>
    <row r="45" spans="1:12" ht="15.75" thickBot="1" x14ac:dyDescent="0.3">
      <c r="A45" s="1544" t="s">
        <v>1130</v>
      </c>
      <c r="B45" s="1558"/>
      <c r="C45" s="1558"/>
      <c r="D45" s="1558"/>
      <c r="F45" s="1559"/>
      <c r="G45" s="1559"/>
      <c r="H45" s="1560" t="s">
        <v>148</v>
      </c>
      <c r="I45" s="1559"/>
    </row>
    <row r="46" spans="1:12" ht="25.5" thickTop="1" thickBot="1" x14ac:dyDescent="0.25">
      <c r="A46" s="1561" t="s">
        <v>149</v>
      </c>
      <c r="B46" s="1562" t="s">
        <v>688</v>
      </c>
      <c r="C46" s="1562" t="s">
        <v>345</v>
      </c>
      <c r="D46" s="1563" t="s">
        <v>151</v>
      </c>
      <c r="E46" s="1564" t="s">
        <v>569</v>
      </c>
      <c r="F46" s="1564" t="s">
        <v>570</v>
      </c>
      <c r="G46" s="1565" t="s">
        <v>797</v>
      </c>
      <c r="H46" s="1566" t="s">
        <v>798</v>
      </c>
      <c r="I46" s="1559"/>
    </row>
    <row r="47" spans="1:12" ht="14.25" thickTop="1" thickBot="1" x14ac:dyDescent="0.25">
      <c r="A47" s="1567">
        <v>1</v>
      </c>
      <c r="B47" s="1568">
        <v>2</v>
      </c>
      <c r="C47" s="1568">
        <v>3</v>
      </c>
      <c r="D47" s="1568">
        <v>5</v>
      </c>
      <c r="E47" s="1569">
        <v>6</v>
      </c>
      <c r="F47" s="1569">
        <v>7</v>
      </c>
      <c r="G47" s="1570">
        <v>8</v>
      </c>
      <c r="H47" s="1586" t="s">
        <v>689</v>
      </c>
      <c r="I47" s="1559"/>
    </row>
    <row r="48" spans="1:12" ht="30.75" thickTop="1" x14ac:dyDescent="0.2">
      <c r="A48" s="1577">
        <v>3299</v>
      </c>
      <c r="B48" s="1578">
        <v>5336</v>
      </c>
      <c r="C48" s="1629" t="s">
        <v>2097</v>
      </c>
      <c r="D48" s="1579" t="s">
        <v>1131</v>
      </c>
      <c r="E48" s="1575">
        <v>0</v>
      </c>
      <c r="F48" s="1575">
        <v>114</v>
      </c>
      <c r="G48" s="1587">
        <v>114</v>
      </c>
      <c r="H48" s="1576">
        <f>G48/F48*100</f>
        <v>100</v>
      </c>
      <c r="I48" s="1559"/>
      <c r="L48" s="1551" t="s">
        <v>473</v>
      </c>
    </row>
    <row r="49" spans="1:9" ht="30.75" thickBot="1" x14ac:dyDescent="0.25">
      <c r="A49" s="1577">
        <v>3299</v>
      </c>
      <c r="B49" s="1578">
        <v>5336</v>
      </c>
      <c r="C49" s="1629" t="s">
        <v>2096</v>
      </c>
      <c r="D49" s="1579" t="s">
        <v>1131</v>
      </c>
      <c r="E49" s="1580">
        <v>0</v>
      </c>
      <c r="F49" s="1580">
        <v>647</v>
      </c>
      <c r="G49" s="1588">
        <v>647</v>
      </c>
      <c r="H49" s="1581">
        <f>G49/F49*100</f>
        <v>100</v>
      </c>
      <c r="I49" s="1559"/>
    </row>
    <row r="50" spans="1:9" ht="30.75" hidden="1" thickBot="1" x14ac:dyDescent="0.25">
      <c r="A50" s="1577">
        <v>3299</v>
      </c>
      <c r="B50" s="1578">
        <v>6351</v>
      </c>
      <c r="C50" s="1578">
        <v>32133006</v>
      </c>
      <c r="D50" s="1579" t="s">
        <v>1145</v>
      </c>
      <c r="E50" s="1580">
        <v>0</v>
      </c>
      <c r="F50" s="1580">
        <v>0</v>
      </c>
      <c r="G50" s="1588">
        <v>0</v>
      </c>
      <c r="H50" s="1581" t="e">
        <f>G50/F50*100</f>
        <v>#DIV/0!</v>
      </c>
      <c r="I50" s="1559"/>
    </row>
    <row r="51" spans="1:9" ht="30.75" hidden="1" thickBot="1" x14ac:dyDescent="0.25">
      <c r="A51" s="1577">
        <v>3299</v>
      </c>
      <c r="B51" s="1578">
        <v>6351</v>
      </c>
      <c r="C51" s="1578">
        <v>32533006</v>
      </c>
      <c r="D51" s="1579" t="s">
        <v>1145</v>
      </c>
      <c r="E51" s="1580">
        <v>0</v>
      </c>
      <c r="F51" s="1580">
        <v>0</v>
      </c>
      <c r="G51" s="1588">
        <v>0</v>
      </c>
      <c r="H51" s="1581" t="e">
        <f>G51/F51*100</f>
        <v>#DIV/0!</v>
      </c>
      <c r="I51" s="1559"/>
    </row>
    <row r="52" spans="1:9" ht="16.5" thickTop="1" thickBot="1" x14ac:dyDescent="0.3">
      <c r="A52" s="1589" t="s">
        <v>690</v>
      </c>
      <c r="B52" s="1590"/>
      <c r="C52" s="1590"/>
      <c r="D52" s="1591"/>
      <c r="E52" s="1584">
        <f>SUM(E48:E51)</f>
        <v>0</v>
      </c>
      <c r="F52" s="1584">
        <f>SUM(F48:F51)</f>
        <v>761</v>
      </c>
      <c r="G52" s="1584">
        <f>SUM(G48:G51)</f>
        <v>761</v>
      </c>
      <c r="H52" s="1585">
        <f>G52/F52*100</f>
        <v>100</v>
      </c>
      <c r="I52" s="1559"/>
    </row>
    <row r="53" spans="1:9" ht="13.5" thickTop="1" x14ac:dyDescent="0.2">
      <c r="A53" s="1558"/>
      <c r="B53" s="1558"/>
      <c r="C53" s="1558"/>
      <c r="E53" s="1559"/>
      <c r="F53" s="1559"/>
      <c r="G53" s="1559"/>
      <c r="I53" s="1559"/>
    </row>
    <row r="54" spans="1:9" ht="15" x14ac:dyDescent="0.25">
      <c r="A54" s="1544" t="s">
        <v>307</v>
      </c>
      <c r="B54" s="1558"/>
      <c r="C54" s="1558"/>
      <c r="D54" s="1558"/>
      <c r="F54" s="1559"/>
      <c r="G54" s="1559"/>
      <c r="H54" s="1559"/>
      <c r="I54" s="1559"/>
    </row>
    <row r="55" spans="1:9" ht="15.75" thickBot="1" x14ac:dyDescent="0.3">
      <c r="A55" s="1544" t="s">
        <v>1517</v>
      </c>
      <c r="B55" s="1558"/>
      <c r="C55" s="1558"/>
      <c r="D55" s="1558"/>
      <c r="F55" s="1559"/>
      <c r="G55" s="1559"/>
      <c r="H55" s="1560" t="s">
        <v>148</v>
      </c>
      <c r="I55" s="1559"/>
    </row>
    <row r="56" spans="1:9" ht="25.5" thickTop="1" thickBot="1" x14ac:dyDescent="0.25">
      <c r="A56" s="1561" t="s">
        <v>149</v>
      </c>
      <c r="B56" s="1562" t="s">
        <v>688</v>
      </c>
      <c r="C56" s="1562" t="s">
        <v>345</v>
      </c>
      <c r="D56" s="1563" t="s">
        <v>151</v>
      </c>
      <c r="E56" s="1564" t="s">
        <v>569</v>
      </c>
      <c r="F56" s="1564" t="s">
        <v>570</v>
      </c>
      <c r="G56" s="1565" t="s">
        <v>797</v>
      </c>
      <c r="H56" s="1566" t="s">
        <v>798</v>
      </c>
      <c r="I56" s="1559"/>
    </row>
    <row r="57" spans="1:9" ht="14.25" thickTop="1" thickBot="1" x14ac:dyDescent="0.25">
      <c r="A57" s="1567">
        <v>1</v>
      </c>
      <c r="B57" s="1568">
        <v>2</v>
      </c>
      <c r="C57" s="1568">
        <v>3</v>
      </c>
      <c r="D57" s="1568">
        <v>5</v>
      </c>
      <c r="E57" s="1569">
        <v>6</v>
      </c>
      <c r="F57" s="1569">
        <v>7</v>
      </c>
      <c r="G57" s="1570">
        <v>8</v>
      </c>
      <c r="H57" s="1586" t="s">
        <v>689</v>
      </c>
      <c r="I57" s="1559"/>
    </row>
    <row r="58" spans="1:9" ht="30.75" thickTop="1" x14ac:dyDescent="0.2">
      <c r="A58" s="1577">
        <v>3299</v>
      </c>
      <c r="B58" s="1578">
        <v>5336</v>
      </c>
      <c r="C58" s="1629" t="s">
        <v>2097</v>
      </c>
      <c r="D58" s="1579" t="s">
        <v>1131</v>
      </c>
      <c r="E58" s="1575">
        <v>0</v>
      </c>
      <c r="F58" s="1575">
        <v>7</v>
      </c>
      <c r="G58" s="1587">
        <v>7</v>
      </c>
      <c r="H58" s="1576">
        <f>G58/F58*100</f>
        <v>100</v>
      </c>
      <c r="I58" s="1559"/>
    </row>
    <row r="59" spans="1:9" ht="30.75" thickBot="1" x14ac:dyDescent="0.25">
      <c r="A59" s="1577">
        <v>3299</v>
      </c>
      <c r="B59" s="1578">
        <v>5336</v>
      </c>
      <c r="C59" s="1629" t="s">
        <v>2096</v>
      </c>
      <c r="D59" s="1579" t="s">
        <v>1131</v>
      </c>
      <c r="E59" s="1580">
        <v>0</v>
      </c>
      <c r="F59" s="1580">
        <v>40</v>
      </c>
      <c r="G59" s="1588">
        <v>40</v>
      </c>
      <c r="H59" s="1581">
        <f>G59/F59*100</f>
        <v>100</v>
      </c>
      <c r="I59" s="1559"/>
    </row>
    <row r="60" spans="1:9" ht="30.75" hidden="1" thickBot="1" x14ac:dyDescent="0.25">
      <c r="A60" s="1577">
        <v>3299</v>
      </c>
      <c r="B60" s="1578">
        <v>6351</v>
      </c>
      <c r="C60" s="1578">
        <v>32133006</v>
      </c>
      <c r="D60" s="1579" t="s">
        <v>1145</v>
      </c>
      <c r="E60" s="1580">
        <v>0</v>
      </c>
      <c r="F60" s="1580">
        <v>0</v>
      </c>
      <c r="G60" s="1588">
        <v>0</v>
      </c>
      <c r="H60" s="1581" t="e">
        <f>G60/F60*100</f>
        <v>#DIV/0!</v>
      </c>
      <c r="I60" s="1559"/>
    </row>
    <row r="61" spans="1:9" ht="30.75" hidden="1" thickBot="1" x14ac:dyDescent="0.25">
      <c r="A61" s="1577">
        <v>3299</v>
      </c>
      <c r="B61" s="1578">
        <v>6351</v>
      </c>
      <c r="C61" s="1578">
        <v>32533006</v>
      </c>
      <c r="D61" s="1579" t="s">
        <v>1145</v>
      </c>
      <c r="E61" s="1580">
        <v>0</v>
      </c>
      <c r="F61" s="1580">
        <v>0</v>
      </c>
      <c r="G61" s="1588">
        <v>0</v>
      </c>
      <c r="H61" s="1581" t="e">
        <f>G61/F61*100</f>
        <v>#DIV/0!</v>
      </c>
      <c r="I61" s="1559"/>
    </row>
    <row r="62" spans="1:9" ht="16.5" thickTop="1" thickBot="1" x14ac:dyDescent="0.3">
      <c r="A62" s="1589" t="s">
        <v>690</v>
      </c>
      <c r="B62" s="1590"/>
      <c r="C62" s="1590"/>
      <c r="D62" s="1591"/>
      <c r="E62" s="1584">
        <f>SUM(E58:E61)</f>
        <v>0</v>
      </c>
      <c r="F62" s="1584">
        <f>SUM(F58:F61)</f>
        <v>47</v>
      </c>
      <c r="G62" s="1584">
        <f>SUM(G58:G61)</f>
        <v>47</v>
      </c>
      <c r="H62" s="1585">
        <f>G62/F62*100</f>
        <v>100</v>
      </c>
      <c r="I62" s="1559"/>
    </row>
    <row r="63" spans="1:9" ht="13.5" thickTop="1" x14ac:dyDescent="0.2">
      <c r="A63" s="1558"/>
      <c r="B63" s="1558"/>
      <c r="C63" s="1558"/>
      <c r="E63" s="1559"/>
      <c r="F63" s="1559"/>
      <c r="G63" s="1559"/>
      <c r="I63" s="1559"/>
    </row>
    <row r="64" spans="1:9" ht="15" x14ac:dyDescent="0.25">
      <c r="A64" s="1544" t="s">
        <v>1360</v>
      </c>
      <c r="B64" s="1558"/>
      <c r="C64" s="1558"/>
      <c r="D64" s="1558"/>
      <c r="F64" s="1559"/>
      <c r="G64" s="1559"/>
      <c r="H64" s="1559"/>
      <c r="I64" s="1559"/>
    </row>
    <row r="65" spans="1:9" ht="15.75" thickBot="1" x14ac:dyDescent="0.3">
      <c r="A65" s="1544" t="s">
        <v>1134</v>
      </c>
      <c r="B65" s="1558"/>
      <c r="C65" s="1558"/>
      <c r="D65" s="1558"/>
      <c r="F65" s="1559"/>
      <c r="G65" s="1559"/>
      <c r="H65" s="1560" t="s">
        <v>148</v>
      </c>
      <c r="I65" s="1559"/>
    </row>
    <row r="66" spans="1:9" ht="25.5" thickTop="1" thickBot="1" x14ac:dyDescent="0.25">
      <c r="A66" s="1561" t="s">
        <v>149</v>
      </c>
      <c r="B66" s="1562" t="s">
        <v>688</v>
      </c>
      <c r="C66" s="1562" t="s">
        <v>345</v>
      </c>
      <c r="D66" s="1563" t="s">
        <v>151</v>
      </c>
      <c r="E66" s="1564" t="s">
        <v>569</v>
      </c>
      <c r="F66" s="1564" t="s">
        <v>570</v>
      </c>
      <c r="G66" s="1565" t="s">
        <v>797</v>
      </c>
      <c r="H66" s="1566" t="s">
        <v>798</v>
      </c>
      <c r="I66" s="1559"/>
    </row>
    <row r="67" spans="1:9" ht="14.25" thickTop="1" thickBot="1" x14ac:dyDescent="0.25">
      <c r="A67" s="1567">
        <v>1</v>
      </c>
      <c r="B67" s="1568">
        <v>2</v>
      </c>
      <c r="C67" s="1568">
        <v>3</v>
      </c>
      <c r="D67" s="1568">
        <v>5</v>
      </c>
      <c r="E67" s="1569">
        <v>6</v>
      </c>
      <c r="F67" s="1569">
        <v>7</v>
      </c>
      <c r="G67" s="1570">
        <v>8</v>
      </c>
      <c r="H67" s="1586" t="s">
        <v>689</v>
      </c>
      <c r="I67" s="1559"/>
    </row>
    <row r="68" spans="1:9" ht="30.75" thickTop="1" x14ac:dyDescent="0.2">
      <c r="A68" s="1577">
        <v>3299</v>
      </c>
      <c r="B68" s="1578">
        <v>5336</v>
      </c>
      <c r="C68" s="1629" t="s">
        <v>2097</v>
      </c>
      <c r="D68" s="1579" t="s">
        <v>1131</v>
      </c>
      <c r="E68" s="1575">
        <v>0</v>
      </c>
      <c r="F68" s="1575">
        <v>80</v>
      </c>
      <c r="G68" s="1587">
        <v>80</v>
      </c>
      <c r="H68" s="1576">
        <f>G68/F68*100</f>
        <v>100</v>
      </c>
      <c r="I68" s="1559"/>
    </row>
    <row r="69" spans="1:9" ht="30.75" thickBot="1" x14ac:dyDescent="0.25">
      <c r="A69" s="1577">
        <v>3299</v>
      </c>
      <c r="B69" s="1578">
        <v>5336</v>
      </c>
      <c r="C69" s="1629" t="s">
        <v>2096</v>
      </c>
      <c r="D69" s="1579" t="s">
        <v>1131</v>
      </c>
      <c r="E69" s="1580">
        <v>0</v>
      </c>
      <c r="F69" s="1580">
        <v>453</v>
      </c>
      <c r="G69" s="1588">
        <v>453</v>
      </c>
      <c r="H69" s="1581">
        <f>G69/F69*100</f>
        <v>100</v>
      </c>
      <c r="I69" s="1559"/>
    </row>
    <row r="70" spans="1:9" ht="30.75" hidden="1" thickBot="1" x14ac:dyDescent="0.25">
      <c r="A70" s="1577">
        <v>3299</v>
      </c>
      <c r="B70" s="1578">
        <v>6351</v>
      </c>
      <c r="C70" s="1578">
        <v>32133006</v>
      </c>
      <c r="D70" s="1579" t="s">
        <v>1145</v>
      </c>
      <c r="E70" s="1580">
        <v>0</v>
      </c>
      <c r="F70" s="1580">
        <v>0</v>
      </c>
      <c r="G70" s="1588">
        <v>0</v>
      </c>
      <c r="H70" s="1581" t="e">
        <f>G70/F70*100</f>
        <v>#DIV/0!</v>
      </c>
      <c r="I70" s="1559"/>
    </row>
    <row r="71" spans="1:9" ht="30.75" hidden="1" thickBot="1" x14ac:dyDescent="0.25">
      <c r="A71" s="1577">
        <v>3299</v>
      </c>
      <c r="B71" s="1578">
        <v>6351</v>
      </c>
      <c r="C71" s="1578">
        <v>32533006</v>
      </c>
      <c r="D71" s="1579" t="s">
        <v>1145</v>
      </c>
      <c r="E71" s="1580">
        <v>0</v>
      </c>
      <c r="F71" s="1580">
        <v>0</v>
      </c>
      <c r="G71" s="1588">
        <v>0</v>
      </c>
      <c r="H71" s="1581" t="e">
        <f>G71/F71*100</f>
        <v>#DIV/0!</v>
      </c>
      <c r="I71" s="1559"/>
    </row>
    <row r="72" spans="1:9" ht="16.5" thickTop="1" thickBot="1" x14ac:dyDescent="0.3">
      <c r="A72" s="1589" t="s">
        <v>690</v>
      </c>
      <c r="B72" s="1590"/>
      <c r="C72" s="1590"/>
      <c r="D72" s="1591"/>
      <c r="E72" s="1584">
        <f>SUM(E68:E71)</f>
        <v>0</v>
      </c>
      <c r="F72" s="1584">
        <f>SUM(F68:F71)</f>
        <v>533</v>
      </c>
      <c r="G72" s="1584">
        <f>SUM(G68:G71)</f>
        <v>533</v>
      </c>
      <c r="H72" s="1585">
        <f>G72/F72*100</f>
        <v>100</v>
      </c>
      <c r="I72" s="1559"/>
    </row>
    <row r="73" spans="1:9" ht="15.75" thickTop="1" x14ac:dyDescent="0.25">
      <c r="A73" s="1707"/>
      <c r="B73" s="1707"/>
      <c r="C73" s="1707"/>
      <c r="D73" s="1707"/>
      <c r="E73" s="1625"/>
      <c r="F73" s="1625"/>
      <c r="G73" s="1625"/>
      <c r="H73" s="1626"/>
      <c r="I73" s="1559"/>
    </row>
    <row r="74" spans="1:9" ht="15" x14ac:dyDescent="0.25">
      <c r="A74" s="1544" t="s">
        <v>309</v>
      </c>
      <c r="B74" s="1558"/>
      <c r="C74" s="1558"/>
      <c r="D74" s="1558"/>
      <c r="F74" s="1559"/>
      <c r="G74" s="1559"/>
      <c r="H74" s="1559"/>
      <c r="I74" s="1559"/>
    </row>
    <row r="75" spans="1:9" ht="15.75" thickBot="1" x14ac:dyDescent="0.3">
      <c r="A75" s="1544" t="s">
        <v>1028</v>
      </c>
      <c r="B75" s="1558"/>
      <c r="C75" s="1558"/>
      <c r="D75" s="1558"/>
      <c r="F75" s="1559"/>
      <c r="G75" s="1559"/>
      <c r="H75" s="1560" t="s">
        <v>148</v>
      </c>
      <c r="I75" s="1559"/>
    </row>
    <row r="76" spans="1:9" ht="25.5" thickTop="1" thickBot="1" x14ac:dyDescent="0.25">
      <c r="A76" s="1561" t="s">
        <v>149</v>
      </c>
      <c r="B76" s="1562" t="s">
        <v>688</v>
      </c>
      <c r="C76" s="1562" t="s">
        <v>345</v>
      </c>
      <c r="D76" s="1563" t="s">
        <v>151</v>
      </c>
      <c r="E76" s="1564" t="s">
        <v>569</v>
      </c>
      <c r="F76" s="1564" t="s">
        <v>570</v>
      </c>
      <c r="G76" s="1565" t="s">
        <v>797</v>
      </c>
      <c r="H76" s="1566" t="s">
        <v>798</v>
      </c>
      <c r="I76" s="1559"/>
    </row>
    <row r="77" spans="1:9" ht="14.25" thickTop="1" thickBot="1" x14ac:dyDescent="0.25">
      <c r="A77" s="1567">
        <v>1</v>
      </c>
      <c r="B77" s="1568">
        <v>2</v>
      </c>
      <c r="C77" s="1568">
        <v>3</v>
      </c>
      <c r="D77" s="1568">
        <v>5</v>
      </c>
      <c r="E77" s="1569">
        <v>6</v>
      </c>
      <c r="F77" s="1569">
        <v>7</v>
      </c>
      <c r="G77" s="1570">
        <v>8</v>
      </c>
      <c r="H77" s="1586" t="s">
        <v>689</v>
      </c>
      <c r="I77" s="1559"/>
    </row>
    <row r="78" spans="1:9" ht="30.75" thickTop="1" x14ac:dyDescent="0.2">
      <c r="A78" s="1577">
        <v>3299</v>
      </c>
      <c r="B78" s="1578">
        <v>5336</v>
      </c>
      <c r="C78" s="1629" t="s">
        <v>2097</v>
      </c>
      <c r="D78" s="1579" t="s">
        <v>1131</v>
      </c>
      <c r="E78" s="1575">
        <v>0</v>
      </c>
      <c r="F78" s="1575">
        <v>67</v>
      </c>
      <c r="G78" s="1587">
        <v>67</v>
      </c>
      <c r="H78" s="1576">
        <f>G78/F78*100</f>
        <v>100</v>
      </c>
      <c r="I78" s="1559"/>
    </row>
    <row r="79" spans="1:9" ht="30.75" thickBot="1" x14ac:dyDescent="0.25">
      <c r="A79" s="1577">
        <v>3299</v>
      </c>
      <c r="B79" s="1578">
        <v>5336</v>
      </c>
      <c r="C79" s="1629" t="s">
        <v>2096</v>
      </c>
      <c r="D79" s="1579" t="s">
        <v>1131</v>
      </c>
      <c r="E79" s="1580">
        <v>0</v>
      </c>
      <c r="F79" s="1580">
        <v>380</v>
      </c>
      <c r="G79" s="1588">
        <v>380</v>
      </c>
      <c r="H79" s="1581">
        <f>G79/F79*100</f>
        <v>100</v>
      </c>
      <c r="I79" s="1559"/>
    </row>
    <row r="80" spans="1:9" ht="30.75" hidden="1" thickBot="1" x14ac:dyDescent="0.25">
      <c r="A80" s="1577">
        <v>3299</v>
      </c>
      <c r="B80" s="1578">
        <v>6351</v>
      </c>
      <c r="C80" s="1578">
        <v>32133006</v>
      </c>
      <c r="D80" s="1579" t="s">
        <v>1145</v>
      </c>
      <c r="E80" s="1580">
        <v>0</v>
      </c>
      <c r="F80" s="1580"/>
      <c r="G80" s="1588"/>
      <c r="H80" s="1581" t="e">
        <f>G80/F80*100</f>
        <v>#DIV/0!</v>
      </c>
      <c r="I80" s="1559"/>
    </row>
    <row r="81" spans="1:9" ht="30.75" hidden="1" thickBot="1" x14ac:dyDescent="0.25">
      <c r="A81" s="1577">
        <v>3299</v>
      </c>
      <c r="B81" s="1578">
        <v>6351</v>
      </c>
      <c r="C81" s="1578">
        <v>32533006</v>
      </c>
      <c r="D81" s="1579" t="s">
        <v>1145</v>
      </c>
      <c r="E81" s="1580">
        <v>0</v>
      </c>
      <c r="F81" s="1580"/>
      <c r="G81" s="1588"/>
      <c r="H81" s="1581" t="e">
        <f>G81/F81*100</f>
        <v>#DIV/0!</v>
      </c>
      <c r="I81" s="1559"/>
    </row>
    <row r="82" spans="1:9" ht="16.5" thickTop="1" thickBot="1" x14ac:dyDescent="0.3">
      <c r="A82" s="1589" t="s">
        <v>690</v>
      </c>
      <c r="B82" s="1590"/>
      <c r="C82" s="1590"/>
      <c r="D82" s="1591"/>
      <c r="E82" s="1584">
        <f>SUM(E78:E81)</f>
        <v>0</v>
      </c>
      <c r="F82" s="1584">
        <f>SUM(F78:F81)</f>
        <v>447</v>
      </c>
      <c r="G82" s="1584">
        <f>SUM(G78:G81)</f>
        <v>447</v>
      </c>
      <c r="H82" s="1585">
        <f>G82/F82*100</f>
        <v>100</v>
      </c>
      <c r="I82" s="1559"/>
    </row>
    <row r="83" spans="1:9" ht="15.75" thickTop="1" x14ac:dyDescent="0.25">
      <c r="A83" s="1707"/>
      <c r="B83" s="1707"/>
      <c r="C83" s="1707"/>
      <c r="D83" s="1707"/>
      <c r="E83" s="1625"/>
      <c r="F83" s="1625"/>
      <c r="G83" s="1625"/>
      <c r="H83" s="1626"/>
      <c r="I83" s="1559"/>
    </row>
    <row r="84" spans="1:9" ht="15" x14ac:dyDescent="0.25">
      <c r="A84" s="1544" t="s">
        <v>1110</v>
      </c>
      <c r="B84" s="1558"/>
      <c r="C84" s="1558"/>
      <c r="D84" s="1558"/>
      <c r="F84" s="1559"/>
      <c r="G84" s="1559"/>
      <c r="H84" s="1559"/>
      <c r="I84" s="1559"/>
    </row>
    <row r="85" spans="1:9" ht="15.75" thickBot="1" x14ac:dyDescent="0.3">
      <c r="A85" s="1544" t="s">
        <v>500</v>
      </c>
      <c r="B85" s="1558"/>
      <c r="C85" s="1558"/>
      <c r="D85" s="1558"/>
      <c r="F85" s="1559"/>
      <c r="G85" s="1559"/>
      <c r="H85" s="1560" t="s">
        <v>148</v>
      </c>
      <c r="I85" s="1559"/>
    </row>
    <row r="86" spans="1:9" ht="25.5" thickTop="1" thickBot="1" x14ac:dyDescent="0.25">
      <c r="A86" s="1561" t="s">
        <v>149</v>
      </c>
      <c r="B86" s="1562" t="s">
        <v>688</v>
      </c>
      <c r="C86" s="1562" t="s">
        <v>345</v>
      </c>
      <c r="D86" s="1563" t="s">
        <v>151</v>
      </c>
      <c r="E86" s="1564" t="s">
        <v>569</v>
      </c>
      <c r="F86" s="1564" t="s">
        <v>570</v>
      </c>
      <c r="G86" s="1565" t="s">
        <v>797</v>
      </c>
      <c r="H86" s="1566" t="s">
        <v>798</v>
      </c>
      <c r="I86" s="1559"/>
    </row>
    <row r="87" spans="1:9" ht="14.25" thickTop="1" thickBot="1" x14ac:dyDescent="0.25">
      <c r="A87" s="1567">
        <v>1</v>
      </c>
      <c r="B87" s="1568">
        <v>2</v>
      </c>
      <c r="C87" s="1568">
        <v>3</v>
      </c>
      <c r="D87" s="1568">
        <v>5</v>
      </c>
      <c r="E87" s="1569">
        <v>6</v>
      </c>
      <c r="F87" s="1569">
        <v>7</v>
      </c>
      <c r="G87" s="1570">
        <v>8</v>
      </c>
      <c r="H87" s="1586" t="s">
        <v>689</v>
      </c>
      <c r="I87" s="1559"/>
    </row>
    <row r="88" spans="1:9" ht="30.75" thickTop="1" x14ac:dyDescent="0.2">
      <c r="A88" s="1577">
        <v>3299</v>
      </c>
      <c r="B88" s="1578">
        <v>5336</v>
      </c>
      <c r="C88" s="1629" t="s">
        <v>2097</v>
      </c>
      <c r="D88" s="1579" t="s">
        <v>1131</v>
      </c>
      <c r="E88" s="1575">
        <v>0</v>
      </c>
      <c r="F88" s="1575">
        <v>25</v>
      </c>
      <c r="G88" s="1587">
        <v>25</v>
      </c>
      <c r="H88" s="1576">
        <f>G88/F88*100</f>
        <v>100</v>
      </c>
      <c r="I88" s="1559"/>
    </row>
    <row r="89" spans="1:9" ht="30.75" thickBot="1" x14ac:dyDescent="0.25">
      <c r="A89" s="1577">
        <v>3299</v>
      </c>
      <c r="B89" s="1578">
        <v>5336</v>
      </c>
      <c r="C89" s="1629" t="s">
        <v>2096</v>
      </c>
      <c r="D89" s="1579" t="s">
        <v>1131</v>
      </c>
      <c r="E89" s="1580">
        <v>0</v>
      </c>
      <c r="F89" s="1580">
        <v>143</v>
      </c>
      <c r="G89" s="1588">
        <v>143</v>
      </c>
      <c r="H89" s="1581">
        <f>G89/F89*100</f>
        <v>100</v>
      </c>
      <c r="I89" s="1559"/>
    </row>
    <row r="90" spans="1:9" ht="30.75" hidden="1" thickBot="1" x14ac:dyDescent="0.25">
      <c r="A90" s="1577">
        <v>3299</v>
      </c>
      <c r="B90" s="1578">
        <v>6351</v>
      </c>
      <c r="C90" s="1578">
        <v>32133006</v>
      </c>
      <c r="D90" s="1579" t="s">
        <v>1145</v>
      </c>
      <c r="E90" s="1580">
        <v>0</v>
      </c>
      <c r="F90" s="1580"/>
      <c r="G90" s="1588"/>
      <c r="H90" s="1581" t="e">
        <f>G90/F90*100</f>
        <v>#DIV/0!</v>
      </c>
      <c r="I90" s="1559"/>
    </row>
    <row r="91" spans="1:9" ht="30.75" hidden="1" thickBot="1" x14ac:dyDescent="0.25">
      <c r="A91" s="1577">
        <v>3299</v>
      </c>
      <c r="B91" s="1578">
        <v>6351</v>
      </c>
      <c r="C91" s="1578">
        <v>32533006</v>
      </c>
      <c r="D91" s="1579" t="s">
        <v>1145</v>
      </c>
      <c r="E91" s="1580">
        <v>0</v>
      </c>
      <c r="F91" s="1580"/>
      <c r="G91" s="1588"/>
      <c r="H91" s="1581" t="e">
        <f>G91/F91*100</f>
        <v>#DIV/0!</v>
      </c>
      <c r="I91" s="1559"/>
    </row>
    <row r="92" spans="1:9" ht="16.5" thickTop="1" thickBot="1" x14ac:dyDescent="0.3">
      <c r="A92" s="1589" t="s">
        <v>690</v>
      </c>
      <c r="B92" s="1590"/>
      <c r="C92" s="1590"/>
      <c r="D92" s="1591"/>
      <c r="E92" s="1584">
        <f>SUM(E88:E91)</f>
        <v>0</v>
      </c>
      <c r="F92" s="1584">
        <f>SUM(F88:F91)</f>
        <v>168</v>
      </c>
      <c r="G92" s="1584">
        <f>SUM(G88:G91)</f>
        <v>168</v>
      </c>
      <c r="H92" s="1585">
        <f>G92/F92*100</f>
        <v>100</v>
      </c>
      <c r="I92" s="1559"/>
    </row>
    <row r="93" spans="1:9" ht="15.75" thickTop="1" x14ac:dyDescent="0.25">
      <c r="A93" s="1707"/>
      <c r="B93" s="1707"/>
      <c r="C93" s="1707"/>
      <c r="D93" s="1707"/>
      <c r="E93" s="1625"/>
      <c r="F93" s="1625"/>
      <c r="G93" s="1625"/>
      <c r="H93" s="1626"/>
      <c r="I93" s="1559"/>
    </row>
    <row r="94" spans="1:9" ht="15" hidden="1" x14ac:dyDescent="0.25">
      <c r="A94" s="1544" t="s">
        <v>1361</v>
      </c>
      <c r="B94" s="1558"/>
      <c r="C94" s="1558"/>
      <c r="D94" s="1558"/>
      <c r="F94" s="1559"/>
      <c r="G94" s="1559"/>
      <c r="H94" s="1559"/>
      <c r="I94" s="1559"/>
    </row>
    <row r="95" spans="1:9" ht="15" hidden="1" x14ac:dyDescent="0.25">
      <c r="A95" s="1544" t="s">
        <v>1138</v>
      </c>
      <c r="B95" s="1558"/>
      <c r="C95" s="1558"/>
      <c r="D95" s="1558"/>
      <c r="F95" s="1559"/>
      <c r="G95" s="1559"/>
      <c r="H95" s="1560" t="s">
        <v>148</v>
      </c>
      <c r="I95" s="1559"/>
    </row>
    <row r="96" spans="1:9" ht="25.5" hidden="1" thickTop="1" thickBot="1" x14ac:dyDescent="0.25">
      <c r="A96" s="1561" t="s">
        <v>149</v>
      </c>
      <c r="B96" s="1562" t="s">
        <v>688</v>
      </c>
      <c r="C96" s="1562" t="s">
        <v>345</v>
      </c>
      <c r="D96" s="1563" t="s">
        <v>151</v>
      </c>
      <c r="E96" s="1564" t="s">
        <v>569</v>
      </c>
      <c r="F96" s="1564" t="s">
        <v>570</v>
      </c>
      <c r="G96" s="1565" t="s">
        <v>797</v>
      </c>
      <c r="H96" s="1566" t="s">
        <v>798</v>
      </c>
      <c r="I96" s="1559"/>
    </row>
    <row r="97" spans="1:9" ht="14.25" hidden="1" thickTop="1" thickBot="1" x14ac:dyDescent="0.25">
      <c r="A97" s="1567">
        <v>1</v>
      </c>
      <c r="B97" s="1568">
        <v>2</v>
      </c>
      <c r="C97" s="1568">
        <v>3</v>
      </c>
      <c r="D97" s="1568">
        <v>5</v>
      </c>
      <c r="E97" s="1569">
        <v>6</v>
      </c>
      <c r="F97" s="1569">
        <v>7</v>
      </c>
      <c r="G97" s="1570">
        <v>8</v>
      </c>
      <c r="H97" s="1586" t="s">
        <v>689</v>
      </c>
      <c r="I97" s="1559"/>
    </row>
    <row r="98" spans="1:9" ht="30.75" hidden="1" thickTop="1" x14ac:dyDescent="0.2">
      <c r="A98" s="1577">
        <v>3299</v>
      </c>
      <c r="B98" s="1578">
        <v>5336</v>
      </c>
      <c r="C98" s="1629">
        <v>32133030</v>
      </c>
      <c r="D98" s="1579" t="s">
        <v>1131</v>
      </c>
      <c r="E98" s="1575"/>
      <c r="F98" s="1575"/>
      <c r="G98" s="1587"/>
      <c r="H98" s="1576" t="e">
        <f>G98/F98*100</f>
        <v>#DIV/0!</v>
      </c>
      <c r="I98" s="1559"/>
    </row>
    <row r="99" spans="1:9" ht="30" hidden="1" x14ac:dyDescent="0.2">
      <c r="A99" s="1577">
        <v>3299</v>
      </c>
      <c r="B99" s="1578">
        <v>5336</v>
      </c>
      <c r="C99" s="1629">
        <v>32533030</v>
      </c>
      <c r="D99" s="1579" t="s">
        <v>1131</v>
      </c>
      <c r="E99" s="1580"/>
      <c r="F99" s="1580"/>
      <c r="G99" s="1588"/>
      <c r="H99" s="1581" t="e">
        <f>G99/F99*100</f>
        <v>#DIV/0!</v>
      </c>
      <c r="I99" s="1559"/>
    </row>
    <row r="100" spans="1:9" ht="30" hidden="1" x14ac:dyDescent="0.2">
      <c r="A100" s="1577">
        <v>3299</v>
      </c>
      <c r="B100" s="1578">
        <v>6351</v>
      </c>
      <c r="C100" s="1578">
        <v>32133006</v>
      </c>
      <c r="D100" s="1579" t="s">
        <v>1145</v>
      </c>
      <c r="E100" s="1580">
        <v>0</v>
      </c>
      <c r="F100" s="1580">
        <v>0</v>
      </c>
      <c r="G100" s="1588">
        <v>0</v>
      </c>
      <c r="H100" s="1581" t="e">
        <f>G100/F100*100</f>
        <v>#DIV/0!</v>
      </c>
      <c r="I100" s="1559"/>
    </row>
    <row r="101" spans="1:9" ht="30" hidden="1" x14ac:dyDescent="0.2">
      <c r="A101" s="1577">
        <v>3299</v>
      </c>
      <c r="B101" s="1578">
        <v>6351</v>
      </c>
      <c r="C101" s="1578">
        <v>32533006</v>
      </c>
      <c r="D101" s="1579" t="s">
        <v>1145</v>
      </c>
      <c r="E101" s="1580">
        <v>0</v>
      </c>
      <c r="F101" s="1580">
        <v>0</v>
      </c>
      <c r="G101" s="1588">
        <v>0</v>
      </c>
      <c r="H101" s="1581" t="e">
        <f>G101/F101*100</f>
        <v>#DIV/0!</v>
      </c>
      <c r="I101" s="1559"/>
    </row>
    <row r="102" spans="1:9" ht="16.5" hidden="1" thickTop="1" thickBot="1" x14ac:dyDescent="0.3">
      <c r="A102" s="1589" t="s">
        <v>690</v>
      </c>
      <c r="B102" s="1590"/>
      <c r="C102" s="1590"/>
      <c r="D102" s="1591"/>
      <c r="E102" s="1584">
        <f>SUM(E98:E101)</f>
        <v>0</v>
      </c>
      <c r="F102" s="1584">
        <f>SUM(F98:F101)</f>
        <v>0</v>
      </c>
      <c r="G102" s="1584">
        <f>SUM(G98:G101)</f>
        <v>0</v>
      </c>
      <c r="H102" s="1585" t="e">
        <f>G102/F102*100</f>
        <v>#DIV/0!</v>
      </c>
      <c r="I102" s="1559"/>
    </row>
    <row r="103" spans="1:9" hidden="1" x14ac:dyDescent="0.2">
      <c r="A103" s="1558"/>
      <c r="B103" s="1558"/>
      <c r="C103" s="1558"/>
      <c r="E103" s="1559"/>
      <c r="F103" s="1559"/>
      <c r="G103" s="1559"/>
      <c r="I103" s="1559"/>
    </row>
    <row r="104" spans="1:9" ht="15" x14ac:dyDescent="0.25">
      <c r="A104" s="1544" t="s">
        <v>912</v>
      </c>
      <c r="B104" s="1558"/>
      <c r="C104" s="1558"/>
      <c r="D104" s="1558"/>
      <c r="F104" s="1559"/>
      <c r="G104" s="1559"/>
      <c r="H104" s="1559"/>
      <c r="I104" s="1559"/>
    </row>
    <row r="105" spans="1:9" ht="15.75" thickBot="1" x14ac:dyDescent="0.3">
      <c r="A105" s="1544" t="s">
        <v>1140</v>
      </c>
      <c r="B105" s="1558"/>
      <c r="C105" s="1558"/>
      <c r="D105" s="1558"/>
      <c r="F105" s="1559"/>
      <c r="G105" s="1559"/>
      <c r="H105" s="1560" t="s">
        <v>148</v>
      </c>
      <c r="I105" s="1559"/>
    </row>
    <row r="106" spans="1:9" ht="25.5" thickTop="1" thickBot="1" x14ac:dyDescent="0.25">
      <c r="A106" s="1561" t="s">
        <v>149</v>
      </c>
      <c r="B106" s="1562" t="s">
        <v>688</v>
      </c>
      <c r="C106" s="1562" t="s">
        <v>345</v>
      </c>
      <c r="D106" s="1563" t="s">
        <v>151</v>
      </c>
      <c r="E106" s="1564" t="s">
        <v>569</v>
      </c>
      <c r="F106" s="1564" t="s">
        <v>570</v>
      </c>
      <c r="G106" s="1565" t="s">
        <v>797</v>
      </c>
      <c r="H106" s="1566" t="s">
        <v>798</v>
      </c>
      <c r="I106" s="1559"/>
    </row>
    <row r="107" spans="1:9" ht="14.25" thickTop="1" thickBot="1" x14ac:dyDescent="0.25">
      <c r="A107" s="1567">
        <v>1</v>
      </c>
      <c r="B107" s="1568">
        <v>2</v>
      </c>
      <c r="C107" s="1568">
        <v>3</v>
      </c>
      <c r="D107" s="1568">
        <v>5</v>
      </c>
      <c r="E107" s="1569">
        <v>6</v>
      </c>
      <c r="F107" s="1569">
        <v>7</v>
      </c>
      <c r="G107" s="1570">
        <v>8</v>
      </c>
      <c r="H107" s="1586" t="s">
        <v>689</v>
      </c>
      <c r="I107" s="1559"/>
    </row>
    <row r="108" spans="1:9" ht="30.75" thickTop="1" x14ac:dyDescent="0.2">
      <c r="A108" s="1577">
        <v>3299</v>
      </c>
      <c r="B108" s="1578">
        <v>5336</v>
      </c>
      <c r="C108" s="1629" t="s">
        <v>2097</v>
      </c>
      <c r="D108" s="1579" t="s">
        <v>1131</v>
      </c>
      <c r="E108" s="1575">
        <v>0</v>
      </c>
      <c r="F108" s="1575">
        <v>11</v>
      </c>
      <c r="G108" s="1587">
        <v>0</v>
      </c>
      <c r="H108" s="1576">
        <f>G108/F108*100</f>
        <v>0</v>
      </c>
      <c r="I108" s="1559"/>
    </row>
    <row r="109" spans="1:9" ht="30.75" thickBot="1" x14ac:dyDescent="0.25">
      <c r="A109" s="1577">
        <v>3299</v>
      </c>
      <c r="B109" s="1578">
        <v>5336</v>
      </c>
      <c r="C109" s="1629" t="s">
        <v>2096</v>
      </c>
      <c r="D109" s="1579" t="s">
        <v>1131</v>
      </c>
      <c r="E109" s="1580">
        <v>0</v>
      </c>
      <c r="F109" s="1580">
        <v>59</v>
      </c>
      <c r="G109" s="1588">
        <v>0</v>
      </c>
      <c r="H109" s="1581">
        <f>G109/F109*100</f>
        <v>0</v>
      </c>
      <c r="I109" s="1559"/>
    </row>
    <row r="110" spans="1:9" ht="30.75" hidden="1" thickBot="1" x14ac:dyDescent="0.25">
      <c r="A110" s="1577">
        <v>3299</v>
      </c>
      <c r="B110" s="1578">
        <v>6351</v>
      </c>
      <c r="C110" s="1578">
        <v>32133006</v>
      </c>
      <c r="D110" s="1579" t="s">
        <v>1145</v>
      </c>
      <c r="E110" s="1580">
        <v>0</v>
      </c>
      <c r="F110" s="1580">
        <v>0</v>
      </c>
      <c r="G110" s="1588">
        <v>0</v>
      </c>
      <c r="H110" s="1581" t="e">
        <f>G110/F110*100</f>
        <v>#DIV/0!</v>
      </c>
      <c r="I110" s="1559"/>
    </row>
    <row r="111" spans="1:9" ht="30.75" hidden="1" thickBot="1" x14ac:dyDescent="0.25">
      <c r="A111" s="1577">
        <v>3299</v>
      </c>
      <c r="B111" s="1578">
        <v>6351</v>
      </c>
      <c r="C111" s="1578">
        <v>32533006</v>
      </c>
      <c r="D111" s="1579" t="s">
        <v>1145</v>
      </c>
      <c r="E111" s="1580">
        <v>0</v>
      </c>
      <c r="F111" s="1580">
        <v>0</v>
      </c>
      <c r="G111" s="1588">
        <v>0</v>
      </c>
      <c r="H111" s="1581" t="e">
        <f>G111/F111*100</f>
        <v>#DIV/0!</v>
      </c>
      <c r="I111" s="1559"/>
    </row>
    <row r="112" spans="1:9" ht="16.5" thickTop="1" thickBot="1" x14ac:dyDescent="0.3">
      <c r="A112" s="1589" t="s">
        <v>690</v>
      </c>
      <c r="B112" s="1590"/>
      <c r="C112" s="1590"/>
      <c r="D112" s="1591"/>
      <c r="E112" s="1584">
        <f>SUM(E108:E111)</f>
        <v>0</v>
      </c>
      <c r="F112" s="1584">
        <f>SUM(F108:F111)</f>
        <v>70</v>
      </c>
      <c r="G112" s="1584">
        <f>SUM(G108:G111)</f>
        <v>0</v>
      </c>
      <c r="H112" s="1585">
        <f>G112/F112*100</f>
        <v>0</v>
      </c>
      <c r="I112" s="1559"/>
    </row>
    <row r="113" spans="1:9" ht="13.5" thickTop="1" x14ac:dyDescent="0.2">
      <c r="A113" s="1558"/>
      <c r="B113" s="1558"/>
      <c r="C113" s="1558"/>
      <c r="E113" s="1559"/>
      <c r="F113" s="1559"/>
      <c r="G113" s="1559"/>
      <c r="I113" s="1559"/>
    </row>
    <row r="114" spans="1:9" ht="15" x14ac:dyDescent="0.25">
      <c r="A114" s="1544" t="s">
        <v>1427</v>
      </c>
      <c r="B114" s="1558"/>
      <c r="C114" s="1558"/>
      <c r="D114" s="1558"/>
      <c r="F114" s="1559"/>
      <c r="G114" s="1559"/>
      <c r="H114" s="1559"/>
      <c r="I114" s="1559"/>
    </row>
    <row r="115" spans="1:9" ht="15.75" thickBot="1" x14ac:dyDescent="0.3">
      <c r="A115" s="1544" t="s">
        <v>896</v>
      </c>
      <c r="B115" s="1558"/>
      <c r="C115" s="1558"/>
      <c r="D115" s="1558"/>
      <c r="F115" s="1559"/>
      <c r="G115" s="1559"/>
      <c r="H115" s="1560" t="s">
        <v>148</v>
      </c>
      <c r="I115" s="1559"/>
    </row>
    <row r="116" spans="1:9" ht="25.5" thickTop="1" thickBot="1" x14ac:dyDescent="0.25">
      <c r="A116" s="1561" t="s">
        <v>149</v>
      </c>
      <c r="B116" s="1562" t="s">
        <v>688</v>
      </c>
      <c r="C116" s="1562" t="s">
        <v>345</v>
      </c>
      <c r="D116" s="1563" t="s">
        <v>151</v>
      </c>
      <c r="E116" s="1564" t="s">
        <v>569</v>
      </c>
      <c r="F116" s="1564" t="s">
        <v>570</v>
      </c>
      <c r="G116" s="1565" t="s">
        <v>797</v>
      </c>
      <c r="H116" s="1566" t="s">
        <v>798</v>
      </c>
      <c r="I116" s="1559"/>
    </row>
    <row r="117" spans="1:9" ht="14.25" thickTop="1" thickBot="1" x14ac:dyDescent="0.25">
      <c r="A117" s="1567">
        <v>1</v>
      </c>
      <c r="B117" s="1568">
        <v>2</v>
      </c>
      <c r="C117" s="1568">
        <v>3</v>
      </c>
      <c r="D117" s="1568">
        <v>5</v>
      </c>
      <c r="E117" s="1569">
        <v>6</v>
      </c>
      <c r="F117" s="1569">
        <v>7</v>
      </c>
      <c r="G117" s="1570">
        <v>8</v>
      </c>
      <c r="H117" s="1586" t="s">
        <v>689</v>
      </c>
      <c r="I117" s="1559"/>
    </row>
    <row r="118" spans="1:9" ht="30.75" thickTop="1" x14ac:dyDescent="0.2">
      <c r="A118" s="1577">
        <v>3299</v>
      </c>
      <c r="B118" s="1578">
        <v>5336</v>
      </c>
      <c r="C118" s="1629" t="s">
        <v>2097</v>
      </c>
      <c r="D118" s="1579" t="s">
        <v>1131</v>
      </c>
      <c r="E118" s="1575">
        <v>0</v>
      </c>
      <c r="F118" s="1575">
        <v>59</v>
      </c>
      <c r="G118" s="1587">
        <v>59</v>
      </c>
      <c r="H118" s="1576">
        <f>G118/F118*100</f>
        <v>100</v>
      </c>
      <c r="I118" s="1559"/>
    </row>
    <row r="119" spans="1:9" ht="30.75" thickBot="1" x14ac:dyDescent="0.25">
      <c r="A119" s="1577">
        <v>3299</v>
      </c>
      <c r="B119" s="1578">
        <v>5336</v>
      </c>
      <c r="C119" s="1629" t="s">
        <v>2096</v>
      </c>
      <c r="D119" s="1579" t="s">
        <v>1131</v>
      </c>
      <c r="E119" s="1580">
        <v>0</v>
      </c>
      <c r="F119" s="1580">
        <v>337</v>
      </c>
      <c r="G119" s="1588">
        <v>337</v>
      </c>
      <c r="H119" s="1581">
        <f>G119/F119*100</f>
        <v>100</v>
      </c>
      <c r="I119" s="1559"/>
    </row>
    <row r="120" spans="1:9" ht="30.75" hidden="1" thickBot="1" x14ac:dyDescent="0.25">
      <c r="A120" s="1577">
        <v>3299</v>
      </c>
      <c r="B120" s="1578">
        <v>6351</v>
      </c>
      <c r="C120" s="1629">
        <v>32133926</v>
      </c>
      <c r="D120" s="1579" t="s">
        <v>1145</v>
      </c>
      <c r="E120" s="1580"/>
      <c r="F120" s="1580"/>
      <c r="G120" s="1588"/>
      <c r="H120" s="1581" t="e">
        <f>G120/F120*100</f>
        <v>#DIV/0!</v>
      </c>
      <c r="I120" s="1559"/>
    </row>
    <row r="121" spans="1:9" ht="30.75" hidden="1" thickBot="1" x14ac:dyDescent="0.25">
      <c r="A121" s="1577">
        <v>3299</v>
      </c>
      <c r="B121" s="1578">
        <v>6351</v>
      </c>
      <c r="C121" s="1629">
        <v>32533926</v>
      </c>
      <c r="D121" s="1579" t="s">
        <v>1145</v>
      </c>
      <c r="E121" s="1580"/>
      <c r="F121" s="1580"/>
      <c r="G121" s="1588"/>
      <c r="H121" s="1581" t="e">
        <f>G121/F121*100</f>
        <v>#DIV/0!</v>
      </c>
      <c r="I121" s="1559"/>
    </row>
    <row r="122" spans="1:9" ht="16.5" thickTop="1" thickBot="1" x14ac:dyDescent="0.3">
      <c r="A122" s="1589" t="s">
        <v>690</v>
      </c>
      <c r="B122" s="1590"/>
      <c r="C122" s="1590"/>
      <c r="D122" s="1591"/>
      <c r="E122" s="1584">
        <f>SUM(E118:E121)</f>
        <v>0</v>
      </c>
      <c r="F122" s="1584">
        <f>SUM(F118:F121)</f>
        <v>396</v>
      </c>
      <c r="G122" s="1584">
        <f>SUM(G118:G121)</f>
        <v>396</v>
      </c>
      <c r="H122" s="1585">
        <f>G122/F122*100</f>
        <v>100</v>
      </c>
      <c r="I122" s="1559"/>
    </row>
    <row r="123" spans="1:9" ht="13.5" thickTop="1" x14ac:dyDescent="0.2"/>
    <row r="124" spans="1:9" ht="15" x14ac:dyDescent="0.25">
      <c r="A124" s="1544" t="s">
        <v>1362</v>
      </c>
      <c r="B124" s="1558"/>
      <c r="C124" s="1558"/>
      <c r="D124" s="1558"/>
      <c r="F124" s="1559"/>
      <c r="G124" s="1559"/>
      <c r="H124" s="1559"/>
      <c r="I124" s="1559"/>
    </row>
    <row r="125" spans="1:9" ht="15.75" thickBot="1" x14ac:dyDescent="0.3">
      <c r="A125" s="1544" t="s">
        <v>503</v>
      </c>
      <c r="B125" s="1558"/>
      <c r="C125" s="1558"/>
      <c r="D125" s="1558"/>
      <c r="F125" s="1559"/>
      <c r="G125" s="1559"/>
      <c r="H125" s="1560" t="s">
        <v>148</v>
      </c>
      <c r="I125" s="1559"/>
    </row>
    <row r="126" spans="1:9" ht="25.5" thickTop="1" thickBot="1" x14ac:dyDescent="0.25">
      <c r="A126" s="1561" t="s">
        <v>149</v>
      </c>
      <c r="B126" s="1562" t="s">
        <v>688</v>
      </c>
      <c r="C126" s="1562" t="s">
        <v>345</v>
      </c>
      <c r="D126" s="1563" t="s">
        <v>151</v>
      </c>
      <c r="E126" s="1564" t="s">
        <v>569</v>
      </c>
      <c r="F126" s="1564" t="s">
        <v>570</v>
      </c>
      <c r="G126" s="1565" t="s">
        <v>797</v>
      </c>
      <c r="H126" s="1566" t="s">
        <v>798</v>
      </c>
      <c r="I126" s="1559"/>
    </row>
    <row r="127" spans="1:9" ht="14.25" thickTop="1" thickBot="1" x14ac:dyDescent="0.25">
      <c r="A127" s="1567">
        <v>1</v>
      </c>
      <c r="B127" s="1568">
        <v>2</v>
      </c>
      <c r="C127" s="1568">
        <v>3</v>
      </c>
      <c r="D127" s="1568">
        <v>5</v>
      </c>
      <c r="E127" s="1569">
        <v>6</v>
      </c>
      <c r="F127" s="1569">
        <v>7</v>
      </c>
      <c r="G127" s="1570">
        <v>8</v>
      </c>
      <c r="H127" s="1586" t="s">
        <v>689</v>
      </c>
      <c r="I127" s="1559"/>
    </row>
    <row r="128" spans="1:9" ht="30.75" thickTop="1" x14ac:dyDescent="0.2">
      <c r="A128" s="1577">
        <v>3299</v>
      </c>
      <c r="B128" s="1578">
        <v>5336</v>
      </c>
      <c r="C128" s="1629" t="s">
        <v>2097</v>
      </c>
      <c r="D128" s="1579" t="s">
        <v>1131</v>
      </c>
      <c r="E128" s="1575">
        <v>0</v>
      </c>
      <c r="F128" s="1575">
        <v>34</v>
      </c>
      <c r="G128" s="1587">
        <v>34</v>
      </c>
      <c r="H128" s="1576">
        <f>G128/F128*100</f>
        <v>100</v>
      </c>
      <c r="I128" s="1559"/>
    </row>
    <row r="129" spans="1:9" ht="30.75" thickBot="1" x14ac:dyDescent="0.25">
      <c r="A129" s="1577">
        <v>3299</v>
      </c>
      <c r="B129" s="1578">
        <v>5336</v>
      </c>
      <c r="C129" s="1629" t="s">
        <v>2096</v>
      </c>
      <c r="D129" s="1579" t="s">
        <v>1131</v>
      </c>
      <c r="E129" s="1580">
        <v>0</v>
      </c>
      <c r="F129" s="1580">
        <v>195</v>
      </c>
      <c r="G129" s="1588">
        <v>195</v>
      </c>
      <c r="H129" s="1581">
        <f>G129/F129*100</f>
        <v>100</v>
      </c>
      <c r="I129" s="1559"/>
    </row>
    <row r="130" spans="1:9" ht="30.75" hidden="1" thickBot="1" x14ac:dyDescent="0.25">
      <c r="A130" s="1577">
        <v>3299</v>
      </c>
      <c r="B130" s="1578">
        <v>6351</v>
      </c>
      <c r="C130" s="1629">
        <v>32133926</v>
      </c>
      <c r="D130" s="1579" t="s">
        <v>1145</v>
      </c>
      <c r="E130" s="1580"/>
      <c r="F130" s="1580"/>
      <c r="G130" s="1588"/>
      <c r="H130" s="1581" t="e">
        <f>G130/F130*100</f>
        <v>#DIV/0!</v>
      </c>
      <c r="I130" s="1559"/>
    </row>
    <row r="131" spans="1:9" ht="30.75" hidden="1" thickBot="1" x14ac:dyDescent="0.25">
      <c r="A131" s="1577">
        <v>3299</v>
      </c>
      <c r="B131" s="1578">
        <v>6351</v>
      </c>
      <c r="C131" s="1629">
        <v>32533926</v>
      </c>
      <c r="D131" s="1579" t="s">
        <v>1145</v>
      </c>
      <c r="E131" s="1580"/>
      <c r="F131" s="1580"/>
      <c r="G131" s="1588"/>
      <c r="H131" s="1581" t="e">
        <f>G131/F131*100</f>
        <v>#DIV/0!</v>
      </c>
      <c r="I131" s="1559"/>
    </row>
    <row r="132" spans="1:9" ht="16.5" thickTop="1" thickBot="1" x14ac:dyDescent="0.3">
      <c r="A132" s="1589" t="s">
        <v>690</v>
      </c>
      <c r="B132" s="1590"/>
      <c r="C132" s="1590"/>
      <c r="D132" s="1591"/>
      <c r="E132" s="1584">
        <f>SUM(E128:E131)</f>
        <v>0</v>
      </c>
      <c r="F132" s="1584">
        <f>SUM(F128:F131)</f>
        <v>229</v>
      </c>
      <c r="G132" s="1584">
        <f>SUM(G128:G131)</f>
        <v>229</v>
      </c>
      <c r="H132" s="1585">
        <f>G132/F132*100</f>
        <v>100</v>
      </c>
      <c r="I132" s="1559"/>
    </row>
    <row r="133" spans="1:9" ht="13.5" hidden="1" thickTop="1" x14ac:dyDescent="0.2"/>
    <row r="134" spans="1:9" ht="15.75" hidden="1" thickTop="1" x14ac:dyDescent="0.25">
      <c r="A134" s="1544" t="s">
        <v>1084</v>
      </c>
      <c r="B134" s="1558"/>
      <c r="C134" s="1558"/>
      <c r="D134" s="1558"/>
      <c r="F134" s="1559"/>
      <c r="G134" s="1559"/>
      <c r="H134" s="1559"/>
      <c r="I134" s="1559"/>
    </row>
    <row r="135" spans="1:9" ht="15.75" hidden="1" thickTop="1" x14ac:dyDescent="0.25">
      <c r="A135" s="1544" t="s">
        <v>172</v>
      </c>
      <c r="B135" s="1558"/>
      <c r="C135" s="1558"/>
      <c r="D135" s="1558"/>
      <c r="F135" s="1559"/>
      <c r="G135" s="1559"/>
      <c r="H135" s="1560" t="s">
        <v>148</v>
      </c>
      <c r="I135" s="1559"/>
    </row>
    <row r="136" spans="1:9" ht="25.5" hidden="1" thickTop="1" thickBot="1" x14ac:dyDescent="0.25">
      <c r="A136" s="1561" t="s">
        <v>149</v>
      </c>
      <c r="B136" s="1562" t="s">
        <v>688</v>
      </c>
      <c r="C136" s="1562" t="s">
        <v>345</v>
      </c>
      <c r="D136" s="1563" t="s">
        <v>151</v>
      </c>
      <c r="E136" s="1564" t="s">
        <v>569</v>
      </c>
      <c r="F136" s="1564" t="s">
        <v>570</v>
      </c>
      <c r="G136" s="1565" t="s">
        <v>797</v>
      </c>
      <c r="H136" s="1566" t="s">
        <v>798</v>
      </c>
      <c r="I136" s="1559"/>
    </row>
    <row r="137" spans="1:9" ht="14.25" hidden="1" thickTop="1" thickBot="1" x14ac:dyDescent="0.25">
      <c r="A137" s="1567">
        <v>1</v>
      </c>
      <c r="B137" s="1568">
        <v>2</v>
      </c>
      <c r="C137" s="1568">
        <v>3</v>
      </c>
      <c r="D137" s="1568">
        <v>5</v>
      </c>
      <c r="E137" s="1569">
        <v>6</v>
      </c>
      <c r="F137" s="1569">
        <v>7</v>
      </c>
      <c r="G137" s="1570">
        <v>8</v>
      </c>
      <c r="H137" s="1586" t="s">
        <v>689</v>
      </c>
      <c r="I137" s="1559"/>
    </row>
    <row r="138" spans="1:9" ht="30.75" hidden="1" thickTop="1" x14ac:dyDescent="0.2">
      <c r="A138" s="1577">
        <v>3299</v>
      </c>
      <c r="B138" s="1578">
        <v>5336</v>
      </c>
      <c r="C138" s="1629">
        <v>32133030</v>
      </c>
      <c r="D138" s="1579" t="s">
        <v>1131</v>
      </c>
      <c r="E138" s="1575"/>
      <c r="F138" s="1575"/>
      <c r="G138" s="1587"/>
      <c r="H138" s="1576" t="e">
        <f>G138/F138*100</f>
        <v>#DIV/0!</v>
      </c>
      <c r="I138" s="1559"/>
    </row>
    <row r="139" spans="1:9" ht="30.75" hidden="1" thickTop="1" x14ac:dyDescent="0.2">
      <c r="A139" s="1577">
        <v>3299</v>
      </c>
      <c r="B139" s="1578">
        <v>5336</v>
      </c>
      <c r="C139" s="1629">
        <v>32533030</v>
      </c>
      <c r="D139" s="1579" t="s">
        <v>1131</v>
      </c>
      <c r="E139" s="1580"/>
      <c r="F139" s="1580"/>
      <c r="G139" s="1588"/>
      <c r="H139" s="1581" t="e">
        <f>G139/F139*100</f>
        <v>#DIV/0!</v>
      </c>
      <c r="I139" s="1559"/>
    </row>
    <row r="140" spans="1:9" ht="30.75" hidden="1" thickTop="1" x14ac:dyDescent="0.2">
      <c r="A140" s="1577">
        <v>3299</v>
      </c>
      <c r="B140" s="1578">
        <v>6351</v>
      </c>
      <c r="C140" s="1578">
        <v>32133926</v>
      </c>
      <c r="D140" s="1579" t="s">
        <v>1145</v>
      </c>
      <c r="E140" s="1580">
        <v>0</v>
      </c>
      <c r="F140" s="1580"/>
      <c r="G140" s="1588"/>
      <c r="H140" s="1581" t="e">
        <f>G140/F140*100</f>
        <v>#DIV/0!</v>
      </c>
      <c r="I140" s="1559"/>
    </row>
    <row r="141" spans="1:9" ht="30.75" hidden="1" thickTop="1" x14ac:dyDescent="0.2">
      <c r="A141" s="1577">
        <v>3299</v>
      </c>
      <c r="B141" s="1578">
        <v>6351</v>
      </c>
      <c r="C141" s="1578">
        <v>32533926</v>
      </c>
      <c r="D141" s="1579" t="s">
        <v>1145</v>
      </c>
      <c r="E141" s="1580">
        <v>0</v>
      </c>
      <c r="F141" s="1580"/>
      <c r="G141" s="1588"/>
      <c r="H141" s="1581" t="e">
        <f>G141/F141*100</f>
        <v>#DIV/0!</v>
      </c>
      <c r="I141" s="1559"/>
    </row>
    <row r="142" spans="1:9" ht="16.5" hidden="1" thickTop="1" thickBot="1" x14ac:dyDescent="0.3">
      <c r="A142" s="1589" t="s">
        <v>690</v>
      </c>
      <c r="B142" s="1590"/>
      <c r="C142" s="1590"/>
      <c r="D142" s="1591"/>
      <c r="E142" s="1584">
        <f>SUM(E138:E141)</f>
        <v>0</v>
      </c>
      <c r="F142" s="1584">
        <f>SUM(F138:F141)</f>
        <v>0</v>
      </c>
      <c r="G142" s="1584">
        <f>SUM(G138:G141)</f>
        <v>0</v>
      </c>
      <c r="H142" s="1585" t="e">
        <f>G142/F142*100</f>
        <v>#DIV/0!</v>
      </c>
      <c r="I142" s="1559"/>
    </row>
    <row r="143" spans="1:9" ht="13.5" thickTop="1" x14ac:dyDescent="0.2"/>
    <row r="144" spans="1:9" ht="15" x14ac:dyDescent="0.25">
      <c r="A144" s="1544" t="s">
        <v>46</v>
      </c>
      <c r="B144" s="1558"/>
      <c r="C144" s="1558"/>
      <c r="D144" s="1558"/>
      <c r="F144" s="1559"/>
      <c r="G144" s="1559"/>
      <c r="H144" s="1559"/>
      <c r="I144" s="1559"/>
    </row>
    <row r="145" spans="1:9" ht="15.75" thickBot="1" x14ac:dyDescent="0.3">
      <c r="A145" s="1544" t="s">
        <v>504</v>
      </c>
      <c r="B145" s="1558"/>
      <c r="C145" s="1558"/>
      <c r="D145" s="1558"/>
      <c r="F145" s="1559"/>
      <c r="G145" s="1559"/>
      <c r="H145" s="1560" t="s">
        <v>148</v>
      </c>
      <c r="I145" s="1559"/>
    </row>
    <row r="146" spans="1:9" ht="25.5" thickTop="1" thickBot="1" x14ac:dyDescent="0.25">
      <c r="A146" s="1561" t="s">
        <v>149</v>
      </c>
      <c r="B146" s="1562" t="s">
        <v>688</v>
      </c>
      <c r="C146" s="1562" t="s">
        <v>345</v>
      </c>
      <c r="D146" s="1563" t="s">
        <v>151</v>
      </c>
      <c r="E146" s="1564" t="s">
        <v>569</v>
      </c>
      <c r="F146" s="1564" t="s">
        <v>570</v>
      </c>
      <c r="G146" s="1565" t="s">
        <v>797</v>
      </c>
      <c r="H146" s="1566" t="s">
        <v>798</v>
      </c>
      <c r="I146" s="1559"/>
    </row>
    <row r="147" spans="1:9" ht="14.25" thickTop="1" thickBot="1" x14ac:dyDescent="0.25">
      <c r="A147" s="1567">
        <v>1</v>
      </c>
      <c r="B147" s="1568">
        <v>2</v>
      </c>
      <c r="C147" s="1568">
        <v>3</v>
      </c>
      <c r="D147" s="1568">
        <v>5</v>
      </c>
      <c r="E147" s="1569">
        <v>6</v>
      </c>
      <c r="F147" s="1569">
        <v>7</v>
      </c>
      <c r="G147" s="1570">
        <v>8</v>
      </c>
      <c r="H147" s="1586" t="s">
        <v>689</v>
      </c>
      <c r="I147" s="1559"/>
    </row>
    <row r="148" spans="1:9" ht="30.75" thickTop="1" x14ac:dyDescent="0.2">
      <c r="A148" s="1577">
        <v>3299</v>
      </c>
      <c r="B148" s="1578">
        <v>5336</v>
      </c>
      <c r="C148" s="1629" t="s">
        <v>2097</v>
      </c>
      <c r="D148" s="1579" t="s">
        <v>1131</v>
      </c>
      <c r="E148" s="1575">
        <v>0</v>
      </c>
      <c r="F148" s="1575">
        <v>48</v>
      </c>
      <c r="G148" s="1587">
        <v>48</v>
      </c>
      <c r="H148" s="1576">
        <f>G148/F148*100</f>
        <v>100</v>
      </c>
      <c r="I148" s="1559"/>
    </row>
    <row r="149" spans="1:9" ht="30.75" thickBot="1" x14ac:dyDescent="0.25">
      <c r="A149" s="1577">
        <v>3299</v>
      </c>
      <c r="B149" s="1578">
        <v>5336</v>
      </c>
      <c r="C149" s="1629" t="s">
        <v>2096</v>
      </c>
      <c r="D149" s="1579" t="s">
        <v>1131</v>
      </c>
      <c r="E149" s="1580">
        <v>0</v>
      </c>
      <c r="F149" s="1580">
        <v>271</v>
      </c>
      <c r="G149" s="1588">
        <v>271</v>
      </c>
      <c r="H149" s="1581">
        <f>G149/F149*100</f>
        <v>100</v>
      </c>
      <c r="I149" s="1559"/>
    </row>
    <row r="150" spans="1:9" ht="30.75" hidden="1" thickBot="1" x14ac:dyDescent="0.25">
      <c r="A150" s="1577">
        <v>3299</v>
      </c>
      <c r="B150" s="1578">
        <v>6351</v>
      </c>
      <c r="C150" s="1578">
        <v>32133926</v>
      </c>
      <c r="D150" s="1579" t="s">
        <v>1145</v>
      </c>
      <c r="E150" s="1580">
        <v>0</v>
      </c>
      <c r="F150" s="1580">
        <v>0</v>
      </c>
      <c r="G150" s="1588">
        <v>0</v>
      </c>
      <c r="H150" s="1581" t="e">
        <f>G150/F150*100</f>
        <v>#DIV/0!</v>
      </c>
      <c r="I150" s="1559"/>
    </row>
    <row r="151" spans="1:9" ht="30.75" hidden="1" thickBot="1" x14ac:dyDescent="0.25">
      <c r="A151" s="1577">
        <v>3299</v>
      </c>
      <c r="B151" s="1578">
        <v>6351</v>
      </c>
      <c r="C151" s="1578">
        <v>32533926</v>
      </c>
      <c r="D151" s="1579" t="s">
        <v>1145</v>
      </c>
      <c r="E151" s="1580">
        <v>0</v>
      </c>
      <c r="F151" s="1580">
        <v>0</v>
      </c>
      <c r="G151" s="1588">
        <v>0</v>
      </c>
      <c r="H151" s="1581" t="e">
        <f>G151/F151*100</f>
        <v>#DIV/0!</v>
      </c>
      <c r="I151" s="1559"/>
    </row>
    <row r="152" spans="1:9" ht="16.5" thickTop="1" thickBot="1" x14ac:dyDescent="0.3">
      <c r="A152" s="1589" t="s">
        <v>690</v>
      </c>
      <c r="B152" s="1590"/>
      <c r="C152" s="1590"/>
      <c r="D152" s="1591"/>
      <c r="E152" s="1584">
        <f>SUM(E148:E151)</f>
        <v>0</v>
      </c>
      <c r="F152" s="1584">
        <f>SUM(F148:F151)</f>
        <v>319</v>
      </c>
      <c r="G152" s="1584">
        <f>SUM(G148:G151)</f>
        <v>319</v>
      </c>
      <c r="H152" s="1585">
        <f>G152/F152*100</f>
        <v>100</v>
      </c>
      <c r="I152" s="1559"/>
    </row>
    <row r="153" spans="1:9" ht="13.5" thickTop="1" x14ac:dyDescent="0.2"/>
    <row r="154" spans="1:9" ht="15" x14ac:dyDescent="0.25">
      <c r="A154" s="1544" t="s">
        <v>1418</v>
      </c>
      <c r="B154" s="1558"/>
      <c r="C154" s="1558"/>
      <c r="D154" s="1558"/>
      <c r="F154" s="1559"/>
      <c r="G154" s="1559"/>
      <c r="H154" s="1559"/>
      <c r="I154" s="1559"/>
    </row>
    <row r="155" spans="1:9" ht="15.75" thickBot="1" x14ac:dyDescent="0.3">
      <c r="A155" s="1544" t="s">
        <v>174</v>
      </c>
      <c r="B155" s="1558"/>
      <c r="C155" s="1558"/>
      <c r="D155" s="1558"/>
      <c r="F155" s="1559"/>
      <c r="G155" s="1559"/>
      <c r="H155" s="1560" t="s">
        <v>148</v>
      </c>
      <c r="I155" s="1559"/>
    </row>
    <row r="156" spans="1:9" ht="25.5" thickTop="1" thickBot="1" x14ac:dyDescent="0.25">
      <c r="A156" s="1561" t="s">
        <v>149</v>
      </c>
      <c r="B156" s="1562" t="s">
        <v>688</v>
      </c>
      <c r="C156" s="1562" t="s">
        <v>345</v>
      </c>
      <c r="D156" s="1563" t="s">
        <v>151</v>
      </c>
      <c r="E156" s="1564" t="s">
        <v>569</v>
      </c>
      <c r="F156" s="1564" t="s">
        <v>570</v>
      </c>
      <c r="G156" s="1565" t="s">
        <v>797</v>
      </c>
      <c r="H156" s="1566" t="s">
        <v>798</v>
      </c>
      <c r="I156" s="1559"/>
    </row>
    <row r="157" spans="1:9" ht="14.25" thickTop="1" thickBot="1" x14ac:dyDescent="0.25">
      <c r="A157" s="1567">
        <v>1</v>
      </c>
      <c r="B157" s="1568">
        <v>2</v>
      </c>
      <c r="C157" s="1568">
        <v>3</v>
      </c>
      <c r="D157" s="1568">
        <v>5</v>
      </c>
      <c r="E157" s="1569">
        <v>6</v>
      </c>
      <c r="F157" s="1569">
        <v>7</v>
      </c>
      <c r="G157" s="1570">
        <v>8</v>
      </c>
      <c r="H157" s="1586" t="s">
        <v>689</v>
      </c>
      <c r="I157" s="1559"/>
    </row>
    <row r="158" spans="1:9" ht="30.75" thickTop="1" x14ac:dyDescent="0.2">
      <c r="A158" s="1577">
        <v>3299</v>
      </c>
      <c r="B158" s="1578">
        <v>5336</v>
      </c>
      <c r="C158" s="1629" t="s">
        <v>2097</v>
      </c>
      <c r="D158" s="1579" t="s">
        <v>1131</v>
      </c>
      <c r="E158" s="1575">
        <v>0</v>
      </c>
      <c r="F158" s="1575">
        <v>40</v>
      </c>
      <c r="G158" s="1587">
        <v>40</v>
      </c>
      <c r="H158" s="1576">
        <f>G158/F158*100</f>
        <v>100</v>
      </c>
      <c r="I158" s="1559"/>
    </row>
    <row r="159" spans="1:9" ht="30.75" thickBot="1" x14ac:dyDescent="0.25">
      <c r="A159" s="1577">
        <v>3299</v>
      </c>
      <c r="B159" s="1578">
        <v>5336</v>
      </c>
      <c r="C159" s="1629" t="s">
        <v>2096</v>
      </c>
      <c r="D159" s="1579" t="s">
        <v>1131</v>
      </c>
      <c r="E159" s="1580">
        <v>0</v>
      </c>
      <c r="F159" s="1580">
        <v>226</v>
      </c>
      <c r="G159" s="1588">
        <v>226</v>
      </c>
      <c r="H159" s="1581">
        <f>G159/F159*100</f>
        <v>100</v>
      </c>
      <c r="I159" s="1559"/>
    </row>
    <row r="160" spans="1:9" ht="30.75" hidden="1" thickBot="1" x14ac:dyDescent="0.25">
      <c r="A160" s="1577">
        <v>3299</v>
      </c>
      <c r="B160" s="1578">
        <v>6351</v>
      </c>
      <c r="C160" s="1578">
        <v>32133926</v>
      </c>
      <c r="D160" s="1579" t="s">
        <v>1145</v>
      </c>
      <c r="E160" s="1580">
        <v>0</v>
      </c>
      <c r="F160" s="1580">
        <v>0</v>
      </c>
      <c r="G160" s="1588">
        <v>0</v>
      </c>
      <c r="H160" s="1581" t="e">
        <f>G160/F160*100</f>
        <v>#DIV/0!</v>
      </c>
      <c r="I160" s="1559"/>
    </row>
    <row r="161" spans="1:9" ht="30.75" hidden="1" thickBot="1" x14ac:dyDescent="0.25">
      <c r="A161" s="1577">
        <v>3299</v>
      </c>
      <c r="B161" s="1578">
        <v>6351</v>
      </c>
      <c r="C161" s="1578">
        <v>32533926</v>
      </c>
      <c r="D161" s="1579" t="s">
        <v>1145</v>
      </c>
      <c r="E161" s="1580">
        <v>0</v>
      </c>
      <c r="F161" s="1580">
        <v>0</v>
      </c>
      <c r="G161" s="1588">
        <v>0</v>
      </c>
      <c r="H161" s="1581" t="e">
        <f>G161/F161*100</f>
        <v>#DIV/0!</v>
      </c>
      <c r="I161" s="1559"/>
    </row>
    <row r="162" spans="1:9" ht="16.5" thickTop="1" thickBot="1" x14ac:dyDescent="0.3">
      <c r="A162" s="1589" t="s">
        <v>690</v>
      </c>
      <c r="B162" s="1590"/>
      <c r="C162" s="1590"/>
      <c r="D162" s="1591"/>
      <c r="E162" s="1584">
        <f>SUM(E158:E161)</f>
        <v>0</v>
      </c>
      <c r="F162" s="1584">
        <f>SUM(F158:F161)</f>
        <v>266</v>
      </c>
      <c r="G162" s="1584">
        <f>SUM(G158:G161)</f>
        <v>266</v>
      </c>
      <c r="H162" s="1585">
        <f>G162/F162*100</f>
        <v>100</v>
      </c>
      <c r="I162" s="1559"/>
    </row>
    <row r="163" spans="1:9" ht="13.5" thickTop="1" x14ac:dyDescent="0.2"/>
    <row r="164" spans="1:9" ht="15" x14ac:dyDescent="0.25">
      <c r="A164" s="1544" t="s">
        <v>471</v>
      </c>
      <c r="B164" s="1558"/>
      <c r="C164" s="1558"/>
      <c r="D164" s="1558"/>
      <c r="F164" s="1559"/>
      <c r="G164" s="1559"/>
      <c r="H164" s="1559"/>
      <c r="I164" s="1559"/>
    </row>
    <row r="165" spans="1:9" ht="15.75" thickBot="1" x14ac:dyDescent="0.3">
      <c r="A165" s="1544" t="s">
        <v>1378</v>
      </c>
      <c r="B165" s="1558"/>
      <c r="C165" s="1558"/>
      <c r="D165" s="1558"/>
      <c r="F165" s="1559"/>
      <c r="G165" s="1559"/>
      <c r="H165" s="1560" t="s">
        <v>148</v>
      </c>
      <c r="I165" s="1559"/>
    </row>
    <row r="166" spans="1:9" ht="25.5" thickTop="1" thickBot="1" x14ac:dyDescent="0.25">
      <c r="A166" s="1561" t="s">
        <v>149</v>
      </c>
      <c r="B166" s="1562" t="s">
        <v>688</v>
      </c>
      <c r="C166" s="1562" t="s">
        <v>345</v>
      </c>
      <c r="D166" s="1563" t="s">
        <v>151</v>
      </c>
      <c r="E166" s="1564" t="s">
        <v>569</v>
      </c>
      <c r="F166" s="1564" t="s">
        <v>570</v>
      </c>
      <c r="G166" s="1565" t="s">
        <v>797</v>
      </c>
      <c r="H166" s="1566" t="s">
        <v>798</v>
      </c>
      <c r="I166" s="1559"/>
    </row>
    <row r="167" spans="1:9" ht="14.25" thickTop="1" thickBot="1" x14ac:dyDescent="0.25">
      <c r="A167" s="1567">
        <v>1</v>
      </c>
      <c r="B167" s="1568">
        <v>2</v>
      </c>
      <c r="C167" s="1568">
        <v>3</v>
      </c>
      <c r="D167" s="1568">
        <v>5</v>
      </c>
      <c r="E167" s="1569">
        <v>6</v>
      </c>
      <c r="F167" s="1569">
        <v>7</v>
      </c>
      <c r="G167" s="1570">
        <v>8</v>
      </c>
      <c r="H167" s="1586" t="s">
        <v>689</v>
      </c>
      <c r="I167" s="1559"/>
    </row>
    <row r="168" spans="1:9" ht="30.75" thickTop="1" x14ac:dyDescent="0.2">
      <c r="A168" s="1577">
        <v>3299</v>
      </c>
      <c r="B168" s="1578">
        <v>5336</v>
      </c>
      <c r="C168" s="1629" t="s">
        <v>2097</v>
      </c>
      <c r="D168" s="1579" t="s">
        <v>1131</v>
      </c>
      <c r="E168" s="1575">
        <v>0</v>
      </c>
      <c r="F168" s="1575">
        <v>26</v>
      </c>
      <c r="G168" s="1587">
        <v>26</v>
      </c>
      <c r="H168" s="1576">
        <f>G168/F168*100</f>
        <v>100</v>
      </c>
      <c r="I168" s="1559"/>
    </row>
    <row r="169" spans="1:9" ht="30.75" thickBot="1" x14ac:dyDescent="0.25">
      <c r="A169" s="1577">
        <v>3299</v>
      </c>
      <c r="B169" s="1578">
        <v>5336</v>
      </c>
      <c r="C169" s="1629" t="s">
        <v>2096</v>
      </c>
      <c r="D169" s="1579" t="s">
        <v>1131</v>
      </c>
      <c r="E169" s="1580">
        <v>0</v>
      </c>
      <c r="F169" s="1580">
        <v>146</v>
      </c>
      <c r="G169" s="1588">
        <v>146</v>
      </c>
      <c r="H169" s="1581">
        <f>G169/F169*100</f>
        <v>100</v>
      </c>
      <c r="I169" s="1559"/>
    </row>
    <row r="170" spans="1:9" ht="30.75" hidden="1" thickBot="1" x14ac:dyDescent="0.25">
      <c r="A170" s="1577">
        <v>3299</v>
      </c>
      <c r="B170" s="1578">
        <v>6351</v>
      </c>
      <c r="C170" s="1578">
        <v>32133926</v>
      </c>
      <c r="D170" s="1579" t="s">
        <v>1145</v>
      </c>
      <c r="E170" s="1580">
        <v>0</v>
      </c>
      <c r="F170" s="1580">
        <v>0</v>
      </c>
      <c r="G170" s="1588">
        <v>0</v>
      </c>
      <c r="H170" s="1581" t="e">
        <f>G170/F170*100</f>
        <v>#DIV/0!</v>
      </c>
      <c r="I170" s="1559"/>
    </row>
    <row r="171" spans="1:9" ht="30.75" hidden="1" thickBot="1" x14ac:dyDescent="0.25">
      <c r="A171" s="1577">
        <v>3299</v>
      </c>
      <c r="B171" s="1578">
        <v>6351</v>
      </c>
      <c r="C171" s="1578">
        <v>32533926</v>
      </c>
      <c r="D171" s="1579" t="s">
        <v>1145</v>
      </c>
      <c r="E171" s="1580">
        <v>0</v>
      </c>
      <c r="F171" s="1580">
        <v>0</v>
      </c>
      <c r="G171" s="1588">
        <v>0</v>
      </c>
      <c r="H171" s="1581" t="e">
        <f>G171/F171*100</f>
        <v>#DIV/0!</v>
      </c>
      <c r="I171" s="1559"/>
    </row>
    <row r="172" spans="1:9" ht="16.5" thickTop="1" thickBot="1" x14ac:dyDescent="0.3">
      <c r="A172" s="1589" t="s">
        <v>690</v>
      </c>
      <c r="B172" s="1590"/>
      <c r="C172" s="1590"/>
      <c r="D172" s="1591"/>
      <c r="E172" s="1584">
        <f>SUM(E168:E171)</f>
        <v>0</v>
      </c>
      <c r="F172" s="1584">
        <f>SUM(F168:F171)</f>
        <v>172</v>
      </c>
      <c r="G172" s="1584">
        <f>SUM(G168:G171)</f>
        <v>172</v>
      </c>
      <c r="H172" s="1585">
        <f>G172/F172*100</f>
        <v>100</v>
      </c>
      <c r="I172" s="1559"/>
    </row>
    <row r="173" spans="1:9" ht="13.5" thickTop="1" x14ac:dyDescent="0.2"/>
    <row r="175" spans="1:9" ht="15" x14ac:dyDescent="0.25">
      <c r="A175" s="1544" t="s">
        <v>1435</v>
      </c>
      <c r="B175" s="1558"/>
      <c r="C175" s="1558"/>
      <c r="D175" s="1558"/>
      <c r="F175" s="1559"/>
      <c r="G175" s="1559"/>
      <c r="H175" s="1559"/>
      <c r="I175" s="1559"/>
    </row>
    <row r="176" spans="1:9" ht="15.75" thickBot="1" x14ac:dyDescent="0.3">
      <c r="A176" s="1544" t="s">
        <v>1363</v>
      </c>
      <c r="B176" s="1558"/>
      <c r="C176" s="1558"/>
      <c r="D176" s="1558"/>
      <c r="F176" s="1559"/>
      <c r="G176" s="1559"/>
      <c r="H176" s="1560" t="s">
        <v>148</v>
      </c>
      <c r="I176" s="1559"/>
    </row>
    <row r="177" spans="1:9" ht="25.5" thickTop="1" thickBot="1" x14ac:dyDescent="0.25">
      <c r="A177" s="1561" t="s">
        <v>149</v>
      </c>
      <c r="B177" s="1562" t="s">
        <v>688</v>
      </c>
      <c r="C177" s="1562" t="s">
        <v>345</v>
      </c>
      <c r="D177" s="1563" t="s">
        <v>151</v>
      </c>
      <c r="E177" s="1564" t="s">
        <v>569</v>
      </c>
      <c r="F177" s="1564" t="s">
        <v>570</v>
      </c>
      <c r="G177" s="1565" t="s">
        <v>797</v>
      </c>
      <c r="H177" s="1566" t="s">
        <v>798</v>
      </c>
      <c r="I177" s="1559"/>
    </row>
    <row r="178" spans="1:9" ht="14.25" thickTop="1" thickBot="1" x14ac:dyDescent="0.25">
      <c r="A178" s="1567">
        <v>1</v>
      </c>
      <c r="B178" s="1568">
        <v>2</v>
      </c>
      <c r="C178" s="1568">
        <v>3</v>
      </c>
      <c r="D178" s="1568">
        <v>5</v>
      </c>
      <c r="E178" s="1569">
        <v>6</v>
      </c>
      <c r="F178" s="1569">
        <v>7</v>
      </c>
      <c r="G178" s="1570">
        <v>8</v>
      </c>
      <c r="H178" s="1586" t="s">
        <v>689</v>
      </c>
      <c r="I178" s="1559"/>
    </row>
    <row r="179" spans="1:9" ht="30.75" thickTop="1" x14ac:dyDescent="0.2">
      <c r="A179" s="1577">
        <v>3299</v>
      </c>
      <c r="B179" s="1578">
        <v>5336</v>
      </c>
      <c r="C179" s="1629" t="s">
        <v>2097</v>
      </c>
      <c r="D179" s="1579" t="s">
        <v>1131</v>
      </c>
      <c r="E179" s="1575">
        <v>0</v>
      </c>
      <c r="F179" s="1575">
        <v>110</v>
      </c>
      <c r="G179" s="1587">
        <v>110</v>
      </c>
      <c r="H179" s="1576">
        <f>G179/F179*100</f>
        <v>100</v>
      </c>
      <c r="I179" s="1559"/>
    </row>
    <row r="180" spans="1:9" ht="30.75" thickBot="1" x14ac:dyDescent="0.25">
      <c r="A180" s="1577">
        <v>3299</v>
      </c>
      <c r="B180" s="1578">
        <v>5336</v>
      </c>
      <c r="C180" s="1629" t="s">
        <v>2096</v>
      </c>
      <c r="D180" s="1579" t="s">
        <v>1131</v>
      </c>
      <c r="E180" s="1580">
        <v>0</v>
      </c>
      <c r="F180" s="1580">
        <v>622</v>
      </c>
      <c r="G180" s="1588">
        <v>622</v>
      </c>
      <c r="H180" s="1581">
        <f>G180/F180*100</f>
        <v>100</v>
      </c>
      <c r="I180" s="1559"/>
    </row>
    <row r="181" spans="1:9" ht="30.75" hidden="1" thickBot="1" x14ac:dyDescent="0.25">
      <c r="A181" s="1577">
        <v>3299</v>
      </c>
      <c r="B181" s="1578">
        <v>6351</v>
      </c>
      <c r="C181" s="1578">
        <v>32133926</v>
      </c>
      <c r="D181" s="1579" t="s">
        <v>1145</v>
      </c>
      <c r="E181" s="1580">
        <v>0</v>
      </c>
      <c r="F181" s="1580"/>
      <c r="G181" s="1588"/>
      <c r="H181" s="1581" t="e">
        <f>G181/F181*100</f>
        <v>#DIV/0!</v>
      </c>
      <c r="I181" s="1559"/>
    </row>
    <row r="182" spans="1:9" ht="30.75" hidden="1" thickBot="1" x14ac:dyDescent="0.25">
      <c r="A182" s="1577">
        <v>3299</v>
      </c>
      <c r="B182" s="1578">
        <v>6351</v>
      </c>
      <c r="C182" s="1578">
        <v>32533926</v>
      </c>
      <c r="D182" s="1579" t="s">
        <v>1145</v>
      </c>
      <c r="E182" s="1580">
        <v>0</v>
      </c>
      <c r="F182" s="1580"/>
      <c r="G182" s="1588"/>
      <c r="H182" s="1581" t="e">
        <f>G182/F182*100</f>
        <v>#DIV/0!</v>
      </c>
      <c r="I182" s="1559"/>
    </row>
    <row r="183" spans="1:9" ht="16.5" thickTop="1" thickBot="1" x14ac:dyDescent="0.3">
      <c r="A183" s="1589" t="s">
        <v>690</v>
      </c>
      <c r="B183" s="1590"/>
      <c r="C183" s="1590"/>
      <c r="D183" s="1591"/>
      <c r="E183" s="1584">
        <f>SUM(E179:E182)</f>
        <v>0</v>
      </c>
      <c r="F183" s="1584">
        <f>SUM(F179:F182)</f>
        <v>732</v>
      </c>
      <c r="G183" s="1584">
        <f>SUM(G179:G182)</f>
        <v>732</v>
      </c>
      <c r="H183" s="1585">
        <f>G183/F183*100</f>
        <v>100</v>
      </c>
      <c r="I183" s="1559"/>
    </row>
    <row r="184" spans="1:9" ht="13.5" thickTop="1" x14ac:dyDescent="0.2"/>
    <row r="185" spans="1:9" ht="15" hidden="1" x14ac:dyDescent="0.25">
      <c r="A185" s="1544" t="s">
        <v>1723</v>
      </c>
      <c r="B185" s="1558"/>
      <c r="C185" s="1558"/>
      <c r="D185" s="1558"/>
      <c r="F185" s="1559"/>
      <c r="G185" s="1559"/>
      <c r="H185" s="1559"/>
      <c r="I185" s="1559"/>
    </row>
    <row r="186" spans="1:9" ht="15" hidden="1" x14ac:dyDescent="0.25">
      <c r="A186" s="1544" t="s">
        <v>176</v>
      </c>
      <c r="B186" s="1558"/>
      <c r="C186" s="1558"/>
      <c r="D186" s="1558"/>
      <c r="F186" s="1559"/>
      <c r="G186" s="1559"/>
      <c r="H186" s="1560" t="s">
        <v>148</v>
      </c>
      <c r="I186" s="1559"/>
    </row>
    <row r="187" spans="1:9" ht="25.5" hidden="1" thickTop="1" thickBot="1" x14ac:dyDescent="0.25">
      <c r="A187" s="1561" t="s">
        <v>149</v>
      </c>
      <c r="B187" s="1562" t="s">
        <v>688</v>
      </c>
      <c r="C187" s="1562" t="s">
        <v>345</v>
      </c>
      <c r="D187" s="1563" t="s">
        <v>151</v>
      </c>
      <c r="E187" s="1564" t="s">
        <v>569</v>
      </c>
      <c r="F187" s="1564" t="s">
        <v>570</v>
      </c>
      <c r="G187" s="1565" t="s">
        <v>797</v>
      </c>
      <c r="H187" s="1566" t="s">
        <v>798</v>
      </c>
      <c r="I187" s="1559"/>
    </row>
    <row r="188" spans="1:9" ht="14.25" hidden="1" thickTop="1" thickBot="1" x14ac:dyDescent="0.25">
      <c r="A188" s="1567">
        <v>1</v>
      </c>
      <c r="B188" s="1568">
        <v>2</v>
      </c>
      <c r="C188" s="1568">
        <v>3</v>
      </c>
      <c r="D188" s="1568">
        <v>5</v>
      </c>
      <c r="E188" s="1569">
        <v>6</v>
      </c>
      <c r="F188" s="1569">
        <v>7</v>
      </c>
      <c r="G188" s="1570">
        <v>8</v>
      </c>
      <c r="H188" s="1586" t="s">
        <v>689</v>
      </c>
      <c r="I188" s="1559"/>
    </row>
    <row r="189" spans="1:9" ht="30.75" hidden="1" thickTop="1" x14ac:dyDescent="0.2">
      <c r="A189" s="1577">
        <v>3299</v>
      </c>
      <c r="B189" s="1578">
        <v>5336</v>
      </c>
      <c r="C189" s="1629" t="s">
        <v>2097</v>
      </c>
      <c r="D189" s="1579" t="s">
        <v>1131</v>
      </c>
      <c r="E189" s="1575"/>
      <c r="F189" s="1575"/>
      <c r="G189" s="1587"/>
      <c r="H189" s="1576" t="e">
        <f>G189/F189*100</f>
        <v>#DIV/0!</v>
      </c>
      <c r="I189" s="1559"/>
    </row>
    <row r="190" spans="1:9" ht="30" hidden="1" x14ac:dyDescent="0.2">
      <c r="A190" s="1577">
        <v>3299</v>
      </c>
      <c r="B190" s="1578">
        <v>5336</v>
      </c>
      <c r="C190" s="1629" t="s">
        <v>2096</v>
      </c>
      <c r="D190" s="1579" t="s">
        <v>1131</v>
      </c>
      <c r="E190" s="1580"/>
      <c r="F190" s="1580"/>
      <c r="G190" s="1588"/>
      <c r="H190" s="1581" t="e">
        <f>G190/F190*100</f>
        <v>#DIV/0!</v>
      </c>
      <c r="I190" s="1559"/>
    </row>
    <row r="191" spans="1:9" ht="30" hidden="1" x14ac:dyDescent="0.2">
      <c r="A191" s="1577">
        <v>3299</v>
      </c>
      <c r="B191" s="1578">
        <v>6351</v>
      </c>
      <c r="C191" s="1578">
        <v>32133926</v>
      </c>
      <c r="D191" s="1579" t="s">
        <v>1145</v>
      </c>
      <c r="E191" s="1580">
        <v>0</v>
      </c>
      <c r="F191" s="1580"/>
      <c r="G191" s="1588"/>
      <c r="H191" s="1581" t="e">
        <f>G191/F191*100</f>
        <v>#DIV/0!</v>
      </c>
      <c r="I191" s="1559"/>
    </row>
    <row r="192" spans="1:9" ht="30" hidden="1" x14ac:dyDescent="0.2">
      <c r="A192" s="1577">
        <v>3299</v>
      </c>
      <c r="B192" s="1578">
        <v>6351</v>
      </c>
      <c r="C192" s="1578">
        <v>32533926</v>
      </c>
      <c r="D192" s="1579" t="s">
        <v>1145</v>
      </c>
      <c r="E192" s="1580">
        <v>0</v>
      </c>
      <c r="F192" s="1580"/>
      <c r="G192" s="1588"/>
      <c r="H192" s="1581" t="e">
        <f>G192/F192*100</f>
        <v>#DIV/0!</v>
      </c>
      <c r="I192" s="1559"/>
    </row>
    <row r="193" spans="1:9" ht="16.5" hidden="1" thickTop="1" thickBot="1" x14ac:dyDescent="0.3">
      <c r="A193" s="1589" t="s">
        <v>690</v>
      </c>
      <c r="B193" s="1590"/>
      <c r="C193" s="1590"/>
      <c r="D193" s="1591"/>
      <c r="E193" s="1584">
        <f>SUM(E189:E192)</f>
        <v>0</v>
      </c>
      <c r="F193" s="1584">
        <f>SUM(F189:F192)</f>
        <v>0</v>
      </c>
      <c r="G193" s="1584">
        <f>SUM(G189:G192)</f>
        <v>0</v>
      </c>
      <c r="H193" s="1585" t="e">
        <f>G193/F193*100</f>
        <v>#DIV/0!</v>
      </c>
      <c r="I193" s="1559"/>
    </row>
    <row r="194" spans="1:9" hidden="1" x14ac:dyDescent="0.2"/>
    <row r="195" spans="1:9" hidden="1" x14ac:dyDescent="0.2"/>
    <row r="196" spans="1:9" ht="15" x14ac:dyDescent="0.25">
      <c r="A196" s="1544" t="s">
        <v>271</v>
      </c>
      <c r="B196" s="1558"/>
      <c r="C196" s="1558"/>
      <c r="D196" s="1558"/>
      <c r="F196" s="1559"/>
      <c r="G196" s="1559"/>
      <c r="H196" s="1559"/>
      <c r="I196" s="1559"/>
    </row>
    <row r="197" spans="1:9" ht="15.75" thickBot="1" x14ac:dyDescent="0.3">
      <c r="A197" s="1544" t="s">
        <v>913</v>
      </c>
      <c r="B197" s="1558"/>
      <c r="C197" s="1558"/>
      <c r="D197" s="1558"/>
      <c r="F197" s="1559"/>
      <c r="G197" s="1559"/>
      <c r="H197" s="1560" t="s">
        <v>148</v>
      </c>
      <c r="I197" s="1559"/>
    </row>
    <row r="198" spans="1:9" ht="25.5" thickTop="1" thickBot="1" x14ac:dyDescent="0.25">
      <c r="A198" s="1561" t="s">
        <v>149</v>
      </c>
      <c r="B198" s="1562" t="s">
        <v>688</v>
      </c>
      <c r="C198" s="1562" t="s">
        <v>345</v>
      </c>
      <c r="D198" s="1563" t="s">
        <v>151</v>
      </c>
      <c r="E198" s="1564" t="s">
        <v>569</v>
      </c>
      <c r="F198" s="1564" t="s">
        <v>570</v>
      </c>
      <c r="G198" s="1565" t="s">
        <v>797</v>
      </c>
      <c r="H198" s="1566" t="s">
        <v>798</v>
      </c>
      <c r="I198" s="1559"/>
    </row>
    <row r="199" spans="1:9" ht="14.25" thickTop="1" thickBot="1" x14ac:dyDescent="0.25">
      <c r="A199" s="1567">
        <v>1</v>
      </c>
      <c r="B199" s="1568">
        <v>2</v>
      </c>
      <c r="C199" s="1568">
        <v>3</v>
      </c>
      <c r="D199" s="1568">
        <v>5</v>
      </c>
      <c r="E199" s="1569">
        <v>6</v>
      </c>
      <c r="F199" s="1569">
        <v>7</v>
      </c>
      <c r="G199" s="1570">
        <v>8</v>
      </c>
      <c r="H199" s="1586" t="s">
        <v>689</v>
      </c>
      <c r="I199" s="1559"/>
    </row>
    <row r="200" spans="1:9" ht="30.75" thickTop="1" x14ac:dyDescent="0.2">
      <c r="A200" s="1577">
        <v>3299</v>
      </c>
      <c r="B200" s="1578">
        <v>5336</v>
      </c>
      <c r="C200" s="1629" t="s">
        <v>2097</v>
      </c>
      <c r="D200" s="1579" t="s">
        <v>1131</v>
      </c>
      <c r="E200" s="1575">
        <v>0</v>
      </c>
      <c r="F200" s="1575">
        <v>38</v>
      </c>
      <c r="G200" s="1587">
        <v>38</v>
      </c>
      <c r="H200" s="1576">
        <f>G200/F200*100</f>
        <v>100</v>
      </c>
      <c r="I200" s="1559"/>
    </row>
    <row r="201" spans="1:9" ht="30.75" thickBot="1" x14ac:dyDescent="0.25">
      <c r="A201" s="1577">
        <v>3299</v>
      </c>
      <c r="B201" s="1578">
        <v>5336</v>
      </c>
      <c r="C201" s="1629" t="s">
        <v>2096</v>
      </c>
      <c r="D201" s="1579" t="s">
        <v>1131</v>
      </c>
      <c r="E201" s="1580">
        <v>0</v>
      </c>
      <c r="F201" s="1580">
        <v>215</v>
      </c>
      <c r="G201" s="1588">
        <v>215</v>
      </c>
      <c r="H201" s="1581">
        <f>G201/F201*100</f>
        <v>100</v>
      </c>
      <c r="I201" s="1559"/>
    </row>
    <row r="202" spans="1:9" ht="30.75" hidden="1" thickBot="1" x14ac:dyDescent="0.25">
      <c r="A202" s="1577">
        <v>3299</v>
      </c>
      <c r="B202" s="1578">
        <v>6351</v>
      </c>
      <c r="C202" s="1578">
        <v>32133926</v>
      </c>
      <c r="D202" s="1579" t="s">
        <v>1145</v>
      </c>
      <c r="E202" s="1580">
        <v>0</v>
      </c>
      <c r="F202" s="1580"/>
      <c r="G202" s="1588"/>
      <c r="H202" s="1581" t="e">
        <f>G202/F202*100</f>
        <v>#DIV/0!</v>
      </c>
      <c r="I202" s="1559"/>
    </row>
    <row r="203" spans="1:9" ht="30.75" hidden="1" thickBot="1" x14ac:dyDescent="0.25">
      <c r="A203" s="1577">
        <v>3299</v>
      </c>
      <c r="B203" s="1578">
        <v>6351</v>
      </c>
      <c r="C203" s="1578">
        <v>32533926</v>
      </c>
      <c r="D203" s="1579" t="s">
        <v>1145</v>
      </c>
      <c r="E203" s="1580">
        <v>0</v>
      </c>
      <c r="F203" s="1580"/>
      <c r="G203" s="1588"/>
      <c r="H203" s="1581" t="e">
        <f>G203/F203*100</f>
        <v>#DIV/0!</v>
      </c>
      <c r="I203" s="1559"/>
    </row>
    <row r="204" spans="1:9" ht="16.5" thickTop="1" thickBot="1" x14ac:dyDescent="0.3">
      <c r="A204" s="1589" t="s">
        <v>690</v>
      </c>
      <c r="B204" s="1590"/>
      <c r="C204" s="1590"/>
      <c r="D204" s="1591"/>
      <c r="E204" s="1584">
        <f>SUM(E200:E203)</f>
        <v>0</v>
      </c>
      <c r="F204" s="1584">
        <f>SUM(F200:F203)</f>
        <v>253</v>
      </c>
      <c r="G204" s="1584">
        <f>SUM(G200:G203)</f>
        <v>253</v>
      </c>
      <c r="H204" s="1585">
        <f>G204/F204*100</f>
        <v>100</v>
      </c>
      <c r="I204" s="1559"/>
    </row>
    <row r="205" spans="1:9" ht="13.5" thickTop="1" x14ac:dyDescent="0.2"/>
    <row r="206" spans="1:9" ht="15" x14ac:dyDescent="0.25">
      <c r="A206" s="1544" t="s">
        <v>162</v>
      </c>
      <c r="B206" s="1558"/>
      <c r="C206" s="1558"/>
      <c r="D206" s="1558"/>
      <c r="F206" s="1559"/>
      <c r="G206" s="1559"/>
      <c r="H206" s="1559"/>
      <c r="I206" s="1559"/>
    </row>
    <row r="207" spans="1:9" ht="15.75" thickBot="1" x14ac:dyDescent="0.3">
      <c r="A207" s="1544" t="s">
        <v>1143</v>
      </c>
      <c r="B207" s="1558"/>
      <c r="C207" s="1558"/>
      <c r="D207" s="1558"/>
      <c r="F207" s="1559"/>
      <c r="G207" s="1559"/>
      <c r="H207" s="1560" t="s">
        <v>148</v>
      </c>
      <c r="I207" s="1559"/>
    </row>
    <row r="208" spans="1:9" ht="25.5" thickTop="1" thickBot="1" x14ac:dyDescent="0.25">
      <c r="A208" s="1561" t="s">
        <v>149</v>
      </c>
      <c r="B208" s="1562" t="s">
        <v>688</v>
      </c>
      <c r="C208" s="1562" t="s">
        <v>345</v>
      </c>
      <c r="D208" s="1563" t="s">
        <v>151</v>
      </c>
      <c r="E208" s="1564" t="s">
        <v>569</v>
      </c>
      <c r="F208" s="1564" t="s">
        <v>570</v>
      </c>
      <c r="G208" s="1565" t="s">
        <v>797</v>
      </c>
      <c r="H208" s="1566" t="s">
        <v>798</v>
      </c>
      <c r="I208" s="1559"/>
    </row>
    <row r="209" spans="1:9" ht="14.25" thickTop="1" thickBot="1" x14ac:dyDescent="0.25">
      <c r="A209" s="1567">
        <v>1</v>
      </c>
      <c r="B209" s="1568">
        <v>2</v>
      </c>
      <c r="C209" s="1568">
        <v>3</v>
      </c>
      <c r="D209" s="1568">
        <v>5</v>
      </c>
      <c r="E209" s="1569">
        <v>6</v>
      </c>
      <c r="F209" s="1569">
        <v>7</v>
      </c>
      <c r="G209" s="1570">
        <v>8</v>
      </c>
      <c r="H209" s="1586" t="s">
        <v>689</v>
      </c>
      <c r="I209" s="1559"/>
    </row>
    <row r="210" spans="1:9" ht="30.75" thickTop="1" x14ac:dyDescent="0.2">
      <c r="A210" s="1577">
        <v>3299</v>
      </c>
      <c r="B210" s="1578">
        <v>5336</v>
      </c>
      <c r="C210" s="1629" t="s">
        <v>2097</v>
      </c>
      <c r="D210" s="1579" t="s">
        <v>1131</v>
      </c>
      <c r="E210" s="1575">
        <v>0</v>
      </c>
      <c r="F210" s="1575">
        <v>124</v>
      </c>
      <c r="G210" s="1587">
        <v>124</v>
      </c>
      <c r="H210" s="1576">
        <f>G210/F210*100</f>
        <v>100</v>
      </c>
      <c r="I210" s="1559"/>
    </row>
    <row r="211" spans="1:9" ht="30" x14ac:dyDescent="0.2">
      <c r="A211" s="1577">
        <v>3299</v>
      </c>
      <c r="B211" s="1578">
        <v>5336</v>
      </c>
      <c r="C211" s="1629" t="s">
        <v>2096</v>
      </c>
      <c r="D211" s="1579" t="s">
        <v>1131</v>
      </c>
      <c r="E211" s="1580">
        <v>0</v>
      </c>
      <c r="F211" s="1580">
        <v>703</v>
      </c>
      <c r="G211" s="1588">
        <v>703</v>
      </c>
      <c r="H211" s="1581">
        <f>G211/F211*100</f>
        <v>100</v>
      </c>
      <c r="I211" s="1559"/>
    </row>
    <row r="212" spans="1:9" ht="30" x14ac:dyDescent="0.2">
      <c r="A212" s="1577">
        <v>3299</v>
      </c>
      <c r="B212" s="1578">
        <v>6351</v>
      </c>
      <c r="C212" s="1629" t="s">
        <v>2103</v>
      </c>
      <c r="D212" s="1579" t="s">
        <v>1145</v>
      </c>
      <c r="E212" s="1580">
        <v>0</v>
      </c>
      <c r="F212" s="1580">
        <v>16</v>
      </c>
      <c r="G212" s="1588">
        <v>16</v>
      </c>
      <c r="H212" s="1581">
        <f>G212/F212*100</f>
        <v>100</v>
      </c>
      <c r="I212" s="1559"/>
    </row>
    <row r="213" spans="1:9" ht="30.75" thickBot="1" x14ac:dyDescent="0.25">
      <c r="A213" s="1577">
        <v>3299</v>
      </c>
      <c r="B213" s="1578">
        <v>6351</v>
      </c>
      <c r="C213" s="1629" t="s">
        <v>2102</v>
      </c>
      <c r="D213" s="1579" t="s">
        <v>1145</v>
      </c>
      <c r="E213" s="1580">
        <v>0</v>
      </c>
      <c r="F213" s="1580">
        <v>92</v>
      </c>
      <c r="G213" s="1588">
        <v>92</v>
      </c>
      <c r="H213" s="1581">
        <f>G213/F213*100</f>
        <v>100</v>
      </c>
      <c r="I213" s="1559"/>
    </row>
    <row r="214" spans="1:9" ht="16.5" thickTop="1" thickBot="1" x14ac:dyDescent="0.3">
      <c r="A214" s="1589" t="s">
        <v>690</v>
      </c>
      <c r="B214" s="1590"/>
      <c r="C214" s="1590"/>
      <c r="D214" s="1591"/>
      <c r="E214" s="1584">
        <f>SUM(E210:E213)</f>
        <v>0</v>
      </c>
      <c r="F214" s="1584">
        <f>SUM(F210:F213)</f>
        <v>935</v>
      </c>
      <c r="G214" s="1584">
        <f>SUM(G210:G213)</f>
        <v>935</v>
      </c>
      <c r="H214" s="1585">
        <f>G214/F214*100</f>
        <v>100</v>
      </c>
      <c r="I214" s="1559"/>
    </row>
    <row r="215" spans="1:9" ht="13.5" thickTop="1" x14ac:dyDescent="0.2"/>
    <row r="218" spans="1:9" ht="15" x14ac:dyDescent="0.25">
      <c r="A218" s="1544" t="s">
        <v>1518</v>
      </c>
      <c r="B218" s="1558"/>
      <c r="C218" s="1558"/>
      <c r="D218" s="1558"/>
      <c r="F218" s="1559"/>
      <c r="G218" s="1559"/>
      <c r="H218" s="1559"/>
      <c r="I218" s="1559"/>
    </row>
    <row r="219" spans="1:9" ht="15.75" thickBot="1" x14ac:dyDescent="0.3">
      <c r="A219" s="1544" t="s">
        <v>1144</v>
      </c>
      <c r="B219" s="1558"/>
      <c r="C219" s="1558"/>
      <c r="D219" s="1558"/>
      <c r="F219" s="1559"/>
      <c r="G219" s="1559"/>
      <c r="H219" s="1560" t="s">
        <v>148</v>
      </c>
      <c r="I219" s="1559"/>
    </row>
    <row r="220" spans="1:9" ht="25.5" thickTop="1" thickBot="1" x14ac:dyDescent="0.25">
      <c r="A220" s="1561" t="s">
        <v>149</v>
      </c>
      <c r="B220" s="1562" t="s">
        <v>688</v>
      </c>
      <c r="C220" s="1562" t="s">
        <v>345</v>
      </c>
      <c r="D220" s="1563" t="s">
        <v>151</v>
      </c>
      <c r="E220" s="1564" t="s">
        <v>569</v>
      </c>
      <c r="F220" s="1564" t="s">
        <v>570</v>
      </c>
      <c r="G220" s="1565" t="s">
        <v>797</v>
      </c>
      <c r="H220" s="1566" t="s">
        <v>798</v>
      </c>
      <c r="I220" s="1559"/>
    </row>
    <row r="221" spans="1:9" ht="14.25" thickTop="1" thickBot="1" x14ac:dyDescent="0.25">
      <c r="A221" s="1567">
        <v>1</v>
      </c>
      <c r="B221" s="1568">
        <v>2</v>
      </c>
      <c r="C221" s="1568">
        <v>3</v>
      </c>
      <c r="D221" s="1568">
        <v>5</v>
      </c>
      <c r="E221" s="1569">
        <v>6</v>
      </c>
      <c r="F221" s="1569">
        <v>7</v>
      </c>
      <c r="G221" s="1570">
        <v>8</v>
      </c>
      <c r="H221" s="1586" t="s">
        <v>689</v>
      </c>
      <c r="I221" s="1559"/>
    </row>
    <row r="222" spans="1:9" ht="30.75" thickTop="1" x14ac:dyDescent="0.2">
      <c r="A222" s="1577">
        <v>3299</v>
      </c>
      <c r="B222" s="1578">
        <v>5336</v>
      </c>
      <c r="C222" s="1629" t="s">
        <v>2097</v>
      </c>
      <c r="D222" s="1579" t="s">
        <v>1131</v>
      </c>
      <c r="E222" s="1575">
        <v>0</v>
      </c>
      <c r="F222" s="1575">
        <v>85</v>
      </c>
      <c r="G222" s="1587">
        <v>85</v>
      </c>
      <c r="H222" s="1576">
        <f>G222/F222*100</f>
        <v>100</v>
      </c>
      <c r="I222" s="1559"/>
    </row>
    <row r="223" spans="1:9" ht="30.75" thickBot="1" x14ac:dyDescent="0.25">
      <c r="A223" s="1577">
        <v>3299</v>
      </c>
      <c r="B223" s="1578">
        <v>5336</v>
      </c>
      <c r="C223" s="1629" t="s">
        <v>2096</v>
      </c>
      <c r="D223" s="1579" t="s">
        <v>1131</v>
      </c>
      <c r="E223" s="1580">
        <v>0</v>
      </c>
      <c r="F223" s="1580">
        <v>479</v>
      </c>
      <c r="G223" s="1588">
        <v>479</v>
      </c>
      <c r="H223" s="1581">
        <f>G223/F223*100</f>
        <v>100</v>
      </c>
      <c r="I223" s="1559"/>
    </row>
    <row r="224" spans="1:9" ht="30.75" hidden="1" thickBot="1" x14ac:dyDescent="0.25">
      <c r="A224" s="1577">
        <v>3299</v>
      </c>
      <c r="B224" s="1578">
        <v>6351</v>
      </c>
      <c r="C224" s="1578">
        <v>32133926</v>
      </c>
      <c r="D224" s="1579" t="s">
        <v>1145</v>
      </c>
      <c r="E224" s="1580">
        <v>0</v>
      </c>
      <c r="F224" s="1580"/>
      <c r="G224" s="1588"/>
      <c r="H224" s="1581" t="e">
        <f>G224/F224*100</f>
        <v>#DIV/0!</v>
      </c>
      <c r="I224" s="1559"/>
    </row>
    <row r="225" spans="1:9" ht="30.75" hidden="1" thickBot="1" x14ac:dyDescent="0.25">
      <c r="A225" s="1577">
        <v>3299</v>
      </c>
      <c r="B225" s="1578">
        <v>6351</v>
      </c>
      <c r="C225" s="1578">
        <v>32533926</v>
      </c>
      <c r="D225" s="1579" t="s">
        <v>1145</v>
      </c>
      <c r="E225" s="1580">
        <v>0</v>
      </c>
      <c r="F225" s="1580"/>
      <c r="G225" s="1588"/>
      <c r="H225" s="1581" t="e">
        <f>G225/F225*100</f>
        <v>#DIV/0!</v>
      </c>
      <c r="I225" s="1559"/>
    </row>
    <row r="226" spans="1:9" ht="16.5" thickTop="1" thickBot="1" x14ac:dyDescent="0.3">
      <c r="A226" s="1589" t="s">
        <v>690</v>
      </c>
      <c r="B226" s="1590"/>
      <c r="C226" s="1590"/>
      <c r="D226" s="1591"/>
      <c r="E226" s="1584">
        <f>SUM(E222:E225)</f>
        <v>0</v>
      </c>
      <c r="F226" s="1584">
        <f>SUM(F222:F225)</f>
        <v>564</v>
      </c>
      <c r="G226" s="1584">
        <f>SUM(G222:G225)</f>
        <v>564</v>
      </c>
      <c r="H226" s="1585">
        <f>G226/F226*100</f>
        <v>100</v>
      </c>
      <c r="I226" s="1559"/>
    </row>
    <row r="227" spans="1:9" ht="13.5" thickTop="1" x14ac:dyDescent="0.2"/>
    <row r="228" spans="1:9" ht="15" x14ac:dyDescent="0.25">
      <c r="A228" s="1544" t="s">
        <v>1519</v>
      </c>
      <c r="B228" s="1558"/>
      <c r="C228" s="1558"/>
      <c r="D228" s="1558"/>
      <c r="F228" s="1559"/>
      <c r="G228" s="1559"/>
      <c r="H228" s="1559"/>
      <c r="I228" s="1559"/>
    </row>
    <row r="229" spans="1:9" ht="15.75" thickBot="1" x14ac:dyDescent="0.3">
      <c r="A229" s="1544" t="s">
        <v>1520</v>
      </c>
      <c r="B229" s="1558"/>
      <c r="C229" s="1558"/>
      <c r="D229" s="1558"/>
      <c r="F229" s="1559"/>
      <c r="G229" s="1559"/>
      <c r="H229" s="1560" t="s">
        <v>148</v>
      </c>
      <c r="I229" s="1559"/>
    </row>
    <row r="230" spans="1:9" ht="25.5" thickTop="1" thickBot="1" x14ac:dyDescent="0.25">
      <c r="A230" s="1561" t="s">
        <v>149</v>
      </c>
      <c r="B230" s="1562" t="s">
        <v>688</v>
      </c>
      <c r="C230" s="1562" t="s">
        <v>345</v>
      </c>
      <c r="D230" s="1563" t="s">
        <v>151</v>
      </c>
      <c r="E230" s="1564" t="s">
        <v>569</v>
      </c>
      <c r="F230" s="1564" t="s">
        <v>570</v>
      </c>
      <c r="G230" s="1565" t="s">
        <v>797</v>
      </c>
      <c r="H230" s="1566" t="s">
        <v>798</v>
      </c>
      <c r="I230" s="1559"/>
    </row>
    <row r="231" spans="1:9" ht="14.25" thickTop="1" thickBot="1" x14ac:dyDescent="0.25">
      <c r="A231" s="1567">
        <v>1</v>
      </c>
      <c r="B231" s="1568">
        <v>2</v>
      </c>
      <c r="C231" s="1568">
        <v>3</v>
      </c>
      <c r="D231" s="1568">
        <v>5</v>
      </c>
      <c r="E231" s="1569">
        <v>6</v>
      </c>
      <c r="F231" s="1569">
        <v>7</v>
      </c>
      <c r="G231" s="1570">
        <v>8</v>
      </c>
      <c r="H231" s="1586" t="s">
        <v>689</v>
      </c>
      <c r="I231" s="1559"/>
    </row>
    <row r="232" spans="1:9" ht="30.75" thickTop="1" x14ac:dyDescent="0.2">
      <c r="A232" s="1577">
        <v>3299</v>
      </c>
      <c r="B232" s="1578">
        <v>5336</v>
      </c>
      <c r="C232" s="1629" t="s">
        <v>2097</v>
      </c>
      <c r="D232" s="1579" t="s">
        <v>1131</v>
      </c>
      <c r="E232" s="1575">
        <v>0</v>
      </c>
      <c r="F232" s="1575">
        <v>8</v>
      </c>
      <c r="G232" s="1587">
        <v>8</v>
      </c>
      <c r="H232" s="1576">
        <f>G232/F232*100</f>
        <v>100</v>
      </c>
      <c r="I232" s="1559"/>
    </row>
    <row r="233" spans="1:9" ht="30.75" thickBot="1" x14ac:dyDescent="0.25">
      <c r="A233" s="1577">
        <v>3299</v>
      </c>
      <c r="B233" s="1578">
        <v>5336</v>
      </c>
      <c r="C233" s="1629" t="s">
        <v>2096</v>
      </c>
      <c r="D233" s="1579" t="s">
        <v>1131</v>
      </c>
      <c r="E233" s="1580">
        <v>0</v>
      </c>
      <c r="F233" s="1580">
        <v>44</v>
      </c>
      <c r="G233" s="1588">
        <v>44</v>
      </c>
      <c r="H233" s="1581">
        <f>G233/F233*100</f>
        <v>100</v>
      </c>
      <c r="I233" s="1559"/>
    </row>
    <row r="234" spans="1:9" ht="30.75" hidden="1" thickBot="1" x14ac:dyDescent="0.25">
      <c r="A234" s="1577">
        <v>3299</v>
      </c>
      <c r="B234" s="1578">
        <v>6351</v>
      </c>
      <c r="C234" s="1578">
        <v>32133926</v>
      </c>
      <c r="D234" s="1579" t="s">
        <v>1145</v>
      </c>
      <c r="E234" s="1580">
        <v>0</v>
      </c>
      <c r="F234" s="1580"/>
      <c r="G234" s="1588"/>
      <c r="H234" s="1581" t="e">
        <f>G234/F234*100</f>
        <v>#DIV/0!</v>
      </c>
      <c r="I234" s="1559"/>
    </row>
    <row r="235" spans="1:9" ht="30.75" hidden="1" thickBot="1" x14ac:dyDescent="0.25">
      <c r="A235" s="1577">
        <v>3299</v>
      </c>
      <c r="B235" s="1578">
        <v>6351</v>
      </c>
      <c r="C235" s="1578">
        <v>32533926</v>
      </c>
      <c r="D235" s="1579" t="s">
        <v>1145</v>
      </c>
      <c r="E235" s="1580">
        <v>0</v>
      </c>
      <c r="F235" s="1580"/>
      <c r="G235" s="1588"/>
      <c r="H235" s="1581" t="e">
        <f>G235/F235*100</f>
        <v>#DIV/0!</v>
      </c>
      <c r="I235" s="1559"/>
    </row>
    <row r="236" spans="1:9" ht="16.5" thickTop="1" thickBot="1" x14ac:dyDescent="0.3">
      <c r="A236" s="1589" t="s">
        <v>690</v>
      </c>
      <c r="B236" s="1590"/>
      <c r="C236" s="1590"/>
      <c r="D236" s="1591"/>
      <c r="E236" s="1584">
        <f>SUM(E232:E235)</f>
        <v>0</v>
      </c>
      <c r="F236" s="1584">
        <f>SUM(F232:F235)</f>
        <v>52</v>
      </c>
      <c r="G236" s="1584">
        <f>SUM(G232:G235)</f>
        <v>52</v>
      </c>
      <c r="H236" s="1585">
        <f>G236/F236*100</f>
        <v>100</v>
      </c>
      <c r="I236" s="1559"/>
    </row>
    <row r="237" spans="1:9" ht="13.5" thickTop="1" x14ac:dyDescent="0.2"/>
    <row r="238" spans="1:9" ht="15" hidden="1" x14ac:dyDescent="0.25">
      <c r="A238" s="1544" t="s">
        <v>510</v>
      </c>
      <c r="B238" s="1558"/>
      <c r="C238" s="1558"/>
      <c r="D238" s="1558"/>
      <c r="F238" s="1559"/>
      <c r="G238" s="1559"/>
      <c r="H238" s="1559"/>
      <c r="I238" s="1559"/>
    </row>
    <row r="239" spans="1:9" ht="15" hidden="1" x14ac:dyDescent="0.25">
      <c r="A239" s="1544" t="s">
        <v>511</v>
      </c>
      <c r="B239" s="1558"/>
      <c r="C239" s="1558"/>
      <c r="D239" s="1558"/>
      <c r="F239" s="1559"/>
      <c r="G239" s="1559"/>
      <c r="H239" s="1560" t="s">
        <v>148</v>
      </c>
      <c r="I239" s="1559"/>
    </row>
    <row r="240" spans="1:9" ht="25.5" hidden="1" thickTop="1" thickBot="1" x14ac:dyDescent="0.25">
      <c r="A240" s="1561" t="s">
        <v>149</v>
      </c>
      <c r="B240" s="1562" t="s">
        <v>688</v>
      </c>
      <c r="C240" s="1562" t="s">
        <v>345</v>
      </c>
      <c r="D240" s="1563" t="s">
        <v>151</v>
      </c>
      <c r="E240" s="1564" t="s">
        <v>569</v>
      </c>
      <c r="F240" s="1564" t="s">
        <v>570</v>
      </c>
      <c r="G240" s="1565" t="s">
        <v>797</v>
      </c>
      <c r="H240" s="1566" t="s">
        <v>798</v>
      </c>
      <c r="I240" s="1559"/>
    </row>
    <row r="241" spans="1:9" ht="14.25" hidden="1" thickTop="1" thickBot="1" x14ac:dyDescent="0.25">
      <c r="A241" s="1567">
        <v>1</v>
      </c>
      <c r="B241" s="1568">
        <v>2</v>
      </c>
      <c r="C241" s="1568">
        <v>3</v>
      </c>
      <c r="D241" s="1568">
        <v>5</v>
      </c>
      <c r="E241" s="1569">
        <v>6</v>
      </c>
      <c r="F241" s="1569">
        <v>7</v>
      </c>
      <c r="G241" s="1570">
        <v>8</v>
      </c>
      <c r="H241" s="1586" t="s">
        <v>689</v>
      </c>
      <c r="I241" s="1559"/>
    </row>
    <row r="242" spans="1:9" ht="30.75" hidden="1" thickTop="1" x14ac:dyDescent="0.2">
      <c r="A242" s="1577">
        <v>3299</v>
      </c>
      <c r="B242" s="1578">
        <v>5336</v>
      </c>
      <c r="C242" s="1578">
        <v>32133030</v>
      </c>
      <c r="D242" s="1579" t="s">
        <v>1131</v>
      </c>
      <c r="E242" s="1575">
        <v>0</v>
      </c>
      <c r="F242" s="1575"/>
      <c r="G242" s="1587"/>
      <c r="H242" s="1576" t="e">
        <f>G242/F242*100</f>
        <v>#DIV/0!</v>
      </c>
      <c r="I242" s="1559"/>
    </row>
    <row r="243" spans="1:9" ht="30" hidden="1" x14ac:dyDescent="0.2">
      <c r="A243" s="1577">
        <v>3299</v>
      </c>
      <c r="B243" s="1578">
        <v>5336</v>
      </c>
      <c r="C243" s="1578">
        <v>32533030</v>
      </c>
      <c r="D243" s="1579" t="s">
        <v>1131</v>
      </c>
      <c r="E243" s="1580">
        <v>0</v>
      </c>
      <c r="F243" s="1580"/>
      <c r="G243" s="1588"/>
      <c r="H243" s="1581" t="e">
        <f>G243/F243*100</f>
        <v>#DIV/0!</v>
      </c>
      <c r="I243" s="1559"/>
    </row>
    <row r="244" spans="1:9" ht="30" hidden="1" x14ac:dyDescent="0.2">
      <c r="A244" s="1577">
        <v>3299</v>
      </c>
      <c r="B244" s="1578">
        <v>6351</v>
      </c>
      <c r="C244" s="1578">
        <v>32133006</v>
      </c>
      <c r="D244" s="1579" t="s">
        <v>1145</v>
      </c>
      <c r="E244" s="1580">
        <v>0</v>
      </c>
      <c r="F244" s="1580">
        <v>0</v>
      </c>
      <c r="G244" s="1588">
        <v>0</v>
      </c>
      <c r="H244" s="1581" t="e">
        <f>G244/F244*100</f>
        <v>#DIV/0!</v>
      </c>
      <c r="I244" s="1559"/>
    </row>
    <row r="245" spans="1:9" ht="30" hidden="1" x14ac:dyDescent="0.2">
      <c r="A245" s="1577">
        <v>3299</v>
      </c>
      <c r="B245" s="1578">
        <v>6351</v>
      </c>
      <c r="C245" s="1578">
        <v>32533006</v>
      </c>
      <c r="D245" s="1579" t="s">
        <v>1145</v>
      </c>
      <c r="E245" s="1580">
        <v>0</v>
      </c>
      <c r="F245" s="1580">
        <v>0</v>
      </c>
      <c r="G245" s="1588">
        <v>0</v>
      </c>
      <c r="H245" s="1581" t="e">
        <f>G245/F245*100</f>
        <v>#DIV/0!</v>
      </c>
      <c r="I245" s="1559"/>
    </row>
    <row r="246" spans="1:9" ht="16.5" hidden="1" thickTop="1" thickBot="1" x14ac:dyDescent="0.3">
      <c r="A246" s="1589" t="s">
        <v>690</v>
      </c>
      <c r="B246" s="1590"/>
      <c r="C246" s="1590"/>
      <c r="D246" s="1591"/>
      <c r="E246" s="1584">
        <f>SUM(E242:E245)</f>
        <v>0</v>
      </c>
      <c r="F246" s="1584">
        <f>SUM(F242:F245)</f>
        <v>0</v>
      </c>
      <c r="G246" s="1584">
        <f>SUM(G242:G245)</f>
        <v>0</v>
      </c>
      <c r="H246" s="1585" t="e">
        <f>G246/F246*100</f>
        <v>#DIV/0!</v>
      </c>
      <c r="I246" s="1559"/>
    </row>
    <row r="248" spans="1:9" ht="15" hidden="1" x14ac:dyDescent="0.25">
      <c r="A248" s="1544" t="s">
        <v>1289</v>
      </c>
      <c r="B248" s="1558"/>
      <c r="C248" s="1558"/>
      <c r="D248" s="1558"/>
      <c r="F248" s="1559"/>
      <c r="G248" s="1559"/>
      <c r="H248" s="1559"/>
      <c r="I248" s="1559"/>
    </row>
    <row r="249" spans="1:9" ht="15" hidden="1" x14ac:dyDescent="0.25">
      <c r="A249" s="1544" t="s">
        <v>1364</v>
      </c>
      <c r="B249" s="1558"/>
      <c r="C249" s="1558"/>
      <c r="D249" s="1558"/>
      <c r="F249" s="1559"/>
      <c r="G249" s="1559"/>
      <c r="H249" s="1560" t="s">
        <v>148</v>
      </c>
      <c r="I249" s="1559"/>
    </row>
    <row r="250" spans="1:9" ht="25.5" hidden="1" thickTop="1" thickBot="1" x14ac:dyDescent="0.25">
      <c r="A250" s="1561" t="s">
        <v>149</v>
      </c>
      <c r="B250" s="1562" t="s">
        <v>688</v>
      </c>
      <c r="C250" s="1562" t="s">
        <v>345</v>
      </c>
      <c r="D250" s="1563" t="s">
        <v>151</v>
      </c>
      <c r="E250" s="1564" t="s">
        <v>569</v>
      </c>
      <c r="F250" s="1564" t="s">
        <v>570</v>
      </c>
      <c r="G250" s="1565" t="s">
        <v>797</v>
      </c>
      <c r="H250" s="1566" t="s">
        <v>798</v>
      </c>
      <c r="I250" s="1559"/>
    </row>
    <row r="251" spans="1:9" ht="14.25" hidden="1" thickTop="1" thickBot="1" x14ac:dyDescent="0.25">
      <c r="A251" s="1567">
        <v>1</v>
      </c>
      <c r="B251" s="1568">
        <v>2</v>
      </c>
      <c r="C251" s="1568">
        <v>3</v>
      </c>
      <c r="D251" s="1568">
        <v>5</v>
      </c>
      <c r="E251" s="1569">
        <v>6</v>
      </c>
      <c r="F251" s="1569">
        <v>7</v>
      </c>
      <c r="G251" s="1570">
        <v>8</v>
      </c>
      <c r="H251" s="1586" t="s">
        <v>689</v>
      </c>
      <c r="I251" s="1559"/>
    </row>
    <row r="252" spans="1:9" ht="30.75" hidden="1" thickTop="1" x14ac:dyDescent="0.2">
      <c r="A252" s="1577">
        <v>3299</v>
      </c>
      <c r="B252" s="1578">
        <v>5336</v>
      </c>
      <c r="C252" s="1578">
        <v>32133030</v>
      </c>
      <c r="D252" s="1579" t="s">
        <v>1131</v>
      </c>
      <c r="E252" s="1575">
        <v>0</v>
      </c>
      <c r="F252" s="1575"/>
      <c r="G252" s="1587"/>
      <c r="H252" s="1576" t="e">
        <f>G252/F252*100</f>
        <v>#DIV/0!</v>
      </c>
      <c r="I252" s="1559"/>
    </row>
    <row r="253" spans="1:9" ht="30" hidden="1" x14ac:dyDescent="0.2">
      <c r="A253" s="1577">
        <v>3299</v>
      </c>
      <c r="B253" s="1578">
        <v>5336</v>
      </c>
      <c r="C253" s="1578">
        <v>32533030</v>
      </c>
      <c r="D253" s="1579" t="s">
        <v>1131</v>
      </c>
      <c r="E253" s="1580">
        <v>0</v>
      </c>
      <c r="F253" s="1580"/>
      <c r="G253" s="1588"/>
      <c r="H253" s="1581" t="e">
        <f>G253/F253*100</f>
        <v>#DIV/0!</v>
      </c>
      <c r="I253" s="1559"/>
    </row>
    <row r="254" spans="1:9" ht="30" hidden="1" x14ac:dyDescent="0.2">
      <c r="A254" s="1577">
        <v>3299</v>
      </c>
      <c r="B254" s="1578">
        <v>6351</v>
      </c>
      <c r="C254" s="1578">
        <v>32133006</v>
      </c>
      <c r="D254" s="1579" t="s">
        <v>1145</v>
      </c>
      <c r="E254" s="1580">
        <v>0</v>
      </c>
      <c r="F254" s="1580">
        <v>0</v>
      </c>
      <c r="G254" s="1588">
        <v>0</v>
      </c>
      <c r="H254" s="1581" t="e">
        <f>G254/F254*100</f>
        <v>#DIV/0!</v>
      </c>
      <c r="I254" s="1559"/>
    </row>
    <row r="255" spans="1:9" ht="30" hidden="1" x14ac:dyDescent="0.2">
      <c r="A255" s="1577">
        <v>3299</v>
      </c>
      <c r="B255" s="1578">
        <v>6351</v>
      </c>
      <c r="C255" s="1578">
        <v>32533006</v>
      </c>
      <c r="D255" s="1579" t="s">
        <v>1145</v>
      </c>
      <c r="E255" s="1580">
        <v>0</v>
      </c>
      <c r="F255" s="1580">
        <v>0</v>
      </c>
      <c r="G255" s="1588">
        <v>0</v>
      </c>
      <c r="H255" s="1581" t="e">
        <f>G255/F255*100</f>
        <v>#DIV/0!</v>
      </c>
      <c r="I255" s="1559"/>
    </row>
    <row r="256" spans="1:9" ht="16.5" hidden="1" thickTop="1" thickBot="1" x14ac:dyDescent="0.3">
      <c r="A256" s="1589" t="s">
        <v>690</v>
      </c>
      <c r="B256" s="1590"/>
      <c r="C256" s="1590"/>
      <c r="D256" s="1591"/>
      <c r="E256" s="1584">
        <f>SUM(E252:E255)</f>
        <v>0</v>
      </c>
      <c r="F256" s="1584">
        <f>SUM(F252:F255)</f>
        <v>0</v>
      </c>
      <c r="G256" s="1584">
        <f>SUM(G252:G255)</f>
        <v>0</v>
      </c>
      <c r="H256" s="1585" t="e">
        <f>G256/F256*100</f>
        <v>#DIV/0!</v>
      </c>
      <c r="I256" s="1559"/>
    </row>
    <row r="258" spans="1:9" ht="15" x14ac:dyDescent="0.25">
      <c r="A258" s="1544" t="s">
        <v>1365</v>
      </c>
      <c r="B258" s="1558"/>
      <c r="C258" s="1558"/>
      <c r="D258" s="1558"/>
      <c r="F258" s="1559"/>
      <c r="G258" s="1559"/>
      <c r="H258" s="1559"/>
      <c r="I258" s="1559"/>
    </row>
    <row r="259" spans="1:9" ht="15.75" thickBot="1" x14ac:dyDescent="0.3">
      <c r="A259" s="1544" t="s">
        <v>514</v>
      </c>
      <c r="B259" s="1558"/>
      <c r="C259" s="1558"/>
      <c r="D259" s="1558"/>
      <c r="F259" s="1559"/>
      <c r="G259" s="1559"/>
      <c r="H259" s="1560" t="s">
        <v>148</v>
      </c>
      <c r="I259" s="1559"/>
    </row>
    <row r="260" spans="1:9" ht="25.5" thickTop="1" thickBot="1" x14ac:dyDescent="0.25">
      <c r="A260" s="1561" t="s">
        <v>149</v>
      </c>
      <c r="B260" s="1562" t="s">
        <v>688</v>
      </c>
      <c r="C260" s="1562" t="s">
        <v>345</v>
      </c>
      <c r="D260" s="1563" t="s">
        <v>151</v>
      </c>
      <c r="E260" s="1564" t="s">
        <v>569</v>
      </c>
      <c r="F260" s="1564" t="s">
        <v>570</v>
      </c>
      <c r="G260" s="1565" t="s">
        <v>797</v>
      </c>
      <c r="H260" s="1566" t="s">
        <v>798</v>
      </c>
      <c r="I260" s="1559"/>
    </row>
    <row r="261" spans="1:9" ht="14.25" thickTop="1" thickBot="1" x14ac:dyDescent="0.25">
      <c r="A261" s="1567">
        <v>1</v>
      </c>
      <c r="B261" s="1568">
        <v>2</v>
      </c>
      <c r="C261" s="1568">
        <v>3</v>
      </c>
      <c r="D261" s="1568">
        <v>5</v>
      </c>
      <c r="E261" s="1569">
        <v>6</v>
      </c>
      <c r="F261" s="1569">
        <v>7</v>
      </c>
      <c r="G261" s="1570">
        <v>8</v>
      </c>
      <c r="H261" s="1586" t="s">
        <v>689</v>
      </c>
      <c r="I261" s="1559"/>
    </row>
    <row r="262" spans="1:9" ht="30.75" thickTop="1" x14ac:dyDescent="0.2">
      <c r="A262" s="1577">
        <v>3299</v>
      </c>
      <c r="B262" s="1578">
        <v>5336</v>
      </c>
      <c r="C262" s="1629" t="s">
        <v>2097</v>
      </c>
      <c r="D262" s="1579" t="s">
        <v>1131</v>
      </c>
      <c r="E262" s="1575">
        <v>0</v>
      </c>
      <c r="F262" s="1575">
        <v>206</v>
      </c>
      <c r="G262" s="1587">
        <v>206</v>
      </c>
      <c r="H262" s="1576">
        <f>G262/F262*100</f>
        <v>100</v>
      </c>
      <c r="I262" s="1559"/>
    </row>
    <row r="263" spans="1:9" ht="30.75" thickBot="1" x14ac:dyDescent="0.25">
      <c r="A263" s="1577">
        <v>3299</v>
      </c>
      <c r="B263" s="1578">
        <v>5336</v>
      </c>
      <c r="C263" s="1629" t="s">
        <v>2096</v>
      </c>
      <c r="D263" s="1579" t="s">
        <v>1131</v>
      </c>
      <c r="E263" s="1580">
        <v>0</v>
      </c>
      <c r="F263" s="1580">
        <v>1168</v>
      </c>
      <c r="G263" s="1588">
        <v>1168</v>
      </c>
      <c r="H263" s="1581">
        <f>G263/F263*100</f>
        <v>100</v>
      </c>
      <c r="I263" s="1559"/>
    </row>
    <row r="264" spans="1:9" ht="30.75" hidden="1" thickBot="1" x14ac:dyDescent="0.25">
      <c r="A264" s="1577">
        <v>3299</v>
      </c>
      <c r="B264" s="1578">
        <v>6351</v>
      </c>
      <c r="C264" s="1629" t="s">
        <v>2103</v>
      </c>
      <c r="D264" s="1579" t="s">
        <v>1145</v>
      </c>
      <c r="E264" s="1580"/>
      <c r="F264" s="1580"/>
      <c r="G264" s="1588"/>
      <c r="H264" s="1581" t="e">
        <f>G264/F264*100</f>
        <v>#DIV/0!</v>
      </c>
      <c r="I264" s="1559"/>
    </row>
    <row r="265" spans="1:9" ht="30.75" hidden="1" thickBot="1" x14ac:dyDescent="0.25">
      <c r="A265" s="1577">
        <v>3299</v>
      </c>
      <c r="B265" s="1578">
        <v>6351</v>
      </c>
      <c r="C265" s="1629" t="s">
        <v>2102</v>
      </c>
      <c r="D265" s="1579" t="s">
        <v>1145</v>
      </c>
      <c r="E265" s="1580"/>
      <c r="F265" s="1580"/>
      <c r="G265" s="1588"/>
      <c r="H265" s="1581" t="e">
        <f>G265/F265*100</f>
        <v>#DIV/0!</v>
      </c>
      <c r="I265" s="1559"/>
    </row>
    <row r="266" spans="1:9" ht="16.5" thickTop="1" thickBot="1" x14ac:dyDescent="0.3">
      <c r="A266" s="1589" t="s">
        <v>690</v>
      </c>
      <c r="B266" s="1590"/>
      <c r="C266" s="1590"/>
      <c r="D266" s="1591"/>
      <c r="E266" s="1584">
        <f>SUM(E262:E265)</f>
        <v>0</v>
      </c>
      <c r="F266" s="1584">
        <f>SUM(F262:F265)</f>
        <v>1374</v>
      </c>
      <c r="G266" s="1584">
        <f>SUM(G262:G265)</f>
        <v>1374</v>
      </c>
      <c r="H266" s="1585">
        <f>G266/F266*100</f>
        <v>100</v>
      </c>
      <c r="I266" s="1559"/>
    </row>
    <row r="267" spans="1:9" ht="13.5" thickTop="1" x14ac:dyDescent="0.2"/>
    <row r="268" spans="1:9" ht="15" x14ac:dyDescent="0.25">
      <c r="A268" s="1544" t="s">
        <v>1571</v>
      </c>
      <c r="B268" s="1558"/>
      <c r="C268" s="1558"/>
      <c r="D268" s="1558"/>
      <c r="F268" s="1559"/>
      <c r="G268" s="1559"/>
      <c r="H268" s="1559"/>
      <c r="I268" s="1559"/>
    </row>
    <row r="269" spans="1:9" ht="15.75" thickBot="1" x14ac:dyDescent="0.3">
      <c r="A269" s="1544" t="s">
        <v>1572</v>
      </c>
      <c r="B269" s="1558"/>
      <c r="C269" s="1558"/>
      <c r="D269" s="1558"/>
      <c r="F269" s="1559"/>
      <c r="G269" s="1559"/>
      <c r="H269" s="1560" t="s">
        <v>148</v>
      </c>
      <c r="I269" s="1559"/>
    </row>
    <row r="270" spans="1:9" ht="25.5" thickTop="1" thickBot="1" x14ac:dyDescent="0.25">
      <c r="A270" s="1561" t="s">
        <v>149</v>
      </c>
      <c r="B270" s="1562" t="s">
        <v>688</v>
      </c>
      <c r="C270" s="1562" t="s">
        <v>345</v>
      </c>
      <c r="D270" s="1563" t="s">
        <v>151</v>
      </c>
      <c r="E270" s="1564" t="s">
        <v>569</v>
      </c>
      <c r="F270" s="1564" t="s">
        <v>570</v>
      </c>
      <c r="G270" s="1565" t="s">
        <v>797</v>
      </c>
      <c r="H270" s="1566" t="s">
        <v>798</v>
      </c>
      <c r="I270" s="1559"/>
    </row>
    <row r="271" spans="1:9" ht="14.25" thickTop="1" thickBot="1" x14ac:dyDescent="0.25">
      <c r="A271" s="1567">
        <v>1</v>
      </c>
      <c r="B271" s="1568">
        <v>2</v>
      </c>
      <c r="C271" s="1568">
        <v>3</v>
      </c>
      <c r="D271" s="1568">
        <v>5</v>
      </c>
      <c r="E271" s="1569">
        <v>6</v>
      </c>
      <c r="F271" s="1569">
        <v>7</v>
      </c>
      <c r="G271" s="1570">
        <v>8</v>
      </c>
      <c r="H271" s="1586" t="s">
        <v>689</v>
      </c>
      <c r="I271" s="1559"/>
    </row>
    <row r="272" spans="1:9" ht="30.75" thickTop="1" x14ac:dyDescent="0.2">
      <c r="A272" s="1577">
        <v>3299</v>
      </c>
      <c r="B272" s="1578">
        <v>5336</v>
      </c>
      <c r="C272" s="1629" t="s">
        <v>2097</v>
      </c>
      <c r="D272" s="1579" t="s">
        <v>1131</v>
      </c>
      <c r="E272" s="1575">
        <v>0</v>
      </c>
      <c r="F272" s="1575">
        <v>58</v>
      </c>
      <c r="G272" s="1587">
        <v>58</v>
      </c>
      <c r="H272" s="1576">
        <f>G272/F272*100</f>
        <v>100</v>
      </c>
      <c r="I272" s="1559"/>
    </row>
    <row r="273" spans="1:9" ht="30.75" thickBot="1" x14ac:dyDescent="0.25">
      <c r="A273" s="1577">
        <v>3299</v>
      </c>
      <c r="B273" s="1578">
        <v>5336</v>
      </c>
      <c r="C273" s="1629" t="s">
        <v>2096</v>
      </c>
      <c r="D273" s="1579" t="s">
        <v>1131</v>
      </c>
      <c r="E273" s="1580">
        <v>0</v>
      </c>
      <c r="F273" s="1580">
        <v>330</v>
      </c>
      <c r="G273" s="1588">
        <v>330</v>
      </c>
      <c r="H273" s="1581">
        <f>G273/F273*100</f>
        <v>100</v>
      </c>
      <c r="I273" s="1559"/>
    </row>
    <row r="274" spans="1:9" ht="30.75" hidden="1" thickBot="1" x14ac:dyDescent="0.25">
      <c r="A274" s="1577">
        <v>3299</v>
      </c>
      <c r="B274" s="1578">
        <v>6351</v>
      </c>
      <c r="C274" s="1578">
        <v>32133006</v>
      </c>
      <c r="D274" s="1579" t="s">
        <v>1145</v>
      </c>
      <c r="E274" s="1580">
        <v>0</v>
      </c>
      <c r="F274" s="1580">
        <v>0</v>
      </c>
      <c r="G274" s="1588">
        <v>0</v>
      </c>
      <c r="H274" s="1581" t="e">
        <f>G274/F274*100</f>
        <v>#DIV/0!</v>
      </c>
      <c r="I274" s="1559"/>
    </row>
    <row r="275" spans="1:9" ht="30.75" hidden="1" thickBot="1" x14ac:dyDescent="0.25">
      <c r="A275" s="1577">
        <v>3299</v>
      </c>
      <c r="B275" s="1578">
        <v>6351</v>
      </c>
      <c r="C275" s="1578">
        <v>32533006</v>
      </c>
      <c r="D275" s="1579" t="s">
        <v>1145</v>
      </c>
      <c r="E275" s="1580">
        <v>0</v>
      </c>
      <c r="F275" s="1580">
        <v>0</v>
      </c>
      <c r="G275" s="1588">
        <v>0</v>
      </c>
      <c r="H275" s="1581" t="e">
        <f>G275/F275*100</f>
        <v>#DIV/0!</v>
      </c>
      <c r="I275" s="1559"/>
    </row>
    <row r="276" spans="1:9" ht="16.5" thickTop="1" thickBot="1" x14ac:dyDescent="0.3">
      <c r="A276" s="1589" t="s">
        <v>690</v>
      </c>
      <c r="B276" s="1590"/>
      <c r="C276" s="1590"/>
      <c r="D276" s="1591"/>
      <c r="E276" s="1584">
        <f>SUM(E272:E275)</f>
        <v>0</v>
      </c>
      <c r="F276" s="1584">
        <f>SUM(F272:F275)</f>
        <v>388</v>
      </c>
      <c r="G276" s="1584">
        <f>SUM(G272:G275)</f>
        <v>388</v>
      </c>
      <c r="H276" s="1585">
        <f>G276/F276*100</f>
        <v>100</v>
      </c>
      <c r="I276" s="1559"/>
    </row>
    <row r="277" spans="1:9" ht="13.5" thickTop="1" x14ac:dyDescent="0.2"/>
    <row r="278" spans="1:9" ht="15" hidden="1" x14ac:dyDescent="0.25">
      <c r="A278" s="1544" t="s">
        <v>296</v>
      </c>
      <c r="B278" s="1558"/>
      <c r="C278" s="1558"/>
      <c r="D278" s="1558"/>
      <c r="F278" s="1559"/>
      <c r="G278" s="1559"/>
      <c r="H278" s="1559"/>
      <c r="I278" s="1559"/>
    </row>
    <row r="279" spans="1:9" ht="15" hidden="1" x14ac:dyDescent="0.25">
      <c r="A279" s="1544" t="s">
        <v>1521</v>
      </c>
      <c r="B279" s="1558"/>
      <c r="C279" s="1558"/>
      <c r="D279" s="1558"/>
      <c r="F279" s="1559"/>
      <c r="G279" s="1559"/>
      <c r="H279" s="1560" t="s">
        <v>148</v>
      </c>
      <c r="I279" s="1559"/>
    </row>
    <row r="280" spans="1:9" ht="25.5" hidden="1" thickTop="1" thickBot="1" x14ac:dyDescent="0.25">
      <c r="A280" s="1561" t="s">
        <v>149</v>
      </c>
      <c r="B280" s="1562" t="s">
        <v>688</v>
      </c>
      <c r="C280" s="1562" t="s">
        <v>345</v>
      </c>
      <c r="D280" s="1563" t="s">
        <v>151</v>
      </c>
      <c r="E280" s="1564" t="s">
        <v>569</v>
      </c>
      <c r="F280" s="1564" t="s">
        <v>570</v>
      </c>
      <c r="G280" s="1565" t="s">
        <v>797</v>
      </c>
      <c r="H280" s="1566" t="s">
        <v>798</v>
      </c>
      <c r="I280" s="1559"/>
    </row>
    <row r="281" spans="1:9" ht="14.25" hidden="1" thickTop="1" thickBot="1" x14ac:dyDescent="0.25">
      <c r="A281" s="1567">
        <v>1</v>
      </c>
      <c r="B281" s="1568">
        <v>2</v>
      </c>
      <c r="C281" s="1568">
        <v>3</v>
      </c>
      <c r="D281" s="1568">
        <v>5</v>
      </c>
      <c r="E281" s="1569">
        <v>6</v>
      </c>
      <c r="F281" s="1569">
        <v>7</v>
      </c>
      <c r="G281" s="1570">
        <v>8</v>
      </c>
      <c r="H281" s="1586" t="s">
        <v>689</v>
      </c>
      <c r="I281" s="1559"/>
    </row>
    <row r="282" spans="1:9" ht="30.75" hidden="1" thickTop="1" x14ac:dyDescent="0.2">
      <c r="A282" s="1577">
        <v>3299</v>
      </c>
      <c r="B282" s="1578">
        <v>5336</v>
      </c>
      <c r="C282" s="1629">
        <v>32133030</v>
      </c>
      <c r="D282" s="1579" t="s">
        <v>1131</v>
      </c>
      <c r="E282" s="1575"/>
      <c r="F282" s="1575"/>
      <c r="G282" s="1587"/>
      <c r="H282" s="1576" t="e">
        <f>G282/F282*100</f>
        <v>#DIV/0!</v>
      </c>
      <c r="I282" s="1559"/>
    </row>
    <row r="283" spans="1:9" ht="30" hidden="1" x14ac:dyDescent="0.2">
      <c r="A283" s="1577">
        <v>3299</v>
      </c>
      <c r="B283" s="1578">
        <v>5336</v>
      </c>
      <c r="C283" s="1629">
        <v>32533030</v>
      </c>
      <c r="D283" s="1579" t="s">
        <v>1131</v>
      </c>
      <c r="E283" s="1580"/>
      <c r="F283" s="1580"/>
      <c r="G283" s="1588"/>
      <c r="H283" s="1581" t="e">
        <f>G283/F283*100</f>
        <v>#DIV/0!</v>
      </c>
      <c r="I283" s="1559"/>
    </row>
    <row r="284" spans="1:9" ht="30" hidden="1" x14ac:dyDescent="0.2">
      <c r="A284" s="1577">
        <v>3299</v>
      </c>
      <c r="B284" s="1578">
        <v>6351</v>
      </c>
      <c r="C284" s="1578">
        <v>32133006</v>
      </c>
      <c r="D284" s="1579" t="s">
        <v>1145</v>
      </c>
      <c r="E284" s="1580">
        <v>0</v>
      </c>
      <c r="F284" s="1580">
        <v>0</v>
      </c>
      <c r="G284" s="1588">
        <v>0</v>
      </c>
      <c r="H284" s="1581" t="e">
        <f>G284/F284*100</f>
        <v>#DIV/0!</v>
      </c>
      <c r="I284" s="1559"/>
    </row>
    <row r="285" spans="1:9" ht="30" hidden="1" x14ac:dyDescent="0.2">
      <c r="A285" s="1577">
        <v>3299</v>
      </c>
      <c r="B285" s="1578">
        <v>6351</v>
      </c>
      <c r="C285" s="1578">
        <v>32533006</v>
      </c>
      <c r="D285" s="1579" t="s">
        <v>1145</v>
      </c>
      <c r="E285" s="1580">
        <v>0</v>
      </c>
      <c r="F285" s="1580">
        <v>0</v>
      </c>
      <c r="G285" s="1588">
        <v>0</v>
      </c>
      <c r="H285" s="1581" t="e">
        <f>G285/F285*100</f>
        <v>#DIV/0!</v>
      </c>
      <c r="I285" s="1559"/>
    </row>
    <row r="286" spans="1:9" ht="16.5" hidden="1" thickTop="1" thickBot="1" x14ac:dyDescent="0.3">
      <c r="A286" s="1589" t="s">
        <v>690</v>
      </c>
      <c r="B286" s="1590"/>
      <c r="C286" s="1590"/>
      <c r="D286" s="1591"/>
      <c r="E286" s="1584">
        <f>SUM(E282:E285)</f>
        <v>0</v>
      </c>
      <c r="F286" s="1584">
        <f>SUM(F282:F285)</f>
        <v>0</v>
      </c>
      <c r="G286" s="1584">
        <f>SUM(G282:G285)</f>
        <v>0</v>
      </c>
      <c r="H286" s="1585" t="e">
        <f>G286/F286*100</f>
        <v>#DIV/0!</v>
      </c>
      <c r="I286" s="1559"/>
    </row>
    <row r="287" spans="1:9" hidden="1" x14ac:dyDescent="0.2"/>
    <row r="288" spans="1:9" ht="15" x14ac:dyDescent="0.25">
      <c r="A288" s="1544" t="s">
        <v>1522</v>
      </c>
      <c r="B288" s="1558"/>
      <c r="C288" s="1558"/>
      <c r="D288" s="1558"/>
      <c r="F288" s="1559"/>
      <c r="G288" s="1559"/>
      <c r="H288" s="1559"/>
      <c r="I288" s="1559"/>
    </row>
    <row r="289" spans="1:9" ht="15.75" thickBot="1" x14ac:dyDescent="0.3">
      <c r="A289" s="1544" t="s">
        <v>1523</v>
      </c>
      <c r="B289" s="1558"/>
      <c r="C289" s="1558"/>
      <c r="D289" s="1558"/>
      <c r="F289" s="1559"/>
      <c r="G289" s="1559"/>
      <c r="H289" s="1560" t="s">
        <v>148</v>
      </c>
      <c r="I289" s="1559"/>
    </row>
    <row r="290" spans="1:9" ht="25.5" thickTop="1" thickBot="1" x14ac:dyDescent="0.25">
      <c r="A290" s="1561" t="s">
        <v>149</v>
      </c>
      <c r="B290" s="1562" t="s">
        <v>688</v>
      </c>
      <c r="C290" s="1562" t="s">
        <v>345</v>
      </c>
      <c r="D290" s="1563" t="s">
        <v>151</v>
      </c>
      <c r="E290" s="1564" t="s">
        <v>569</v>
      </c>
      <c r="F290" s="1564" t="s">
        <v>570</v>
      </c>
      <c r="G290" s="1565" t="s">
        <v>797</v>
      </c>
      <c r="H290" s="1566" t="s">
        <v>798</v>
      </c>
      <c r="I290" s="1559"/>
    </row>
    <row r="291" spans="1:9" ht="14.25" thickTop="1" thickBot="1" x14ac:dyDescent="0.25">
      <c r="A291" s="1567">
        <v>1</v>
      </c>
      <c r="B291" s="1568">
        <v>2</v>
      </c>
      <c r="C291" s="1568">
        <v>3</v>
      </c>
      <c r="D291" s="1568">
        <v>5</v>
      </c>
      <c r="E291" s="1569">
        <v>6</v>
      </c>
      <c r="F291" s="1569">
        <v>7</v>
      </c>
      <c r="G291" s="1570">
        <v>8</v>
      </c>
      <c r="H291" s="1586" t="s">
        <v>689</v>
      </c>
      <c r="I291" s="1559"/>
    </row>
    <row r="292" spans="1:9" ht="30.75" thickTop="1" x14ac:dyDescent="0.2">
      <c r="A292" s="1577">
        <v>3299</v>
      </c>
      <c r="B292" s="1578">
        <v>5336</v>
      </c>
      <c r="C292" s="1629" t="s">
        <v>2097</v>
      </c>
      <c r="D292" s="1579" t="s">
        <v>1131</v>
      </c>
      <c r="E292" s="1575">
        <v>0</v>
      </c>
      <c r="F292" s="1575">
        <v>48</v>
      </c>
      <c r="G292" s="1587">
        <v>48</v>
      </c>
      <c r="H292" s="1576">
        <f>G292/F292*100</f>
        <v>100</v>
      </c>
      <c r="I292" s="1559"/>
    </row>
    <row r="293" spans="1:9" ht="30.75" thickBot="1" x14ac:dyDescent="0.25">
      <c r="A293" s="1577">
        <v>3299</v>
      </c>
      <c r="B293" s="1578">
        <v>5336</v>
      </c>
      <c r="C293" s="1629" t="s">
        <v>2096</v>
      </c>
      <c r="D293" s="1579" t="s">
        <v>1131</v>
      </c>
      <c r="E293" s="1580">
        <v>0</v>
      </c>
      <c r="F293" s="1580">
        <v>275</v>
      </c>
      <c r="G293" s="1588">
        <v>275</v>
      </c>
      <c r="H293" s="1581">
        <f>G293/F293*100</f>
        <v>100</v>
      </c>
      <c r="I293" s="1559"/>
    </row>
    <row r="294" spans="1:9" ht="30.75" hidden="1" thickBot="1" x14ac:dyDescent="0.25">
      <c r="A294" s="1577">
        <v>3299</v>
      </c>
      <c r="B294" s="1578">
        <v>6351</v>
      </c>
      <c r="C294" s="1578">
        <v>32133006</v>
      </c>
      <c r="D294" s="1579" t="s">
        <v>1145</v>
      </c>
      <c r="E294" s="1580">
        <v>0</v>
      </c>
      <c r="F294" s="1580">
        <v>0</v>
      </c>
      <c r="G294" s="1588">
        <v>0</v>
      </c>
      <c r="H294" s="1581" t="e">
        <f>G294/F294*100</f>
        <v>#DIV/0!</v>
      </c>
      <c r="I294" s="1559"/>
    </row>
    <row r="295" spans="1:9" ht="30.75" hidden="1" thickBot="1" x14ac:dyDescent="0.25">
      <c r="A295" s="1577">
        <v>3299</v>
      </c>
      <c r="B295" s="1578">
        <v>6351</v>
      </c>
      <c r="C295" s="1578">
        <v>32533006</v>
      </c>
      <c r="D295" s="1579" t="s">
        <v>1145</v>
      </c>
      <c r="E295" s="1580">
        <v>0</v>
      </c>
      <c r="F295" s="1580">
        <v>0</v>
      </c>
      <c r="G295" s="1588">
        <v>0</v>
      </c>
      <c r="H295" s="1581" t="e">
        <f>G295/F295*100</f>
        <v>#DIV/0!</v>
      </c>
      <c r="I295" s="1559"/>
    </row>
    <row r="296" spans="1:9" ht="16.5" thickTop="1" thickBot="1" x14ac:dyDescent="0.3">
      <c r="A296" s="1589" t="s">
        <v>690</v>
      </c>
      <c r="B296" s="1590"/>
      <c r="C296" s="1590"/>
      <c r="D296" s="1591"/>
      <c r="E296" s="1584">
        <f>SUM(E292:E295)</f>
        <v>0</v>
      </c>
      <c r="F296" s="1584">
        <f>SUM(F292:F295)</f>
        <v>323</v>
      </c>
      <c r="G296" s="1584">
        <f>SUM(G292:G295)</f>
        <v>323</v>
      </c>
      <c r="H296" s="1585">
        <f>G296/F296*100</f>
        <v>100</v>
      </c>
      <c r="I296" s="1559"/>
    </row>
    <row r="297" spans="1:9" ht="13.5" thickTop="1" x14ac:dyDescent="0.2"/>
    <row r="298" spans="1:9" ht="15" hidden="1" x14ac:dyDescent="0.25">
      <c r="A298" s="1544" t="s">
        <v>899</v>
      </c>
      <c r="B298" s="1558"/>
      <c r="C298" s="1558"/>
      <c r="D298" s="1558"/>
      <c r="F298" s="1559"/>
      <c r="G298" s="1559"/>
      <c r="H298" s="1559"/>
      <c r="I298" s="1559"/>
    </row>
    <row r="299" spans="1:9" ht="15" hidden="1" x14ac:dyDescent="0.25">
      <c r="A299" s="1544" t="s">
        <v>900</v>
      </c>
      <c r="B299" s="1558"/>
      <c r="C299" s="1558"/>
      <c r="D299" s="1558"/>
      <c r="F299" s="1559"/>
      <c r="G299" s="1559"/>
      <c r="H299" s="1560" t="s">
        <v>148</v>
      </c>
      <c r="I299" s="1559"/>
    </row>
    <row r="300" spans="1:9" ht="25.5" hidden="1" thickTop="1" thickBot="1" x14ac:dyDescent="0.25">
      <c r="A300" s="1561" t="s">
        <v>149</v>
      </c>
      <c r="B300" s="1562" t="s">
        <v>688</v>
      </c>
      <c r="C300" s="1562" t="s">
        <v>345</v>
      </c>
      <c r="D300" s="1563" t="s">
        <v>151</v>
      </c>
      <c r="E300" s="1564" t="s">
        <v>569</v>
      </c>
      <c r="F300" s="1564" t="s">
        <v>570</v>
      </c>
      <c r="G300" s="1565" t="s">
        <v>797</v>
      </c>
      <c r="H300" s="1566" t="s">
        <v>798</v>
      </c>
      <c r="I300" s="1559"/>
    </row>
    <row r="301" spans="1:9" ht="14.25" hidden="1" thickTop="1" thickBot="1" x14ac:dyDescent="0.25">
      <c r="A301" s="1567">
        <v>1</v>
      </c>
      <c r="B301" s="1568">
        <v>2</v>
      </c>
      <c r="C301" s="1568">
        <v>3</v>
      </c>
      <c r="D301" s="1568">
        <v>5</v>
      </c>
      <c r="E301" s="1569">
        <v>6</v>
      </c>
      <c r="F301" s="1569">
        <v>7</v>
      </c>
      <c r="G301" s="1570">
        <v>8</v>
      </c>
      <c r="H301" s="1586" t="s">
        <v>689</v>
      </c>
      <c r="I301" s="1559"/>
    </row>
    <row r="302" spans="1:9" ht="30.75" hidden="1" thickTop="1" x14ac:dyDescent="0.2">
      <c r="A302" s="1577">
        <v>3299</v>
      </c>
      <c r="B302" s="1578">
        <v>5336</v>
      </c>
      <c r="C302" s="1578">
        <v>32133030</v>
      </c>
      <c r="D302" s="1579" t="s">
        <v>1131</v>
      </c>
      <c r="E302" s="1575">
        <v>0</v>
      </c>
      <c r="F302" s="1575"/>
      <c r="G302" s="1587"/>
      <c r="H302" s="1576" t="e">
        <f>G302/F302*100</f>
        <v>#DIV/0!</v>
      </c>
      <c r="I302" s="1559"/>
    </row>
    <row r="303" spans="1:9" ht="30" hidden="1" x14ac:dyDescent="0.2">
      <c r="A303" s="1577">
        <v>3299</v>
      </c>
      <c r="B303" s="1578">
        <v>5336</v>
      </c>
      <c r="C303" s="1578">
        <v>32533030</v>
      </c>
      <c r="D303" s="1579" t="s">
        <v>1131</v>
      </c>
      <c r="E303" s="1580">
        <v>0</v>
      </c>
      <c r="F303" s="1580"/>
      <c r="G303" s="1588"/>
      <c r="H303" s="1581" t="e">
        <f>G303/F303*100</f>
        <v>#DIV/0!</v>
      </c>
      <c r="I303" s="1559"/>
    </row>
    <row r="304" spans="1:9" ht="30" hidden="1" x14ac:dyDescent="0.2">
      <c r="A304" s="1577">
        <v>3299</v>
      </c>
      <c r="B304" s="1578">
        <v>6351</v>
      </c>
      <c r="C304" s="1578">
        <v>32133006</v>
      </c>
      <c r="D304" s="1579" t="s">
        <v>1145</v>
      </c>
      <c r="E304" s="1580">
        <v>0</v>
      </c>
      <c r="F304" s="1580">
        <v>0</v>
      </c>
      <c r="G304" s="1588">
        <v>0</v>
      </c>
      <c r="H304" s="1581" t="e">
        <f>G304/F304*100</f>
        <v>#DIV/0!</v>
      </c>
      <c r="I304" s="1559"/>
    </row>
    <row r="305" spans="1:9" ht="30" hidden="1" x14ac:dyDescent="0.2">
      <c r="A305" s="1577">
        <v>3299</v>
      </c>
      <c r="B305" s="1578">
        <v>6351</v>
      </c>
      <c r="C305" s="1578">
        <v>32533006</v>
      </c>
      <c r="D305" s="1579" t="s">
        <v>1145</v>
      </c>
      <c r="E305" s="1580">
        <v>0</v>
      </c>
      <c r="F305" s="1580">
        <v>0</v>
      </c>
      <c r="G305" s="1588">
        <v>0</v>
      </c>
      <c r="H305" s="1581" t="e">
        <f>G305/F305*100</f>
        <v>#DIV/0!</v>
      </c>
      <c r="I305" s="1559"/>
    </row>
    <row r="306" spans="1:9" ht="16.5" hidden="1" thickTop="1" thickBot="1" x14ac:dyDescent="0.3">
      <c r="A306" s="1589" t="s">
        <v>690</v>
      </c>
      <c r="B306" s="1590"/>
      <c r="C306" s="1590"/>
      <c r="D306" s="1591"/>
      <c r="E306" s="1584">
        <f>SUM(E302:E305)</f>
        <v>0</v>
      </c>
      <c r="F306" s="1584">
        <f>SUM(F302:F305)</f>
        <v>0</v>
      </c>
      <c r="G306" s="1584">
        <f>SUM(G302:G305)</f>
        <v>0</v>
      </c>
      <c r="H306" s="1585" t="e">
        <f>G306/F306*100</f>
        <v>#DIV/0!</v>
      </c>
      <c r="I306" s="1559"/>
    </row>
    <row r="308" spans="1:9" ht="15" customHeight="1" x14ac:dyDescent="0.25">
      <c r="A308" s="1544" t="s">
        <v>1524</v>
      </c>
      <c r="B308" s="1558"/>
      <c r="C308" s="1558"/>
      <c r="D308" s="1558"/>
      <c r="F308" s="1559"/>
      <c r="G308" s="1559"/>
      <c r="H308" s="1559"/>
      <c r="I308" s="1559"/>
    </row>
    <row r="309" spans="1:9" ht="15" customHeight="1" thickBot="1" x14ac:dyDescent="0.3">
      <c r="A309" s="1544" t="s">
        <v>1525</v>
      </c>
      <c r="B309" s="1558"/>
      <c r="C309" s="1558"/>
      <c r="D309" s="1558"/>
      <c r="F309" s="1559"/>
      <c r="G309" s="1559"/>
      <c r="H309" s="1560" t="s">
        <v>148</v>
      </c>
      <c r="I309" s="1559"/>
    </row>
    <row r="310" spans="1:9" ht="25.5" customHeight="1" thickTop="1" thickBot="1" x14ac:dyDescent="0.25">
      <c r="A310" s="1561" t="s">
        <v>149</v>
      </c>
      <c r="B310" s="1562" t="s">
        <v>688</v>
      </c>
      <c r="C310" s="1562" t="s">
        <v>345</v>
      </c>
      <c r="D310" s="1563" t="s">
        <v>151</v>
      </c>
      <c r="E310" s="1564" t="s">
        <v>569</v>
      </c>
      <c r="F310" s="1564" t="s">
        <v>570</v>
      </c>
      <c r="G310" s="1565" t="s">
        <v>797</v>
      </c>
      <c r="H310" s="1566" t="s">
        <v>798</v>
      </c>
      <c r="I310" s="1559"/>
    </row>
    <row r="311" spans="1:9" ht="15" customHeight="1" thickTop="1" thickBot="1" x14ac:dyDescent="0.25">
      <c r="A311" s="1567">
        <v>1</v>
      </c>
      <c r="B311" s="1568">
        <v>2</v>
      </c>
      <c r="C311" s="1568">
        <v>3</v>
      </c>
      <c r="D311" s="1568">
        <v>5</v>
      </c>
      <c r="E311" s="1569">
        <v>6</v>
      </c>
      <c r="F311" s="1569">
        <v>7</v>
      </c>
      <c r="G311" s="1570">
        <v>8</v>
      </c>
      <c r="H311" s="1586" t="s">
        <v>689</v>
      </c>
      <c r="I311" s="1559"/>
    </row>
    <row r="312" spans="1:9" ht="42.75" customHeight="1" thickTop="1" x14ac:dyDescent="0.2">
      <c r="A312" s="1577">
        <v>3299</v>
      </c>
      <c r="B312" s="1578">
        <v>5213</v>
      </c>
      <c r="C312" s="1629" t="s">
        <v>2097</v>
      </c>
      <c r="D312" s="1579" t="s">
        <v>903</v>
      </c>
      <c r="E312" s="1575">
        <v>0</v>
      </c>
      <c r="F312" s="1575">
        <v>39</v>
      </c>
      <c r="G312" s="1587">
        <v>39</v>
      </c>
      <c r="H312" s="1576">
        <f>G312/F312*100</f>
        <v>100</v>
      </c>
      <c r="I312" s="1559"/>
    </row>
    <row r="313" spans="1:9" ht="47.25" customHeight="1" thickBot="1" x14ac:dyDescent="0.25">
      <c r="A313" s="1577">
        <v>3299</v>
      </c>
      <c r="B313" s="1578">
        <v>5213</v>
      </c>
      <c r="C313" s="1629" t="s">
        <v>2096</v>
      </c>
      <c r="D313" s="1579" t="s">
        <v>903</v>
      </c>
      <c r="E313" s="1580">
        <v>0</v>
      </c>
      <c r="F313" s="1580">
        <v>220</v>
      </c>
      <c r="G313" s="1588">
        <v>220</v>
      </c>
      <c r="H313" s="1581">
        <f>G313/F313*100</f>
        <v>100</v>
      </c>
      <c r="I313" s="1559"/>
    </row>
    <row r="314" spans="1:9" ht="45.75" hidden="1" thickBot="1" x14ac:dyDescent="0.25">
      <c r="A314" s="1592">
        <v>3299</v>
      </c>
      <c r="B314" s="1593">
        <v>6313</v>
      </c>
      <c r="C314" s="1629">
        <v>32133926</v>
      </c>
      <c r="D314" s="1594" t="s">
        <v>905</v>
      </c>
      <c r="E314" s="1580"/>
      <c r="F314" s="1580"/>
      <c r="G314" s="1588"/>
      <c r="H314" s="1581" t="e">
        <f>G314/F314*100</f>
        <v>#DIV/0!</v>
      </c>
      <c r="I314" s="1559"/>
    </row>
    <row r="315" spans="1:9" ht="45.75" hidden="1" thickBot="1" x14ac:dyDescent="0.25">
      <c r="A315" s="1592">
        <v>3299</v>
      </c>
      <c r="B315" s="1595">
        <v>6313</v>
      </c>
      <c r="C315" s="2849">
        <v>32533926</v>
      </c>
      <c r="D315" s="1597" t="s">
        <v>905</v>
      </c>
      <c r="E315" s="1580"/>
      <c r="F315" s="1580"/>
      <c r="G315" s="1588"/>
      <c r="H315" s="1581" t="e">
        <f>G315/F315*100</f>
        <v>#DIV/0!</v>
      </c>
      <c r="I315" s="1559"/>
    </row>
    <row r="316" spans="1:9" ht="16.5" customHeight="1" thickTop="1" thickBot="1" x14ac:dyDescent="0.3">
      <c r="A316" s="1589" t="s">
        <v>690</v>
      </c>
      <c r="B316" s="1590"/>
      <c r="C316" s="1590"/>
      <c r="D316" s="1591"/>
      <c r="E316" s="1584">
        <f>SUM(E312:E313)</f>
        <v>0</v>
      </c>
      <c r="F316" s="1584">
        <f>SUM(F312:F315)</f>
        <v>259</v>
      </c>
      <c r="G316" s="1584">
        <f>SUM(G312:G315)</f>
        <v>259</v>
      </c>
      <c r="H316" s="1585">
        <f>G316/F316*100</f>
        <v>100</v>
      </c>
      <c r="I316" s="1559"/>
    </row>
    <row r="317" spans="1:9" ht="13.5" thickTop="1" x14ac:dyDescent="0.2"/>
    <row r="318" spans="1:9" ht="15" customHeight="1" x14ac:dyDescent="0.25">
      <c r="A318" s="1544" t="s">
        <v>904</v>
      </c>
      <c r="B318" s="1558"/>
      <c r="C318" s="1558"/>
      <c r="D318" s="1558"/>
      <c r="F318" s="1559"/>
      <c r="G318" s="1559"/>
      <c r="H318" s="1559"/>
      <c r="I318" s="1559"/>
    </row>
    <row r="319" spans="1:9" ht="15" customHeight="1" thickBot="1" x14ac:dyDescent="0.3">
      <c r="A319" s="1544" t="s">
        <v>869</v>
      </c>
      <c r="B319" s="1558"/>
      <c r="C319" s="1558"/>
      <c r="D319" s="1558"/>
      <c r="F319" s="1559"/>
      <c r="G319" s="1559"/>
      <c r="H319" s="1560" t="s">
        <v>148</v>
      </c>
      <c r="I319" s="1559"/>
    </row>
    <row r="320" spans="1:9" ht="25.5" customHeight="1" thickTop="1" thickBot="1" x14ac:dyDescent="0.25">
      <c r="A320" s="1561" t="s">
        <v>149</v>
      </c>
      <c r="B320" s="1562" t="s">
        <v>688</v>
      </c>
      <c r="C320" s="1562" t="s">
        <v>345</v>
      </c>
      <c r="D320" s="1563" t="s">
        <v>151</v>
      </c>
      <c r="E320" s="1564" t="s">
        <v>569</v>
      </c>
      <c r="F320" s="1564" t="s">
        <v>570</v>
      </c>
      <c r="G320" s="1565" t="s">
        <v>797</v>
      </c>
      <c r="H320" s="1566" t="s">
        <v>798</v>
      </c>
      <c r="I320" s="1559"/>
    </row>
    <row r="321" spans="1:9" ht="15" customHeight="1" thickTop="1" thickBot="1" x14ac:dyDescent="0.25">
      <c r="A321" s="1567">
        <v>1</v>
      </c>
      <c r="B321" s="1568">
        <v>2</v>
      </c>
      <c r="C321" s="1568">
        <v>3</v>
      </c>
      <c r="D321" s="1568">
        <v>5</v>
      </c>
      <c r="E321" s="1569">
        <v>6</v>
      </c>
      <c r="F321" s="1569">
        <v>7</v>
      </c>
      <c r="G321" s="1570">
        <v>8</v>
      </c>
      <c r="H321" s="1586" t="s">
        <v>689</v>
      </c>
      <c r="I321" s="1559"/>
    </row>
    <row r="322" spans="1:9" ht="42.75" customHeight="1" thickTop="1" x14ac:dyDescent="0.2">
      <c r="A322" s="1577">
        <v>3299</v>
      </c>
      <c r="B322" s="1578">
        <v>5213</v>
      </c>
      <c r="C322" s="1629" t="s">
        <v>2097</v>
      </c>
      <c r="D322" s="1579" t="s">
        <v>903</v>
      </c>
      <c r="E322" s="1575">
        <v>0</v>
      </c>
      <c r="F322" s="1575">
        <v>54</v>
      </c>
      <c r="G322" s="1587">
        <v>54</v>
      </c>
      <c r="H322" s="1576">
        <f>G322/F322*100</f>
        <v>100</v>
      </c>
      <c r="I322" s="1559"/>
    </row>
    <row r="323" spans="1:9" ht="47.25" customHeight="1" thickBot="1" x14ac:dyDescent="0.25">
      <c r="A323" s="1577">
        <v>3299</v>
      </c>
      <c r="B323" s="1578">
        <v>5213</v>
      </c>
      <c r="C323" s="1629" t="s">
        <v>2096</v>
      </c>
      <c r="D323" s="1579" t="s">
        <v>903</v>
      </c>
      <c r="E323" s="1580">
        <v>0</v>
      </c>
      <c r="F323" s="1580">
        <v>308</v>
      </c>
      <c r="G323" s="1588">
        <v>308</v>
      </c>
      <c r="H323" s="1581">
        <f>G323/F323*100</f>
        <v>100</v>
      </c>
      <c r="I323" s="1559"/>
    </row>
    <row r="324" spans="1:9" ht="47.25" hidden="1" customHeight="1" x14ac:dyDescent="0.2">
      <c r="A324" s="1592">
        <v>3299</v>
      </c>
      <c r="B324" s="1593">
        <v>6313</v>
      </c>
      <c r="C324" s="1578">
        <v>32133006</v>
      </c>
      <c r="D324" s="1594" t="s">
        <v>905</v>
      </c>
      <c r="E324" s="1580">
        <v>0</v>
      </c>
      <c r="F324" s="1580">
        <v>0</v>
      </c>
      <c r="G324" s="1588">
        <v>0</v>
      </c>
      <c r="H324" s="1581" t="e">
        <f>G324/F324*100</f>
        <v>#DIV/0!</v>
      </c>
      <c r="I324" s="1559"/>
    </row>
    <row r="325" spans="1:9" ht="47.25" hidden="1" customHeight="1" x14ac:dyDescent="0.2">
      <c r="A325" s="1592">
        <v>3299</v>
      </c>
      <c r="B325" s="1595">
        <v>6313</v>
      </c>
      <c r="C325" s="1596">
        <v>32533006</v>
      </c>
      <c r="D325" s="1597" t="s">
        <v>905</v>
      </c>
      <c r="E325" s="1580">
        <v>0</v>
      </c>
      <c r="F325" s="1580">
        <v>0</v>
      </c>
      <c r="G325" s="1588">
        <v>0</v>
      </c>
      <c r="H325" s="1581" t="e">
        <f>G325/F325*100</f>
        <v>#DIV/0!</v>
      </c>
      <c r="I325" s="1559"/>
    </row>
    <row r="326" spans="1:9" ht="16.5" customHeight="1" thickTop="1" thickBot="1" x14ac:dyDescent="0.3">
      <c r="A326" s="1589" t="s">
        <v>690</v>
      </c>
      <c r="B326" s="1590"/>
      <c r="C326" s="1590"/>
      <c r="D326" s="1591"/>
      <c r="E326" s="1584">
        <f>SUM(E322:E323)</f>
        <v>0</v>
      </c>
      <c r="F326" s="1584">
        <f>SUM(F322:F325)</f>
        <v>362</v>
      </c>
      <c r="G326" s="1584">
        <f>SUM(G322:G325)</f>
        <v>362</v>
      </c>
      <c r="H326" s="1585">
        <f>G326/F326*100</f>
        <v>100</v>
      </c>
      <c r="I326" s="1559"/>
    </row>
    <row r="327" spans="1:9" ht="13.5" thickTop="1" x14ac:dyDescent="0.2"/>
    <row r="328" spans="1:9" ht="15" customHeight="1" x14ac:dyDescent="0.25">
      <c r="A328" s="1544" t="s">
        <v>1526</v>
      </c>
      <c r="B328" s="1558"/>
      <c r="C328" s="1558"/>
      <c r="D328" s="1558"/>
      <c r="F328" s="1559"/>
      <c r="G328" s="1559"/>
      <c r="H328" s="1559"/>
      <c r="I328" s="1559"/>
    </row>
    <row r="329" spans="1:9" ht="15" customHeight="1" thickBot="1" x14ac:dyDescent="0.3">
      <c r="A329" s="1544" t="s">
        <v>78</v>
      </c>
      <c r="B329" s="1558"/>
      <c r="C329" s="1558"/>
      <c r="D329" s="1558"/>
      <c r="F329" s="1559"/>
      <c r="G329" s="1559"/>
      <c r="H329" s="1560" t="s">
        <v>148</v>
      </c>
      <c r="I329" s="1559"/>
    </row>
    <row r="330" spans="1:9" ht="25.5" customHeight="1" thickTop="1" thickBot="1" x14ac:dyDescent="0.25">
      <c r="A330" s="1561" t="s">
        <v>149</v>
      </c>
      <c r="B330" s="1562" t="s">
        <v>688</v>
      </c>
      <c r="C330" s="1562" t="s">
        <v>345</v>
      </c>
      <c r="D330" s="1563" t="s">
        <v>151</v>
      </c>
      <c r="E330" s="1564" t="s">
        <v>569</v>
      </c>
      <c r="F330" s="1564" t="s">
        <v>570</v>
      </c>
      <c r="G330" s="1565" t="s">
        <v>797</v>
      </c>
      <c r="H330" s="1566" t="s">
        <v>798</v>
      </c>
      <c r="I330" s="1559"/>
    </row>
    <row r="331" spans="1:9" ht="15" customHeight="1" thickTop="1" thickBot="1" x14ac:dyDescent="0.25">
      <c r="A331" s="1567">
        <v>1</v>
      </c>
      <c r="B331" s="1568">
        <v>2</v>
      </c>
      <c r="C331" s="1568">
        <v>3</v>
      </c>
      <c r="D331" s="1568">
        <v>5</v>
      </c>
      <c r="E331" s="1569">
        <v>6</v>
      </c>
      <c r="F331" s="1569">
        <v>7</v>
      </c>
      <c r="G331" s="1570">
        <v>8</v>
      </c>
      <c r="H331" s="1586" t="s">
        <v>689</v>
      </c>
      <c r="I331" s="1559"/>
    </row>
    <row r="332" spans="1:9" ht="42.75" customHeight="1" thickTop="1" x14ac:dyDescent="0.2">
      <c r="A332" s="1577">
        <v>3299</v>
      </c>
      <c r="B332" s="1578">
        <v>5213</v>
      </c>
      <c r="C332" s="1629" t="s">
        <v>2097</v>
      </c>
      <c r="D332" s="1579" t="s">
        <v>903</v>
      </c>
      <c r="E332" s="1575">
        <v>0</v>
      </c>
      <c r="F332" s="1575">
        <v>25</v>
      </c>
      <c r="G332" s="1587">
        <v>25</v>
      </c>
      <c r="H332" s="1576">
        <f>G332/F332*100</f>
        <v>100</v>
      </c>
      <c r="I332" s="1559"/>
    </row>
    <row r="333" spans="1:9" ht="47.25" customHeight="1" thickBot="1" x14ac:dyDescent="0.25">
      <c r="A333" s="1577">
        <v>3299</v>
      </c>
      <c r="B333" s="1578">
        <v>5213</v>
      </c>
      <c r="C333" s="1629" t="s">
        <v>2096</v>
      </c>
      <c r="D333" s="1579" t="s">
        <v>903</v>
      </c>
      <c r="E333" s="1580">
        <v>0</v>
      </c>
      <c r="F333" s="1580">
        <v>141</v>
      </c>
      <c r="G333" s="1588">
        <v>141</v>
      </c>
      <c r="H333" s="1581">
        <f>G333/F333*100</f>
        <v>100</v>
      </c>
      <c r="I333" s="1559"/>
    </row>
    <row r="334" spans="1:9" ht="47.25" hidden="1" customHeight="1" x14ac:dyDescent="0.2">
      <c r="A334" s="1592">
        <v>3299</v>
      </c>
      <c r="B334" s="1593">
        <v>6313</v>
      </c>
      <c r="C334" s="1578">
        <v>32133006</v>
      </c>
      <c r="D334" s="1594" t="s">
        <v>905</v>
      </c>
      <c r="E334" s="1580">
        <v>0</v>
      </c>
      <c r="F334" s="1580">
        <v>0</v>
      </c>
      <c r="G334" s="1588">
        <v>0</v>
      </c>
      <c r="H334" s="1581" t="e">
        <f>G334/F334*100</f>
        <v>#DIV/0!</v>
      </c>
      <c r="I334" s="1559"/>
    </row>
    <row r="335" spans="1:9" ht="47.25" hidden="1" customHeight="1" x14ac:dyDescent="0.2">
      <c r="A335" s="1592">
        <v>3299</v>
      </c>
      <c r="B335" s="1595">
        <v>6313</v>
      </c>
      <c r="C335" s="1596">
        <v>32533006</v>
      </c>
      <c r="D335" s="1597" t="s">
        <v>905</v>
      </c>
      <c r="E335" s="1580">
        <v>0</v>
      </c>
      <c r="F335" s="1580">
        <v>0</v>
      </c>
      <c r="G335" s="1588">
        <v>0</v>
      </c>
      <c r="H335" s="1581" t="e">
        <f>G335/F335*100</f>
        <v>#DIV/0!</v>
      </c>
      <c r="I335" s="1559"/>
    </row>
    <row r="336" spans="1:9" ht="16.5" customHeight="1" thickTop="1" thickBot="1" x14ac:dyDescent="0.3">
      <c r="A336" s="1589" t="s">
        <v>690</v>
      </c>
      <c r="B336" s="1590"/>
      <c r="C336" s="1590"/>
      <c r="D336" s="1591"/>
      <c r="E336" s="1584">
        <f>SUM(E332:E333)</f>
        <v>0</v>
      </c>
      <c r="F336" s="1584">
        <f>SUM(F332:F335)</f>
        <v>166</v>
      </c>
      <c r="G336" s="1584">
        <f>SUM(G332:G335)</f>
        <v>166</v>
      </c>
      <c r="H336" s="1585">
        <f>G336/F336*100</f>
        <v>100</v>
      </c>
      <c r="I336" s="1559"/>
    </row>
    <row r="337" spans="1:9" ht="13.5" thickTop="1" x14ac:dyDescent="0.2"/>
    <row r="338" spans="1:9" ht="15" customHeight="1" x14ac:dyDescent="0.25">
      <c r="A338" s="1544" t="s">
        <v>1366</v>
      </c>
      <c r="B338" s="1558"/>
      <c r="C338" s="1558"/>
      <c r="D338" s="1558"/>
      <c r="F338" s="1559"/>
      <c r="G338" s="1559"/>
      <c r="H338" s="1559"/>
      <c r="I338" s="1559"/>
    </row>
    <row r="339" spans="1:9" ht="15" customHeight="1" thickBot="1" x14ac:dyDescent="0.3">
      <c r="A339" s="1544" t="s">
        <v>870</v>
      </c>
      <c r="B339" s="1558"/>
      <c r="C339" s="1558"/>
      <c r="D339" s="1558"/>
      <c r="F339" s="1559"/>
      <c r="G339" s="1559"/>
      <c r="H339" s="1560" t="s">
        <v>148</v>
      </c>
      <c r="I339" s="1559"/>
    </row>
    <row r="340" spans="1:9" ht="25.5" customHeight="1" thickTop="1" thickBot="1" x14ac:dyDescent="0.25">
      <c r="A340" s="1561" t="s">
        <v>149</v>
      </c>
      <c r="B340" s="1562" t="s">
        <v>688</v>
      </c>
      <c r="C340" s="1562" t="s">
        <v>345</v>
      </c>
      <c r="D340" s="1563" t="s">
        <v>151</v>
      </c>
      <c r="E340" s="1564" t="s">
        <v>569</v>
      </c>
      <c r="F340" s="1564" t="s">
        <v>570</v>
      </c>
      <c r="G340" s="1565" t="s">
        <v>797</v>
      </c>
      <c r="H340" s="1566" t="s">
        <v>798</v>
      </c>
      <c r="I340" s="1559"/>
    </row>
    <row r="341" spans="1:9" ht="15" customHeight="1" thickTop="1" thickBot="1" x14ac:dyDescent="0.25">
      <c r="A341" s="1567">
        <v>1</v>
      </c>
      <c r="B341" s="1568">
        <v>2</v>
      </c>
      <c r="C341" s="1568">
        <v>3</v>
      </c>
      <c r="D341" s="1568">
        <v>5</v>
      </c>
      <c r="E341" s="1569">
        <v>6</v>
      </c>
      <c r="F341" s="1569">
        <v>7</v>
      </c>
      <c r="G341" s="1570">
        <v>8</v>
      </c>
      <c r="H341" s="1586" t="s">
        <v>689</v>
      </c>
      <c r="I341" s="1559"/>
    </row>
    <row r="342" spans="1:9" ht="42.75" customHeight="1" thickTop="1" x14ac:dyDescent="0.2">
      <c r="A342" s="1577">
        <v>3299</v>
      </c>
      <c r="B342" s="1578">
        <v>5213</v>
      </c>
      <c r="C342" s="1629" t="s">
        <v>2097</v>
      </c>
      <c r="D342" s="1579" t="s">
        <v>903</v>
      </c>
      <c r="E342" s="1575">
        <v>0</v>
      </c>
      <c r="F342" s="1575">
        <v>95</v>
      </c>
      <c r="G342" s="1587">
        <v>95</v>
      </c>
      <c r="H342" s="1576">
        <f>G342/F342*100</f>
        <v>100</v>
      </c>
      <c r="I342" s="1559"/>
    </row>
    <row r="343" spans="1:9" ht="47.25" customHeight="1" thickBot="1" x14ac:dyDescent="0.25">
      <c r="A343" s="1577">
        <v>3299</v>
      </c>
      <c r="B343" s="1578">
        <v>5213</v>
      </c>
      <c r="C343" s="1629" t="s">
        <v>2096</v>
      </c>
      <c r="D343" s="1579" t="s">
        <v>903</v>
      </c>
      <c r="E343" s="1580">
        <v>0</v>
      </c>
      <c r="F343" s="1580">
        <v>541</v>
      </c>
      <c r="G343" s="1588">
        <v>541</v>
      </c>
      <c r="H343" s="1581">
        <f>G343/F343*100</f>
        <v>100</v>
      </c>
      <c r="I343" s="1559"/>
    </row>
    <row r="344" spans="1:9" ht="45.75" hidden="1" thickBot="1" x14ac:dyDescent="0.25">
      <c r="A344" s="1592">
        <v>3299</v>
      </c>
      <c r="B344" s="1593">
        <v>6313</v>
      </c>
      <c r="C344" s="1578">
        <v>32133006</v>
      </c>
      <c r="D344" s="1594" t="s">
        <v>905</v>
      </c>
      <c r="E344" s="1580">
        <v>0</v>
      </c>
      <c r="F344" s="1580"/>
      <c r="G344" s="1588"/>
      <c r="H344" s="1581" t="e">
        <f>G344/F344*100</f>
        <v>#DIV/0!</v>
      </c>
      <c r="I344" s="1559"/>
    </row>
    <row r="345" spans="1:9" ht="45.75" hidden="1" thickBot="1" x14ac:dyDescent="0.25">
      <c r="A345" s="1592">
        <v>3299</v>
      </c>
      <c r="B345" s="1595">
        <v>6313</v>
      </c>
      <c r="C345" s="1596">
        <v>32533006</v>
      </c>
      <c r="D345" s="1597" t="s">
        <v>905</v>
      </c>
      <c r="E345" s="1580">
        <v>0</v>
      </c>
      <c r="F345" s="1580"/>
      <c r="G345" s="1588"/>
      <c r="H345" s="1581" t="e">
        <f>G345/F345*100</f>
        <v>#DIV/0!</v>
      </c>
      <c r="I345" s="1559"/>
    </row>
    <row r="346" spans="1:9" ht="16.5" customHeight="1" thickTop="1" thickBot="1" x14ac:dyDescent="0.3">
      <c r="A346" s="1589" t="s">
        <v>690</v>
      </c>
      <c r="B346" s="1590"/>
      <c r="C346" s="1590"/>
      <c r="D346" s="1591"/>
      <c r="E346" s="1584">
        <f>SUM(E342:E343)</f>
        <v>0</v>
      </c>
      <c r="F346" s="1584">
        <f>SUM(F342:F345)</f>
        <v>636</v>
      </c>
      <c r="G346" s="1584">
        <f>SUM(G342:G345)</f>
        <v>636</v>
      </c>
      <c r="H346" s="1585">
        <f>G346/F346*100</f>
        <v>100</v>
      </c>
      <c r="I346" s="1559"/>
    </row>
    <row r="347" spans="1:9" ht="13.5" thickTop="1" x14ac:dyDescent="0.2"/>
    <row r="348" spans="1:9" ht="15" hidden="1" x14ac:dyDescent="0.25">
      <c r="A348" s="1544" t="s">
        <v>1367</v>
      </c>
      <c r="B348" s="1558"/>
      <c r="C348" s="1558"/>
      <c r="D348" s="1558"/>
      <c r="F348" s="1559"/>
      <c r="G348" s="1559"/>
      <c r="H348" s="1559"/>
      <c r="I348" s="1559"/>
    </row>
    <row r="349" spans="1:9" ht="15" hidden="1" x14ac:dyDescent="0.25">
      <c r="A349" s="1544" t="s">
        <v>1368</v>
      </c>
      <c r="B349" s="1558"/>
      <c r="C349" s="1558"/>
      <c r="D349" s="1558"/>
      <c r="F349" s="1559"/>
      <c r="G349" s="1559"/>
      <c r="H349" s="1560" t="s">
        <v>148</v>
      </c>
      <c r="I349" s="1559"/>
    </row>
    <row r="350" spans="1:9" ht="25.5" hidden="1" thickTop="1" thickBot="1" x14ac:dyDescent="0.25">
      <c r="A350" s="1561" t="s">
        <v>149</v>
      </c>
      <c r="B350" s="1562" t="s">
        <v>688</v>
      </c>
      <c r="C350" s="1562" t="s">
        <v>345</v>
      </c>
      <c r="D350" s="1563" t="s">
        <v>151</v>
      </c>
      <c r="E350" s="1564" t="s">
        <v>569</v>
      </c>
      <c r="F350" s="1564" t="s">
        <v>570</v>
      </c>
      <c r="G350" s="1565" t="s">
        <v>797</v>
      </c>
      <c r="H350" s="1566" t="s">
        <v>798</v>
      </c>
      <c r="I350" s="1559"/>
    </row>
    <row r="351" spans="1:9" ht="14.25" hidden="1" thickTop="1" thickBot="1" x14ac:dyDescent="0.25">
      <c r="A351" s="1567">
        <v>1</v>
      </c>
      <c r="B351" s="1568">
        <v>2</v>
      </c>
      <c r="C351" s="1568">
        <v>3</v>
      </c>
      <c r="D351" s="1568">
        <v>5</v>
      </c>
      <c r="E351" s="1569">
        <v>6</v>
      </c>
      <c r="F351" s="1569">
        <v>7</v>
      </c>
      <c r="G351" s="1570">
        <v>8</v>
      </c>
      <c r="H351" s="1586" t="s">
        <v>689</v>
      </c>
      <c r="I351" s="1559"/>
    </row>
    <row r="352" spans="1:9" ht="15.75" hidden="1" thickTop="1" x14ac:dyDescent="0.25">
      <c r="A352" s="1598">
        <v>3299</v>
      </c>
      <c r="B352" s="1599">
        <v>5321</v>
      </c>
      <c r="C352" s="2848">
        <v>32133030</v>
      </c>
      <c r="D352" s="1600" t="s">
        <v>1078</v>
      </c>
      <c r="E352" s="1575"/>
      <c r="F352" s="1575"/>
      <c r="G352" s="1587"/>
      <c r="H352" s="1576" t="e">
        <f>G352/F352*100</f>
        <v>#DIV/0!</v>
      </c>
      <c r="I352" s="1559"/>
    </row>
    <row r="353" spans="1:9" ht="15" hidden="1" x14ac:dyDescent="0.25">
      <c r="A353" s="1598">
        <v>3299</v>
      </c>
      <c r="B353" s="1599">
        <v>5321</v>
      </c>
      <c r="C353" s="2848">
        <v>32533030</v>
      </c>
      <c r="D353" s="1601" t="s">
        <v>1078</v>
      </c>
      <c r="E353" s="1580"/>
      <c r="F353" s="1580"/>
      <c r="G353" s="1588"/>
      <c r="H353" s="1581" t="e">
        <f>G353/F353*100</f>
        <v>#DIV/0!</v>
      </c>
      <c r="I353" s="1559"/>
    </row>
    <row r="354" spans="1:9" ht="15" hidden="1" x14ac:dyDescent="0.25">
      <c r="A354" s="1598">
        <v>3299</v>
      </c>
      <c r="B354" s="1599">
        <v>6341</v>
      </c>
      <c r="C354" s="1599">
        <v>32133926</v>
      </c>
      <c r="D354" s="1600" t="s">
        <v>227</v>
      </c>
      <c r="E354" s="1580">
        <v>0</v>
      </c>
      <c r="F354" s="1580"/>
      <c r="G354" s="1588"/>
      <c r="H354" s="1581" t="e">
        <f>G354/F354*100</f>
        <v>#DIV/0!</v>
      </c>
      <c r="I354" s="1559"/>
    </row>
    <row r="355" spans="1:9" ht="15.75" hidden="1" thickBot="1" x14ac:dyDescent="0.3">
      <c r="A355" s="1602">
        <v>3299</v>
      </c>
      <c r="B355" s="1603">
        <v>6341</v>
      </c>
      <c r="C355" s="1603">
        <v>32533926</v>
      </c>
      <c r="D355" s="1600" t="s">
        <v>227</v>
      </c>
      <c r="E355" s="1580">
        <v>0</v>
      </c>
      <c r="F355" s="1580"/>
      <c r="G355" s="1588"/>
      <c r="H355" s="1581" t="e">
        <f>G355/F355*100</f>
        <v>#DIV/0!</v>
      </c>
      <c r="I355" s="1559"/>
    </row>
    <row r="356" spans="1:9" ht="16.5" hidden="1" thickTop="1" thickBot="1" x14ac:dyDescent="0.3">
      <c r="A356" s="1589" t="s">
        <v>690</v>
      </c>
      <c r="B356" s="1590"/>
      <c r="C356" s="1590"/>
      <c r="D356" s="1591"/>
      <c r="E356" s="1584">
        <f>SUM(E352:E355)</f>
        <v>0</v>
      </c>
      <c r="F356" s="1584">
        <f>SUM(F352:F355)</f>
        <v>0</v>
      </c>
      <c r="G356" s="1584">
        <f>SUM(G352:G355)</f>
        <v>0</v>
      </c>
      <c r="H356" s="1585" t="e">
        <f>G356/F356*100</f>
        <v>#DIV/0!</v>
      </c>
      <c r="I356" s="1559"/>
    </row>
    <row r="357" spans="1:9" hidden="1" x14ac:dyDescent="0.2"/>
    <row r="358" spans="1:9" ht="15" x14ac:dyDescent="0.25">
      <c r="A358" s="1544" t="s">
        <v>1241</v>
      </c>
      <c r="B358" s="1558"/>
      <c r="C358" s="1558"/>
      <c r="D358" s="1558"/>
      <c r="F358" s="1559"/>
      <c r="G358" s="1559"/>
      <c r="H358" s="1559"/>
      <c r="I358" s="1559"/>
    </row>
    <row r="359" spans="1:9" ht="15.75" thickBot="1" x14ac:dyDescent="0.3">
      <c r="A359" s="1544" t="s">
        <v>1240</v>
      </c>
      <c r="B359" s="1558"/>
      <c r="C359" s="1558"/>
      <c r="D359" s="1558"/>
      <c r="F359" s="1559"/>
      <c r="G359" s="1559"/>
      <c r="H359" s="1560" t="s">
        <v>148</v>
      </c>
      <c r="I359" s="1559"/>
    </row>
    <row r="360" spans="1:9" ht="25.5" thickTop="1" thickBot="1" x14ac:dyDescent="0.25">
      <c r="A360" s="1561" t="s">
        <v>149</v>
      </c>
      <c r="B360" s="1562" t="s">
        <v>688</v>
      </c>
      <c r="C360" s="1562" t="s">
        <v>345</v>
      </c>
      <c r="D360" s="1563" t="s">
        <v>151</v>
      </c>
      <c r="E360" s="1564" t="s">
        <v>569</v>
      </c>
      <c r="F360" s="1564" t="s">
        <v>570</v>
      </c>
      <c r="G360" s="1565" t="s">
        <v>797</v>
      </c>
      <c r="H360" s="1566" t="s">
        <v>798</v>
      </c>
      <c r="I360" s="1559"/>
    </row>
    <row r="361" spans="1:9" ht="14.25" thickTop="1" thickBot="1" x14ac:dyDescent="0.25">
      <c r="A361" s="1567">
        <v>1</v>
      </c>
      <c r="B361" s="1568">
        <v>2</v>
      </c>
      <c r="C361" s="1568">
        <v>3</v>
      </c>
      <c r="D361" s="1568">
        <v>5</v>
      </c>
      <c r="E361" s="1569">
        <v>6</v>
      </c>
      <c r="F361" s="1569">
        <v>7</v>
      </c>
      <c r="G361" s="1570">
        <v>8</v>
      </c>
      <c r="H361" s="1586" t="s">
        <v>689</v>
      </c>
      <c r="I361" s="1559"/>
    </row>
    <row r="362" spans="1:9" ht="15.75" thickTop="1" x14ac:dyDescent="0.25">
      <c r="A362" s="1598">
        <v>3299</v>
      </c>
      <c r="B362" s="1599">
        <v>5321</v>
      </c>
      <c r="C362" s="2848" t="s">
        <v>2097</v>
      </c>
      <c r="D362" s="1600" t="s">
        <v>1078</v>
      </c>
      <c r="E362" s="1575">
        <v>0</v>
      </c>
      <c r="F362" s="1575">
        <v>24</v>
      </c>
      <c r="G362" s="1587">
        <v>24</v>
      </c>
      <c r="H362" s="1576">
        <f>G362/F362*100</f>
        <v>100</v>
      </c>
      <c r="I362" s="1559"/>
    </row>
    <row r="363" spans="1:9" ht="15.75" thickBot="1" x14ac:dyDescent="0.3">
      <c r="A363" s="1598">
        <v>3299</v>
      </c>
      <c r="B363" s="1599">
        <v>5321</v>
      </c>
      <c r="C363" s="2848" t="s">
        <v>2096</v>
      </c>
      <c r="D363" s="1601" t="s">
        <v>1078</v>
      </c>
      <c r="E363" s="1580">
        <v>0</v>
      </c>
      <c r="F363" s="1580">
        <v>136</v>
      </c>
      <c r="G363" s="1588">
        <v>136</v>
      </c>
      <c r="H363" s="1581">
        <f>G363/F363*100</f>
        <v>100</v>
      </c>
      <c r="I363" s="1559"/>
    </row>
    <row r="364" spans="1:9" ht="15.75" hidden="1" thickBot="1" x14ac:dyDescent="0.3">
      <c r="A364" s="1598">
        <v>3299</v>
      </c>
      <c r="B364" s="1599">
        <v>6341</v>
      </c>
      <c r="C364" s="1599">
        <v>32133926</v>
      </c>
      <c r="D364" s="1600" t="s">
        <v>227</v>
      </c>
      <c r="E364" s="1580">
        <v>0</v>
      </c>
      <c r="F364" s="1580"/>
      <c r="G364" s="1588"/>
      <c r="H364" s="1581" t="e">
        <f>G364/F364*100</f>
        <v>#DIV/0!</v>
      </c>
      <c r="I364" s="1559"/>
    </row>
    <row r="365" spans="1:9" ht="15.75" hidden="1" thickBot="1" x14ac:dyDescent="0.3">
      <c r="A365" s="1602">
        <v>3299</v>
      </c>
      <c r="B365" s="1603">
        <v>6341</v>
      </c>
      <c r="C365" s="1603">
        <v>32533926</v>
      </c>
      <c r="D365" s="1600" t="s">
        <v>227</v>
      </c>
      <c r="E365" s="1580">
        <v>0</v>
      </c>
      <c r="F365" s="1580"/>
      <c r="G365" s="1588"/>
      <c r="H365" s="1581" t="e">
        <f>G365/F365*100</f>
        <v>#DIV/0!</v>
      </c>
      <c r="I365" s="1559"/>
    </row>
    <row r="366" spans="1:9" ht="16.5" thickTop="1" thickBot="1" x14ac:dyDescent="0.3">
      <c r="A366" s="1589" t="s">
        <v>690</v>
      </c>
      <c r="B366" s="1590"/>
      <c r="C366" s="1590"/>
      <c r="D366" s="1591"/>
      <c r="E366" s="1584">
        <f>SUM(E362:E365)</f>
        <v>0</v>
      </c>
      <c r="F366" s="1584">
        <f>SUM(F362:F365)</f>
        <v>160</v>
      </c>
      <c r="G366" s="1584">
        <f>SUM(G362:G365)</f>
        <v>160</v>
      </c>
      <c r="H366" s="1585">
        <f>G366/F366*100</f>
        <v>100</v>
      </c>
      <c r="I366" s="1559"/>
    </row>
    <row r="367" spans="1:9" ht="13.5" thickTop="1" x14ac:dyDescent="0.2"/>
    <row r="368" spans="1:9" ht="15" x14ac:dyDescent="0.25">
      <c r="A368" s="1544" t="s">
        <v>1527</v>
      </c>
      <c r="B368" s="1558"/>
      <c r="C368" s="1558"/>
      <c r="D368" s="1558"/>
      <c r="F368" s="1559"/>
      <c r="G368" s="1559"/>
      <c r="H368" s="1559"/>
      <c r="I368" s="1559"/>
    </row>
    <row r="369" spans="1:9" ht="15.75" thickBot="1" x14ac:dyDescent="0.3">
      <c r="A369" s="1544" t="s">
        <v>1528</v>
      </c>
      <c r="B369" s="1558"/>
      <c r="C369" s="1558"/>
      <c r="D369" s="1558"/>
      <c r="F369" s="1559"/>
      <c r="G369" s="1559"/>
      <c r="H369" s="1560" t="s">
        <v>148</v>
      </c>
      <c r="I369" s="1559"/>
    </row>
    <row r="370" spans="1:9" ht="25.5" thickTop="1" thickBot="1" x14ac:dyDescent="0.25">
      <c r="A370" s="1561" t="s">
        <v>149</v>
      </c>
      <c r="B370" s="1562" t="s">
        <v>688</v>
      </c>
      <c r="C370" s="1562" t="s">
        <v>345</v>
      </c>
      <c r="D370" s="1563" t="s">
        <v>151</v>
      </c>
      <c r="E370" s="1564" t="s">
        <v>569</v>
      </c>
      <c r="F370" s="1564" t="s">
        <v>570</v>
      </c>
      <c r="G370" s="1565" t="s">
        <v>797</v>
      </c>
      <c r="H370" s="1566" t="s">
        <v>798</v>
      </c>
      <c r="I370" s="1559"/>
    </row>
    <row r="371" spans="1:9" ht="14.25" thickTop="1" thickBot="1" x14ac:dyDescent="0.25">
      <c r="A371" s="1567">
        <v>1</v>
      </c>
      <c r="B371" s="1568">
        <v>2</v>
      </c>
      <c r="C371" s="1568">
        <v>3</v>
      </c>
      <c r="D371" s="1568">
        <v>5</v>
      </c>
      <c r="E371" s="1569">
        <v>6</v>
      </c>
      <c r="F371" s="1569">
        <v>7</v>
      </c>
      <c r="G371" s="1570">
        <v>8</v>
      </c>
      <c r="H371" s="1586" t="s">
        <v>689</v>
      </c>
      <c r="I371" s="1559"/>
    </row>
    <row r="372" spans="1:9" ht="15.75" thickTop="1" x14ac:dyDescent="0.25">
      <c r="A372" s="1598">
        <v>3299</v>
      </c>
      <c r="B372" s="1599">
        <v>5321</v>
      </c>
      <c r="C372" s="2848" t="s">
        <v>2097</v>
      </c>
      <c r="D372" s="1600" t="s">
        <v>1078</v>
      </c>
      <c r="E372" s="1575">
        <v>0</v>
      </c>
      <c r="F372" s="1575">
        <v>31</v>
      </c>
      <c r="G372" s="1587">
        <v>31</v>
      </c>
      <c r="H372" s="1576">
        <f>G372/F372*100</f>
        <v>100</v>
      </c>
      <c r="I372" s="1559"/>
    </row>
    <row r="373" spans="1:9" ht="15.75" thickBot="1" x14ac:dyDescent="0.3">
      <c r="A373" s="1598">
        <v>3299</v>
      </c>
      <c r="B373" s="1599">
        <v>5321</v>
      </c>
      <c r="C373" s="2848" t="s">
        <v>2096</v>
      </c>
      <c r="D373" s="1601" t="s">
        <v>1078</v>
      </c>
      <c r="E373" s="1580">
        <v>0</v>
      </c>
      <c r="F373" s="1580">
        <v>178</v>
      </c>
      <c r="G373" s="1588">
        <v>178</v>
      </c>
      <c r="H373" s="1581">
        <f>G373/F373*100</f>
        <v>100</v>
      </c>
      <c r="I373" s="1559"/>
    </row>
    <row r="374" spans="1:9" ht="15.75" hidden="1" thickBot="1" x14ac:dyDescent="0.3">
      <c r="A374" s="1598">
        <v>3299</v>
      </c>
      <c r="B374" s="1599">
        <v>6341</v>
      </c>
      <c r="C374" s="1599">
        <v>32133926</v>
      </c>
      <c r="D374" s="1600" t="s">
        <v>227</v>
      </c>
      <c r="E374" s="1580">
        <v>0</v>
      </c>
      <c r="F374" s="1580"/>
      <c r="G374" s="1588"/>
      <c r="H374" s="1581" t="e">
        <f>G374/F374*100</f>
        <v>#DIV/0!</v>
      </c>
      <c r="I374" s="1559"/>
    </row>
    <row r="375" spans="1:9" ht="15.75" hidden="1" thickBot="1" x14ac:dyDescent="0.3">
      <c r="A375" s="1602">
        <v>3299</v>
      </c>
      <c r="B375" s="1603">
        <v>6341</v>
      </c>
      <c r="C375" s="1603">
        <v>32533926</v>
      </c>
      <c r="D375" s="1600" t="s">
        <v>227</v>
      </c>
      <c r="E375" s="1580">
        <v>0</v>
      </c>
      <c r="F375" s="1580"/>
      <c r="G375" s="1588"/>
      <c r="H375" s="1581" t="e">
        <f>G375/F375*100</f>
        <v>#DIV/0!</v>
      </c>
      <c r="I375" s="1559"/>
    </row>
    <row r="376" spans="1:9" ht="16.5" thickTop="1" thickBot="1" x14ac:dyDescent="0.3">
      <c r="A376" s="1589" t="s">
        <v>690</v>
      </c>
      <c r="B376" s="1590"/>
      <c r="C376" s="1590"/>
      <c r="D376" s="1591"/>
      <c r="E376" s="1584">
        <f>SUM(E372:E375)</f>
        <v>0</v>
      </c>
      <c r="F376" s="1584">
        <f>SUM(F372:F375)</f>
        <v>209</v>
      </c>
      <c r="G376" s="1584">
        <f>SUM(G372:G375)</f>
        <v>209</v>
      </c>
      <c r="H376" s="1585">
        <f>G376/F376*100</f>
        <v>100</v>
      </c>
      <c r="I376" s="1559"/>
    </row>
    <row r="377" spans="1:9" ht="13.5" thickTop="1" x14ac:dyDescent="0.2"/>
    <row r="378" spans="1:9" ht="15" x14ac:dyDescent="0.25">
      <c r="A378" s="1544" t="s">
        <v>208</v>
      </c>
      <c r="B378" s="1558"/>
      <c r="C378" s="1558"/>
      <c r="D378" s="1558"/>
      <c r="F378" s="1559"/>
      <c r="G378" s="1559"/>
      <c r="H378" s="1559"/>
      <c r="I378" s="1559"/>
    </row>
    <row r="379" spans="1:9" ht="15.75" thickBot="1" x14ac:dyDescent="0.3">
      <c r="A379" s="1544" t="s">
        <v>209</v>
      </c>
      <c r="B379" s="1558"/>
      <c r="C379" s="1558"/>
      <c r="D379" s="1558"/>
      <c r="F379" s="1559"/>
      <c r="G379" s="1559"/>
      <c r="H379" s="1560" t="s">
        <v>148</v>
      </c>
      <c r="I379" s="1559"/>
    </row>
    <row r="380" spans="1:9" ht="25.5" thickTop="1" thickBot="1" x14ac:dyDescent="0.25">
      <c r="A380" s="1561" t="s">
        <v>149</v>
      </c>
      <c r="B380" s="1562" t="s">
        <v>688</v>
      </c>
      <c r="C380" s="1562" t="s">
        <v>345</v>
      </c>
      <c r="D380" s="1563" t="s">
        <v>151</v>
      </c>
      <c r="E380" s="1564" t="s">
        <v>569</v>
      </c>
      <c r="F380" s="1564" t="s">
        <v>570</v>
      </c>
      <c r="G380" s="1565" t="s">
        <v>797</v>
      </c>
      <c r="H380" s="1566" t="s">
        <v>798</v>
      </c>
      <c r="I380" s="1559"/>
    </row>
    <row r="381" spans="1:9" ht="14.25" thickTop="1" thickBot="1" x14ac:dyDescent="0.25">
      <c r="A381" s="1567">
        <v>1</v>
      </c>
      <c r="B381" s="1568">
        <v>2</v>
      </c>
      <c r="C381" s="1568">
        <v>3</v>
      </c>
      <c r="D381" s="1568">
        <v>5</v>
      </c>
      <c r="E381" s="1569">
        <v>6</v>
      </c>
      <c r="F381" s="1569">
        <v>7</v>
      </c>
      <c r="G381" s="1570">
        <v>8</v>
      </c>
      <c r="H381" s="1586" t="s">
        <v>689</v>
      </c>
      <c r="I381" s="1559"/>
    </row>
    <row r="382" spans="1:9" ht="15.75" thickTop="1" x14ac:dyDescent="0.25">
      <c r="A382" s="1598">
        <v>3299</v>
      </c>
      <c r="B382" s="1599">
        <v>5321</v>
      </c>
      <c r="C382" s="2848" t="s">
        <v>2097</v>
      </c>
      <c r="D382" s="1600" t="s">
        <v>1078</v>
      </c>
      <c r="E382" s="1575">
        <v>0</v>
      </c>
      <c r="F382" s="1575">
        <v>70</v>
      </c>
      <c r="G382" s="1587">
        <v>70</v>
      </c>
      <c r="H382" s="1576">
        <f>G382/F382*100</f>
        <v>100</v>
      </c>
      <c r="I382" s="1559"/>
    </row>
    <row r="383" spans="1:9" ht="15.75" thickBot="1" x14ac:dyDescent="0.3">
      <c r="A383" s="1598">
        <v>3299</v>
      </c>
      <c r="B383" s="1599">
        <v>5321</v>
      </c>
      <c r="C383" s="2848" t="s">
        <v>2096</v>
      </c>
      <c r="D383" s="1601" t="s">
        <v>1078</v>
      </c>
      <c r="E383" s="1580">
        <v>0</v>
      </c>
      <c r="F383" s="1580">
        <v>397</v>
      </c>
      <c r="G383" s="1588">
        <v>397</v>
      </c>
      <c r="H383" s="1581">
        <f>G383/F383*100</f>
        <v>100</v>
      </c>
      <c r="I383" s="1559"/>
    </row>
    <row r="384" spans="1:9" ht="15.75" hidden="1" thickBot="1" x14ac:dyDescent="0.3">
      <c r="A384" s="1598">
        <v>3299</v>
      </c>
      <c r="B384" s="1599">
        <v>6341</v>
      </c>
      <c r="C384" s="1599">
        <v>32133926</v>
      </c>
      <c r="D384" s="1600" t="s">
        <v>227</v>
      </c>
      <c r="E384" s="1580">
        <v>0</v>
      </c>
      <c r="F384" s="1580"/>
      <c r="G384" s="1588"/>
      <c r="H384" s="1581" t="e">
        <f>G384/F384*100</f>
        <v>#DIV/0!</v>
      </c>
      <c r="I384" s="1559"/>
    </row>
    <row r="385" spans="1:9" ht="15.75" hidden="1" thickBot="1" x14ac:dyDescent="0.3">
      <c r="A385" s="1602">
        <v>3299</v>
      </c>
      <c r="B385" s="1603">
        <v>6341</v>
      </c>
      <c r="C385" s="1603">
        <v>32533926</v>
      </c>
      <c r="D385" s="1600" t="s">
        <v>227</v>
      </c>
      <c r="E385" s="1580">
        <v>0</v>
      </c>
      <c r="F385" s="1580"/>
      <c r="G385" s="1588"/>
      <c r="H385" s="1581" t="e">
        <f>G385/F385*100</f>
        <v>#DIV/0!</v>
      </c>
      <c r="I385" s="1559"/>
    </row>
    <row r="386" spans="1:9" ht="16.5" thickTop="1" thickBot="1" x14ac:dyDescent="0.3">
      <c r="A386" s="1589" t="s">
        <v>690</v>
      </c>
      <c r="B386" s="1590"/>
      <c r="C386" s="1590"/>
      <c r="D386" s="1591"/>
      <c r="E386" s="1584">
        <f>SUM(E382:E385)</f>
        <v>0</v>
      </c>
      <c r="F386" s="1584">
        <f>SUM(F382:F385)</f>
        <v>467</v>
      </c>
      <c r="G386" s="1584">
        <f>SUM(G382:G385)</f>
        <v>467</v>
      </c>
      <c r="H386" s="1585">
        <f>G386/F386*100</f>
        <v>100</v>
      </c>
      <c r="I386" s="1559"/>
    </row>
    <row r="387" spans="1:9" ht="13.5" thickTop="1" x14ac:dyDescent="0.2"/>
    <row r="388" spans="1:9" ht="15" x14ac:dyDescent="0.25">
      <c r="A388" s="1544" t="s">
        <v>1529</v>
      </c>
      <c r="B388" s="1558"/>
      <c r="C388" s="1558"/>
      <c r="D388" s="1558"/>
      <c r="F388" s="1559"/>
      <c r="G388" s="1559"/>
      <c r="H388" s="1559"/>
      <c r="I388" s="1559"/>
    </row>
    <row r="389" spans="1:9" ht="15.75" thickBot="1" x14ac:dyDescent="0.3">
      <c r="A389" s="1544" t="s">
        <v>1530</v>
      </c>
      <c r="B389" s="1558"/>
      <c r="C389" s="1558"/>
      <c r="D389" s="1558"/>
      <c r="F389" s="1559"/>
      <c r="G389" s="1559"/>
      <c r="H389" s="1560" t="s">
        <v>148</v>
      </c>
      <c r="I389" s="1559"/>
    </row>
    <row r="390" spans="1:9" ht="25.5" thickTop="1" thickBot="1" x14ac:dyDescent="0.25">
      <c r="A390" s="1561" t="s">
        <v>149</v>
      </c>
      <c r="B390" s="1562" t="s">
        <v>688</v>
      </c>
      <c r="C390" s="1562" t="s">
        <v>345</v>
      </c>
      <c r="D390" s="1563" t="s">
        <v>151</v>
      </c>
      <c r="E390" s="1564" t="s">
        <v>569</v>
      </c>
      <c r="F390" s="1564" t="s">
        <v>570</v>
      </c>
      <c r="G390" s="1565" t="s">
        <v>797</v>
      </c>
      <c r="H390" s="1566" t="s">
        <v>798</v>
      </c>
      <c r="I390" s="1559"/>
    </row>
    <row r="391" spans="1:9" ht="14.25" thickTop="1" thickBot="1" x14ac:dyDescent="0.25">
      <c r="A391" s="1567">
        <v>1</v>
      </c>
      <c r="B391" s="1568">
        <v>2</v>
      </c>
      <c r="C391" s="1568">
        <v>3</v>
      </c>
      <c r="D391" s="1568">
        <v>5</v>
      </c>
      <c r="E391" s="1569">
        <v>6</v>
      </c>
      <c r="F391" s="1569">
        <v>7</v>
      </c>
      <c r="G391" s="1570">
        <v>8</v>
      </c>
      <c r="H391" s="1586" t="s">
        <v>689</v>
      </c>
      <c r="I391" s="1559"/>
    </row>
    <row r="392" spans="1:9" ht="15.75" thickTop="1" x14ac:dyDescent="0.25">
      <c r="A392" s="1598">
        <v>3299</v>
      </c>
      <c r="B392" s="1599">
        <v>5321</v>
      </c>
      <c r="C392" s="2848" t="s">
        <v>2097</v>
      </c>
      <c r="D392" s="1600" t="s">
        <v>1078</v>
      </c>
      <c r="E392" s="1575">
        <v>0</v>
      </c>
      <c r="F392" s="1575">
        <v>2</v>
      </c>
      <c r="G392" s="1587">
        <v>2</v>
      </c>
      <c r="H392" s="1576">
        <f>G392/F392*100</f>
        <v>100</v>
      </c>
      <c r="I392" s="1559"/>
    </row>
    <row r="393" spans="1:9" ht="15.75" thickBot="1" x14ac:dyDescent="0.3">
      <c r="A393" s="1598">
        <v>3299</v>
      </c>
      <c r="B393" s="1599">
        <v>5321</v>
      </c>
      <c r="C393" s="2848" t="s">
        <v>2096</v>
      </c>
      <c r="D393" s="1601" t="s">
        <v>1078</v>
      </c>
      <c r="E393" s="1580">
        <v>0</v>
      </c>
      <c r="F393" s="1580">
        <v>13</v>
      </c>
      <c r="G393" s="1588">
        <v>13</v>
      </c>
      <c r="H393" s="1581">
        <f>G393/F393*100</f>
        <v>100</v>
      </c>
      <c r="I393" s="1559"/>
    </row>
    <row r="394" spans="1:9" ht="15.75" hidden="1" thickBot="1" x14ac:dyDescent="0.3">
      <c r="A394" s="1598">
        <v>3299</v>
      </c>
      <c r="B394" s="1599">
        <v>6341</v>
      </c>
      <c r="C394" s="1599">
        <v>32133926</v>
      </c>
      <c r="D394" s="1600" t="s">
        <v>227</v>
      </c>
      <c r="E394" s="1580">
        <v>0</v>
      </c>
      <c r="F394" s="1580"/>
      <c r="G394" s="1588"/>
      <c r="H394" s="1581" t="e">
        <f>G394/F394*100</f>
        <v>#DIV/0!</v>
      </c>
      <c r="I394" s="1559"/>
    </row>
    <row r="395" spans="1:9" ht="15.75" hidden="1" thickBot="1" x14ac:dyDescent="0.3">
      <c r="A395" s="1602">
        <v>3299</v>
      </c>
      <c r="B395" s="1603">
        <v>6341</v>
      </c>
      <c r="C395" s="1603">
        <v>32533926</v>
      </c>
      <c r="D395" s="1600" t="s">
        <v>227</v>
      </c>
      <c r="E395" s="1580">
        <v>0</v>
      </c>
      <c r="F395" s="1580"/>
      <c r="G395" s="1588"/>
      <c r="H395" s="1581" t="e">
        <f>G395/F395*100</f>
        <v>#DIV/0!</v>
      </c>
      <c r="I395" s="1559"/>
    </row>
    <row r="396" spans="1:9" ht="16.5" thickTop="1" thickBot="1" x14ac:dyDescent="0.3">
      <c r="A396" s="1589" t="s">
        <v>690</v>
      </c>
      <c r="B396" s="1590"/>
      <c r="C396" s="1590"/>
      <c r="D396" s="1591"/>
      <c r="E396" s="1584">
        <f>SUM(E392:E395)</f>
        <v>0</v>
      </c>
      <c r="F396" s="1584">
        <f>SUM(F392:F395)</f>
        <v>15</v>
      </c>
      <c r="G396" s="1584">
        <f>SUM(G392:G395)</f>
        <v>15</v>
      </c>
      <c r="H396" s="1585">
        <f>G396/F396*100</f>
        <v>100</v>
      </c>
      <c r="I396" s="1559"/>
    </row>
    <row r="397" spans="1:9" ht="13.5" thickTop="1" x14ac:dyDescent="0.2"/>
    <row r="398" spans="1:9" ht="15" x14ac:dyDescent="0.25">
      <c r="A398" s="1544" t="s">
        <v>1531</v>
      </c>
      <c r="B398" s="1558"/>
      <c r="C398" s="1558"/>
      <c r="D398" s="1558"/>
      <c r="F398" s="1559"/>
      <c r="G398" s="1559"/>
      <c r="H398" s="1559"/>
      <c r="I398" s="1559"/>
    </row>
    <row r="399" spans="1:9" ht="15.75" thickBot="1" x14ac:dyDescent="0.3">
      <c r="A399" s="1544" t="s">
        <v>1532</v>
      </c>
      <c r="B399" s="1558"/>
      <c r="C399" s="1558"/>
      <c r="D399" s="1558"/>
      <c r="F399" s="1559"/>
      <c r="G399" s="1559"/>
      <c r="H399" s="1560" t="s">
        <v>148</v>
      </c>
      <c r="I399" s="1559"/>
    </row>
    <row r="400" spans="1:9" ht="25.5" thickTop="1" thickBot="1" x14ac:dyDescent="0.25">
      <c r="A400" s="1561" t="s">
        <v>149</v>
      </c>
      <c r="B400" s="1562" t="s">
        <v>688</v>
      </c>
      <c r="C400" s="1562" t="s">
        <v>345</v>
      </c>
      <c r="D400" s="1563" t="s">
        <v>151</v>
      </c>
      <c r="E400" s="1564" t="s">
        <v>569</v>
      </c>
      <c r="F400" s="1564" t="s">
        <v>570</v>
      </c>
      <c r="G400" s="1565" t="s">
        <v>797</v>
      </c>
      <c r="H400" s="1566" t="s">
        <v>798</v>
      </c>
      <c r="I400" s="1559"/>
    </row>
    <row r="401" spans="1:9" ht="14.25" thickTop="1" thickBot="1" x14ac:dyDescent="0.25">
      <c r="A401" s="1567">
        <v>1</v>
      </c>
      <c r="B401" s="1568">
        <v>2</v>
      </c>
      <c r="C401" s="1568">
        <v>3</v>
      </c>
      <c r="D401" s="1568">
        <v>5</v>
      </c>
      <c r="E401" s="1569">
        <v>6</v>
      </c>
      <c r="F401" s="1569">
        <v>7</v>
      </c>
      <c r="G401" s="1570">
        <v>8</v>
      </c>
      <c r="H401" s="1586" t="s">
        <v>689</v>
      </c>
      <c r="I401" s="1559"/>
    </row>
    <row r="402" spans="1:9" ht="15.75" thickTop="1" x14ac:dyDescent="0.25">
      <c r="A402" s="1598">
        <v>3299</v>
      </c>
      <c r="B402" s="1599">
        <v>5321</v>
      </c>
      <c r="C402" s="2848" t="s">
        <v>2097</v>
      </c>
      <c r="D402" s="1600" t="s">
        <v>1078</v>
      </c>
      <c r="E402" s="1575">
        <v>0</v>
      </c>
      <c r="F402" s="1575">
        <v>9</v>
      </c>
      <c r="G402" s="1587">
        <v>9</v>
      </c>
      <c r="H402" s="1576">
        <f>G402/F402*100</f>
        <v>100</v>
      </c>
      <c r="I402" s="1559"/>
    </row>
    <row r="403" spans="1:9" ht="15.75" thickBot="1" x14ac:dyDescent="0.3">
      <c r="A403" s="1598">
        <v>3299</v>
      </c>
      <c r="B403" s="1599">
        <v>5321</v>
      </c>
      <c r="C403" s="2848" t="s">
        <v>2096</v>
      </c>
      <c r="D403" s="1601" t="s">
        <v>1078</v>
      </c>
      <c r="E403" s="1580">
        <v>0</v>
      </c>
      <c r="F403" s="1580">
        <v>47</v>
      </c>
      <c r="G403" s="1588">
        <v>47</v>
      </c>
      <c r="H403" s="1581">
        <f>G403/F403*100</f>
        <v>100</v>
      </c>
      <c r="I403" s="1559"/>
    </row>
    <row r="404" spans="1:9" ht="15.75" hidden="1" thickBot="1" x14ac:dyDescent="0.3">
      <c r="A404" s="1598">
        <v>3299</v>
      </c>
      <c r="B404" s="1599">
        <v>6341</v>
      </c>
      <c r="C404" s="1599">
        <v>32133926</v>
      </c>
      <c r="D404" s="1600" t="s">
        <v>227</v>
      </c>
      <c r="E404" s="1580">
        <v>0</v>
      </c>
      <c r="F404" s="1580"/>
      <c r="G404" s="1588"/>
      <c r="H404" s="1581" t="e">
        <f>G404/F404*100</f>
        <v>#DIV/0!</v>
      </c>
      <c r="I404" s="1559"/>
    </row>
    <row r="405" spans="1:9" ht="15.75" hidden="1" thickBot="1" x14ac:dyDescent="0.3">
      <c r="A405" s="1602">
        <v>3299</v>
      </c>
      <c r="B405" s="1603">
        <v>6341</v>
      </c>
      <c r="C405" s="1603">
        <v>32533926</v>
      </c>
      <c r="D405" s="1600" t="s">
        <v>227</v>
      </c>
      <c r="E405" s="1580">
        <v>0</v>
      </c>
      <c r="F405" s="1580"/>
      <c r="G405" s="1588"/>
      <c r="H405" s="1581" t="e">
        <f>G405/F405*100</f>
        <v>#DIV/0!</v>
      </c>
      <c r="I405" s="1559"/>
    </row>
    <row r="406" spans="1:9" ht="16.5" thickTop="1" thickBot="1" x14ac:dyDescent="0.3">
      <c r="A406" s="1589" t="s">
        <v>690</v>
      </c>
      <c r="B406" s="1590"/>
      <c r="C406" s="1590"/>
      <c r="D406" s="1591"/>
      <c r="E406" s="1584">
        <f>SUM(E402:E405)</f>
        <v>0</v>
      </c>
      <c r="F406" s="1584">
        <f>SUM(F402:F405)</f>
        <v>56</v>
      </c>
      <c r="G406" s="1584">
        <f>SUM(G402:G405)</f>
        <v>56</v>
      </c>
      <c r="H406" s="1585">
        <f>G406/F406*100</f>
        <v>100</v>
      </c>
      <c r="I406" s="1559"/>
    </row>
    <row r="407" spans="1:9" ht="13.5" thickTop="1" x14ac:dyDescent="0.2"/>
    <row r="408" spans="1:9" ht="15" x14ac:dyDescent="0.25">
      <c r="A408" s="1544" t="s">
        <v>1533</v>
      </c>
      <c r="B408" s="1558"/>
      <c r="C408" s="1558"/>
      <c r="D408" s="1558"/>
      <c r="F408" s="1559"/>
      <c r="G408" s="1559"/>
      <c r="H408" s="1559"/>
      <c r="I408" s="1559"/>
    </row>
    <row r="409" spans="1:9" ht="15.75" thickBot="1" x14ac:dyDescent="0.3">
      <c r="A409" s="1544" t="s">
        <v>1534</v>
      </c>
      <c r="B409" s="1558"/>
      <c r="C409" s="1558"/>
      <c r="D409" s="1558"/>
      <c r="F409" s="1559"/>
      <c r="G409" s="1559"/>
      <c r="H409" s="1560" t="s">
        <v>148</v>
      </c>
      <c r="I409" s="1559"/>
    </row>
    <row r="410" spans="1:9" ht="25.5" thickTop="1" thickBot="1" x14ac:dyDescent="0.25">
      <c r="A410" s="1561" t="s">
        <v>149</v>
      </c>
      <c r="B410" s="1562" t="s">
        <v>688</v>
      </c>
      <c r="C410" s="1562" t="s">
        <v>345</v>
      </c>
      <c r="D410" s="1563" t="s">
        <v>151</v>
      </c>
      <c r="E410" s="1564" t="s">
        <v>569</v>
      </c>
      <c r="F410" s="1564" t="s">
        <v>570</v>
      </c>
      <c r="G410" s="1565" t="s">
        <v>797</v>
      </c>
      <c r="H410" s="1566" t="s">
        <v>798</v>
      </c>
      <c r="I410" s="1559"/>
    </row>
    <row r="411" spans="1:9" ht="14.25" thickTop="1" thickBot="1" x14ac:dyDescent="0.25">
      <c r="A411" s="1567">
        <v>1</v>
      </c>
      <c r="B411" s="1568">
        <v>2</v>
      </c>
      <c r="C411" s="1568">
        <v>3</v>
      </c>
      <c r="D411" s="1568">
        <v>5</v>
      </c>
      <c r="E411" s="1569">
        <v>6</v>
      </c>
      <c r="F411" s="1569">
        <v>7</v>
      </c>
      <c r="G411" s="1570">
        <v>8</v>
      </c>
      <c r="H411" s="1586" t="s">
        <v>689</v>
      </c>
      <c r="I411" s="1559"/>
    </row>
    <row r="412" spans="1:9" ht="15.75" thickTop="1" x14ac:dyDescent="0.25">
      <c r="A412" s="1598">
        <v>3299</v>
      </c>
      <c r="B412" s="1599">
        <v>5321</v>
      </c>
      <c r="C412" s="2848" t="s">
        <v>2097</v>
      </c>
      <c r="D412" s="1600" t="s">
        <v>1078</v>
      </c>
      <c r="E412" s="1575">
        <v>0</v>
      </c>
      <c r="F412" s="1575">
        <v>17</v>
      </c>
      <c r="G412" s="1587">
        <v>17</v>
      </c>
      <c r="H412" s="1576">
        <f>G412/F412*100</f>
        <v>100</v>
      </c>
      <c r="I412" s="1559"/>
    </row>
    <row r="413" spans="1:9" ht="15.75" thickBot="1" x14ac:dyDescent="0.3">
      <c r="A413" s="1598">
        <v>3299</v>
      </c>
      <c r="B413" s="1599">
        <v>5321</v>
      </c>
      <c r="C413" s="2848" t="s">
        <v>2096</v>
      </c>
      <c r="D413" s="1601" t="s">
        <v>1078</v>
      </c>
      <c r="E413" s="1580">
        <v>0</v>
      </c>
      <c r="F413" s="1580">
        <v>94</v>
      </c>
      <c r="G413" s="1588">
        <v>94</v>
      </c>
      <c r="H413" s="1581">
        <f>G413/F413*100</f>
        <v>100</v>
      </c>
      <c r="I413" s="1559"/>
    </row>
    <row r="414" spans="1:9" ht="15.75" hidden="1" thickBot="1" x14ac:dyDescent="0.3">
      <c r="A414" s="1598">
        <v>3299</v>
      </c>
      <c r="B414" s="1599">
        <v>6341</v>
      </c>
      <c r="C414" s="1599">
        <v>32133926</v>
      </c>
      <c r="D414" s="1600" t="s">
        <v>227</v>
      </c>
      <c r="E414" s="1580">
        <v>0</v>
      </c>
      <c r="F414" s="1580"/>
      <c r="G414" s="1588"/>
      <c r="H414" s="1581" t="e">
        <f>G414/F414*100</f>
        <v>#DIV/0!</v>
      </c>
      <c r="I414" s="1559"/>
    </row>
    <row r="415" spans="1:9" ht="15.75" hidden="1" thickBot="1" x14ac:dyDescent="0.3">
      <c r="A415" s="1602">
        <v>3299</v>
      </c>
      <c r="B415" s="1603">
        <v>6341</v>
      </c>
      <c r="C415" s="1603">
        <v>32533926</v>
      </c>
      <c r="D415" s="1600" t="s">
        <v>227</v>
      </c>
      <c r="E415" s="1580">
        <v>0</v>
      </c>
      <c r="F415" s="1580"/>
      <c r="G415" s="1588"/>
      <c r="H415" s="1581" t="e">
        <f>G415/F415*100</f>
        <v>#DIV/0!</v>
      </c>
      <c r="I415" s="1559"/>
    </row>
    <row r="416" spans="1:9" ht="16.5" thickTop="1" thickBot="1" x14ac:dyDescent="0.3">
      <c r="A416" s="1589" t="s">
        <v>690</v>
      </c>
      <c r="B416" s="1590"/>
      <c r="C416" s="1590"/>
      <c r="D416" s="1591"/>
      <c r="E416" s="1584">
        <f>SUM(E412:E415)</f>
        <v>0</v>
      </c>
      <c r="F416" s="1584">
        <f>SUM(F412:F415)</f>
        <v>111</v>
      </c>
      <c r="G416" s="1584">
        <f>SUM(G412:G415)</f>
        <v>111</v>
      </c>
      <c r="H416" s="1585">
        <f>G416/F416*100</f>
        <v>100</v>
      </c>
      <c r="I416" s="1559"/>
    </row>
    <row r="417" spans="1:9" ht="13.5" thickTop="1" x14ac:dyDescent="0.2"/>
    <row r="418" spans="1:9" ht="15" x14ac:dyDescent="0.25">
      <c r="A418" s="1544" t="s">
        <v>1535</v>
      </c>
      <c r="B418" s="1558"/>
      <c r="C418" s="1558"/>
      <c r="D418" s="1558"/>
      <c r="F418" s="1559"/>
      <c r="G418" s="1559"/>
      <c r="H418" s="1559"/>
      <c r="I418" s="1559"/>
    </row>
    <row r="419" spans="1:9" ht="15.75" thickBot="1" x14ac:dyDescent="0.3">
      <c r="A419" s="1544" t="s">
        <v>1536</v>
      </c>
      <c r="B419" s="1558"/>
      <c r="C419" s="1558"/>
      <c r="D419" s="1558"/>
      <c r="F419" s="1559"/>
      <c r="G419" s="1559"/>
      <c r="H419" s="1560" t="s">
        <v>148</v>
      </c>
      <c r="I419" s="1559"/>
    </row>
    <row r="420" spans="1:9" ht="25.5" thickTop="1" thickBot="1" x14ac:dyDescent="0.25">
      <c r="A420" s="1561" t="s">
        <v>149</v>
      </c>
      <c r="B420" s="1562" t="s">
        <v>688</v>
      </c>
      <c r="C420" s="1562" t="s">
        <v>345</v>
      </c>
      <c r="D420" s="1563" t="s">
        <v>151</v>
      </c>
      <c r="E420" s="1564" t="s">
        <v>569</v>
      </c>
      <c r="F420" s="1564" t="s">
        <v>570</v>
      </c>
      <c r="G420" s="1565" t="s">
        <v>797</v>
      </c>
      <c r="H420" s="1566" t="s">
        <v>798</v>
      </c>
      <c r="I420" s="1559"/>
    </row>
    <row r="421" spans="1:9" ht="14.25" thickTop="1" thickBot="1" x14ac:dyDescent="0.25">
      <c r="A421" s="1567">
        <v>1</v>
      </c>
      <c r="B421" s="1568">
        <v>2</v>
      </c>
      <c r="C421" s="1568">
        <v>3</v>
      </c>
      <c r="D421" s="1568">
        <v>5</v>
      </c>
      <c r="E421" s="1569">
        <v>6</v>
      </c>
      <c r="F421" s="1569">
        <v>7</v>
      </c>
      <c r="G421" s="1570">
        <v>8</v>
      </c>
      <c r="H421" s="1586" t="s">
        <v>689</v>
      </c>
      <c r="I421" s="1559"/>
    </row>
    <row r="422" spans="1:9" ht="15.75" thickTop="1" x14ac:dyDescent="0.25">
      <c r="A422" s="1598">
        <v>3299</v>
      </c>
      <c r="B422" s="1599">
        <v>5321</v>
      </c>
      <c r="C422" s="2848" t="s">
        <v>2097</v>
      </c>
      <c r="D422" s="1600" t="s">
        <v>1078</v>
      </c>
      <c r="E422" s="1575">
        <v>0</v>
      </c>
      <c r="F422" s="1575">
        <v>92</v>
      </c>
      <c r="G422" s="1587">
        <v>92</v>
      </c>
      <c r="H422" s="1576">
        <f>G422/F422*100</f>
        <v>100</v>
      </c>
      <c r="I422" s="1559"/>
    </row>
    <row r="423" spans="1:9" ht="15.75" thickBot="1" x14ac:dyDescent="0.3">
      <c r="A423" s="1598">
        <v>3299</v>
      </c>
      <c r="B423" s="1599">
        <v>5321</v>
      </c>
      <c r="C423" s="2848" t="s">
        <v>2096</v>
      </c>
      <c r="D423" s="1601" t="s">
        <v>1078</v>
      </c>
      <c r="E423" s="1580">
        <v>0</v>
      </c>
      <c r="F423" s="1580">
        <v>518</v>
      </c>
      <c r="G423" s="1588">
        <v>518</v>
      </c>
      <c r="H423" s="1581">
        <f>G423/F423*100</f>
        <v>100</v>
      </c>
      <c r="I423" s="1559"/>
    </row>
    <row r="424" spans="1:9" ht="15.75" hidden="1" thickBot="1" x14ac:dyDescent="0.3">
      <c r="A424" s="1598">
        <v>3299</v>
      </c>
      <c r="B424" s="1599">
        <v>6341</v>
      </c>
      <c r="C424" s="1599">
        <v>32133926</v>
      </c>
      <c r="D424" s="1600" t="s">
        <v>227</v>
      </c>
      <c r="E424" s="1580">
        <v>0</v>
      </c>
      <c r="F424" s="1580"/>
      <c r="G424" s="1588"/>
      <c r="H424" s="1581" t="e">
        <f>G424/F424*100</f>
        <v>#DIV/0!</v>
      </c>
      <c r="I424" s="1559"/>
    </row>
    <row r="425" spans="1:9" ht="15.75" hidden="1" thickBot="1" x14ac:dyDescent="0.3">
      <c r="A425" s="1602">
        <v>3299</v>
      </c>
      <c r="B425" s="1603">
        <v>6341</v>
      </c>
      <c r="C425" s="1603">
        <v>32533926</v>
      </c>
      <c r="D425" s="1600" t="s">
        <v>227</v>
      </c>
      <c r="E425" s="1580">
        <v>0</v>
      </c>
      <c r="F425" s="1580"/>
      <c r="G425" s="1588"/>
      <c r="H425" s="1581" t="e">
        <f>G425/F425*100</f>
        <v>#DIV/0!</v>
      </c>
      <c r="I425" s="1559"/>
    </row>
    <row r="426" spans="1:9" ht="16.5" thickTop="1" thickBot="1" x14ac:dyDescent="0.3">
      <c r="A426" s="1589" t="s">
        <v>690</v>
      </c>
      <c r="B426" s="1590"/>
      <c r="C426" s="1590"/>
      <c r="D426" s="1591"/>
      <c r="E426" s="1584">
        <f>SUM(E422:E425)</f>
        <v>0</v>
      </c>
      <c r="F426" s="1584">
        <f>SUM(F422:F425)</f>
        <v>610</v>
      </c>
      <c r="G426" s="1584">
        <f>SUM(G422:G425)</f>
        <v>610</v>
      </c>
      <c r="H426" s="1585">
        <f>G426/F426*100</f>
        <v>100</v>
      </c>
      <c r="I426" s="1559"/>
    </row>
    <row r="427" spans="1:9" ht="13.5" thickTop="1" x14ac:dyDescent="0.2"/>
    <row r="428" spans="1:9" ht="15" x14ac:dyDescent="0.25">
      <c r="A428" s="1544" t="s">
        <v>1369</v>
      </c>
      <c r="B428" s="1558"/>
      <c r="C428" s="1558"/>
      <c r="D428" s="1558"/>
      <c r="F428" s="1559"/>
      <c r="G428" s="1559"/>
      <c r="H428" s="1559"/>
      <c r="I428" s="1559"/>
    </row>
    <row r="429" spans="1:9" ht="15.75" thickBot="1" x14ac:dyDescent="0.3">
      <c r="A429" s="1544" t="s">
        <v>1370</v>
      </c>
      <c r="B429" s="1558"/>
      <c r="C429" s="1558"/>
      <c r="D429" s="1558"/>
      <c r="F429" s="1559"/>
      <c r="G429" s="1559"/>
      <c r="H429" s="1560" t="s">
        <v>148</v>
      </c>
      <c r="I429" s="1559"/>
    </row>
    <row r="430" spans="1:9" ht="25.5" thickTop="1" thickBot="1" x14ac:dyDescent="0.25">
      <c r="A430" s="1561" t="s">
        <v>149</v>
      </c>
      <c r="B430" s="1562" t="s">
        <v>688</v>
      </c>
      <c r="C430" s="1562" t="s">
        <v>345</v>
      </c>
      <c r="D430" s="1563" t="s">
        <v>151</v>
      </c>
      <c r="E430" s="1564" t="s">
        <v>569</v>
      </c>
      <c r="F430" s="1564" t="s">
        <v>570</v>
      </c>
      <c r="G430" s="1565" t="s">
        <v>797</v>
      </c>
      <c r="H430" s="1566" t="s">
        <v>798</v>
      </c>
      <c r="I430" s="1559"/>
    </row>
    <row r="431" spans="1:9" ht="14.25" thickTop="1" thickBot="1" x14ac:dyDescent="0.25">
      <c r="A431" s="1567">
        <v>1</v>
      </c>
      <c r="B431" s="1568">
        <v>2</v>
      </c>
      <c r="C431" s="1568">
        <v>3</v>
      </c>
      <c r="D431" s="1568">
        <v>5</v>
      </c>
      <c r="E431" s="1569">
        <v>6</v>
      </c>
      <c r="F431" s="1569">
        <v>7</v>
      </c>
      <c r="G431" s="1570">
        <v>8</v>
      </c>
      <c r="H431" s="1586" t="s">
        <v>689</v>
      </c>
      <c r="I431" s="1559"/>
    </row>
    <row r="432" spans="1:9" ht="15.75" thickTop="1" x14ac:dyDescent="0.25">
      <c r="A432" s="1598">
        <v>3299</v>
      </c>
      <c r="B432" s="1599">
        <v>5321</v>
      </c>
      <c r="C432" s="2848" t="s">
        <v>2097</v>
      </c>
      <c r="D432" s="1600" t="s">
        <v>1078</v>
      </c>
      <c r="E432" s="1575">
        <v>0</v>
      </c>
      <c r="F432" s="1575">
        <v>1</v>
      </c>
      <c r="G432" s="1587">
        <v>1</v>
      </c>
      <c r="H432" s="1576">
        <f>G432/F432*100</f>
        <v>100</v>
      </c>
      <c r="I432" s="1559"/>
    </row>
    <row r="433" spans="1:9" ht="15.75" thickBot="1" x14ac:dyDescent="0.3">
      <c r="A433" s="1598">
        <v>3299</v>
      </c>
      <c r="B433" s="1599">
        <v>5321</v>
      </c>
      <c r="C433" s="2848" t="s">
        <v>2096</v>
      </c>
      <c r="D433" s="1601" t="s">
        <v>1078</v>
      </c>
      <c r="E433" s="1580">
        <v>0</v>
      </c>
      <c r="F433" s="1580">
        <v>3</v>
      </c>
      <c r="G433" s="1588">
        <v>3</v>
      </c>
      <c r="H433" s="1581">
        <f>G433/F433*100</f>
        <v>100</v>
      </c>
      <c r="I433" s="1559"/>
    </row>
    <row r="434" spans="1:9" ht="15.75" hidden="1" thickBot="1" x14ac:dyDescent="0.3">
      <c r="A434" s="1598">
        <v>3299</v>
      </c>
      <c r="B434" s="1599">
        <v>6341</v>
      </c>
      <c r="C434" s="1599">
        <v>32133926</v>
      </c>
      <c r="D434" s="1600" t="s">
        <v>227</v>
      </c>
      <c r="E434" s="1580">
        <v>0</v>
      </c>
      <c r="F434" s="1580"/>
      <c r="G434" s="1588"/>
      <c r="H434" s="1581" t="e">
        <f>G434/F434*100</f>
        <v>#DIV/0!</v>
      </c>
      <c r="I434" s="1559"/>
    </row>
    <row r="435" spans="1:9" ht="15.75" hidden="1" thickBot="1" x14ac:dyDescent="0.3">
      <c r="A435" s="1602">
        <v>3299</v>
      </c>
      <c r="B435" s="1603">
        <v>6341</v>
      </c>
      <c r="C435" s="1603">
        <v>32533926</v>
      </c>
      <c r="D435" s="1600" t="s">
        <v>227</v>
      </c>
      <c r="E435" s="1580">
        <v>0</v>
      </c>
      <c r="F435" s="1580"/>
      <c r="G435" s="1588"/>
      <c r="H435" s="1581" t="e">
        <f>G435/F435*100</f>
        <v>#DIV/0!</v>
      </c>
      <c r="I435" s="1559"/>
    </row>
    <row r="436" spans="1:9" ht="16.5" thickTop="1" thickBot="1" x14ac:dyDescent="0.3">
      <c r="A436" s="1589" t="s">
        <v>690</v>
      </c>
      <c r="B436" s="1590"/>
      <c r="C436" s="1590"/>
      <c r="D436" s="1591"/>
      <c r="E436" s="1584">
        <f>SUM(E432:E435)</f>
        <v>0</v>
      </c>
      <c r="F436" s="1584">
        <f>SUM(F432:F435)</f>
        <v>4</v>
      </c>
      <c r="G436" s="1584">
        <f>SUM(G432:G435)</f>
        <v>4</v>
      </c>
      <c r="H436" s="1585">
        <f>G436/F436*100</f>
        <v>100</v>
      </c>
      <c r="I436" s="1559"/>
    </row>
    <row r="437" spans="1:9" ht="13.5" thickTop="1" x14ac:dyDescent="0.2"/>
    <row r="438" spans="1:9" ht="15" x14ac:dyDescent="0.25">
      <c r="A438" s="1544" t="s">
        <v>1537</v>
      </c>
      <c r="B438" s="1558"/>
      <c r="C438" s="1558"/>
      <c r="D438" s="1558"/>
      <c r="F438" s="1559"/>
      <c r="G438" s="1559"/>
      <c r="H438" s="1559"/>
      <c r="I438" s="1559"/>
    </row>
    <row r="439" spans="1:9" ht="15.75" thickBot="1" x14ac:dyDescent="0.3">
      <c r="A439" s="1544" t="s">
        <v>1032</v>
      </c>
      <c r="B439" s="1558"/>
      <c r="C439" s="1558"/>
      <c r="D439" s="1558"/>
      <c r="F439" s="1559"/>
      <c r="G439" s="1559"/>
      <c r="H439" s="1560" t="s">
        <v>148</v>
      </c>
      <c r="I439" s="1559"/>
    </row>
    <row r="440" spans="1:9" ht="25.5" thickTop="1" thickBot="1" x14ac:dyDescent="0.25">
      <c r="A440" s="1561" t="s">
        <v>149</v>
      </c>
      <c r="B440" s="1562" t="s">
        <v>688</v>
      </c>
      <c r="C440" s="1562" t="s">
        <v>345</v>
      </c>
      <c r="D440" s="1563" t="s">
        <v>151</v>
      </c>
      <c r="E440" s="1564" t="s">
        <v>569</v>
      </c>
      <c r="F440" s="1564" t="s">
        <v>570</v>
      </c>
      <c r="G440" s="1565" t="s">
        <v>797</v>
      </c>
      <c r="H440" s="1566" t="s">
        <v>798</v>
      </c>
      <c r="I440" s="1559"/>
    </row>
    <row r="441" spans="1:9" ht="14.25" thickTop="1" thickBot="1" x14ac:dyDescent="0.25">
      <c r="A441" s="1567">
        <v>1</v>
      </c>
      <c r="B441" s="1568">
        <v>2</v>
      </c>
      <c r="C441" s="1568">
        <v>3</v>
      </c>
      <c r="D441" s="1568">
        <v>5</v>
      </c>
      <c r="E441" s="1569">
        <v>6</v>
      </c>
      <c r="F441" s="1569">
        <v>7</v>
      </c>
      <c r="G441" s="1570">
        <v>8</v>
      </c>
      <c r="H441" s="1586" t="s">
        <v>689</v>
      </c>
      <c r="I441" s="1559"/>
    </row>
    <row r="442" spans="1:9" ht="15.75" thickTop="1" x14ac:dyDescent="0.25">
      <c r="A442" s="1598">
        <v>3299</v>
      </c>
      <c r="B442" s="1599">
        <v>5321</v>
      </c>
      <c r="C442" s="2848" t="s">
        <v>2097</v>
      </c>
      <c r="D442" s="1600" t="s">
        <v>1078</v>
      </c>
      <c r="E442" s="1575">
        <v>0</v>
      </c>
      <c r="F442" s="1575">
        <v>20</v>
      </c>
      <c r="G442" s="1587">
        <v>20</v>
      </c>
      <c r="H442" s="1576">
        <f>G442/F442*100</f>
        <v>100</v>
      </c>
      <c r="I442" s="1559"/>
    </row>
    <row r="443" spans="1:9" ht="15.75" thickBot="1" x14ac:dyDescent="0.3">
      <c r="A443" s="1598">
        <v>3299</v>
      </c>
      <c r="B443" s="1599">
        <v>5321</v>
      </c>
      <c r="C443" s="2848" t="s">
        <v>2096</v>
      </c>
      <c r="D443" s="1601" t="s">
        <v>1078</v>
      </c>
      <c r="E443" s="1580">
        <v>0</v>
      </c>
      <c r="F443" s="1580">
        <v>114</v>
      </c>
      <c r="G443" s="1588">
        <v>114</v>
      </c>
      <c r="H443" s="1581">
        <f>G443/F443*100</f>
        <v>100</v>
      </c>
      <c r="I443" s="1559"/>
    </row>
    <row r="444" spans="1:9" ht="15.75" hidden="1" thickBot="1" x14ac:dyDescent="0.3">
      <c r="A444" s="1598">
        <v>3299</v>
      </c>
      <c r="B444" s="1599">
        <v>6341</v>
      </c>
      <c r="C444" s="1599">
        <v>32133926</v>
      </c>
      <c r="D444" s="1600" t="s">
        <v>227</v>
      </c>
      <c r="E444" s="1580">
        <v>0</v>
      </c>
      <c r="F444" s="1580"/>
      <c r="G444" s="1588"/>
      <c r="H444" s="1581" t="e">
        <f>G444/F444*100</f>
        <v>#DIV/0!</v>
      </c>
      <c r="I444" s="1559"/>
    </row>
    <row r="445" spans="1:9" ht="15.75" hidden="1" thickBot="1" x14ac:dyDescent="0.3">
      <c r="A445" s="1602">
        <v>3299</v>
      </c>
      <c r="B445" s="1603">
        <v>6341</v>
      </c>
      <c r="C445" s="1603">
        <v>32533926</v>
      </c>
      <c r="D445" s="1600" t="s">
        <v>227</v>
      </c>
      <c r="E445" s="1580">
        <v>0</v>
      </c>
      <c r="F445" s="1580"/>
      <c r="G445" s="1588"/>
      <c r="H445" s="1581" t="e">
        <f>G445/F445*100</f>
        <v>#DIV/0!</v>
      </c>
      <c r="I445" s="1559"/>
    </row>
    <row r="446" spans="1:9" ht="16.5" thickTop="1" thickBot="1" x14ac:dyDescent="0.3">
      <c r="A446" s="1589" t="s">
        <v>690</v>
      </c>
      <c r="B446" s="1590"/>
      <c r="C446" s="1590"/>
      <c r="D446" s="1591"/>
      <c r="E446" s="1584">
        <f>SUM(E442:E445)</f>
        <v>0</v>
      </c>
      <c r="F446" s="1584">
        <f>SUM(F442:F445)</f>
        <v>134</v>
      </c>
      <c r="G446" s="1584">
        <f>SUM(G442:G445)</f>
        <v>134</v>
      </c>
      <c r="H446" s="1585">
        <f>G446/F446*100</f>
        <v>100</v>
      </c>
      <c r="I446" s="1559"/>
    </row>
    <row r="447" spans="1:9" ht="13.5" thickTop="1" x14ac:dyDescent="0.2"/>
    <row r="448" spans="1:9" ht="15" hidden="1" x14ac:dyDescent="0.25">
      <c r="A448" s="1544" t="s">
        <v>1371</v>
      </c>
      <c r="B448" s="1558"/>
      <c r="C448" s="1558"/>
      <c r="D448" s="1558"/>
      <c r="F448" s="1559"/>
      <c r="G448" s="1559"/>
      <c r="H448" s="1559"/>
      <c r="I448" s="1559"/>
    </row>
    <row r="449" spans="1:12" ht="15" hidden="1" x14ac:dyDescent="0.25">
      <c r="A449" s="1544" t="s">
        <v>1372</v>
      </c>
      <c r="B449" s="1558"/>
      <c r="C449" s="1558"/>
      <c r="D449" s="1558"/>
      <c r="F449" s="1559"/>
      <c r="G449" s="1559"/>
      <c r="H449" s="1560" t="s">
        <v>148</v>
      </c>
      <c r="I449" s="1559"/>
    </row>
    <row r="450" spans="1:12" ht="25.5" hidden="1" thickTop="1" thickBot="1" x14ac:dyDescent="0.25">
      <c r="A450" s="1561" t="s">
        <v>149</v>
      </c>
      <c r="B450" s="1562" t="s">
        <v>688</v>
      </c>
      <c r="C450" s="1562" t="s">
        <v>345</v>
      </c>
      <c r="D450" s="1563" t="s">
        <v>151</v>
      </c>
      <c r="E450" s="1564" t="s">
        <v>569</v>
      </c>
      <c r="F450" s="1564" t="s">
        <v>570</v>
      </c>
      <c r="G450" s="1565" t="s">
        <v>797</v>
      </c>
      <c r="H450" s="1566" t="s">
        <v>798</v>
      </c>
      <c r="I450" s="1559"/>
    </row>
    <row r="451" spans="1:12" ht="14.25" hidden="1" thickTop="1" thickBot="1" x14ac:dyDescent="0.25">
      <c r="A451" s="1567">
        <v>1</v>
      </c>
      <c r="B451" s="1568">
        <v>2</v>
      </c>
      <c r="C451" s="1568">
        <v>3</v>
      </c>
      <c r="D451" s="1568">
        <v>5</v>
      </c>
      <c r="E451" s="1569">
        <v>6</v>
      </c>
      <c r="F451" s="1569">
        <v>7</v>
      </c>
      <c r="G451" s="1570">
        <v>8</v>
      </c>
      <c r="H451" s="1586" t="s">
        <v>689</v>
      </c>
      <c r="I451" s="1559"/>
    </row>
    <row r="452" spans="1:12" ht="30.75" hidden="1" thickTop="1" x14ac:dyDescent="0.25">
      <c r="A452" s="1577">
        <v>3299</v>
      </c>
      <c r="B452" s="1578">
        <v>5221</v>
      </c>
      <c r="C452" s="1578">
        <v>32133030</v>
      </c>
      <c r="D452" s="1604" t="s">
        <v>1183</v>
      </c>
      <c r="E452" s="1575">
        <v>0</v>
      </c>
      <c r="F452" s="1575">
        <v>0</v>
      </c>
      <c r="G452" s="1587">
        <v>0</v>
      </c>
      <c r="H452" s="1576" t="e">
        <f>G452/F452*100</f>
        <v>#DIV/0!</v>
      </c>
      <c r="I452" s="1559"/>
    </row>
    <row r="453" spans="1:12" ht="15" hidden="1" x14ac:dyDescent="0.25">
      <c r="A453" s="1598">
        <v>3299</v>
      </c>
      <c r="B453" s="1599">
        <v>5321</v>
      </c>
      <c r="C453" s="2848" t="s">
        <v>2097</v>
      </c>
      <c r="D453" s="1601" t="s">
        <v>1078</v>
      </c>
      <c r="E453" s="1580"/>
      <c r="F453" s="1580"/>
      <c r="G453" s="1588"/>
      <c r="H453" s="1581" t="e">
        <f>G453/F453*100</f>
        <v>#DIV/0!</v>
      </c>
      <c r="I453" s="1559"/>
    </row>
    <row r="454" spans="1:12" ht="15" hidden="1" x14ac:dyDescent="0.25">
      <c r="A454" s="1598">
        <v>3299</v>
      </c>
      <c r="B454" s="1599">
        <v>5321</v>
      </c>
      <c r="C454" s="2848" t="s">
        <v>2096</v>
      </c>
      <c r="D454" s="1601" t="s">
        <v>1078</v>
      </c>
      <c r="E454" s="1580"/>
      <c r="F454" s="1580"/>
      <c r="G454" s="1588"/>
      <c r="H454" s="1581" t="e">
        <f>G454/F454*100</f>
        <v>#DIV/0!</v>
      </c>
      <c r="I454" s="1559"/>
    </row>
    <row r="455" spans="1:12" ht="15.75" hidden="1" thickBot="1" x14ac:dyDescent="0.3">
      <c r="A455" s="1602">
        <v>3299</v>
      </c>
      <c r="B455" s="1603">
        <v>6341</v>
      </c>
      <c r="C455" s="1603">
        <v>32533926</v>
      </c>
      <c r="D455" s="1600" t="s">
        <v>227</v>
      </c>
      <c r="E455" s="1580">
        <v>0</v>
      </c>
      <c r="F455" s="1580">
        <v>0</v>
      </c>
      <c r="G455" s="1588">
        <v>0</v>
      </c>
      <c r="H455" s="1581" t="e">
        <f>G455/F455*100</f>
        <v>#DIV/0!</v>
      </c>
      <c r="I455" s="1559"/>
    </row>
    <row r="456" spans="1:12" ht="16.5" hidden="1" thickTop="1" thickBot="1" x14ac:dyDescent="0.3">
      <c r="A456" s="1589" t="s">
        <v>690</v>
      </c>
      <c r="B456" s="1590"/>
      <c r="C456" s="1590"/>
      <c r="D456" s="1591"/>
      <c r="E456" s="1584">
        <f>SUM(E452:E455)</f>
        <v>0</v>
      </c>
      <c r="F456" s="1584">
        <f>SUM(F452:F455)</f>
        <v>0</v>
      </c>
      <c r="G456" s="1584">
        <f>SUM(G452:G455)</f>
        <v>0</v>
      </c>
      <c r="H456" s="1585" t="e">
        <f>G456/F456*100</f>
        <v>#DIV/0!</v>
      </c>
      <c r="I456" s="1559"/>
    </row>
    <row r="457" spans="1:12" hidden="1" x14ac:dyDescent="0.2"/>
    <row r="461" spans="1:12" ht="16.5" x14ac:dyDescent="0.25">
      <c r="A461" s="1605" t="s">
        <v>423</v>
      </c>
      <c r="B461" s="1606"/>
      <c r="C461" s="1607"/>
      <c r="D461" s="1608"/>
      <c r="E461" s="1609">
        <f>SUM(E462:E464)</f>
        <v>0</v>
      </c>
      <c r="F461" s="1609">
        <f>F462+F463+F464+F465</f>
        <v>20192</v>
      </c>
      <c r="G461" s="1609">
        <f>G462+G463+G464+G465</f>
        <v>20710</v>
      </c>
      <c r="H461" s="1610">
        <f>G461/F461*100</f>
        <v>102.56537242472265</v>
      </c>
      <c r="J461" s="1611">
        <f>J462+J463+J464</f>
        <v>0</v>
      </c>
      <c r="K461" s="1611">
        <f>K462+K463+K464</f>
        <v>20192105.82</v>
      </c>
      <c r="L461" s="1611">
        <f>L462+L463+L464</f>
        <v>20709703.469999999</v>
      </c>
    </row>
    <row r="462" spans="1:12" ht="15" x14ac:dyDescent="0.2">
      <c r="A462" s="1612" t="s">
        <v>242</v>
      </c>
      <c r="B462" s="1613"/>
      <c r="C462" s="1614"/>
      <c r="D462" s="1615"/>
      <c r="E462" s="1616">
        <f>E10+E11+E12+E13+E14+E15+E18+E19+E20+E21+E22+E30+E48+E49+E58+E59+E68+E69+E78+E79+E88+E89+E108+E109+E118+E119+E128+E129+E148+E149+E158+E159+E168+E169+E179+E180+E200+E201+E210+E211+E222+E223+E232+E233+E262+E263+E272+E273+E292+E293+E312+E313+E322+E323+E332+E333+E342+E343+E362+E363+E372+E373+E382+E383+E392+E393+E402+E403+E412+E413+E422+E423+E432+E433+E442+E443</f>
        <v>0</v>
      </c>
      <c r="F462" s="1616">
        <f>F10+F11+F12+F13+F14+F15+F18+F19+F20+F21+F22+F30+F48+F49+F58+F59+F68+F69+F78+F79+F88+F89+F108+F109+F118+F119+F128+F129+F148+F149+F158+F159+F168+F169+F179+F180+F200+F201+F210+F211+F222+F223+F232+F233+F262+F263+F272+F273+F292+F293+F312+F313+F322+F323+F332+F333+F342+F343+F362+F363+F372+F373+F382+F383+F392+F393+F402+F403+F412+F413+F422+F423+F432+F433+F442+F443</f>
        <v>19609</v>
      </c>
      <c r="G462" s="1616">
        <f>G10+G11+G12+G13+G14+G15+G18+G19+G20+G21+G22+G30+G48+G49+G58+G59+G68+G69+G78+G79+G88+G89+G108+G109+G118+G119+G128+G129+G148+G149+G158+G159+G168+G169+G179+G180+G200+G201+G210+G211+G222+G223+G232+G233+G262+G263+G272+G273+G292+G293+G312+G313+G322+G323+G332+G333+G342+G343+G362+G363+G372+G373+G382+G383+G392+G393+G402+G403+G412+G413+G422+G423+G432+G433+G442+G443</f>
        <v>14602</v>
      </c>
      <c r="H462" s="1617">
        <f>G462/F462*100</f>
        <v>74.465806517415473</v>
      </c>
      <c r="J462" s="1618">
        <v>0</v>
      </c>
      <c r="K462" s="1618">
        <v>19609047.379999999</v>
      </c>
      <c r="L462" s="1618">
        <v>14601903.470000001</v>
      </c>
    </row>
    <row r="463" spans="1:12" ht="15" x14ac:dyDescent="0.2">
      <c r="A463" s="1612" t="s">
        <v>243</v>
      </c>
      <c r="B463" s="1619"/>
      <c r="C463" s="1614"/>
      <c r="D463" s="1620"/>
      <c r="E463" s="1616">
        <f>E27+E28+E212+E213</f>
        <v>0</v>
      </c>
      <c r="F463" s="1616">
        <f>F27+F28+F212+F213</f>
        <v>583</v>
      </c>
      <c r="G463" s="1616">
        <f>G27+G28+G212+G213</f>
        <v>108</v>
      </c>
      <c r="H463" s="1617">
        <f>G463/F463*100</f>
        <v>18.524871355060036</v>
      </c>
      <c r="J463" s="1618">
        <v>0</v>
      </c>
      <c r="K463" s="1618">
        <v>583058.43999999994</v>
      </c>
      <c r="L463" s="1618">
        <v>107800</v>
      </c>
    </row>
    <row r="464" spans="1:12" ht="15" x14ac:dyDescent="0.2">
      <c r="A464" s="1612" t="s">
        <v>424</v>
      </c>
      <c r="B464" s="1619"/>
      <c r="C464" s="1614"/>
      <c r="D464" s="1620"/>
      <c r="E464" s="1616">
        <f>E29</f>
        <v>0</v>
      </c>
      <c r="F464" s="1616">
        <f>F29</f>
        <v>0</v>
      </c>
      <c r="G464" s="1616">
        <f>G29</f>
        <v>6000</v>
      </c>
      <c r="H464" s="1617">
        <v>0</v>
      </c>
      <c r="J464" s="1618">
        <v>0</v>
      </c>
      <c r="K464" s="1618">
        <v>0</v>
      </c>
      <c r="L464" s="1618">
        <v>6000000</v>
      </c>
    </row>
    <row r="465" spans="1:8" ht="15" x14ac:dyDescent="0.2">
      <c r="A465" s="1612"/>
      <c r="B465" s="1619"/>
      <c r="C465" s="1614"/>
      <c r="D465" s="1620"/>
      <c r="E465" s="1616"/>
      <c r="F465" s="1616"/>
      <c r="G465" s="1616"/>
      <c r="H465" s="1621"/>
    </row>
    <row r="466" spans="1:8" ht="57.75" customHeight="1" thickBot="1" x14ac:dyDescent="0.4">
      <c r="A466" s="3222" t="s">
        <v>1262</v>
      </c>
      <c r="B466" s="3223"/>
      <c r="C466" s="3223"/>
      <c r="D466" s="3223"/>
      <c r="E466" s="1622">
        <f>SUM(E461)</f>
        <v>0</v>
      </c>
      <c r="F466" s="1622">
        <f>SUM(F461)</f>
        <v>20192</v>
      </c>
      <c r="G466" s="1622">
        <f>SUM(G461)</f>
        <v>20710</v>
      </c>
      <c r="H466" s="1623">
        <f>(G466/F466)*100</f>
        <v>102.56537242472265</v>
      </c>
    </row>
    <row r="467" spans="1:8" ht="13.5" thickTop="1" x14ac:dyDescent="0.2"/>
  </sheetData>
  <mergeCells count="2">
    <mergeCell ref="A31:D31"/>
    <mergeCell ref="A466:D466"/>
  </mergeCells>
  <pageMargins left="0.70866141732283472" right="0.70866141732283472" top="0.78740157480314965" bottom="0.78740157480314965" header="0.31496062992125984" footer="0.31496062992125984"/>
  <pageSetup paperSize="9" scale="65" firstPageNumber="156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rowBreaks count="5" manualBreakCount="5">
    <brk id="73" max="7" man="1"/>
    <brk id="162" max="7" man="1"/>
    <brk id="236" max="7" man="1"/>
    <brk id="326" max="7" man="1"/>
    <brk id="396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 enableFormatConditionsCalculation="0">
    <tabColor rgb="FF00B0F0"/>
  </sheetPr>
  <dimension ref="A1:L50"/>
  <sheetViews>
    <sheetView showGridLines="0" view="pageBreakPreview" zoomScaleNormal="100" zoomScaleSheetLayoutView="100" workbookViewId="0">
      <selection activeCell="L17" sqref="L17"/>
    </sheetView>
  </sheetViews>
  <sheetFormatPr defaultColWidth="9.140625" defaultRowHeight="12.75" x14ac:dyDescent="0.2"/>
  <cols>
    <col min="1" max="1" width="4.7109375" style="598" customWidth="1"/>
    <col min="2" max="2" width="4.7109375" style="504" customWidth="1"/>
    <col min="3" max="3" width="8.5703125" style="504" customWidth="1"/>
    <col min="4" max="4" width="47.28515625" style="504" customWidth="1"/>
    <col min="5" max="5" width="15" style="467" customWidth="1"/>
    <col min="6" max="6" width="14.5703125" style="467" customWidth="1"/>
    <col min="7" max="7" width="13.5703125" style="467" customWidth="1"/>
    <col min="8" max="8" width="7.42578125" style="610" customWidth="1"/>
    <col min="9" max="9" width="9.140625" style="504"/>
    <col min="10" max="10" width="18.5703125" style="504" customWidth="1"/>
    <col min="11" max="11" width="17.140625" style="504" customWidth="1"/>
    <col min="12" max="12" width="19.42578125" style="504" customWidth="1"/>
    <col min="13" max="16384" width="9.140625" style="504"/>
  </cols>
  <sheetData>
    <row r="1" spans="1:9" ht="18.75" thickBot="1" x14ac:dyDescent="0.3">
      <c r="A1" s="448" t="s">
        <v>1121</v>
      </c>
      <c r="B1" s="449"/>
      <c r="C1" s="449"/>
      <c r="D1" s="460"/>
      <c r="E1" s="466"/>
      <c r="F1" s="452" t="s">
        <v>153</v>
      </c>
      <c r="I1" s="17"/>
    </row>
    <row r="2" spans="1:9" ht="12.75" customHeight="1" x14ac:dyDescent="0.25">
      <c r="A2" s="6"/>
      <c r="B2" s="28"/>
      <c r="C2" s="28"/>
      <c r="D2" s="10"/>
      <c r="E2" s="135"/>
      <c r="F2" s="135"/>
      <c r="G2" s="16"/>
      <c r="H2" s="191"/>
      <c r="I2" s="17"/>
    </row>
    <row r="3" spans="1:9" ht="12.75" customHeight="1" x14ac:dyDescent="0.25">
      <c r="A3" s="67" t="s">
        <v>336</v>
      </c>
      <c r="B3" s="28"/>
      <c r="C3" s="496" t="s">
        <v>1866</v>
      </c>
      <c r="D3" s="583"/>
      <c r="E3" s="135"/>
      <c r="F3" s="16"/>
      <c r="G3" s="17"/>
      <c r="H3" s="191"/>
    </row>
    <row r="4" spans="1:9" ht="12.75" customHeight="1" x14ac:dyDescent="0.25">
      <c r="A4" s="6"/>
      <c r="B4" s="28"/>
      <c r="C4" s="475" t="s">
        <v>314</v>
      </c>
      <c r="D4" s="613"/>
      <c r="E4" s="136"/>
      <c r="F4" s="16"/>
      <c r="G4" s="17"/>
      <c r="H4" s="191"/>
    </row>
    <row r="5" spans="1:9" ht="12.75" customHeight="1" x14ac:dyDescent="0.25">
      <c r="A5" s="6"/>
      <c r="B5" s="28"/>
      <c r="C5" s="475"/>
      <c r="D5" s="613"/>
      <c r="E5" s="136"/>
      <c r="F5" s="16"/>
      <c r="G5" s="17"/>
      <c r="H5" s="191"/>
    </row>
    <row r="6" spans="1:9" ht="18" x14ac:dyDescent="0.25">
      <c r="A6" s="33" t="s">
        <v>799</v>
      </c>
      <c r="B6" s="28"/>
      <c r="C6" s="28"/>
      <c r="D6" s="10"/>
      <c r="E6" s="135"/>
      <c r="F6" s="135"/>
      <c r="G6" s="16"/>
      <c r="H6" s="191"/>
      <c r="I6" s="17"/>
    </row>
    <row r="7" spans="1:9" ht="13.5" thickBot="1" x14ac:dyDescent="0.25">
      <c r="A7" s="584"/>
      <c r="B7" s="584"/>
      <c r="C7" s="584"/>
      <c r="D7" s="585"/>
      <c r="G7" s="783"/>
      <c r="H7" s="610" t="s">
        <v>148</v>
      </c>
    </row>
    <row r="8" spans="1:9" s="106" customFormat="1" ht="20.25" customHeight="1" thickTop="1" thickBot="1" x14ac:dyDescent="0.25">
      <c r="A8" s="586" t="s">
        <v>149</v>
      </c>
      <c r="B8" s="587" t="s">
        <v>150</v>
      </c>
      <c r="C8" s="589" t="s">
        <v>639</v>
      </c>
      <c r="D8" s="589" t="s">
        <v>151</v>
      </c>
      <c r="E8" s="589" t="s">
        <v>569</v>
      </c>
      <c r="F8" s="589" t="s">
        <v>570</v>
      </c>
      <c r="G8" s="589" t="s">
        <v>797</v>
      </c>
      <c r="H8" s="590" t="s">
        <v>798</v>
      </c>
    </row>
    <row r="9" spans="1:9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26">
        <v>5</v>
      </c>
      <c r="F9" s="512">
        <v>6</v>
      </c>
      <c r="G9" s="512">
        <v>7</v>
      </c>
      <c r="H9" s="591" t="s">
        <v>54</v>
      </c>
      <c r="I9" s="106"/>
    </row>
    <row r="10" spans="1:9" s="875" customFormat="1" ht="15.75" thickTop="1" x14ac:dyDescent="0.25">
      <c r="A10" s="219">
        <v>6172</v>
      </c>
      <c r="B10" s="879">
        <v>5163</v>
      </c>
      <c r="C10" s="1095"/>
      <c r="D10" s="928" t="s">
        <v>807</v>
      </c>
      <c r="E10" s="891">
        <v>33000</v>
      </c>
      <c r="F10" s="1085">
        <v>32700</v>
      </c>
      <c r="G10" s="363">
        <v>32184</v>
      </c>
      <c r="H10" s="1091">
        <f t="shared" ref="H10:H21" si="0">(G10/F10)*100</f>
        <v>98.422018348623851</v>
      </c>
    </row>
    <row r="11" spans="1:9" s="875" customFormat="1" ht="15" x14ac:dyDescent="0.25">
      <c r="A11" s="50">
        <v>6172</v>
      </c>
      <c r="B11" s="19">
        <v>5164</v>
      </c>
      <c r="C11" s="917"/>
      <c r="D11" s="876" t="s">
        <v>157</v>
      </c>
      <c r="E11" s="48">
        <v>20</v>
      </c>
      <c r="F11" s="166">
        <v>20</v>
      </c>
      <c r="G11" s="311">
        <v>18</v>
      </c>
      <c r="H11" s="881">
        <f>(G11/F11)*100</f>
        <v>90</v>
      </c>
    </row>
    <row r="12" spans="1:9" s="875" customFormat="1" ht="15" x14ac:dyDescent="0.25">
      <c r="A12" s="50">
        <v>6172</v>
      </c>
      <c r="B12" s="19">
        <v>5166</v>
      </c>
      <c r="C12" s="917"/>
      <c r="D12" s="876" t="s">
        <v>553</v>
      </c>
      <c r="E12" s="48">
        <f>E13</f>
        <v>1370</v>
      </c>
      <c r="F12" s="433">
        <f>F13+F14</f>
        <v>1797</v>
      </c>
      <c r="G12" s="433">
        <f>G13+G14</f>
        <v>1249</v>
      </c>
      <c r="H12" s="881">
        <f>(G12/F12)*100</f>
        <v>69.504730105731767</v>
      </c>
    </row>
    <row r="13" spans="1:9" s="875" customFormat="1" ht="14.25" x14ac:dyDescent="0.2">
      <c r="A13" s="50"/>
      <c r="B13" s="19"/>
      <c r="C13" s="888" t="s">
        <v>681</v>
      </c>
      <c r="D13" s="882" t="s">
        <v>1127</v>
      </c>
      <c r="E13" s="55">
        <v>1370</v>
      </c>
      <c r="F13" s="310">
        <v>1780</v>
      </c>
      <c r="G13" s="312">
        <v>1234</v>
      </c>
      <c r="H13" s="884">
        <f t="shared" si="0"/>
        <v>69.325842696629209</v>
      </c>
    </row>
    <row r="14" spans="1:9" s="875" customFormat="1" ht="15" x14ac:dyDescent="0.25">
      <c r="A14" s="50"/>
      <c r="B14" s="19"/>
      <c r="C14" s="888" t="s">
        <v>166</v>
      </c>
      <c r="D14" s="882" t="s">
        <v>603</v>
      </c>
      <c r="E14" s="48"/>
      <c r="F14" s="310">
        <v>17</v>
      </c>
      <c r="G14" s="312">
        <v>15</v>
      </c>
      <c r="H14" s="884">
        <f t="shared" si="0"/>
        <v>88.235294117647058</v>
      </c>
    </row>
    <row r="15" spans="1:9" s="875" customFormat="1" ht="15" x14ac:dyDescent="0.25">
      <c r="A15" s="50">
        <v>6172</v>
      </c>
      <c r="B15" s="19">
        <v>5169</v>
      </c>
      <c r="C15" s="917"/>
      <c r="D15" s="876" t="s">
        <v>769</v>
      </c>
      <c r="E15" s="48">
        <f>E16+E17</f>
        <v>150</v>
      </c>
      <c r="F15" s="48">
        <f t="shared" ref="F15:G15" si="1">F16+F17</f>
        <v>324</v>
      </c>
      <c r="G15" s="48">
        <f t="shared" si="1"/>
        <v>52</v>
      </c>
      <c r="H15" s="881">
        <f t="shared" si="0"/>
        <v>16.049382716049383</v>
      </c>
    </row>
    <row r="16" spans="1:9" s="875" customFormat="1" ht="14.25" x14ac:dyDescent="0.2">
      <c r="A16" s="50"/>
      <c r="B16" s="19"/>
      <c r="C16" s="888" t="s">
        <v>681</v>
      </c>
      <c r="D16" s="882" t="s">
        <v>1127</v>
      </c>
      <c r="E16" s="55">
        <v>150</v>
      </c>
      <c r="F16" s="310">
        <v>320</v>
      </c>
      <c r="G16" s="312">
        <v>50</v>
      </c>
      <c r="H16" s="884">
        <f t="shared" si="0"/>
        <v>15.625</v>
      </c>
    </row>
    <row r="17" spans="1:9" s="875" customFormat="1" ht="15" x14ac:dyDescent="0.25">
      <c r="A17" s="50"/>
      <c r="B17" s="19"/>
      <c r="C17" s="888" t="s">
        <v>166</v>
      </c>
      <c r="D17" s="882" t="s">
        <v>603</v>
      </c>
      <c r="E17" s="48"/>
      <c r="F17" s="310">
        <v>4</v>
      </c>
      <c r="G17" s="312">
        <v>2</v>
      </c>
      <c r="H17" s="884">
        <f t="shared" si="0"/>
        <v>50</v>
      </c>
    </row>
    <row r="18" spans="1:9" s="875" customFormat="1" ht="15" x14ac:dyDescent="0.25">
      <c r="A18" s="50">
        <v>6172</v>
      </c>
      <c r="B18" s="19">
        <v>5192</v>
      </c>
      <c r="C18" s="888"/>
      <c r="D18" s="876" t="s">
        <v>1102</v>
      </c>
      <c r="E18" s="48">
        <f>E19+E20</f>
        <v>1</v>
      </c>
      <c r="F18" s="48">
        <f t="shared" ref="F18:G18" si="2">F19+F20</f>
        <v>89</v>
      </c>
      <c r="G18" s="48">
        <f t="shared" si="2"/>
        <v>88</v>
      </c>
      <c r="H18" s="881">
        <v>0</v>
      </c>
    </row>
    <row r="19" spans="1:9" s="875" customFormat="1" ht="14.25" x14ac:dyDescent="0.2">
      <c r="A19" s="50"/>
      <c r="B19" s="19"/>
      <c r="C19" s="888" t="s">
        <v>681</v>
      </c>
      <c r="D19" s="882" t="s">
        <v>1127</v>
      </c>
      <c r="E19" s="55">
        <v>1</v>
      </c>
      <c r="F19" s="310">
        <v>1</v>
      </c>
      <c r="G19" s="312">
        <v>0</v>
      </c>
      <c r="H19" s="884">
        <v>0</v>
      </c>
    </row>
    <row r="20" spans="1:9" s="875" customFormat="1" ht="15" x14ac:dyDescent="0.25">
      <c r="A20" s="50"/>
      <c r="B20" s="19"/>
      <c r="C20" s="888" t="s">
        <v>166</v>
      </c>
      <c r="D20" s="882" t="s">
        <v>603</v>
      </c>
      <c r="E20" s="48"/>
      <c r="F20" s="310">
        <v>88</v>
      </c>
      <c r="G20" s="312">
        <v>88</v>
      </c>
      <c r="H20" s="884">
        <v>0</v>
      </c>
    </row>
    <row r="21" spans="1:9" s="875" customFormat="1" ht="15" x14ac:dyDescent="0.25">
      <c r="A21" s="50">
        <v>6172</v>
      </c>
      <c r="B21" s="19">
        <v>5362</v>
      </c>
      <c r="C21" s="916"/>
      <c r="D21" s="876" t="s">
        <v>680</v>
      </c>
      <c r="E21" s="48">
        <v>10</v>
      </c>
      <c r="F21" s="166">
        <v>460</v>
      </c>
      <c r="G21" s="311">
        <v>381</v>
      </c>
      <c r="H21" s="881">
        <f t="shared" si="0"/>
        <v>82.826086956521735</v>
      </c>
    </row>
    <row r="22" spans="1:9" s="875" customFormat="1" ht="15.75" thickBot="1" x14ac:dyDescent="0.3">
      <c r="A22" s="895">
        <v>6172</v>
      </c>
      <c r="B22" s="901">
        <v>5499</v>
      </c>
      <c r="C22" s="919"/>
      <c r="D22" s="918" t="s">
        <v>343</v>
      </c>
      <c r="E22" s="902">
        <v>2</v>
      </c>
      <c r="F22" s="431">
        <v>2</v>
      </c>
      <c r="G22" s="430">
        <v>0</v>
      </c>
      <c r="H22" s="1094">
        <f>(G22/F22)*100</f>
        <v>0</v>
      </c>
    </row>
    <row r="23" spans="1:9" s="356" customFormat="1" ht="35.25" customHeight="1" thickTop="1" thickBot="1" x14ac:dyDescent="0.3">
      <c r="A23" s="592" t="s">
        <v>225</v>
      </c>
      <c r="B23" s="593"/>
      <c r="C23" s="594"/>
      <c r="D23" s="595"/>
      <c r="E23" s="596">
        <f>E10+E11+E12+E15+E18+E21+E22</f>
        <v>34553</v>
      </c>
      <c r="F23" s="596">
        <f>F10+F11+F12+F15+F21+F22+F18</f>
        <v>35392</v>
      </c>
      <c r="G23" s="596">
        <f>G10+G11+G12+G15+G21+G22+G18</f>
        <v>33972</v>
      </c>
      <c r="H23" s="597">
        <f>(G23/F23)*100</f>
        <v>95.98779385171791</v>
      </c>
    </row>
    <row r="24" spans="1:9" s="849" customFormat="1" ht="12.75" customHeight="1" thickTop="1" x14ac:dyDescent="0.25">
      <c r="B24" s="850"/>
      <c r="C24" s="851"/>
      <c r="D24" s="852"/>
      <c r="E24" s="853"/>
      <c r="F24" s="853"/>
      <c r="G24" s="853"/>
      <c r="H24" s="854"/>
    </row>
    <row r="25" spans="1:9" s="611" customFormat="1" ht="15.75" x14ac:dyDescent="0.25">
      <c r="A25" s="33"/>
      <c r="E25" s="613"/>
      <c r="F25" s="613"/>
      <c r="G25" s="613"/>
      <c r="H25" s="614"/>
    </row>
    <row r="26" spans="1:9" s="611" customFormat="1" ht="15.75" x14ac:dyDescent="0.25">
      <c r="A26" s="33"/>
      <c r="E26" s="613"/>
      <c r="F26" s="613"/>
      <c r="G26" s="613"/>
      <c r="H26" s="614"/>
    </row>
    <row r="27" spans="1:9" s="611" customFormat="1" ht="15.75" x14ac:dyDescent="0.25">
      <c r="A27" s="33"/>
      <c r="E27" s="613"/>
      <c r="F27" s="613"/>
      <c r="G27" s="613"/>
      <c r="H27" s="614"/>
    </row>
    <row r="28" spans="1:9" s="611" customFormat="1" ht="15.75" x14ac:dyDescent="0.25">
      <c r="A28" s="33"/>
      <c r="E28" s="613"/>
      <c r="F28" s="613"/>
      <c r="G28" s="613"/>
      <c r="H28" s="614"/>
    </row>
    <row r="29" spans="1:9" s="611" customFormat="1" ht="15.75" x14ac:dyDescent="0.25">
      <c r="A29" s="33" t="s">
        <v>770</v>
      </c>
      <c r="E29" s="613"/>
      <c r="F29" s="613"/>
      <c r="G29" s="613"/>
      <c r="H29" s="614"/>
    </row>
    <row r="30" spans="1:9" s="611" customFormat="1" ht="16.5" thickBot="1" x14ac:dyDescent="0.3">
      <c r="A30" s="33"/>
      <c r="E30" s="613"/>
      <c r="F30" s="613"/>
      <c r="G30" s="613"/>
      <c r="H30" s="614" t="s">
        <v>1101</v>
      </c>
    </row>
    <row r="31" spans="1:9" s="106" customFormat="1" ht="20.25" customHeight="1" thickTop="1" thickBot="1" x14ac:dyDescent="0.25">
      <c r="A31" s="586" t="s">
        <v>149</v>
      </c>
      <c r="B31" s="587" t="s">
        <v>150</v>
      </c>
      <c r="C31" s="589" t="s">
        <v>639</v>
      </c>
      <c r="D31" s="589" t="s">
        <v>151</v>
      </c>
      <c r="E31" s="589" t="s">
        <v>569</v>
      </c>
      <c r="F31" s="589" t="s">
        <v>570</v>
      </c>
      <c r="G31" s="589" t="s">
        <v>797</v>
      </c>
      <c r="H31" s="590" t="s">
        <v>798</v>
      </c>
    </row>
    <row r="32" spans="1:9" s="375" customFormat="1" ht="13.5" thickTop="1" thickBot="1" x14ac:dyDescent="0.25">
      <c r="A32" s="525">
        <v>1</v>
      </c>
      <c r="B32" s="526">
        <v>2</v>
      </c>
      <c r="C32" s="526">
        <v>3</v>
      </c>
      <c r="D32" s="526">
        <v>4</v>
      </c>
      <c r="E32" s="526">
        <v>5</v>
      </c>
      <c r="F32" s="512">
        <v>6</v>
      </c>
      <c r="G32" s="512">
        <v>7</v>
      </c>
      <c r="H32" s="591" t="s">
        <v>54</v>
      </c>
      <c r="I32" s="106"/>
    </row>
    <row r="33" spans="1:12" s="375" customFormat="1" ht="15.75" thickTop="1" x14ac:dyDescent="0.25">
      <c r="A33" s="50">
        <v>6172</v>
      </c>
      <c r="B33" s="1899">
        <v>6121</v>
      </c>
      <c r="C33" s="888"/>
      <c r="D33" s="876" t="s">
        <v>548</v>
      </c>
      <c r="E33" s="48">
        <f>E34</f>
        <v>0</v>
      </c>
      <c r="F33" s="433">
        <f>F34</f>
        <v>1665</v>
      </c>
      <c r="G33" s="433">
        <f>G34</f>
        <v>1665</v>
      </c>
      <c r="H33" s="881">
        <f>(G33/F33)*100</f>
        <v>100</v>
      </c>
      <c r="I33" s="106"/>
    </row>
    <row r="34" spans="1:12" s="375" customFormat="1" ht="14.25" x14ac:dyDescent="0.2">
      <c r="A34" s="719"/>
      <c r="B34" s="864"/>
      <c r="C34" s="888" t="s">
        <v>166</v>
      </c>
      <c r="D34" s="882" t="s">
        <v>603</v>
      </c>
      <c r="E34" s="55"/>
      <c r="F34" s="310">
        <v>1665</v>
      </c>
      <c r="G34" s="312">
        <v>1665</v>
      </c>
      <c r="H34" s="884">
        <f t="shared" ref="H34" si="3">(G34/F34)*100</f>
        <v>100</v>
      </c>
      <c r="I34" s="106"/>
    </row>
    <row r="35" spans="1:12" s="875" customFormat="1" ht="15.75" x14ac:dyDescent="0.25">
      <c r="A35" s="34">
        <v>6172</v>
      </c>
      <c r="B35" s="905">
        <v>6130</v>
      </c>
      <c r="C35" s="916"/>
      <c r="D35" s="876" t="s">
        <v>773</v>
      </c>
      <c r="E35" s="48">
        <f>E36</f>
        <v>583</v>
      </c>
      <c r="F35" s="433">
        <f>F36+F37+F38+F39</f>
        <v>2620</v>
      </c>
      <c r="G35" s="433">
        <f>G36+G37+G38+G39</f>
        <v>2149</v>
      </c>
      <c r="H35" s="881">
        <f t="shared" ref="H35:H40" si="4">(G35/F35)*100</f>
        <v>82.022900763358777</v>
      </c>
      <c r="J35" s="912"/>
    </row>
    <row r="36" spans="1:12" s="875" customFormat="1" ht="15" x14ac:dyDescent="0.2">
      <c r="A36" s="34"/>
      <c r="B36" s="905"/>
      <c r="C36" s="916" t="s">
        <v>681</v>
      </c>
      <c r="D36" s="882" t="s">
        <v>604</v>
      </c>
      <c r="E36" s="55">
        <v>583</v>
      </c>
      <c r="F36" s="310">
        <v>1387</v>
      </c>
      <c r="G36" s="312">
        <v>1062</v>
      </c>
      <c r="H36" s="884">
        <f t="shared" si="4"/>
        <v>76.568132660418158</v>
      </c>
      <c r="J36" s="890"/>
    </row>
    <row r="37" spans="1:12" s="875" customFormat="1" ht="15" x14ac:dyDescent="0.2">
      <c r="A37" s="34"/>
      <c r="B37" s="905"/>
      <c r="C37" s="888" t="s">
        <v>167</v>
      </c>
      <c r="D37" s="882" t="s">
        <v>645</v>
      </c>
      <c r="E37" s="55"/>
      <c r="F37" s="310">
        <v>84</v>
      </c>
      <c r="G37" s="312">
        <v>81</v>
      </c>
      <c r="H37" s="884">
        <f t="shared" si="4"/>
        <v>96.428571428571431</v>
      </c>
      <c r="J37" s="890"/>
    </row>
    <row r="38" spans="1:12" s="875" customFormat="1" ht="15" x14ac:dyDescent="0.2">
      <c r="A38" s="34"/>
      <c r="B38" s="905"/>
      <c r="C38" s="888" t="s">
        <v>166</v>
      </c>
      <c r="D38" s="882" t="s">
        <v>603</v>
      </c>
      <c r="E38" s="55"/>
      <c r="F38" s="310">
        <v>1019</v>
      </c>
      <c r="G38" s="312">
        <v>876</v>
      </c>
      <c r="H38" s="884">
        <f t="shared" si="4"/>
        <v>85.966633954857713</v>
      </c>
      <c r="J38" s="890"/>
    </row>
    <row r="39" spans="1:12" s="875" customFormat="1" ht="15.75" thickBot="1" x14ac:dyDescent="0.25">
      <c r="A39" s="911"/>
      <c r="B39" s="908"/>
      <c r="C39" s="900" t="s">
        <v>484</v>
      </c>
      <c r="D39" s="1050" t="s">
        <v>485</v>
      </c>
      <c r="E39" s="914"/>
      <c r="F39" s="428">
        <v>130</v>
      </c>
      <c r="G39" s="429">
        <v>130</v>
      </c>
      <c r="H39" s="1093">
        <f t="shared" si="4"/>
        <v>100</v>
      </c>
      <c r="J39" s="890"/>
    </row>
    <row r="40" spans="1:12" s="356" customFormat="1" ht="35.25" customHeight="1" thickTop="1" thickBot="1" x14ac:dyDescent="0.3">
      <c r="A40" s="592" t="s">
        <v>224</v>
      </c>
      <c r="B40" s="593"/>
      <c r="C40" s="594"/>
      <c r="D40" s="595"/>
      <c r="E40" s="596">
        <f>E35</f>
        <v>583</v>
      </c>
      <c r="F40" s="596">
        <f>F35+F33</f>
        <v>4285</v>
      </c>
      <c r="G40" s="596">
        <f>G35+G33</f>
        <v>3814</v>
      </c>
      <c r="H40" s="608">
        <f t="shared" si="4"/>
        <v>89.008168028004661</v>
      </c>
    </row>
    <row r="41" spans="1:12" ht="15.75" thickTop="1" x14ac:dyDescent="0.25">
      <c r="A41" s="647"/>
      <c r="B41" s="137"/>
      <c r="C41" s="137"/>
      <c r="D41" s="647"/>
      <c r="E41" s="178"/>
      <c r="F41" s="741"/>
      <c r="G41" s="178"/>
      <c r="H41" s="210"/>
    </row>
    <row r="42" spans="1:12" s="611" customFormat="1" ht="16.5" x14ac:dyDescent="0.25">
      <c r="A42" s="357" t="s">
        <v>438</v>
      </c>
      <c r="B42" s="358"/>
      <c r="C42" s="359"/>
      <c r="D42" s="359"/>
      <c r="E42" s="855">
        <f>E43+E44+E45+E46</f>
        <v>35136</v>
      </c>
      <c r="F42" s="855">
        <f>F43+F44+F45+F46</f>
        <v>39677</v>
      </c>
      <c r="G42" s="855">
        <f>G43+G44+G45+G46</f>
        <v>37786</v>
      </c>
      <c r="H42" s="660">
        <f>(G42/F42)*100</f>
        <v>95.234014668447713</v>
      </c>
      <c r="J42" s="1611">
        <f>SUM(J43:J47)</f>
        <v>35136000</v>
      </c>
      <c r="K42" s="1611">
        <f t="shared" ref="K42:L42" si="5">SUM(K43:K47)</f>
        <v>39676911</v>
      </c>
      <c r="L42" s="1611">
        <f t="shared" si="5"/>
        <v>37784739.640000001</v>
      </c>
    </row>
    <row r="43" spans="1:12" ht="15" x14ac:dyDescent="0.2">
      <c r="A43" s="520" t="s">
        <v>242</v>
      </c>
      <c r="B43" s="542"/>
      <c r="C43" s="543"/>
      <c r="D43" s="543"/>
      <c r="E43" s="856">
        <f>E23</f>
        <v>34553</v>
      </c>
      <c r="F43" s="856">
        <f>F23-F45</f>
        <v>35392</v>
      </c>
      <c r="G43" s="856">
        <f>G23-G45</f>
        <v>33972</v>
      </c>
      <c r="H43" s="661">
        <f>(G43/F43)*100</f>
        <v>95.98779385171791</v>
      </c>
      <c r="J43" s="1437">
        <v>34553000</v>
      </c>
      <c r="K43" s="1437">
        <v>35392221</v>
      </c>
      <c r="L43" s="1437">
        <v>33971475.119999997</v>
      </c>
    </row>
    <row r="44" spans="1:12" ht="15" x14ac:dyDescent="0.2">
      <c r="A44" s="520" t="s">
        <v>243</v>
      </c>
      <c r="B44" s="547"/>
      <c r="C44" s="543"/>
      <c r="D44" s="543"/>
      <c r="E44" s="779">
        <f>E40</f>
        <v>583</v>
      </c>
      <c r="F44" s="779">
        <f>F40-F46</f>
        <v>4155</v>
      </c>
      <c r="G44" s="779">
        <f>G40-G46</f>
        <v>3684</v>
      </c>
      <c r="H44" s="661">
        <f>(G44/F44)*100</f>
        <v>88.664259927797843</v>
      </c>
      <c r="J44" s="1437">
        <v>583000</v>
      </c>
      <c r="K44" s="1437">
        <f>4284690-K46</f>
        <v>4154570</v>
      </c>
      <c r="L44" s="1437">
        <f>3813264.52-L46</f>
        <v>3683144.52</v>
      </c>
    </row>
    <row r="45" spans="1:12" ht="15" x14ac:dyDescent="0.2">
      <c r="A45" s="520" t="s">
        <v>191</v>
      </c>
      <c r="B45" s="547"/>
      <c r="C45" s="543"/>
      <c r="D45" s="543"/>
      <c r="E45" s="778">
        <v>0</v>
      </c>
      <c r="F45" s="545">
        <v>0</v>
      </c>
      <c r="G45" s="545">
        <v>0</v>
      </c>
      <c r="H45" s="661">
        <v>0</v>
      </c>
      <c r="J45" s="1437">
        <v>0</v>
      </c>
      <c r="K45" s="1437">
        <v>0</v>
      </c>
      <c r="L45" s="1437">
        <v>0</v>
      </c>
    </row>
    <row r="46" spans="1:12" ht="15" x14ac:dyDescent="0.2">
      <c r="A46" s="520" t="s">
        <v>1034</v>
      </c>
      <c r="B46" s="547"/>
      <c r="C46" s="543"/>
      <c r="D46" s="543"/>
      <c r="E46" s="778">
        <v>0</v>
      </c>
      <c r="F46" s="549">
        <f>F39</f>
        <v>130</v>
      </c>
      <c r="G46" s="549">
        <f>G39</f>
        <v>130</v>
      </c>
      <c r="H46" s="661">
        <f>(G46/F46)*100</f>
        <v>100</v>
      </c>
      <c r="J46" s="1437">
        <v>0</v>
      </c>
      <c r="K46" s="1437">
        <v>130120</v>
      </c>
      <c r="L46" s="1437">
        <v>130120</v>
      </c>
    </row>
    <row r="47" spans="1:12" ht="15.75" x14ac:dyDescent="0.25">
      <c r="A47" s="647"/>
      <c r="B47" s="137"/>
      <c r="C47" s="137"/>
      <c r="D47" s="647"/>
      <c r="E47" s="178"/>
      <c r="F47" s="741"/>
      <c r="G47" s="178"/>
      <c r="H47" s="210"/>
      <c r="J47" s="1437"/>
      <c r="K47" s="1437"/>
      <c r="L47" s="1437"/>
    </row>
    <row r="49" spans="1:8" s="58" customFormat="1" ht="47.25" customHeight="1" thickBot="1" x14ac:dyDescent="0.4">
      <c r="A49" s="603" t="s">
        <v>1066</v>
      </c>
      <c r="B49" s="604"/>
      <c r="C49" s="605"/>
      <c r="D49" s="606"/>
      <c r="E49" s="550">
        <f>SUM(E23,E40)</f>
        <v>35136</v>
      </c>
      <c r="F49" s="550">
        <f>SUM(F23,F40)</f>
        <v>39677</v>
      </c>
      <c r="G49" s="550">
        <f>SUM(G23,G40)</f>
        <v>37786</v>
      </c>
      <c r="H49" s="646">
        <f>(G49/F49)*100</f>
        <v>95.234014668447713</v>
      </c>
    </row>
    <row r="50" spans="1:8" ht="13.5" thickTop="1" x14ac:dyDescent="0.2"/>
  </sheetData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29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27"/>
  <sheetViews>
    <sheetView view="pageBreakPreview" zoomScaleNormal="100" zoomScaleSheetLayoutView="100" workbookViewId="0">
      <selection activeCell="D474" sqref="D474"/>
    </sheetView>
  </sheetViews>
  <sheetFormatPr defaultRowHeight="12.75" x14ac:dyDescent="0.2"/>
  <cols>
    <col min="1" max="1" width="5.5703125" style="1551" customWidth="1"/>
    <col min="2" max="2" width="6.7109375" style="1551" customWidth="1"/>
    <col min="3" max="3" width="9.85546875" style="1551" customWidth="1"/>
    <col min="4" max="4" width="47.85546875" style="1551" customWidth="1"/>
    <col min="5" max="5" width="15.42578125" style="1551" customWidth="1"/>
    <col min="6" max="6" width="15.5703125" style="1551" customWidth="1"/>
    <col min="7" max="7" width="15.85546875" style="1551" customWidth="1"/>
    <col min="8" max="8" width="8.42578125" style="1551" customWidth="1"/>
    <col min="9" max="11" width="9.140625" style="1551"/>
    <col min="12" max="12" width="18.42578125" style="1551" customWidth="1"/>
    <col min="13" max="13" width="16" style="1551" bestFit="1" customWidth="1"/>
    <col min="14" max="256" width="9.140625" style="1551"/>
    <col min="257" max="257" width="4.7109375" style="1551" customWidth="1"/>
    <col min="258" max="258" width="6.7109375" style="1551" customWidth="1"/>
    <col min="259" max="259" width="8.85546875" style="1551" customWidth="1"/>
    <col min="260" max="260" width="47.85546875" style="1551" customWidth="1"/>
    <col min="261" max="261" width="12.85546875" style="1551" customWidth="1"/>
    <col min="262" max="262" width="15.5703125" style="1551" customWidth="1"/>
    <col min="263" max="263" width="15.85546875" style="1551" customWidth="1"/>
    <col min="264" max="264" width="6.42578125" style="1551" customWidth="1"/>
    <col min="265" max="267" width="9.140625" style="1551"/>
    <col min="268" max="268" width="18.42578125" style="1551" customWidth="1"/>
    <col min="269" max="269" width="16" style="1551" bestFit="1" customWidth="1"/>
    <col min="270" max="512" width="9.140625" style="1551"/>
    <col min="513" max="513" width="4.7109375" style="1551" customWidth="1"/>
    <col min="514" max="514" width="6.7109375" style="1551" customWidth="1"/>
    <col min="515" max="515" width="8.85546875" style="1551" customWidth="1"/>
    <col min="516" max="516" width="47.85546875" style="1551" customWidth="1"/>
    <col min="517" max="517" width="12.85546875" style="1551" customWidth="1"/>
    <col min="518" max="518" width="15.5703125" style="1551" customWidth="1"/>
    <col min="519" max="519" width="15.85546875" style="1551" customWidth="1"/>
    <col min="520" max="520" width="6.42578125" style="1551" customWidth="1"/>
    <col min="521" max="523" width="9.140625" style="1551"/>
    <col min="524" max="524" width="18.42578125" style="1551" customWidth="1"/>
    <col min="525" max="525" width="16" style="1551" bestFit="1" customWidth="1"/>
    <col min="526" max="768" width="9.140625" style="1551"/>
    <col min="769" max="769" width="4.7109375" style="1551" customWidth="1"/>
    <col min="770" max="770" width="6.7109375" style="1551" customWidth="1"/>
    <col min="771" max="771" width="8.85546875" style="1551" customWidth="1"/>
    <col min="772" max="772" width="47.85546875" style="1551" customWidth="1"/>
    <col min="773" max="773" width="12.85546875" style="1551" customWidth="1"/>
    <col min="774" max="774" width="15.5703125" style="1551" customWidth="1"/>
    <col min="775" max="775" width="15.85546875" style="1551" customWidth="1"/>
    <col min="776" max="776" width="6.42578125" style="1551" customWidth="1"/>
    <col min="777" max="779" width="9.140625" style="1551"/>
    <col min="780" max="780" width="18.42578125" style="1551" customWidth="1"/>
    <col min="781" max="781" width="16" style="1551" bestFit="1" customWidth="1"/>
    <col min="782" max="1024" width="9.140625" style="1551"/>
    <col min="1025" max="1025" width="4.7109375" style="1551" customWidth="1"/>
    <col min="1026" max="1026" width="6.7109375" style="1551" customWidth="1"/>
    <col min="1027" max="1027" width="8.85546875" style="1551" customWidth="1"/>
    <col min="1028" max="1028" width="47.85546875" style="1551" customWidth="1"/>
    <col min="1029" max="1029" width="12.85546875" style="1551" customWidth="1"/>
    <col min="1030" max="1030" width="15.5703125" style="1551" customWidth="1"/>
    <col min="1031" max="1031" width="15.85546875" style="1551" customWidth="1"/>
    <col min="1032" max="1032" width="6.42578125" style="1551" customWidth="1"/>
    <col min="1033" max="1035" width="9.140625" style="1551"/>
    <col min="1036" max="1036" width="18.42578125" style="1551" customWidth="1"/>
    <col min="1037" max="1037" width="16" style="1551" bestFit="1" customWidth="1"/>
    <col min="1038" max="1280" width="9.140625" style="1551"/>
    <col min="1281" max="1281" width="4.7109375" style="1551" customWidth="1"/>
    <col min="1282" max="1282" width="6.7109375" style="1551" customWidth="1"/>
    <col min="1283" max="1283" width="8.85546875" style="1551" customWidth="1"/>
    <col min="1284" max="1284" width="47.85546875" style="1551" customWidth="1"/>
    <col min="1285" max="1285" width="12.85546875" style="1551" customWidth="1"/>
    <col min="1286" max="1286" width="15.5703125" style="1551" customWidth="1"/>
    <col min="1287" max="1287" width="15.85546875" style="1551" customWidth="1"/>
    <col min="1288" max="1288" width="6.42578125" style="1551" customWidth="1"/>
    <col min="1289" max="1291" width="9.140625" style="1551"/>
    <col min="1292" max="1292" width="18.42578125" style="1551" customWidth="1"/>
    <col min="1293" max="1293" width="16" style="1551" bestFit="1" customWidth="1"/>
    <col min="1294" max="1536" width="9.140625" style="1551"/>
    <col min="1537" max="1537" width="4.7109375" style="1551" customWidth="1"/>
    <col min="1538" max="1538" width="6.7109375" style="1551" customWidth="1"/>
    <col min="1539" max="1539" width="8.85546875" style="1551" customWidth="1"/>
    <col min="1540" max="1540" width="47.85546875" style="1551" customWidth="1"/>
    <col min="1541" max="1541" width="12.85546875" style="1551" customWidth="1"/>
    <col min="1542" max="1542" width="15.5703125" style="1551" customWidth="1"/>
    <col min="1543" max="1543" width="15.85546875" style="1551" customWidth="1"/>
    <col min="1544" max="1544" width="6.42578125" style="1551" customWidth="1"/>
    <col min="1545" max="1547" width="9.140625" style="1551"/>
    <col min="1548" max="1548" width="18.42578125" style="1551" customWidth="1"/>
    <col min="1549" max="1549" width="16" style="1551" bestFit="1" customWidth="1"/>
    <col min="1550" max="1792" width="9.140625" style="1551"/>
    <col min="1793" max="1793" width="4.7109375" style="1551" customWidth="1"/>
    <col min="1794" max="1794" width="6.7109375" style="1551" customWidth="1"/>
    <col min="1795" max="1795" width="8.85546875" style="1551" customWidth="1"/>
    <col min="1796" max="1796" width="47.85546875" style="1551" customWidth="1"/>
    <col min="1797" max="1797" width="12.85546875" style="1551" customWidth="1"/>
    <col min="1798" max="1798" width="15.5703125" style="1551" customWidth="1"/>
    <col min="1799" max="1799" width="15.85546875" style="1551" customWidth="1"/>
    <col min="1800" max="1800" width="6.42578125" style="1551" customWidth="1"/>
    <col min="1801" max="1803" width="9.140625" style="1551"/>
    <col min="1804" max="1804" width="18.42578125" style="1551" customWidth="1"/>
    <col min="1805" max="1805" width="16" style="1551" bestFit="1" customWidth="1"/>
    <col min="1806" max="2048" width="9.140625" style="1551"/>
    <col min="2049" max="2049" width="4.7109375" style="1551" customWidth="1"/>
    <col min="2050" max="2050" width="6.7109375" style="1551" customWidth="1"/>
    <col min="2051" max="2051" width="8.85546875" style="1551" customWidth="1"/>
    <col min="2052" max="2052" width="47.85546875" style="1551" customWidth="1"/>
    <col min="2053" max="2053" width="12.85546875" style="1551" customWidth="1"/>
    <col min="2054" max="2054" width="15.5703125" style="1551" customWidth="1"/>
    <col min="2055" max="2055" width="15.85546875" style="1551" customWidth="1"/>
    <col min="2056" max="2056" width="6.42578125" style="1551" customWidth="1"/>
    <col min="2057" max="2059" width="9.140625" style="1551"/>
    <col min="2060" max="2060" width="18.42578125" style="1551" customWidth="1"/>
    <col min="2061" max="2061" width="16" style="1551" bestFit="1" customWidth="1"/>
    <col min="2062" max="2304" width="9.140625" style="1551"/>
    <col min="2305" max="2305" width="4.7109375" style="1551" customWidth="1"/>
    <col min="2306" max="2306" width="6.7109375" style="1551" customWidth="1"/>
    <col min="2307" max="2307" width="8.85546875" style="1551" customWidth="1"/>
    <col min="2308" max="2308" width="47.85546875" style="1551" customWidth="1"/>
    <col min="2309" max="2309" width="12.85546875" style="1551" customWidth="1"/>
    <col min="2310" max="2310" width="15.5703125" style="1551" customWidth="1"/>
    <col min="2311" max="2311" width="15.85546875" style="1551" customWidth="1"/>
    <col min="2312" max="2312" width="6.42578125" style="1551" customWidth="1"/>
    <col min="2313" max="2315" width="9.140625" style="1551"/>
    <col min="2316" max="2316" width="18.42578125" style="1551" customWidth="1"/>
    <col min="2317" max="2317" width="16" style="1551" bestFit="1" customWidth="1"/>
    <col min="2318" max="2560" width="9.140625" style="1551"/>
    <col min="2561" max="2561" width="4.7109375" style="1551" customWidth="1"/>
    <col min="2562" max="2562" width="6.7109375" style="1551" customWidth="1"/>
    <col min="2563" max="2563" width="8.85546875" style="1551" customWidth="1"/>
    <col min="2564" max="2564" width="47.85546875" style="1551" customWidth="1"/>
    <col min="2565" max="2565" width="12.85546875" style="1551" customWidth="1"/>
    <col min="2566" max="2566" width="15.5703125" style="1551" customWidth="1"/>
    <col min="2567" max="2567" width="15.85546875" style="1551" customWidth="1"/>
    <col min="2568" max="2568" width="6.42578125" style="1551" customWidth="1"/>
    <col min="2569" max="2571" width="9.140625" style="1551"/>
    <col min="2572" max="2572" width="18.42578125" style="1551" customWidth="1"/>
    <col min="2573" max="2573" width="16" style="1551" bestFit="1" customWidth="1"/>
    <col min="2574" max="2816" width="9.140625" style="1551"/>
    <col min="2817" max="2817" width="4.7109375" style="1551" customWidth="1"/>
    <col min="2818" max="2818" width="6.7109375" style="1551" customWidth="1"/>
    <col min="2819" max="2819" width="8.85546875" style="1551" customWidth="1"/>
    <col min="2820" max="2820" width="47.85546875" style="1551" customWidth="1"/>
    <col min="2821" max="2821" width="12.85546875" style="1551" customWidth="1"/>
    <col min="2822" max="2822" width="15.5703125" style="1551" customWidth="1"/>
    <col min="2823" max="2823" width="15.85546875" style="1551" customWidth="1"/>
    <col min="2824" max="2824" width="6.42578125" style="1551" customWidth="1"/>
    <col min="2825" max="2827" width="9.140625" style="1551"/>
    <col min="2828" max="2828" width="18.42578125" style="1551" customWidth="1"/>
    <col min="2829" max="2829" width="16" style="1551" bestFit="1" customWidth="1"/>
    <col min="2830" max="3072" width="9.140625" style="1551"/>
    <col min="3073" max="3073" width="4.7109375" style="1551" customWidth="1"/>
    <col min="3074" max="3074" width="6.7109375" style="1551" customWidth="1"/>
    <col min="3075" max="3075" width="8.85546875" style="1551" customWidth="1"/>
    <col min="3076" max="3076" width="47.85546875" style="1551" customWidth="1"/>
    <col min="3077" max="3077" width="12.85546875" style="1551" customWidth="1"/>
    <col min="3078" max="3078" width="15.5703125" style="1551" customWidth="1"/>
    <col min="3079" max="3079" width="15.85546875" style="1551" customWidth="1"/>
    <col min="3080" max="3080" width="6.42578125" style="1551" customWidth="1"/>
    <col min="3081" max="3083" width="9.140625" style="1551"/>
    <col min="3084" max="3084" width="18.42578125" style="1551" customWidth="1"/>
    <col min="3085" max="3085" width="16" style="1551" bestFit="1" customWidth="1"/>
    <col min="3086" max="3328" width="9.140625" style="1551"/>
    <col min="3329" max="3329" width="4.7109375" style="1551" customWidth="1"/>
    <col min="3330" max="3330" width="6.7109375" style="1551" customWidth="1"/>
    <col min="3331" max="3331" width="8.85546875" style="1551" customWidth="1"/>
    <col min="3332" max="3332" width="47.85546875" style="1551" customWidth="1"/>
    <col min="3333" max="3333" width="12.85546875" style="1551" customWidth="1"/>
    <col min="3334" max="3334" width="15.5703125" style="1551" customWidth="1"/>
    <col min="3335" max="3335" width="15.85546875" style="1551" customWidth="1"/>
    <col min="3336" max="3336" width="6.42578125" style="1551" customWidth="1"/>
    <col min="3337" max="3339" width="9.140625" style="1551"/>
    <col min="3340" max="3340" width="18.42578125" style="1551" customWidth="1"/>
    <col min="3341" max="3341" width="16" style="1551" bestFit="1" customWidth="1"/>
    <col min="3342" max="3584" width="9.140625" style="1551"/>
    <col min="3585" max="3585" width="4.7109375" style="1551" customWidth="1"/>
    <col min="3586" max="3586" width="6.7109375" style="1551" customWidth="1"/>
    <col min="3587" max="3587" width="8.85546875" style="1551" customWidth="1"/>
    <col min="3588" max="3588" width="47.85546875" style="1551" customWidth="1"/>
    <col min="3589" max="3589" width="12.85546875" style="1551" customWidth="1"/>
    <col min="3590" max="3590" width="15.5703125" style="1551" customWidth="1"/>
    <col min="3591" max="3591" width="15.85546875" style="1551" customWidth="1"/>
    <col min="3592" max="3592" width="6.42578125" style="1551" customWidth="1"/>
    <col min="3593" max="3595" width="9.140625" style="1551"/>
    <col min="3596" max="3596" width="18.42578125" style="1551" customWidth="1"/>
    <col min="3597" max="3597" width="16" style="1551" bestFit="1" customWidth="1"/>
    <col min="3598" max="3840" width="9.140625" style="1551"/>
    <col min="3841" max="3841" width="4.7109375" style="1551" customWidth="1"/>
    <col min="3842" max="3842" width="6.7109375" style="1551" customWidth="1"/>
    <col min="3843" max="3843" width="8.85546875" style="1551" customWidth="1"/>
    <col min="3844" max="3844" width="47.85546875" style="1551" customWidth="1"/>
    <col min="3845" max="3845" width="12.85546875" style="1551" customWidth="1"/>
    <col min="3846" max="3846" width="15.5703125" style="1551" customWidth="1"/>
    <col min="3847" max="3847" width="15.85546875" style="1551" customWidth="1"/>
    <col min="3848" max="3848" width="6.42578125" style="1551" customWidth="1"/>
    <col min="3849" max="3851" width="9.140625" style="1551"/>
    <col min="3852" max="3852" width="18.42578125" style="1551" customWidth="1"/>
    <col min="3853" max="3853" width="16" style="1551" bestFit="1" customWidth="1"/>
    <col min="3854" max="4096" width="9.140625" style="1551"/>
    <col min="4097" max="4097" width="4.7109375" style="1551" customWidth="1"/>
    <col min="4098" max="4098" width="6.7109375" style="1551" customWidth="1"/>
    <col min="4099" max="4099" width="8.85546875" style="1551" customWidth="1"/>
    <col min="4100" max="4100" width="47.85546875" style="1551" customWidth="1"/>
    <col min="4101" max="4101" width="12.85546875" style="1551" customWidth="1"/>
    <col min="4102" max="4102" width="15.5703125" style="1551" customWidth="1"/>
    <col min="4103" max="4103" width="15.85546875" style="1551" customWidth="1"/>
    <col min="4104" max="4104" width="6.42578125" style="1551" customWidth="1"/>
    <col min="4105" max="4107" width="9.140625" style="1551"/>
    <col min="4108" max="4108" width="18.42578125" style="1551" customWidth="1"/>
    <col min="4109" max="4109" width="16" style="1551" bestFit="1" customWidth="1"/>
    <col min="4110" max="4352" width="9.140625" style="1551"/>
    <col min="4353" max="4353" width="4.7109375" style="1551" customWidth="1"/>
    <col min="4354" max="4354" width="6.7109375" style="1551" customWidth="1"/>
    <col min="4355" max="4355" width="8.85546875" style="1551" customWidth="1"/>
    <col min="4356" max="4356" width="47.85546875" style="1551" customWidth="1"/>
    <col min="4357" max="4357" width="12.85546875" style="1551" customWidth="1"/>
    <col min="4358" max="4358" width="15.5703125" style="1551" customWidth="1"/>
    <col min="4359" max="4359" width="15.85546875" style="1551" customWidth="1"/>
    <col min="4360" max="4360" width="6.42578125" style="1551" customWidth="1"/>
    <col min="4361" max="4363" width="9.140625" style="1551"/>
    <col min="4364" max="4364" width="18.42578125" style="1551" customWidth="1"/>
    <col min="4365" max="4365" width="16" style="1551" bestFit="1" customWidth="1"/>
    <col min="4366" max="4608" width="9.140625" style="1551"/>
    <col min="4609" max="4609" width="4.7109375" style="1551" customWidth="1"/>
    <col min="4610" max="4610" width="6.7109375" style="1551" customWidth="1"/>
    <col min="4611" max="4611" width="8.85546875" style="1551" customWidth="1"/>
    <col min="4612" max="4612" width="47.85546875" style="1551" customWidth="1"/>
    <col min="4613" max="4613" width="12.85546875" style="1551" customWidth="1"/>
    <col min="4614" max="4614" width="15.5703125" style="1551" customWidth="1"/>
    <col min="4615" max="4615" width="15.85546875" style="1551" customWidth="1"/>
    <col min="4616" max="4616" width="6.42578125" style="1551" customWidth="1"/>
    <col min="4617" max="4619" width="9.140625" style="1551"/>
    <col min="4620" max="4620" width="18.42578125" style="1551" customWidth="1"/>
    <col min="4621" max="4621" width="16" style="1551" bestFit="1" customWidth="1"/>
    <col min="4622" max="4864" width="9.140625" style="1551"/>
    <col min="4865" max="4865" width="4.7109375" style="1551" customWidth="1"/>
    <col min="4866" max="4866" width="6.7109375" style="1551" customWidth="1"/>
    <col min="4867" max="4867" width="8.85546875" style="1551" customWidth="1"/>
    <col min="4868" max="4868" width="47.85546875" style="1551" customWidth="1"/>
    <col min="4869" max="4869" width="12.85546875" style="1551" customWidth="1"/>
    <col min="4870" max="4870" width="15.5703125" style="1551" customWidth="1"/>
    <col min="4871" max="4871" width="15.85546875" style="1551" customWidth="1"/>
    <col min="4872" max="4872" width="6.42578125" style="1551" customWidth="1"/>
    <col min="4873" max="4875" width="9.140625" style="1551"/>
    <col min="4876" max="4876" width="18.42578125" style="1551" customWidth="1"/>
    <col min="4877" max="4877" width="16" style="1551" bestFit="1" customWidth="1"/>
    <col min="4878" max="5120" width="9.140625" style="1551"/>
    <col min="5121" max="5121" width="4.7109375" style="1551" customWidth="1"/>
    <col min="5122" max="5122" width="6.7109375" style="1551" customWidth="1"/>
    <col min="5123" max="5123" width="8.85546875" style="1551" customWidth="1"/>
    <col min="5124" max="5124" width="47.85546875" style="1551" customWidth="1"/>
    <col min="5125" max="5125" width="12.85546875" style="1551" customWidth="1"/>
    <col min="5126" max="5126" width="15.5703125" style="1551" customWidth="1"/>
    <col min="5127" max="5127" width="15.85546875" style="1551" customWidth="1"/>
    <col min="5128" max="5128" width="6.42578125" style="1551" customWidth="1"/>
    <col min="5129" max="5131" width="9.140625" style="1551"/>
    <col min="5132" max="5132" width="18.42578125" style="1551" customWidth="1"/>
    <col min="5133" max="5133" width="16" style="1551" bestFit="1" customWidth="1"/>
    <col min="5134" max="5376" width="9.140625" style="1551"/>
    <col min="5377" max="5377" width="4.7109375" style="1551" customWidth="1"/>
    <col min="5378" max="5378" width="6.7109375" style="1551" customWidth="1"/>
    <col min="5379" max="5379" width="8.85546875" style="1551" customWidth="1"/>
    <col min="5380" max="5380" width="47.85546875" style="1551" customWidth="1"/>
    <col min="5381" max="5381" width="12.85546875" style="1551" customWidth="1"/>
    <col min="5382" max="5382" width="15.5703125" style="1551" customWidth="1"/>
    <col min="5383" max="5383" width="15.85546875" style="1551" customWidth="1"/>
    <col min="5384" max="5384" width="6.42578125" style="1551" customWidth="1"/>
    <col min="5385" max="5387" width="9.140625" style="1551"/>
    <col min="5388" max="5388" width="18.42578125" style="1551" customWidth="1"/>
    <col min="5389" max="5389" width="16" style="1551" bestFit="1" customWidth="1"/>
    <col min="5390" max="5632" width="9.140625" style="1551"/>
    <col min="5633" max="5633" width="4.7109375" style="1551" customWidth="1"/>
    <col min="5634" max="5634" width="6.7109375" style="1551" customWidth="1"/>
    <col min="5635" max="5635" width="8.85546875" style="1551" customWidth="1"/>
    <col min="5636" max="5636" width="47.85546875" style="1551" customWidth="1"/>
    <col min="5637" max="5637" width="12.85546875" style="1551" customWidth="1"/>
    <col min="5638" max="5638" width="15.5703125" style="1551" customWidth="1"/>
    <col min="5639" max="5639" width="15.85546875" style="1551" customWidth="1"/>
    <col min="5640" max="5640" width="6.42578125" style="1551" customWidth="1"/>
    <col min="5641" max="5643" width="9.140625" style="1551"/>
    <col min="5644" max="5644" width="18.42578125" style="1551" customWidth="1"/>
    <col min="5645" max="5645" width="16" style="1551" bestFit="1" customWidth="1"/>
    <col min="5646" max="5888" width="9.140625" style="1551"/>
    <col min="5889" max="5889" width="4.7109375" style="1551" customWidth="1"/>
    <col min="5890" max="5890" width="6.7109375" style="1551" customWidth="1"/>
    <col min="5891" max="5891" width="8.85546875" style="1551" customWidth="1"/>
    <col min="5892" max="5892" width="47.85546875" style="1551" customWidth="1"/>
    <col min="5893" max="5893" width="12.85546875" style="1551" customWidth="1"/>
    <col min="5894" max="5894" width="15.5703125" style="1551" customWidth="1"/>
    <col min="5895" max="5895" width="15.85546875" style="1551" customWidth="1"/>
    <col min="5896" max="5896" width="6.42578125" style="1551" customWidth="1"/>
    <col min="5897" max="5899" width="9.140625" style="1551"/>
    <col min="5900" max="5900" width="18.42578125" style="1551" customWidth="1"/>
    <col min="5901" max="5901" width="16" style="1551" bestFit="1" customWidth="1"/>
    <col min="5902" max="6144" width="9.140625" style="1551"/>
    <col min="6145" max="6145" width="4.7109375" style="1551" customWidth="1"/>
    <col min="6146" max="6146" width="6.7109375" style="1551" customWidth="1"/>
    <col min="6147" max="6147" width="8.85546875" style="1551" customWidth="1"/>
    <col min="6148" max="6148" width="47.85546875" style="1551" customWidth="1"/>
    <col min="6149" max="6149" width="12.85546875" style="1551" customWidth="1"/>
    <col min="6150" max="6150" width="15.5703125" style="1551" customWidth="1"/>
    <col min="6151" max="6151" width="15.85546875" style="1551" customWidth="1"/>
    <col min="6152" max="6152" width="6.42578125" style="1551" customWidth="1"/>
    <col min="6153" max="6155" width="9.140625" style="1551"/>
    <col min="6156" max="6156" width="18.42578125" style="1551" customWidth="1"/>
    <col min="6157" max="6157" width="16" style="1551" bestFit="1" customWidth="1"/>
    <col min="6158" max="6400" width="9.140625" style="1551"/>
    <col min="6401" max="6401" width="4.7109375" style="1551" customWidth="1"/>
    <col min="6402" max="6402" width="6.7109375" style="1551" customWidth="1"/>
    <col min="6403" max="6403" width="8.85546875" style="1551" customWidth="1"/>
    <col min="6404" max="6404" width="47.85546875" style="1551" customWidth="1"/>
    <col min="6405" max="6405" width="12.85546875" style="1551" customWidth="1"/>
    <col min="6406" max="6406" width="15.5703125" style="1551" customWidth="1"/>
    <col min="6407" max="6407" width="15.85546875" style="1551" customWidth="1"/>
    <col min="6408" max="6408" width="6.42578125" style="1551" customWidth="1"/>
    <col min="6409" max="6411" width="9.140625" style="1551"/>
    <col min="6412" max="6412" width="18.42578125" style="1551" customWidth="1"/>
    <col min="6413" max="6413" width="16" style="1551" bestFit="1" customWidth="1"/>
    <col min="6414" max="6656" width="9.140625" style="1551"/>
    <col min="6657" max="6657" width="4.7109375" style="1551" customWidth="1"/>
    <col min="6658" max="6658" width="6.7109375" style="1551" customWidth="1"/>
    <col min="6659" max="6659" width="8.85546875" style="1551" customWidth="1"/>
    <col min="6660" max="6660" width="47.85546875" style="1551" customWidth="1"/>
    <col min="6661" max="6661" width="12.85546875" style="1551" customWidth="1"/>
    <col min="6662" max="6662" width="15.5703125" style="1551" customWidth="1"/>
    <col min="6663" max="6663" width="15.85546875" style="1551" customWidth="1"/>
    <col min="6664" max="6664" width="6.42578125" style="1551" customWidth="1"/>
    <col min="6665" max="6667" width="9.140625" style="1551"/>
    <col min="6668" max="6668" width="18.42578125" style="1551" customWidth="1"/>
    <col min="6669" max="6669" width="16" style="1551" bestFit="1" customWidth="1"/>
    <col min="6670" max="6912" width="9.140625" style="1551"/>
    <col min="6913" max="6913" width="4.7109375" style="1551" customWidth="1"/>
    <col min="6914" max="6914" width="6.7109375" style="1551" customWidth="1"/>
    <col min="6915" max="6915" width="8.85546875" style="1551" customWidth="1"/>
    <col min="6916" max="6916" width="47.85546875" style="1551" customWidth="1"/>
    <col min="6917" max="6917" width="12.85546875" style="1551" customWidth="1"/>
    <col min="6918" max="6918" width="15.5703125" style="1551" customWidth="1"/>
    <col min="6919" max="6919" width="15.85546875" style="1551" customWidth="1"/>
    <col min="6920" max="6920" width="6.42578125" style="1551" customWidth="1"/>
    <col min="6921" max="6923" width="9.140625" style="1551"/>
    <col min="6924" max="6924" width="18.42578125" style="1551" customWidth="1"/>
    <col min="6925" max="6925" width="16" style="1551" bestFit="1" customWidth="1"/>
    <col min="6926" max="7168" width="9.140625" style="1551"/>
    <col min="7169" max="7169" width="4.7109375" style="1551" customWidth="1"/>
    <col min="7170" max="7170" width="6.7109375" style="1551" customWidth="1"/>
    <col min="7171" max="7171" width="8.85546875" style="1551" customWidth="1"/>
    <col min="7172" max="7172" width="47.85546875" style="1551" customWidth="1"/>
    <col min="7173" max="7173" width="12.85546875" style="1551" customWidth="1"/>
    <col min="7174" max="7174" width="15.5703125" style="1551" customWidth="1"/>
    <col min="7175" max="7175" width="15.85546875" style="1551" customWidth="1"/>
    <col min="7176" max="7176" width="6.42578125" style="1551" customWidth="1"/>
    <col min="7177" max="7179" width="9.140625" style="1551"/>
    <col min="7180" max="7180" width="18.42578125" style="1551" customWidth="1"/>
    <col min="7181" max="7181" width="16" style="1551" bestFit="1" customWidth="1"/>
    <col min="7182" max="7424" width="9.140625" style="1551"/>
    <col min="7425" max="7425" width="4.7109375" style="1551" customWidth="1"/>
    <col min="7426" max="7426" width="6.7109375" style="1551" customWidth="1"/>
    <col min="7427" max="7427" width="8.85546875" style="1551" customWidth="1"/>
    <col min="7428" max="7428" width="47.85546875" style="1551" customWidth="1"/>
    <col min="7429" max="7429" width="12.85546875" style="1551" customWidth="1"/>
    <col min="7430" max="7430" width="15.5703125" style="1551" customWidth="1"/>
    <col min="7431" max="7431" width="15.85546875" style="1551" customWidth="1"/>
    <col min="7432" max="7432" width="6.42578125" style="1551" customWidth="1"/>
    <col min="7433" max="7435" width="9.140625" style="1551"/>
    <col min="7436" max="7436" width="18.42578125" style="1551" customWidth="1"/>
    <col min="7437" max="7437" width="16" style="1551" bestFit="1" customWidth="1"/>
    <col min="7438" max="7680" width="9.140625" style="1551"/>
    <col min="7681" max="7681" width="4.7109375" style="1551" customWidth="1"/>
    <col min="7682" max="7682" width="6.7109375" style="1551" customWidth="1"/>
    <col min="7683" max="7683" width="8.85546875" style="1551" customWidth="1"/>
    <col min="7684" max="7684" width="47.85546875" style="1551" customWidth="1"/>
    <col min="7685" max="7685" width="12.85546875" style="1551" customWidth="1"/>
    <col min="7686" max="7686" width="15.5703125" style="1551" customWidth="1"/>
    <col min="7687" max="7687" width="15.85546875" style="1551" customWidth="1"/>
    <col min="7688" max="7688" width="6.42578125" style="1551" customWidth="1"/>
    <col min="7689" max="7691" width="9.140625" style="1551"/>
    <col min="7692" max="7692" width="18.42578125" style="1551" customWidth="1"/>
    <col min="7693" max="7693" width="16" style="1551" bestFit="1" customWidth="1"/>
    <col min="7694" max="7936" width="9.140625" style="1551"/>
    <col min="7937" max="7937" width="4.7109375" style="1551" customWidth="1"/>
    <col min="7938" max="7938" width="6.7109375" style="1551" customWidth="1"/>
    <col min="7939" max="7939" width="8.85546875" style="1551" customWidth="1"/>
    <col min="7940" max="7940" width="47.85546875" style="1551" customWidth="1"/>
    <col min="7941" max="7941" width="12.85546875" style="1551" customWidth="1"/>
    <col min="7942" max="7942" width="15.5703125" style="1551" customWidth="1"/>
    <col min="7943" max="7943" width="15.85546875" style="1551" customWidth="1"/>
    <col min="7944" max="7944" width="6.42578125" style="1551" customWidth="1"/>
    <col min="7945" max="7947" width="9.140625" style="1551"/>
    <col min="7948" max="7948" width="18.42578125" style="1551" customWidth="1"/>
    <col min="7949" max="7949" width="16" style="1551" bestFit="1" customWidth="1"/>
    <col min="7950" max="8192" width="9.140625" style="1551"/>
    <col min="8193" max="8193" width="4.7109375" style="1551" customWidth="1"/>
    <col min="8194" max="8194" width="6.7109375" style="1551" customWidth="1"/>
    <col min="8195" max="8195" width="8.85546875" style="1551" customWidth="1"/>
    <col min="8196" max="8196" width="47.85546875" style="1551" customWidth="1"/>
    <col min="8197" max="8197" width="12.85546875" style="1551" customWidth="1"/>
    <col min="8198" max="8198" width="15.5703125" style="1551" customWidth="1"/>
    <col min="8199" max="8199" width="15.85546875" style="1551" customWidth="1"/>
    <col min="8200" max="8200" width="6.42578125" style="1551" customWidth="1"/>
    <col min="8201" max="8203" width="9.140625" style="1551"/>
    <col min="8204" max="8204" width="18.42578125" style="1551" customWidth="1"/>
    <col min="8205" max="8205" width="16" style="1551" bestFit="1" customWidth="1"/>
    <col min="8206" max="8448" width="9.140625" style="1551"/>
    <col min="8449" max="8449" width="4.7109375" style="1551" customWidth="1"/>
    <col min="8450" max="8450" width="6.7109375" style="1551" customWidth="1"/>
    <col min="8451" max="8451" width="8.85546875" style="1551" customWidth="1"/>
    <col min="8452" max="8452" width="47.85546875" style="1551" customWidth="1"/>
    <col min="8453" max="8453" width="12.85546875" style="1551" customWidth="1"/>
    <col min="8454" max="8454" width="15.5703125" style="1551" customWidth="1"/>
    <col min="8455" max="8455" width="15.85546875" style="1551" customWidth="1"/>
    <col min="8456" max="8456" width="6.42578125" style="1551" customWidth="1"/>
    <col min="8457" max="8459" width="9.140625" style="1551"/>
    <col min="8460" max="8460" width="18.42578125" style="1551" customWidth="1"/>
    <col min="8461" max="8461" width="16" style="1551" bestFit="1" customWidth="1"/>
    <col min="8462" max="8704" width="9.140625" style="1551"/>
    <col min="8705" max="8705" width="4.7109375" style="1551" customWidth="1"/>
    <col min="8706" max="8706" width="6.7109375" style="1551" customWidth="1"/>
    <col min="8707" max="8707" width="8.85546875" style="1551" customWidth="1"/>
    <col min="8708" max="8708" width="47.85546875" style="1551" customWidth="1"/>
    <col min="8709" max="8709" width="12.85546875" style="1551" customWidth="1"/>
    <col min="8710" max="8710" width="15.5703125" style="1551" customWidth="1"/>
    <col min="8711" max="8711" width="15.85546875" style="1551" customWidth="1"/>
    <col min="8712" max="8712" width="6.42578125" style="1551" customWidth="1"/>
    <col min="8713" max="8715" width="9.140625" style="1551"/>
    <col min="8716" max="8716" width="18.42578125" style="1551" customWidth="1"/>
    <col min="8717" max="8717" width="16" style="1551" bestFit="1" customWidth="1"/>
    <col min="8718" max="8960" width="9.140625" style="1551"/>
    <col min="8961" max="8961" width="4.7109375" style="1551" customWidth="1"/>
    <col min="8962" max="8962" width="6.7109375" style="1551" customWidth="1"/>
    <col min="8963" max="8963" width="8.85546875" style="1551" customWidth="1"/>
    <col min="8964" max="8964" width="47.85546875" style="1551" customWidth="1"/>
    <col min="8965" max="8965" width="12.85546875" style="1551" customWidth="1"/>
    <col min="8966" max="8966" width="15.5703125" style="1551" customWidth="1"/>
    <col min="8967" max="8967" width="15.85546875" style="1551" customWidth="1"/>
    <col min="8968" max="8968" width="6.42578125" style="1551" customWidth="1"/>
    <col min="8969" max="8971" width="9.140625" style="1551"/>
    <col min="8972" max="8972" width="18.42578125" style="1551" customWidth="1"/>
    <col min="8973" max="8973" width="16" style="1551" bestFit="1" customWidth="1"/>
    <col min="8974" max="9216" width="9.140625" style="1551"/>
    <col min="9217" max="9217" width="4.7109375" style="1551" customWidth="1"/>
    <col min="9218" max="9218" width="6.7109375" style="1551" customWidth="1"/>
    <col min="9219" max="9219" width="8.85546875" style="1551" customWidth="1"/>
    <col min="9220" max="9220" width="47.85546875" style="1551" customWidth="1"/>
    <col min="9221" max="9221" width="12.85546875" style="1551" customWidth="1"/>
    <col min="9222" max="9222" width="15.5703125" style="1551" customWidth="1"/>
    <col min="9223" max="9223" width="15.85546875" style="1551" customWidth="1"/>
    <col min="9224" max="9224" width="6.42578125" style="1551" customWidth="1"/>
    <col min="9225" max="9227" width="9.140625" style="1551"/>
    <col min="9228" max="9228" width="18.42578125" style="1551" customWidth="1"/>
    <col min="9229" max="9229" width="16" style="1551" bestFit="1" customWidth="1"/>
    <col min="9230" max="9472" width="9.140625" style="1551"/>
    <col min="9473" max="9473" width="4.7109375" style="1551" customWidth="1"/>
    <col min="9474" max="9474" width="6.7109375" style="1551" customWidth="1"/>
    <col min="9475" max="9475" width="8.85546875" style="1551" customWidth="1"/>
    <col min="9476" max="9476" width="47.85546875" style="1551" customWidth="1"/>
    <col min="9477" max="9477" width="12.85546875" style="1551" customWidth="1"/>
    <col min="9478" max="9478" width="15.5703125" style="1551" customWidth="1"/>
    <col min="9479" max="9479" width="15.85546875" style="1551" customWidth="1"/>
    <col min="9480" max="9480" width="6.42578125" style="1551" customWidth="1"/>
    <col min="9481" max="9483" width="9.140625" style="1551"/>
    <col min="9484" max="9484" width="18.42578125" style="1551" customWidth="1"/>
    <col min="9485" max="9485" width="16" style="1551" bestFit="1" customWidth="1"/>
    <col min="9486" max="9728" width="9.140625" style="1551"/>
    <col min="9729" max="9729" width="4.7109375" style="1551" customWidth="1"/>
    <col min="9730" max="9730" width="6.7109375" style="1551" customWidth="1"/>
    <col min="9731" max="9731" width="8.85546875" style="1551" customWidth="1"/>
    <col min="9732" max="9732" width="47.85546875" style="1551" customWidth="1"/>
    <col min="9733" max="9733" width="12.85546875" style="1551" customWidth="1"/>
    <col min="9734" max="9734" width="15.5703125" style="1551" customWidth="1"/>
    <col min="9735" max="9735" width="15.85546875" style="1551" customWidth="1"/>
    <col min="9736" max="9736" width="6.42578125" style="1551" customWidth="1"/>
    <col min="9737" max="9739" width="9.140625" style="1551"/>
    <col min="9740" max="9740" width="18.42578125" style="1551" customWidth="1"/>
    <col min="9741" max="9741" width="16" style="1551" bestFit="1" customWidth="1"/>
    <col min="9742" max="9984" width="9.140625" style="1551"/>
    <col min="9985" max="9985" width="4.7109375" style="1551" customWidth="1"/>
    <col min="9986" max="9986" width="6.7109375" style="1551" customWidth="1"/>
    <col min="9987" max="9987" width="8.85546875" style="1551" customWidth="1"/>
    <col min="9988" max="9988" width="47.85546875" style="1551" customWidth="1"/>
    <col min="9989" max="9989" width="12.85546875" style="1551" customWidth="1"/>
    <col min="9990" max="9990" width="15.5703125" style="1551" customWidth="1"/>
    <col min="9991" max="9991" width="15.85546875" style="1551" customWidth="1"/>
    <col min="9992" max="9992" width="6.42578125" style="1551" customWidth="1"/>
    <col min="9993" max="9995" width="9.140625" style="1551"/>
    <col min="9996" max="9996" width="18.42578125" style="1551" customWidth="1"/>
    <col min="9997" max="9997" width="16" style="1551" bestFit="1" customWidth="1"/>
    <col min="9998" max="10240" width="9.140625" style="1551"/>
    <col min="10241" max="10241" width="4.7109375" style="1551" customWidth="1"/>
    <col min="10242" max="10242" width="6.7109375" style="1551" customWidth="1"/>
    <col min="10243" max="10243" width="8.85546875" style="1551" customWidth="1"/>
    <col min="10244" max="10244" width="47.85546875" style="1551" customWidth="1"/>
    <col min="10245" max="10245" width="12.85546875" style="1551" customWidth="1"/>
    <col min="10246" max="10246" width="15.5703125" style="1551" customWidth="1"/>
    <col min="10247" max="10247" width="15.85546875" style="1551" customWidth="1"/>
    <col min="10248" max="10248" width="6.42578125" style="1551" customWidth="1"/>
    <col min="10249" max="10251" width="9.140625" style="1551"/>
    <col min="10252" max="10252" width="18.42578125" style="1551" customWidth="1"/>
    <col min="10253" max="10253" width="16" style="1551" bestFit="1" customWidth="1"/>
    <col min="10254" max="10496" width="9.140625" style="1551"/>
    <col min="10497" max="10497" width="4.7109375" style="1551" customWidth="1"/>
    <col min="10498" max="10498" width="6.7109375" style="1551" customWidth="1"/>
    <col min="10499" max="10499" width="8.85546875" style="1551" customWidth="1"/>
    <col min="10500" max="10500" width="47.85546875" style="1551" customWidth="1"/>
    <col min="10501" max="10501" width="12.85546875" style="1551" customWidth="1"/>
    <col min="10502" max="10502" width="15.5703125" style="1551" customWidth="1"/>
    <col min="10503" max="10503" width="15.85546875" style="1551" customWidth="1"/>
    <col min="10504" max="10504" width="6.42578125" style="1551" customWidth="1"/>
    <col min="10505" max="10507" width="9.140625" style="1551"/>
    <col min="10508" max="10508" width="18.42578125" style="1551" customWidth="1"/>
    <col min="10509" max="10509" width="16" style="1551" bestFit="1" customWidth="1"/>
    <col min="10510" max="10752" width="9.140625" style="1551"/>
    <col min="10753" max="10753" width="4.7109375" style="1551" customWidth="1"/>
    <col min="10754" max="10754" width="6.7109375" style="1551" customWidth="1"/>
    <col min="10755" max="10755" width="8.85546875" style="1551" customWidth="1"/>
    <col min="10756" max="10756" width="47.85546875" style="1551" customWidth="1"/>
    <col min="10757" max="10757" width="12.85546875" style="1551" customWidth="1"/>
    <col min="10758" max="10758" width="15.5703125" style="1551" customWidth="1"/>
    <col min="10759" max="10759" width="15.85546875" style="1551" customWidth="1"/>
    <col min="10760" max="10760" width="6.42578125" style="1551" customWidth="1"/>
    <col min="10761" max="10763" width="9.140625" style="1551"/>
    <col min="10764" max="10764" width="18.42578125" style="1551" customWidth="1"/>
    <col min="10765" max="10765" width="16" style="1551" bestFit="1" customWidth="1"/>
    <col min="10766" max="11008" width="9.140625" style="1551"/>
    <col min="11009" max="11009" width="4.7109375" style="1551" customWidth="1"/>
    <col min="11010" max="11010" width="6.7109375" style="1551" customWidth="1"/>
    <col min="11011" max="11011" width="8.85546875" style="1551" customWidth="1"/>
    <col min="11012" max="11012" width="47.85546875" style="1551" customWidth="1"/>
    <col min="11013" max="11013" width="12.85546875" style="1551" customWidth="1"/>
    <col min="11014" max="11014" width="15.5703125" style="1551" customWidth="1"/>
    <col min="11015" max="11015" width="15.85546875" style="1551" customWidth="1"/>
    <col min="11016" max="11016" width="6.42578125" style="1551" customWidth="1"/>
    <col min="11017" max="11019" width="9.140625" style="1551"/>
    <col min="11020" max="11020" width="18.42578125" style="1551" customWidth="1"/>
    <col min="11021" max="11021" width="16" style="1551" bestFit="1" customWidth="1"/>
    <col min="11022" max="11264" width="9.140625" style="1551"/>
    <col min="11265" max="11265" width="4.7109375" style="1551" customWidth="1"/>
    <col min="11266" max="11266" width="6.7109375" style="1551" customWidth="1"/>
    <col min="11267" max="11267" width="8.85546875" style="1551" customWidth="1"/>
    <col min="11268" max="11268" width="47.85546875" style="1551" customWidth="1"/>
    <col min="11269" max="11269" width="12.85546875" style="1551" customWidth="1"/>
    <col min="11270" max="11270" width="15.5703125" style="1551" customWidth="1"/>
    <col min="11271" max="11271" width="15.85546875" style="1551" customWidth="1"/>
    <col min="11272" max="11272" width="6.42578125" style="1551" customWidth="1"/>
    <col min="11273" max="11275" width="9.140625" style="1551"/>
    <col min="11276" max="11276" width="18.42578125" style="1551" customWidth="1"/>
    <col min="11277" max="11277" width="16" style="1551" bestFit="1" customWidth="1"/>
    <col min="11278" max="11520" width="9.140625" style="1551"/>
    <col min="11521" max="11521" width="4.7109375" style="1551" customWidth="1"/>
    <col min="11522" max="11522" width="6.7109375" style="1551" customWidth="1"/>
    <col min="11523" max="11523" width="8.85546875" style="1551" customWidth="1"/>
    <col min="11524" max="11524" width="47.85546875" style="1551" customWidth="1"/>
    <col min="11525" max="11525" width="12.85546875" style="1551" customWidth="1"/>
    <col min="11526" max="11526" width="15.5703125" style="1551" customWidth="1"/>
    <col min="11527" max="11527" width="15.85546875" style="1551" customWidth="1"/>
    <col min="11528" max="11528" width="6.42578125" style="1551" customWidth="1"/>
    <col min="11529" max="11531" width="9.140625" style="1551"/>
    <col min="11532" max="11532" width="18.42578125" style="1551" customWidth="1"/>
    <col min="11533" max="11533" width="16" style="1551" bestFit="1" customWidth="1"/>
    <col min="11534" max="11776" width="9.140625" style="1551"/>
    <col min="11777" max="11777" width="4.7109375" style="1551" customWidth="1"/>
    <col min="11778" max="11778" width="6.7109375" style="1551" customWidth="1"/>
    <col min="11779" max="11779" width="8.85546875" style="1551" customWidth="1"/>
    <col min="11780" max="11780" width="47.85546875" style="1551" customWidth="1"/>
    <col min="11781" max="11781" width="12.85546875" style="1551" customWidth="1"/>
    <col min="11782" max="11782" width="15.5703125" style="1551" customWidth="1"/>
    <col min="11783" max="11783" width="15.85546875" style="1551" customWidth="1"/>
    <col min="11784" max="11784" width="6.42578125" style="1551" customWidth="1"/>
    <col min="11785" max="11787" width="9.140625" style="1551"/>
    <col min="11788" max="11788" width="18.42578125" style="1551" customWidth="1"/>
    <col min="11789" max="11789" width="16" style="1551" bestFit="1" customWidth="1"/>
    <col min="11790" max="12032" width="9.140625" style="1551"/>
    <col min="12033" max="12033" width="4.7109375" style="1551" customWidth="1"/>
    <col min="12034" max="12034" width="6.7109375" style="1551" customWidth="1"/>
    <col min="12035" max="12035" width="8.85546875" style="1551" customWidth="1"/>
    <col min="12036" max="12036" width="47.85546875" style="1551" customWidth="1"/>
    <col min="12037" max="12037" width="12.85546875" style="1551" customWidth="1"/>
    <col min="12038" max="12038" width="15.5703125" style="1551" customWidth="1"/>
    <col min="12039" max="12039" width="15.85546875" style="1551" customWidth="1"/>
    <col min="12040" max="12040" width="6.42578125" style="1551" customWidth="1"/>
    <col min="12041" max="12043" width="9.140625" style="1551"/>
    <col min="12044" max="12044" width="18.42578125" style="1551" customWidth="1"/>
    <col min="12045" max="12045" width="16" style="1551" bestFit="1" customWidth="1"/>
    <col min="12046" max="12288" width="9.140625" style="1551"/>
    <col min="12289" max="12289" width="4.7109375" style="1551" customWidth="1"/>
    <col min="12290" max="12290" width="6.7109375" style="1551" customWidth="1"/>
    <col min="12291" max="12291" width="8.85546875" style="1551" customWidth="1"/>
    <col min="12292" max="12292" width="47.85546875" style="1551" customWidth="1"/>
    <col min="12293" max="12293" width="12.85546875" style="1551" customWidth="1"/>
    <col min="12294" max="12294" width="15.5703125" style="1551" customWidth="1"/>
    <col min="12295" max="12295" width="15.85546875" style="1551" customWidth="1"/>
    <col min="12296" max="12296" width="6.42578125" style="1551" customWidth="1"/>
    <col min="12297" max="12299" width="9.140625" style="1551"/>
    <col min="12300" max="12300" width="18.42578125" style="1551" customWidth="1"/>
    <col min="12301" max="12301" width="16" style="1551" bestFit="1" customWidth="1"/>
    <col min="12302" max="12544" width="9.140625" style="1551"/>
    <col min="12545" max="12545" width="4.7109375" style="1551" customWidth="1"/>
    <col min="12546" max="12546" width="6.7109375" style="1551" customWidth="1"/>
    <col min="12547" max="12547" width="8.85546875" style="1551" customWidth="1"/>
    <col min="12548" max="12548" width="47.85546875" style="1551" customWidth="1"/>
    <col min="12549" max="12549" width="12.85546875" style="1551" customWidth="1"/>
    <col min="12550" max="12550" width="15.5703125" style="1551" customWidth="1"/>
    <col min="12551" max="12551" width="15.85546875" style="1551" customWidth="1"/>
    <col min="12552" max="12552" width="6.42578125" style="1551" customWidth="1"/>
    <col min="12553" max="12555" width="9.140625" style="1551"/>
    <col min="12556" max="12556" width="18.42578125" style="1551" customWidth="1"/>
    <col min="12557" max="12557" width="16" style="1551" bestFit="1" customWidth="1"/>
    <col min="12558" max="12800" width="9.140625" style="1551"/>
    <col min="12801" max="12801" width="4.7109375" style="1551" customWidth="1"/>
    <col min="12802" max="12802" width="6.7109375" style="1551" customWidth="1"/>
    <col min="12803" max="12803" width="8.85546875" style="1551" customWidth="1"/>
    <col min="12804" max="12804" width="47.85546875" style="1551" customWidth="1"/>
    <col min="12805" max="12805" width="12.85546875" style="1551" customWidth="1"/>
    <col min="12806" max="12806" width="15.5703125" style="1551" customWidth="1"/>
    <col min="12807" max="12807" width="15.85546875" style="1551" customWidth="1"/>
    <col min="12808" max="12808" width="6.42578125" style="1551" customWidth="1"/>
    <col min="12809" max="12811" width="9.140625" style="1551"/>
    <col min="12812" max="12812" width="18.42578125" style="1551" customWidth="1"/>
    <col min="12813" max="12813" width="16" style="1551" bestFit="1" customWidth="1"/>
    <col min="12814" max="13056" width="9.140625" style="1551"/>
    <col min="13057" max="13057" width="4.7109375" style="1551" customWidth="1"/>
    <col min="13058" max="13058" width="6.7109375" style="1551" customWidth="1"/>
    <col min="13059" max="13059" width="8.85546875" style="1551" customWidth="1"/>
    <col min="13060" max="13060" width="47.85546875" style="1551" customWidth="1"/>
    <col min="13061" max="13061" width="12.85546875" style="1551" customWidth="1"/>
    <col min="13062" max="13062" width="15.5703125" style="1551" customWidth="1"/>
    <col min="13063" max="13063" width="15.85546875" style="1551" customWidth="1"/>
    <col min="13064" max="13064" width="6.42578125" style="1551" customWidth="1"/>
    <col min="13065" max="13067" width="9.140625" style="1551"/>
    <col min="13068" max="13068" width="18.42578125" style="1551" customWidth="1"/>
    <col min="13069" max="13069" width="16" style="1551" bestFit="1" customWidth="1"/>
    <col min="13070" max="13312" width="9.140625" style="1551"/>
    <col min="13313" max="13313" width="4.7109375" style="1551" customWidth="1"/>
    <col min="13314" max="13314" width="6.7109375" style="1551" customWidth="1"/>
    <col min="13315" max="13315" width="8.85546875" style="1551" customWidth="1"/>
    <col min="13316" max="13316" width="47.85546875" style="1551" customWidth="1"/>
    <col min="13317" max="13317" width="12.85546875" style="1551" customWidth="1"/>
    <col min="13318" max="13318" width="15.5703125" style="1551" customWidth="1"/>
    <col min="13319" max="13319" width="15.85546875" style="1551" customWidth="1"/>
    <col min="13320" max="13320" width="6.42578125" style="1551" customWidth="1"/>
    <col min="13321" max="13323" width="9.140625" style="1551"/>
    <col min="13324" max="13324" width="18.42578125" style="1551" customWidth="1"/>
    <col min="13325" max="13325" width="16" style="1551" bestFit="1" customWidth="1"/>
    <col min="13326" max="13568" width="9.140625" style="1551"/>
    <col min="13569" max="13569" width="4.7109375" style="1551" customWidth="1"/>
    <col min="13570" max="13570" width="6.7109375" style="1551" customWidth="1"/>
    <col min="13571" max="13571" width="8.85546875" style="1551" customWidth="1"/>
    <col min="13572" max="13572" width="47.85546875" style="1551" customWidth="1"/>
    <col min="13573" max="13573" width="12.85546875" style="1551" customWidth="1"/>
    <col min="13574" max="13574" width="15.5703125" style="1551" customWidth="1"/>
    <col min="13575" max="13575" width="15.85546875" style="1551" customWidth="1"/>
    <col min="13576" max="13576" width="6.42578125" style="1551" customWidth="1"/>
    <col min="13577" max="13579" width="9.140625" style="1551"/>
    <col min="13580" max="13580" width="18.42578125" style="1551" customWidth="1"/>
    <col min="13581" max="13581" width="16" style="1551" bestFit="1" customWidth="1"/>
    <col min="13582" max="13824" width="9.140625" style="1551"/>
    <col min="13825" max="13825" width="4.7109375" style="1551" customWidth="1"/>
    <col min="13826" max="13826" width="6.7109375" style="1551" customWidth="1"/>
    <col min="13827" max="13827" width="8.85546875" style="1551" customWidth="1"/>
    <col min="13828" max="13828" width="47.85546875" style="1551" customWidth="1"/>
    <col min="13829" max="13829" width="12.85546875" style="1551" customWidth="1"/>
    <col min="13830" max="13830" width="15.5703125" style="1551" customWidth="1"/>
    <col min="13831" max="13831" width="15.85546875" style="1551" customWidth="1"/>
    <col min="13832" max="13832" width="6.42578125" style="1551" customWidth="1"/>
    <col min="13833" max="13835" width="9.140625" style="1551"/>
    <col min="13836" max="13836" width="18.42578125" style="1551" customWidth="1"/>
    <col min="13837" max="13837" width="16" style="1551" bestFit="1" customWidth="1"/>
    <col min="13838" max="14080" width="9.140625" style="1551"/>
    <col min="14081" max="14081" width="4.7109375" style="1551" customWidth="1"/>
    <col min="14082" max="14082" width="6.7109375" style="1551" customWidth="1"/>
    <col min="14083" max="14083" width="8.85546875" style="1551" customWidth="1"/>
    <col min="14084" max="14084" width="47.85546875" style="1551" customWidth="1"/>
    <col min="14085" max="14085" width="12.85546875" style="1551" customWidth="1"/>
    <col min="14086" max="14086" width="15.5703125" style="1551" customWidth="1"/>
    <col min="14087" max="14087" width="15.85546875" style="1551" customWidth="1"/>
    <col min="14088" max="14088" width="6.42578125" style="1551" customWidth="1"/>
    <col min="14089" max="14091" width="9.140625" style="1551"/>
    <col min="14092" max="14092" width="18.42578125" style="1551" customWidth="1"/>
    <col min="14093" max="14093" width="16" style="1551" bestFit="1" customWidth="1"/>
    <col min="14094" max="14336" width="9.140625" style="1551"/>
    <col min="14337" max="14337" width="4.7109375" style="1551" customWidth="1"/>
    <col min="14338" max="14338" width="6.7109375" style="1551" customWidth="1"/>
    <col min="14339" max="14339" width="8.85546875" style="1551" customWidth="1"/>
    <col min="14340" max="14340" width="47.85546875" style="1551" customWidth="1"/>
    <col min="14341" max="14341" width="12.85546875" style="1551" customWidth="1"/>
    <col min="14342" max="14342" width="15.5703125" style="1551" customWidth="1"/>
    <col min="14343" max="14343" width="15.85546875" style="1551" customWidth="1"/>
    <col min="14344" max="14344" width="6.42578125" style="1551" customWidth="1"/>
    <col min="14345" max="14347" width="9.140625" style="1551"/>
    <col min="14348" max="14348" width="18.42578125" style="1551" customWidth="1"/>
    <col min="14349" max="14349" width="16" style="1551" bestFit="1" customWidth="1"/>
    <col min="14350" max="14592" width="9.140625" style="1551"/>
    <col min="14593" max="14593" width="4.7109375" style="1551" customWidth="1"/>
    <col min="14594" max="14594" width="6.7109375" style="1551" customWidth="1"/>
    <col min="14595" max="14595" width="8.85546875" style="1551" customWidth="1"/>
    <col min="14596" max="14596" width="47.85546875" style="1551" customWidth="1"/>
    <col min="14597" max="14597" width="12.85546875" style="1551" customWidth="1"/>
    <col min="14598" max="14598" width="15.5703125" style="1551" customWidth="1"/>
    <col min="14599" max="14599" width="15.85546875" style="1551" customWidth="1"/>
    <col min="14600" max="14600" width="6.42578125" style="1551" customWidth="1"/>
    <col min="14601" max="14603" width="9.140625" style="1551"/>
    <col min="14604" max="14604" width="18.42578125" style="1551" customWidth="1"/>
    <col min="14605" max="14605" width="16" style="1551" bestFit="1" customWidth="1"/>
    <col min="14606" max="14848" width="9.140625" style="1551"/>
    <col min="14849" max="14849" width="4.7109375" style="1551" customWidth="1"/>
    <col min="14850" max="14850" width="6.7109375" style="1551" customWidth="1"/>
    <col min="14851" max="14851" width="8.85546875" style="1551" customWidth="1"/>
    <col min="14852" max="14852" width="47.85546875" style="1551" customWidth="1"/>
    <col min="14853" max="14853" width="12.85546875" style="1551" customWidth="1"/>
    <col min="14854" max="14854" width="15.5703125" style="1551" customWidth="1"/>
    <col min="14855" max="14855" width="15.85546875" style="1551" customWidth="1"/>
    <col min="14856" max="14856" width="6.42578125" style="1551" customWidth="1"/>
    <col min="14857" max="14859" width="9.140625" style="1551"/>
    <col min="14860" max="14860" width="18.42578125" style="1551" customWidth="1"/>
    <col min="14861" max="14861" width="16" style="1551" bestFit="1" customWidth="1"/>
    <col min="14862" max="15104" width="9.140625" style="1551"/>
    <col min="15105" max="15105" width="4.7109375" style="1551" customWidth="1"/>
    <col min="15106" max="15106" width="6.7109375" style="1551" customWidth="1"/>
    <col min="15107" max="15107" width="8.85546875" style="1551" customWidth="1"/>
    <col min="15108" max="15108" width="47.85546875" style="1551" customWidth="1"/>
    <col min="15109" max="15109" width="12.85546875" style="1551" customWidth="1"/>
    <col min="15110" max="15110" width="15.5703125" style="1551" customWidth="1"/>
    <col min="15111" max="15111" width="15.85546875" style="1551" customWidth="1"/>
    <col min="15112" max="15112" width="6.42578125" style="1551" customWidth="1"/>
    <col min="15113" max="15115" width="9.140625" style="1551"/>
    <col min="15116" max="15116" width="18.42578125" style="1551" customWidth="1"/>
    <col min="15117" max="15117" width="16" style="1551" bestFit="1" customWidth="1"/>
    <col min="15118" max="15360" width="9.140625" style="1551"/>
    <col min="15361" max="15361" width="4.7109375" style="1551" customWidth="1"/>
    <col min="15362" max="15362" width="6.7109375" style="1551" customWidth="1"/>
    <col min="15363" max="15363" width="8.85546875" style="1551" customWidth="1"/>
    <col min="15364" max="15364" width="47.85546875" style="1551" customWidth="1"/>
    <col min="15365" max="15365" width="12.85546875" style="1551" customWidth="1"/>
    <col min="15366" max="15366" width="15.5703125" style="1551" customWidth="1"/>
    <col min="15367" max="15367" width="15.85546875" style="1551" customWidth="1"/>
    <col min="15368" max="15368" width="6.42578125" style="1551" customWidth="1"/>
    <col min="15369" max="15371" width="9.140625" style="1551"/>
    <col min="15372" max="15372" width="18.42578125" style="1551" customWidth="1"/>
    <col min="15373" max="15373" width="16" style="1551" bestFit="1" customWidth="1"/>
    <col min="15374" max="15616" width="9.140625" style="1551"/>
    <col min="15617" max="15617" width="4.7109375" style="1551" customWidth="1"/>
    <col min="15618" max="15618" width="6.7109375" style="1551" customWidth="1"/>
    <col min="15619" max="15619" width="8.85546875" style="1551" customWidth="1"/>
    <col min="15620" max="15620" width="47.85546875" style="1551" customWidth="1"/>
    <col min="15621" max="15621" width="12.85546875" style="1551" customWidth="1"/>
    <col min="15622" max="15622" width="15.5703125" style="1551" customWidth="1"/>
    <col min="15623" max="15623" width="15.85546875" style="1551" customWidth="1"/>
    <col min="15624" max="15624" width="6.42578125" style="1551" customWidth="1"/>
    <col min="15625" max="15627" width="9.140625" style="1551"/>
    <col min="15628" max="15628" width="18.42578125" style="1551" customWidth="1"/>
    <col min="15629" max="15629" width="16" style="1551" bestFit="1" customWidth="1"/>
    <col min="15630" max="15872" width="9.140625" style="1551"/>
    <col min="15873" max="15873" width="4.7109375" style="1551" customWidth="1"/>
    <col min="15874" max="15874" width="6.7109375" style="1551" customWidth="1"/>
    <col min="15875" max="15875" width="8.85546875" style="1551" customWidth="1"/>
    <col min="15876" max="15876" width="47.85546875" style="1551" customWidth="1"/>
    <col min="15877" max="15877" width="12.85546875" style="1551" customWidth="1"/>
    <col min="15878" max="15878" width="15.5703125" style="1551" customWidth="1"/>
    <col min="15879" max="15879" width="15.85546875" style="1551" customWidth="1"/>
    <col min="15880" max="15880" width="6.42578125" style="1551" customWidth="1"/>
    <col min="15881" max="15883" width="9.140625" style="1551"/>
    <col min="15884" max="15884" width="18.42578125" style="1551" customWidth="1"/>
    <col min="15885" max="15885" width="16" style="1551" bestFit="1" customWidth="1"/>
    <col min="15886" max="16128" width="9.140625" style="1551"/>
    <col min="16129" max="16129" width="4.7109375" style="1551" customWidth="1"/>
    <col min="16130" max="16130" width="6.7109375" style="1551" customWidth="1"/>
    <col min="16131" max="16131" width="8.85546875" style="1551" customWidth="1"/>
    <col min="16132" max="16132" width="47.85546875" style="1551" customWidth="1"/>
    <col min="16133" max="16133" width="12.85546875" style="1551" customWidth="1"/>
    <col min="16134" max="16134" width="15.5703125" style="1551" customWidth="1"/>
    <col min="16135" max="16135" width="15.85546875" style="1551" customWidth="1"/>
    <col min="16136" max="16136" width="6.42578125" style="1551" customWidth="1"/>
    <col min="16137" max="16139" width="9.140625" style="1551"/>
    <col min="16140" max="16140" width="18.42578125" style="1551" customWidth="1"/>
    <col min="16141" max="16141" width="16" style="1551" bestFit="1" customWidth="1"/>
    <col min="16142" max="16384" width="9.140625" style="1551"/>
  </cols>
  <sheetData>
    <row r="1" spans="1:8" ht="18.75" thickBot="1" x14ac:dyDescent="0.3">
      <c r="A1" s="1545" t="s">
        <v>1248</v>
      </c>
      <c r="B1" s="1546"/>
      <c r="C1" s="1547"/>
      <c r="D1" s="1548"/>
      <c r="E1" s="1549"/>
      <c r="F1" s="1548"/>
      <c r="G1" s="1550"/>
      <c r="H1" s="1545"/>
    </row>
    <row r="2" spans="1:8" ht="18" x14ac:dyDescent="0.25">
      <c r="A2" s="1552"/>
      <c r="B2" s="1553"/>
      <c r="C2" s="1553"/>
      <c r="D2" s="1553"/>
      <c r="E2" s="1553"/>
      <c r="F2" s="1553"/>
      <c r="G2" s="1553"/>
      <c r="H2" s="1554" t="s">
        <v>1247</v>
      </c>
    </row>
    <row r="3" spans="1:8" ht="18" x14ac:dyDescent="0.25">
      <c r="A3" s="1555" t="s">
        <v>336</v>
      </c>
      <c r="B3" s="1553"/>
      <c r="C3" s="2852" t="s">
        <v>2009</v>
      </c>
      <c r="D3" s="1553"/>
      <c r="E3" s="1553"/>
      <c r="F3" s="1553"/>
      <c r="G3" s="1553"/>
      <c r="H3" s="1554"/>
    </row>
    <row r="4" spans="1:8" ht="18" x14ac:dyDescent="0.25">
      <c r="A4" s="1552"/>
      <c r="B4" s="1553"/>
      <c r="C4" s="2852" t="s">
        <v>1450</v>
      </c>
      <c r="D4" s="1553"/>
      <c r="E4" s="1553"/>
      <c r="F4" s="1553"/>
      <c r="G4" s="1553"/>
      <c r="H4" s="1554"/>
    </row>
    <row r="5" spans="1:8" ht="18" x14ac:dyDescent="0.25">
      <c r="A5" s="1557" t="s">
        <v>1246</v>
      </c>
      <c r="B5" s="1553"/>
      <c r="C5" s="1553"/>
      <c r="D5" s="1553"/>
      <c r="E5" s="1553"/>
      <c r="F5" s="1553"/>
      <c r="G5" s="1553"/>
      <c r="H5" s="1554"/>
    </row>
    <row r="6" spans="1:8" x14ac:dyDescent="0.2">
      <c r="A6" s="1558"/>
      <c r="B6" s="1558"/>
      <c r="C6" s="1558"/>
      <c r="E6" s="1559"/>
      <c r="F6" s="1559"/>
      <c r="G6" s="1559"/>
    </row>
    <row r="7" spans="1:8" ht="15.75" thickBot="1" x14ac:dyDescent="0.3">
      <c r="A7" s="1544" t="s">
        <v>229</v>
      </c>
      <c r="B7" s="1558"/>
      <c r="C7" s="1558"/>
      <c r="E7" s="1559"/>
      <c r="F7" s="1559"/>
      <c r="G7" s="1559"/>
      <c r="H7" s="1560" t="s">
        <v>148</v>
      </c>
    </row>
    <row r="8" spans="1:8" ht="25.5" thickTop="1" thickBot="1" x14ac:dyDescent="0.25">
      <c r="A8" s="1378" t="s">
        <v>149</v>
      </c>
      <c r="B8" s="1379" t="s">
        <v>688</v>
      </c>
      <c r="C8" s="1379" t="s">
        <v>345</v>
      </c>
      <c r="D8" s="1380" t="s">
        <v>151</v>
      </c>
      <c r="E8" s="1402" t="s">
        <v>569</v>
      </c>
      <c r="F8" s="1402" t="s">
        <v>570</v>
      </c>
      <c r="G8" s="1403" t="s">
        <v>797</v>
      </c>
      <c r="H8" s="1404" t="s">
        <v>798</v>
      </c>
    </row>
    <row r="9" spans="1:8" ht="14.2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5">
        <v>5</v>
      </c>
      <c r="F9" s="1295">
        <v>6</v>
      </c>
      <c r="G9" s="1446">
        <v>7</v>
      </c>
      <c r="H9" s="1468" t="s">
        <v>54</v>
      </c>
    </row>
    <row r="10" spans="1:8" ht="45.75" thickTop="1" x14ac:dyDescent="0.2">
      <c r="A10" s="1572">
        <v>3299</v>
      </c>
      <c r="B10" s="1573">
        <v>5213</v>
      </c>
      <c r="C10" s="2851" t="s">
        <v>2097</v>
      </c>
      <c r="D10" s="1574" t="s">
        <v>935</v>
      </c>
      <c r="E10" s="1575">
        <v>0</v>
      </c>
      <c r="F10" s="1575">
        <v>120</v>
      </c>
      <c r="G10" s="1575">
        <v>120</v>
      </c>
      <c r="H10" s="1576">
        <f t="shared" ref="H10:H26" si="0">G10/F10*100</f>
        <v>100</v>
      </c>
    </row>
    <row r="11" spans="1:8" ht="45" x14ac:dyDescent="0.2">
      <c r="A11" s="1577">
        <v>3299</v>
      </c>
      <c r="B11" s="1578">
        <v>5213</v>
      </c>
      <c r="C11" s="1629" t="s">
        <v>2096</v>
      </c>
      <c r="D11" s="1579" t="s">
        <v>935</v>
      </c>
      <c r="E11" s="1580">
        <v>0</v>
      </c>
      <c r="F11" s="1580">
        <v>678</v>
      </c>
      <c r="G11" s="1580">
        <v>678</v>
      </c>
      <c r="H11" s="1581">
        <f t="shared" si="0"/>
        <v>100</v>
      </c>
    </row>
    <row r="12" spans="1:8" ht="30" x14ac:dyDescent="0.2">
      <c r="A12" s="1577">
        <v>3299</v>
      </c>
      <c r="B12" s="1578">
        <v>5221</v>
      </c>
      <c r="C12" s="1629" t="s">
        <v>2097</v>
      </c>
      <c r="D12" s="1579" t="s">
        <v>1183</v>
      </c>
      <c r="E12" s="1580">
        <v>0</v>
      </c>
      <c r="F12" s="1580">
        <v>166</v>
      </c>
      <c r="G12" s="1580">
        <v>166</v>
      </c>
      <c r="H12" s="1581">
        <f t="shared" si="0"/>
        <v>100</v>
      </c>
    </row>
    <row r="13" spans="1:8" ht="30" x14ac:dyDescent="0.2">
      <c r="A13" s="1577">
        <v>3299</v>
      </c>
      <c r="B13" s="1578">
        <v>5221</v>
      </c>
      <c r="C13" s="1629" t="s">
        <v>2096</v>
      </c>
      <c r="D13" s="1579" t="s">
        <v>1183</v>
      </c>
      <c r="E13" s="1580">
        <v>0</v>
      </c>
      <c r="F13" s="1580">
        <v>940</v>
      </c>
      <c r="G13" s="1580">
        <v>940</v>
      </c>
      <c r="H13" s="1581">
        <f t="shared" si="0"/>
        <v>100</v>
      </c>
    </row>
    <row r="14" spans="1:8" ht="15" hidden="1" x14ac:dyDescent="0.2">
      <c r="A14" s="1577">
        <v>3299</v>
      </c>
      <c r="B14" s="1578">
        <v>5222</v>
      </c>
      <c r="C14" s="1629">
        <v>32133030</v>
      </c>
      <c r="D14" s="1579" t="s">
        <v>1513</v>
      </c>
      <c r="E14" s="1580">
        <v>0</v>
      </c>
      <c r="F14" s="1580"/>
      <c r="G14" s="1580"/>
      <c r="H14" s="1581" t="e">
        <f t="shared" si="0"/>
        <v>#DIV/0!</v>
      </c>
    </row>
    <row r="15" spans="1:8" ht="15" hidden="1" x14ac:dyDescent="0.2">
      <c r="A15" s="1577">
        <v>3299</v>
      </c>
      <c r="B15" s="1578">
        <v>5222</v>
      </c>
      <c r="C15" s="1629">
        <v>32533030</v>
      </c>
      <c r="D15" s="1579" t="s">
        <v>1513</v>
      </c>
      <c r="E15" s="1580">
        <v>0</v>
      </c>
      <c r="F15" s="1580"/>
      <c r="G15" s="1580"/>
      <c r="H15" s="1581" t="e">
        <f t="shared" si="0"/>
        <v>#DIV/0!</v>
      </c>
    </row>
    <row r="16" spans="1:8" ht="25.5" x14ac:dyDescent="0.2">
      <c r="A16" s="1577">
        <v>3299</v>
      </c>
      <c r="B16" s="1578">
        <v>5332</v>
      </c>
      <c r="C16" s="2850" t="s">
        <v>2097</v>
      </c>
      <c r="D16" s="1579" t="s">
        <v>560</v>
      </c>
      <c r="E16" s="1580">
        <v>0</v>
      </c>
      <c r="F16" s="1580">
        <v>65</v>
      </c>
      <c r="G16" s="1580">
        <v>65</v>
      </c>
      <c r="H16" s="1581">
        <f t="shared" si="0"/>
        <v>100</v>
      </c>
    </row>
    <row r="17" spans="1:9" ht="25.5" x14ac:dyDescent="0.2">
      <c r="A17" s="1577">
        <v>3299</v>
      </c>
      <c r="B17" s="1578">
        <v>5332</v>
      </c>
      <c r="C17" s="2850" t="s">
        <v>2096</v>
      </c>
      <c r="D17" s="1579" t="s">
        <v>560</v>
      </c>
      <c r="E17" s="1580">
        <v>0</v>
      </c>
      <c r="F17" s="1580">
        <v>367</v>
      </c>
      <c r="G17" s="1580">
        <v>367</v>
      </c>
      <c r="H17" s="1581">
        <f t="shared" si="0"/>
        <v>100</v>
      </c>
    </row>
    <row r="18" spans="1:9" ht="15" customHeight="1" x14ac:dyDescent="0.2">
      <c r="A18" s="1577">
        <v>3299</v>
      </c>
      <c r="B18" s="1578">
        <v>5901</v>
      </c>
      <c r="C18" s="2850" t="s">
        <v>2097</v>
      </c>
      <c r="D18" s="1579" t="s">
        <v>547</v>
      </c>
      <c r="E18" s="1580">
        <v>0</v>
      </c>
      <c r="F18" s="1580">
        <v>238</v>
      </c>
      <c r="G18" s="1580">
        <v>0</v>
      </c>
      <c r="H18" s="1581">
        <f t="shared" si="0"/>
        <v>0</v>
      </c>
    </row>
    <row r="19" spans="1:9" ht="25.5" x14ac:dyDescent="0.2">
      <c r="A19" s="1577">
        <v>3299</v>
      </c>
      <c r="B19" s="1578">
        <v>5901</v>
      </c>
      <c r="C19" s="2850" t="s">
        <v>2096</v>
      </c>
      <c r="D19" s="1579" t="s">
        <v>547</v>
      </c>
      <c r="E19" s="1580">
        <v>0</v>
      </c>
      <c r="F19" s="1580">
        <v>1351</v>
      </c>
      <c r="G19" s="1580">
        <v>0</v>
      </c>
      <c r="H19" s="1581">
        <f t="shared" si="0"/>
        <v>0</v>
      </c>
    </row>
    <row r="20" spans="1:9" ht="45" hidden="1" x14ac:dyDescent="0.2">
      <c r="A20" s="1577">
        <v>3299</v>
      </c>
      <c r="B20" s="1578">
        <v>6313</v>
      </c>
      <c r="C20" s="2850">
        <v>32133006</v>
      </c>
      <c r="D20" s="1579" t="s">
        <v>496</v>
      </c>
      <c r="E20" s="1580"/>
      <c r="F20" s="1580"/>
      <c r="G20" s="1580"/>
      <c r="H20" s="1581" t="e">
        <f t="shared" si="0"/>
        <v>#DIV/0!</v>
      </c>
    </row>
    <row r="21" spans="1:9" ht="45" hidden="1" x14ac:dyDescent="0.2">
      <c r="A21" s="1577">
        <v>3299</v>
      </c>
      <c r="B21" s="1578">
        <v>6313</v>
      </c>
      <c r="C21" s="2850">
        <v>32533006</v>
      </c>
      <c r="D21" s="1579" t="s">
        <v>496</v>
      </c>
      <c r="E21" s="1580"/>
      <c r="F21" s="1580"/>
      <c r="G21" s="1580"/>
      <c r="H21" s="1581" t="e">
        <f t="shared" si="0"/>
        <v>#DIV/0!</v>
      </c>
    </row>
    <row r="22" spans="1:9" ht="30" hidden="1" x14ac:dyDescent="0.2">
      <c r="A22" s="1577">
        <v>3299</v>
      </c>
      <c r="B22" s="1578">
        <v>6323</v>
      </c>
      <c r="C22" s="2850">
        <v>32133006</v>
      </c>
      <c r="D22" s="1579" t="s">
        <v>497</v>
      </c>
      <c r="E22" s="1580"/>
      <c r="F22" s="1580"/>
      <c r="G22" s="1580"/>
      <c r="H22" s="1581" t="e">
        <f t="shared" si="0"/>
        <v>#DIV/0!</v>
      </c>
    </row>
    <row r="23" spans="1:9" ht="30" hidden="1" x14ac:dyDescent="0.2">
      <c r="A23" s="1577">
        <v>3299</v>
      </c>
      <c r="B23" s="1578">
        <v>6323</v>
      </c>
      <c r="C23" s="2850">
        <v>32533006</v>
      </c>
      <c r="D23" s="1579" t="s">
        <v>497</v>
      </c>
      <c r="E23" s="1580"/>
      <c r="F23" s="1580"/>
      <c r="G23" s="1580"/>
      <c r="H23" s="1581" t="e">
        <f t="shared" si="0"/>
        <v>#DIV/0!</v>
      </c>
    </row>
    <row r="24" spans="1:9" ht="15" customHeight="1" x14ac:dyDescent="0.2">
      <c r="A24" s="1577">
        <v>3299</v>
      </c>
      <c r="B24" s="1578">
        <v>6901</v>
      </c>
      <c r="C24" s="2850" t="s">
        <v>2103</v>
      </c>
      <c r="D24" s="1579" t="s">
        <v>391</v>
      </c>
      <c r="E24" s="1580">
        <v>0</v>
      </c>
      <c r="F24" s="1580">
        <v>75</v>
      </c>
      <c r="G24" s="1580">
        <v>0</v>
      </c>
      <c r="H24" s="1581">
        <f t="shared" si="0"/>
        <v>0</v>
      </c>
    </row>
    <row r="25" spans="1:9" ht="15" customHeight="1" x14ac:dyDescent="0.2">
      <c r="A25" s="1577">
        <v>3299</v>
      </c>
      <c r="B25" s="1578">
        <v>6901</v>
      </c>
      <c r="C25" s="2850" t="s">
        <v>2102</v>
      </c>
      <c r="D25" s="1579" t="s">
        <v>391</v>
      </c>
      <c r="E25" s="1580">
        <v>0</v>
      </c>
      <c r="F25" s="1580">
        <v>425</v>
      </c>
      <c r="G25" s="1580">
        <v>0</v>
      </c>
      <c r="H25" s="1581">
        <f t="shared" si="0"/>
        <v>0</v>
      </c>
    </row>
    <row r="26" spans="1:9" ht="15" customHeight="1" thickBot="1" x14ac:dyDescent="0.25">
      <c r="A26" s="1577">
        <v>6402</v>
      </c>
      <c r="B26" s="1578">
        <v>5363</v>
      </c>
      <c r="C26" s="2850" t="s">
        <v>1786</v>
      </c>
      <c r="D26" s="1579" t="s">
        <v>1353</v>
      </c>
      <c r="E26" s="1580">
        <v>0</v>
      </c>
      <c r="F26" s="1580">
        <v>7</v>
      </c>
      <c r="G26" s="1580">
        <v>7</v>
      </c>
      <c r="H26" s="1581">
        <f t="shared" si="0"/>
        <v>100</v>
      </c>
    </row>
    <row r="27" spans="1:9" ht="15.75" hidden="1" thickBot="1" x14ac:dyDescent="0.25">
      <c r="A27" s="1577">
        <v>6330</v>
      </c>
      <c r="B27" s="1578">
        <v>5345</v>
      </c>
      <c r="C27" s="1582">
        <v>0</v>
      </c>
      <c r="D27" s="1579" t="s">
        <v>693</v>
      </c>
      <c r="E27" s="1580">
        <v>0</v>
      </c>
      <c r="F27" s="1580"/>
      <c r="G27" s="1580"/>
      <c r="H27" s="1583">
        <v>0</v>
      </c>
    </row>
    <row r="28" spans="1:9" ht="16.5" thickTop="1" thickBot="1" x14ac:dyDescent="0.3">
      <c r="A28" s="3219" t="s">
        <v>690</v>
      </c>
      <c r="B28" s="3220"/>
      <c r="C28" s="3220"/>
      <c r="D28" s="3220"/>
      <c r="E28" s="1387">
        <f>SUM(E10:E27)</f>
        <v>0</v>
      </c>
      <c r="F28" s="1387">
        <f>SUM(F10:F27)</f>
        <v>4432</v>
      </c>
      <c r="G28" s="1387">
        <f>SUM(G10:G27)</f>
        <v>2343</v>
      </c>
      <c r="H28" s="1391">
        <f>G28/F28*100</f>
        <v>52.865523465703966</v>
      </c>
    </row>
    <row r="29" spans="1:9" ht="15.75" thickTop="1" x14ac:dyDescent="0.25">
      <c r="A29" s="1624"/>
      <c r="B29" s="1624"/>
      <c r="C29" s="1624"/>
      <c r="D29" s="1624"/>
      <c r="E29" s="1625"/>
      <c r="F29" s="1625"/>
      <c r="G29" s="1625"/>
      <c r="H29" s="1626"/>
    </row>
    <row r="30" spans="1:9" ht="15" hidden="1" x14ac:dyDescent="0.25">
      <c r="A30" s="1544" t="s">
        <v>1373</v>
      </c>
      <c r="B30" s="1558"/>
      <c r="C30" s="1558"/>
      <c r="D30" s="1558"/>
      <c r="F30" s="1559"/>
      <c r="G30" s="1559"/>
      <c r="H30" s="1559"/>
      <c r="I30" s="1559"/>
    </row>
    <row r="31" spans="1:9" ht="15" hidden="1" x14ac:dyDescent="0.25">
      <c r="A31" s="1544" t="s">
        <v>894</v>
      </c>
      <c r="B31" s="1558"/>
      <c r="C31" s="1558"/>
      <c r="D31" s="1558"/>
      <c r="F31" s="1559"/>
      <c r="G31" s="1559"/>
      <c r="H31" s="1560" t="s">
        <v>148</v>
      </c>
      <c r="I31" s="1559"/>
    </row>
    <row r="32" spans="1:9" ht="25.5" hidden="1" thickTop="1" thickBot="1" x14ac:dyDescent="0.25">
      <c r="A32" s="1561" t="s">
        <v>149</v>
      </c>
      <c r="B32" s="1562" t="s">
        <v>688</v>
      </c>
      <c r="C32" s="1562" t="s">
        <v>345</v>
      </c>
      <c r="D32" s="1563" t="s">
        <v>151</v>
      </c>
      <c r="E32" s="1564" t="s">
        <v>569</v>
      </c>
      <c r="F32" s="1564" t="s">
        <v>570</v>
      </c>
      <c r="G32" s="1565" t="s">
        <v>797</v>
      </c>
      <c r="H32" s="1566" t="s">
        <v>798</v>
      </c>
      <c r="I32" s="1559"/>
    </row>
    <row r="33" spans="1:9" ht="14.25" hidden="1" thickTop="1" thickBot="1" x14ac:dyDescent="0.25">
      <c r="A33" s="1567">
        <v>1</v>
      </c>
      <c r="B33" s="1568">
        <v>2</v>
      </c>
      <c r="C33" s="1568">
        <v>3</v>
      </c>
      <c r="D33" s="1568">
        <v>5</v>
      </c>
      <c r="E33" s="1569">
        <v>6</v>
      </c>
      <c r="F33" s="1569">
        <v>7</v>
      </c>
      <c r="G33" s="1570">
        <v>8</v>
      </c>
      <c r="H33" s="1586" t="s">
        <v>689</v>
      </c>
      <c r="I33" s="1559"/>
    </row>
    <row r="34" spans="1:9" ht="30.75" hidden="1" thickTop="1" x14ac:dyDescent="0.2">
      <c r="A34" s="1577">
        <v>3299</v>
      </c>
      <c r="B34" s="1578">
        <v>5336</v>
      </c>
      <c r="C34" s="1578">
        <v>32133030</v>
      </c>
      <c r="D34" s="1579" t="s">
        <v>1131</v>
      </c>
      <c r="E34" s="1575"/>
      <c r="F34" s="1575"/>
      <c r="G34" s="1587"/>
      <c r="H34" s="1576" t="e">
        <f>G34/F34*100</f>
        <v>#DIV/0!</v>
      </c>
      <c r="I34" s="1559"/>
    </row>
    <row r="35" spans="1:9" ht="30" hidden="1" x14ac:dyDescent="0.2">
      <c r="A35" s="1577">
        <v>3299</v>
      </c>
      <c r="B35" s="1578">
        <v>5336</v>
      </c>
      <c r="C35" s="1578">
        <v>32533030</v>
      </c>
      <c r="D35" s="1579" t="s">
        <v>1131</v>
      </c>
      <c r="E35" s="1580"/>
      <c r="F35" s="1580"/>
      <c r="G35" s="1588"/>
      <c r="H35" s="1581" t="e">
        <f>G35/F35*100</f>
        <v>#DIV/0!</v>
      </c>
      <c r="I35" s="1559"/>
    </row>
    <row r="36" spans="1:9" ht="30" hidden="1" x14ac:dyDescent="0.2">
      <c r="A36" s="1577">
        <v>3299</v>
      </c>
      <c r="B36" s="1578">
        <v>6351</v>
      </c>
      <c r="C36" s="1578">
        <v>32133006</v>
      </c>
      <c r="D36" s="1579" t="s">
        <v>1145</v>
      </c>
      <c r="E36" s="1580">
        <v>0</v>
      </c>
      <c r="F36" s="1580">
        <v>0</v>
      </c>
      <c r="G36" s="1588">
        <v>0</v>
      </c>
      <c r="H36" s="1581" t="e">
        <f>G36/F36*100</f>
        <v>#DIV/0!</v>
      </c>
      <c r="I36" s="1559"/>
    </row>
    <row r="37" spans="1:9" ht="30" hidden="1" x14ac:dyDescent="0.2">
      <c r="A37" s="1577">
        <v>3299</v>
      </c>
      <c r="B37" s="1578">
        <v>6351</v>
      </c>
      <c r="C37" s="1578">
        <v>32533006</v>
      </c>
      <c r="D37" s="1579" t="s">
        <v>1145</v>
      </c>
      <c r="E37" s="1580">
        <v>0</v>
      </c>
      <c r="F37" s="1580">
        <v>0</v>
      </c>
      <c r="G37" s="1588">
        <v>0</v>
      </c>
      <c r="H37" s="1581" t="e">
        <f>G37/F37*100</f>
        <v>#DIV/0!</v>
      </c>
      <c r="I37" s="1559"/>
    </row>
    <row r="38" spans="1:9" ht="16.5" hidden="1" thickTop="1" thickBot="1" x14ac:dyDescent="0.3">
      <c r="A38" s="1589" t="s">
        <v>690</v>
      </c>
      <c r="B38" s="1590"/>
      <c r="C38" s="1590"/>
      <c r="D38" s="1591"/>
      <c r="E38" s="1584">
        <f>SUM(E34:E37)</f>
        <v>0</v>
      </c>
      <c r="F38" s="1584">
        <f>SUM(F34:F37)</f>
        <v>0</v>
      </c>
      <c r="G38" s="1584">
        <f>SUM(G34:G37)</f>
        <v>0</v>
      </c>
      <c r="H38" s="1585" t="e">
        <f>G38/F38*100</f>
        <v>#DIV/0!</v>
      </c>
      <c r="I38" s="1559"/>
    </row>
    <row r="39" spans="1:9" ht="15" hidden="1" x14ac:dyDescent="0.25">
      <c r="A39" s="1624"/>
      <c r="B39" s="1624"/>
      <c r="C39" s="1624"/>
      <c r="D39" s="1624"/>
      <c r="E39" s="1625"/>
      <c r="F39" s="1625"/>
      <c r="G39" s="1625"/>
      <c r="H39" s="1626"/>
    </row>
    <row r="40" spans="1:9" ht="15" x14ac:dyDescent="0.25">
      <c r="A40" s="1544" t="s">
        <v>1374</v>
      </c>
      <c r="B40" s="1558"/>
      <c r="C40" s="1558"/>
      <c r="D40" s="1558"/>
      <c r="F40" s="1559"/>
      <c r="G40" s="1559"/>
      <c r="H40" s="1559"/>
      <c r="I40" s="1559"/>
    </row>
    <row r="41" spans="1:9" ht="15.75" thickBot="1" x14ac:dyDescent="0.3">
      <c r="A41" s="1544" t="s">
        <v>895</v>
      </c>
      <c r="B41" s="1558"/>
      <c r="C41" s="1558"/>
      <c r="D41" s="1558"/>
      <c r="F41" s="1559"/>
      <c r="G41" s="1559"/>
      <c r="H41" s="1560" t="s">
        <v>148</v>
      </c>
      <c r="I41" s="1559"/>
    </row>
    <row r="42" spans="1:9" ht="25.5" thickTop="1" thickBot="1" x14ac:dyDescent="0.25">
      <c r="A42" s="1561" t="s">
        <v>149</v>
      </c>
      <c r="B42" s="1562" t="s">
        <v>688</v>
      </c>
      <c r="C42" s="1562" t="s">
        <v>345</v>
      </c>
      <c r="D42" s="1563" t="s">
        <v>151</v>
      </c>
      <c r="E42" s="1564" t="s">
        <v>569</v>
      </c>
      <c r="F42" s="1564" t="s">
        <v>570</v>
      </c>
      <c r="G42" s="1565" t="s">
        <v>797</v>
      </c>
      <c r="H42" s="1566" t="s">
        <v>798</v>
      </c>
      <c r="I42" s="1559"/>
    </row>
    <row r="43" spans="1:9" ht="14.25" thickTop="1" thickBot="1" x14ac:dyDescent="0.25">
      <c r="A43" s="1567">
        <v>1</v>
      </c>
      <c r="B43" s="1568">
        <v>2</v>
      </c>
      <c r="C43" s="1568">
        <v>3</v>
      </c>
      <c r="D43" s="1568">
        <v>5</v>
      </c>
      <c r="E43" s="1569">
        <v>6</v>
      </c>
      <c r="F43" s="1569">
        <v>7</v>
      </c>
      <c r="G43" s="1570">
        <v>8</v>
      </c>
      <c r="H43" s="1586" t="s">
        <v>689</v>
      </c>
      <c r="I43" s="1559"/>
    </row>
    <row r="44" spans="1:9" ht="30.75" thickTop="1" x14ac:dyDescent="0.2">
      <c r="A44" s="1577">
        <v>3299</v>
      </c>
      <c r="B44" s="1578">
        <v>5336</v>
      </c>
      <c r="C44" s="1629" t="s">
        <v>2097</v>
      </c>
      <c r="D44" s="1579" t="s">
        <v>1131</v>
      </c>
      <c r="E44" s="1575">
        <v>0</v>
      </c>
      <c r="F44" s="1575">
        <v>215</v>
      </c>
      <c r="G44" s="1587">
        <v>215</v>
      </c>
      <c r="H44" s="1576">
        <f>G44/F44*100</f>
        <v>100</v>
      </c>
      <c r="I44" s="1559"/>
    </row>
    <row r="45" spans="1:9" ht="30.75" thickBot="1" x14ac:dyDescent="0.25">
      <c r="A45" s="1577">
        <v>3299</v>
      </c>
      <c r="B45" s="1578">
        <v>5336</v>
      </c>
      <c r="C45" s="1629" t="s">
        <v>2096</v>
      </c>
      <c r="D45" s="1579" t="s">
        <v>1131</v>
      </c>
      <c r="E45" s="1580">
        <v>0</v>
      </c>
      <c r="F45" s="1580">
        <v>1217</v>
      </c>
      <c r="G45" s="1588">
        <v>1217</v>
      </c>
      <c r="H45" s="1581">
        <f>G45/F45*100</f>
        <v>100</v>
      </c>
      <c r="I45" s="1559"/>
    </row>
    <row r="46" spans="1:9" ht="30.75" hidden="1" thickBot="1" x14ac:dyDescent="0.25">
      <c r="A46" s="1577">
        <v>3299</v>
      </c>
      <c r="B46" s="1578">
        <v>6351</v>
      </c>
      <c r="C46" s="1578">
        <v>32133006</v>
      </c>
      <c r="D46" s="1579" t="s">
        <v>1145</v>
      </c>
      <c r="E46" s="1580">
        <v>0</v>
      </c>
      <c r="F46" s="1580">
        <v>0</v>
      </c>
      <c r="G46" s="1588">
        <v>0</v>
      </c>
      <c r="H46" s="1581" t="e">
        <f>G46/F46*100</f>
        <v>#DIV/0!</v>
      </c>
      <c r="I46" s="1559"/>
    </row>
    <row r="47" spans="1:9" ht="30.75" hidden="1" thickBot="1" x14ac:dyDescent="0.25">
      <c r="A47" s="1577">
        <v>3299</v>
      </c>
      <c r="B47" s="1578">
        <v>6351</v>
      </c>
      <c r="C47" s="1578">
        <v>32533006</v>
      </c>
      <c r="D47" s="1579" t="s">
        <v>1145</v>
      </c>
      <c r="E47" s="1580">
        <v>0</v>
      </c>
      <c r="F47" s="1580">
        <v>0</v>
      </c>
      <c r="G47" s="1588">
        <v>0</v>
      </c>
      <c r="H47" s="1581" t="e">
        <f>G47/F47*100</f>
        <v>#DIV/0!</v>
      </c>
      <c r="I47" s="1559"/>
    </row>
    <row r="48" spans="1:9" ht="16.5" thickTop="1" thickBot="1" x14ac:dyDescent="0.3">
      <c r="A48" s="1589" t="s">
        <v>690</v>
      </c>
      <c r="B48" s="1590"/>
      <c r="C48" s="1590"/>
      <c r="D48" s="1591"/>
      <c r="E48" s="1584">
        <f>SUM(E44:E47)</f>
        <v>0</v>
      </c>
      <c r="F48" s="1584">
        <f>SUM(F44:F47)</f>
        <v>1432</v>
      </c>
      <c r="G48" s="1584">
        <f>SUM(G44:G47)</f>
        <v>1432</v>
      </c>
      <c r="H48" s="1585">
        <f>G48/F48*100</f>
        <v>100</v>
      </c>
      <c r="I48" s="1559"/>
    </row>
    <row r="49" spans="1:9" ht="15.75" thickTop="1" x14ac:dyDescent="0.25">
      <c r="A49" s="1624"/>
      <c r="B49" s="1624"/>
      <c r="C49" s="1624"/>
      <c r="D49" s="1624"/>
      <c r="E49" s="1625"/>
      <c r="F49" s="1625"/>
      <c r="G49" s="1625"/>
      <c r="H49" s="1626"/>
    </row>
    <row r="50" spans="1:9" ht="15" hidden="1" x14ac:dyDescent="0.25">
      <c r="A50" s="1544" t="s">
        <v>1360</v>
      </c>
      <c r="B50" s="1558"/>
      <c r="C50" s="1558"/>
      <c r="D50" s="1558"/>
      <c r="F50" s="1559"/>
      <c r="G50" s="1559"/>
      <c r="H50" s="1559"/>
      <c r="I50" s="1559"/>
    </row>
    <row r="51" spans="1:9" ht="15" hidden="1" x14ac:dyDescent="0.25">
      <c r="A51" s="1544" t="s">
        <v>1134</v>
      </c>
      <c r="B51" s="1558"/>
      <c r="C51" s="1558"/>
      <c r="D51" s="1558"/>
      <c r="F51" s="1559"/>
      <c r="G51" s="1559"/>
      <c r="H51" s="1560" t="s">
        <v>148</v>
      </c>
      <c r="I51" s="1559"/>
    </row>
    <row r="52" spans="1:9" ht="25.5" hidden="1" thickTop="1" thickBot="1" x14ac:dyDescent="0.25">
      <c r="A52" s="1561" t="s">
        <v>149</v>
      </c>
      <c r="B52" s="1562" t="s">
        <v>688</v>
      </c>
      <c r="C52" s="1562" t="s">
        <v>345</v>
      </c>
      <c r="D52" s="1563" t="s">
        <v>151</v>
      </c>
      <c r="E52" s="1564" t="s">
        <v>569</v>
      </c>
      <c r="F52" s="1564" t="s">
        <v>570</v>
      </c>
      <c r="G52" s="1565" t="s">
        <v>797</v>
      </c>
      <c r="H52" s="1566" t="s">
        <v>798</v>
      </c>
      <c r="I52" s="1559"/>
    </row>
    <row r="53" spans="1:9" ht="14.25" hidden="1" thickTop="1" thickBot="1" x14ac:dyDescent="0.25">
      <c r="A53" s="1567">
        <v>1</v>
      </c>
      <c r="B53" s="1568">
        <v>2</v>
      </c>
      <c r="C53" s="1568">
        <v>3</v>
      </c>
      <c r="D53" s="1568">
        <v>5</v>
      </c>
      <c r="E53" s="1569">
        <v>6</v>
      </c>
      <c r="F53" s="1569">
        <v>7</v>
      </c>
      <c r="G53" s="1570">
        <v>8</v>
      </c>
      <c r="H53" s="1586" t="s">
        <v>689</v>
      </c>
      <c r="I53" s="1559"/>
    </row>
    <row r="54" spans="1:9" ht="30.75" hidden="1" thickTop="1" x14ac:dyDescent="0.2">
      <c r="A54" s="1577">
        <v>3299</v>
      </c>
      <c r="B54" s="1578">
        <v>5336</v>
      </c>
      <c r="C54" s="1578">
        <v>32133030</v>
      </c>
      <c r="D54" s="1579" t="s">
        <v>1131</v>
      </c>
      <c r="E54" s="1575"/>
      <c r="F54" s="1575"/>
      <c r="G54" s="1587"/>
      <c r="H54" s="1576" t="e">
        <f>G54/F54*100</f>
        <v>#DIV/0!</v>
      </c>
      <c r="I54" s="1559"/>
    </row>
    <row r="55" spans="1:9" ht="30" hidden="1" x14ac:dyDescent="0.2">
      <c r="A55" s="1577">
        <v>3299</v>
      </c>
      <c r="B55" s="1578">
        <v>5336</v>
      </c>
      <c r="C55" s="1578">
        <v>32533030</v>
      </c>
      <c r="D55" s="1579" t="s">
        <v>1131</v>
      </c>
      <c r="E55" s="1580"/>
      <c r="F55" s="1580"/>
      <c r="G55" s="1588"/>
      <c r="H55" s="1581" t="e">
        <f>G55/F55*100</f>
        <v>#DIV/0!</v>
      </c>
      <c r="I55" s="1559"/>
    </row>
    <row r="56" spans="1:9" ht="30" hidden="1" x14ac:dyDescent="0.2">
      <c r="A56" s="1577">
        <v>3299</v>
      </c>
      <c r="B56" s="1578">
        <v>6351</v>
      </c>
      <c r="C56" s="1578">
        <v>32133006</v>
      </c>
      <c r="D56" s="1579" t="s">
        <v>1145</v>
      </c>
      <c r="E56" s="1580">
        <v>0</v>
      </c>
      <c r="F56" s="1580">
        <v>0</v>
      </c>
      <c r="G56" s="1588">
        <v>0</v>
      </c>
      <c r="H56" s="1581" t="e">
        <f>G56/F56*100</f>
        <v>#DIV/0!</v>
      </c>
      <c r="I56" s="1559"/>
    </row>
    <row r="57" spans="1:9" ht="30" hidden="1" x14ac:dyDescent="0.2">
      <c r="A57" s="1577">
        <v>3299</v>
      </c>
      <c r="B57" s="1578">
        <v>6351</v>
      </c>
      <c r="C57" s="1578">
        <v>32533006</v>
      </c>
      <c r="D57" s="1579" t="s">
        <v>1145</v>
      </c>
      <c r="E57" s="1580">
        <v>0</v>
      </c>
      <c r="F57" s="1580">
        <v>0</v>
      </c>
      <c r="G57" s="1588">
        <v>0</v>
      </c>
      <c r="H57" s="1581" t="e">
        <f>G57/F57*100</f>
        <v>#DIV/0!</v>
      </c>
      <c r="I57" s="1559"/>
    </row>
    <row r="58" spans="1:9" ht="16.5" hidden="1" thickTop="1" thickBot="1" x14ac:dyDescent="0.3">
      <c r="A58" s="1589" t="s">
        <v>690</v>
      </c>
      <c r="B58" s="1590"/>
      <c r="C58" s="1590"/>
      <c r="D58" s="1591"/>
      <c r="E58" s="1584">
        <f>SUM(E54:E57)</f>
        <v>0</v>
      </c>
      <c r="F58" s="1584">
        <f>SUM(F54:F57)</f>
        <v>0</v>
      </c>
      <c r="G58" s="1584">
        <f>SUM(G54:G57)</f>
        <v>0</v>
      </c>
      <c r="H58" s="1585" t="e">
        <f>G58/F58*100</f>
        <v>#DIV/0!</v>
      </c>
      <c r="I58" s="1559"/>
    </row>
    <row r="59" spans="1:9" ht="15" hidden="1" x14ac:dyDescent="0.25">
      <c r="A59" s="1624"/>
      <c r="B59" s="1624"/>
      <c r="C59" s="1624"/>
      <c r="D59" s="1624"/>
      <c r="E59" s="1625"/>
      <c r="F59" s="1625"/>
      <c r="G59" s="1625"/>
      <c r="H59" s="1626"/>
    </row>
    <row r="60" spans="1:9" ht="15" hidden="1" x14ac:dyDescent="0.25">
      <c r="A60" s="1544" t="s">
        <v>1375</v>
      </c>
      <c r="B60" s="1558"/>
      <c r="C60" s="1558"/>
      <c r="D60" s="1558"/>
      <c r="F60" s="1559"/>
      <c r="G60" s="1559"/>
      <c r="H60" s="1559"/>
      <c r="I60" s="1559"/>
    </row>
    <row r="61" spans="1:9" ht="15" hidden="1" x14ac:dyDescent="0.25">
      <c r="A61" s="1544" t="s">
        <v>1031</v>
      </c>
      <c r="B61" s="1558"/>
      <c r="C61" s="1558"/>
      <c r="D61" s="1558"/>
      <c r="F61" s="1559"/>
      <c r="G61" s="1559"/>
      <c r="H61" s="1560" t="s">
        <v>148</v>
      </c>
      <c r="I61" s="1559"/>
    </row>
    <row r="62" spans="1:9" ht="25.5" hidden="1" thickTop="1" thickBot="1" x14ac:dyDescent="0.25">
      <c r="A62" s="1561" t="s">
        <v>149</v>
      </c>
      <c r="B62" s="1562" t="s">
        <v>688</v>
      </c>
      <c r="C62" s="1562" t="s">
        <v>345</v>
      </c>
      <c r="D62" s="1563" t="s">
        <v>151</v>
      </c>
      <c r="E62" s="1564" t="s">
        <v>569</v>
      </c>
      <c r="F62" s="1564" t="s">
        <v>570</v>
      </c>
      <c r="G62" s="1565" t="s">
        <v>797</v>
      </c>
      <c r="H62" s="1566" t="s">
        <v>798</v>
      </c>
      <c r="I62" s="1559"/>
    </row>
    <row r="63" spans="1:9" ht="14.25" hidden="1" thickTop="1" thickBot="1" x14ac:dyDescent="0.25">
      <c r="A63" s="1567">
        <v>1</v>
      </c>
      <c r="B63" s="1568">
        <v>2</v>
      </c>
      <c r="C63" s="1568">
        <v>3</v>
      </c>
      <c r="D63" s="1568">
        <v>5</v>
      </c>
      <c r="E63" s="1569">
        <v>6</v>
      </c>
      <c r="F63" s="1569">
        <v>7</v>
      </c>
      <c r="G63" s="1570">
        <v>8</v>
      </c>
      <c r="H63" s="1586" t="s">
        <v>689</v>
      </c>
      <c r="I63" s="1559"/>
    </row>
    <row r="64" spans="1:9" ht="30.75" hidden="1" thickTop="1" x14ac:dyDescent="0.2">
      <c r="A64" s="1577">
        <v>3299</v>
      </c>
      <c r="B64" s="1578">
        <v>5336</v>
      </c>
      <c r="C64" s="1578">
        <v>32133030</v>
      </c>
      <c r="D64" s="1579" t="s">
        <v>1131</v>
      </c>
      <c r="E64" s="1575"/>
      <c r="F64" s="1575"/>
      <c r="G64" s="1587"/>
      <c r="H64" s="1576" t="e">
        <f>G64/F64*100</f>
        <v>#DIV/0!</v>
      </c>
      <c r="I64" s="1559"/>
    </row>
    <row r="65" spans="1:9" ht="30" hidden="1" x14ac:dyDescent="0.2">
      <c r="A65" s="1577">
        <v>3299</v>
      </c>
      <c r="B65" s="1578">
        <v>5336</v>
      </c>
      <c r="C65" s="1578">
        <v>32533030</v>
      </c>
      <c r="D65" s="1579" t="s">
        <v>1131</v>
      </c>
      <c r="E65" s="1580"/>
      <c r="F65" s="1580"/>
      <c r="G65" s="1588"/>
      <c r="H65" s="1581" t="e">
        <f>G65/F65*100</f>
        <v>#DIV/0!</v>
      </c>
      <c r="I65" s="1559"/>
    </row>
    <row r="66" spans="1:9" ht="30" hidden="1" x14ac:dyDescent="0.2">
      <c r="A66" s="1577">
        <v>3299</v>
      </c>
      <c r="B66" s="1578">
        <v>6351</v>
      </c>
      <c r="C66" s="1578">
        <v>32133006</v>
      </c>
      <c r="D66" s="1579" t="s">
        <v>1145</v>
      </c>
      <c r="E66" s="1580">
        <v>0</v>
      </c>
      <c r="F66" s="1580">
        <v>0</v>
      </c>
      <c r="G66" s="1588">
        <v>0</v>
      </c>
      <c r="H66" s="1581" t="e">
        <f>G66/F66*100</f>
        <v>#DIV/0!</v>
      </c>
      <c r="I66" s="1559"/>
    </row>
    <row r="67" spans="1:9" ht="30" hidden="1" x14ac:dyDescent="0.2">
      <c r="A67" s="1577">
        <v>3299</v>
      </c>
      <c r="B67" s="1578">
        <v>6351</v>
      </c>
      <c r="C67" s="1578">
        <v>32533006</v>
      </c>
      <c r="D67" s="1579" t="s">
        <v>1145</v>
      </c>
      <c r="E67" s="1580">
        <v>0</v>
      </c>
      <c r="F67" s="1580">
        <v>0</v>
      </c>
      <c r="G67" s="1588">
        <v>0</v>
      </c>
      <c r="H67" s="1581" t="e">
        <f>G67/F67*100</f>
        <v>#DIV/0!</v>
      </c>
      <c r="I67" s="1559"/>
    </row>
    <row r="68" spans="1:9" ht="16.5" hidden="1" thickTop="1" thickBot="1" x14ac:dyDescent="0.3">
      <c r="A68" s="1589" t="s">
        <v>690</v>
      </c>
      <c r="B68" s="1590"/>
      <c r="C68" s="1590"/>
      <c r="D68" s="1591"/>
      <c r="E68" s="1584">
        <f>SUM(E64:E67)</f>
        <v>0</v>
      </c>
      <c r="F68" s="1584">
        <f>SUM(F64:F67)</f>
        <v>0</v>
      </c>
      <c r="G68" s="1584">
        <f>SUM(G64:G67)</f>
        <v>0</v>
      </c>
      <c r="H68" s="1585" t="e">
        <f>G68/F68*100</f>
        <v>#DIV/0!</v>
      </c>
      <c r="I68" s="1559"/>
    </row>
    <row r="69" spans="1:9" ht="15" hidden="1" x14ac:dyDescent="0.25">
      <c r="A69" s="1624"/>
      <c r="B69" s="1624"/>
      <c r="C69" s="1624"/>
      <c r="D69" s="1624"/>
      <c r="E69" s="1625"/>
      <c r="F69" s="1625"/>
      <c r="G69" s="1625"/>
      <c r="H69" s="1626"/>
    </row>
    <row r="70" spans="1:9" ht="15" x14ac:dyDescent="0.25">
      <c r="A70" s="1544" t="s">
        <v>1421</v>
      </c>
      <c r="B70" s="1558"/>
      <c r="C70" s="1558"/>
      <c r="D70" s="1558"/>
      <c r="F70" s="1559"/>
      <c r="G70" s="1559"/>
      <c r="H70" s="1559"/>
      <c r="I70" s="1559"/>
    </row>
    <row r="71" spans="1:9" ht="15.75" thickBot="1" x14ac:dyDescent="0.3">
      <c r="A71" s="1544" t="s">
        <v>785</v>
      </c>
      <c r="B71" s="1558"/>
      <c r="C71" s="1558"/>
      <c r="D71" s="1558"/>
      <c r="F71" s="1559"/>
      <c r="G71" s="1559"/>
      <c r="H71" s="1560" t="s">
        <v>148</v>
      </c>
      <c r="I71" s="1559"/>
    </row>
    <row r="72" spans="1:9" ht="25.5" thickTop="1" thickBot="1" x14ac:dyDescent="0.25">
      <c r="A72" s="1561" t="s">
        <v>149</v>
      </c>
      <c r="B72" s="1562" t="s">
        <v>688</v>
      </c>
      <c r="C72" s="1562" t="s">
        <v>345</v>
      </c>
      <c r="D72" s="1563" t="s">
        <v>151</v>
      </c>
      <c r="E72" s="1564" t="s">
        <v>569</v>
      </c>
      <c r="F72" s="1564" t="s">
        <v>570</v>
      </c>
      <c r="G72" s="1565" t="s">
        <v>797</v>
      </c>
      <c r="H72" s="1566" t="s">
        <v>798</v>
      </c>
      <c r="I72" s="1559"/>
    </row>
    <row r="73" spans="1:9" ht="14.25" thickTop="1" thickBot="1" x14ac:dyDescent="0.25">
      <c r="A73" s="1567">
        <v>1</v>
      </c>
      <c r="B73" s="1568">
        <v>2</v>
      </c>
      <c r="C73" s="1568">
        <v>3</v>
      </c>
      <c r="D73" s="1568">
        <v>5</v>
      </c>
      <c r="E73" s="1569">
        <v>6</v>
      </c>
      <c r="F73" s="1569">
        <v>7</v>
      </c>
      <c r="G73" s="1570">
        <v>8</v>
      </c>
      <c r="H73" s="1586" t="s">
        <v>689</v>
      </c>
      <c r="I73" s="1559"/>
    </row>
    <row r="74" spans="1:9" ht="30.75" thickTop="1" x14ac:dyDescent="0.2">
      <c r="A74" s="1577">
        <v>3299</v>
      </c>
      <c r="B74" s="1578">
        <v>5336</v>
      </c>
      <c r="C74" s="1629" t="s">
        <v>2097</v>
      </c>
      <c r="D74" s="1579" t="s">
        <v>1131</v>
      </c>
      <c r="E74" s="1575">
        <v>0</v>
      </c>
      <c r="F74" s="1575">
        <v>67</v>
      </c>
      <c r="G74" s="1587">
        <v>67</v>
      </c>
      <c r="H74" s="1576">
        <f>G74/F74*100</f>
        <v>100</v>
      </c>
      <c r="I74" s="1559"/>
    </row>
    <row r="75" spans="1:9" ht="30.75" thickBot="1" x14ac:dyDescent="0.25">
      <c r="A75" s="1577">
        <v>3299</v>
      </c>
      <c r="B75" s="1578">
        <v>5336</v>
      </c>
      <c r="C75" s="1629" t="s">
        <v>2096</v>
      </c>
      <c r="D75" s="1579" t="s">
        <v>1131</v>
      </c>
      <c r="E75" s="1580">
        <v>0</v>
      </c>
      <c r="F75" s="1580">
        <v>378</v>
      </c>
      <c r="G75" s="1588">
        <v>378</v>
      </c>
      <c r="H75" s="1581">
        <f>G75/F75*100</f>
        <v>100</v>
      </c>
      <c r="I75" s="1559"/>
    </row>
    <row r="76" spans="1:9" ht="30.75" hidden="1" thickBot="1" x14ac:dyDescent="0.25">
      <c r="A76" s="1577">
        <v>3299</v>
      </c>
      <c r="B76" s="1578">
        <v>6351</v>
      </c>
      <c r="C76" s="1578">
        <v>32133006</v>
      </c>
      <c r="D76" s="1579" t="s">
        <v>1145</v>
      </c>
      <c r="E76" s="1580">
        <v>0</v>
      </c>
      <c r="F76" s="1580">
        <v>0</v>
      </c>
      <c r="G76" s="1588">
        <v>0</v>
      </c>
      <c r="H76" s="1581" t="e">
        <f>G76/F76*100</f>
        <v>#DIV/0!</v>
      </c>
      <c r="I76" s="1559"/>
    </row>
    <row r="77" spans="1:9" ht="30.75" hidden="1" thickBot="1" x14ac:dyDescent="0.25">
      <c r="A77" s="1577">
        <v>3299</v>
      </c>
      <c r="B77" s="1578">
        <v>6351</v>
      </c>
      <c r="C77" s="1578">
        <v>32533006</v>
      </c>
      <c r="D77" s="1579" t="s">
        <v>1145</v>
      </c>
      <c r="E77" s="1580">
        <v>0</v>
      </c>
      <c r="F77" s="1580">
        <v>0</v>
      </c>
      <c r="G77" s="1588">
        <v>0</v>
      </c>
      <c r="H77" s="1581" t="e">
        <f>G77/F77*100</f>
        <v>#DIV/0!</v>
      </c>
      <c r="I77" s="1559"/>
    </row>
    <row r="78" spans="1:9" ht="16.5" thickTop="1" thickBot="1" x14ac:dyDescent="0.3">
      <c r="A78" s="1589" t="s">
        <v>690</v>
      </c>
      <c r="B78" s="1590"/>
      <c r="C78" s="1590"/>
      <c r="D78" s="1591"/>
      <c r="E78" s="1584">
        <f>SUM(E74:E77)</f>
        <v>0</v>
      </c>
      <c r="F78" s="1584">
        <f>SUM(F74:F77)</f>
        <v>445</v>
      </c>
      <c r="G78" s="1584">
        <f>SUM(G74:G77)</f>
        <v>445</v>
      </c>
      <c r="H78" s="1585">
        <f>G78/F78*100</f>
        <v>100</v>
      </c>
      <c r="I78" s="1559"/>
    </row>
    <row r="79" spans="1:9" ht="15.75" thickTop="1" x14ac:dyDescent="0.25">
      <c r="A79" s="1624"/>
      <c r="B79" s="1624"/>
      <c r="C79" s="1624"/>
      <c r="D79" s="1624"/>
      <c r="E79" s="1625"/>
      <c r="F79" s="1625"/>
      <c r="G79" s="1625"/>
      <c r="H79" s="1626"/>
    </row>
    <row r="80" spans="1:9" ht="15" hidden="1" x14ac:dyDescent="0.25">
      <c r="A80" s="1544" t="s">
        <v>208</v>
      </c>
      <c r="B80" s="1558"/>
      <c r="C80" s="1558"/>
      <c r="D80" s="1558"/>
      <c r="F80" s="1559"/>
      <c r="G80" s="1559"/>
      <c r="H80" s="1559"/>
      <c r="I80" s="1559"/>
    </row>
    <row r="81" spans="1:9" ht="15" hidden="1" x14ac:dyDescent="0.25">
      <c r="A81" s="1544" t="s">
        <v>209</v>
      </c>
      <c r="B81" s="1558"/>
      <c r="C81" s="1558"/>
      <c r="D81" s="1558"/>
      <c r="F81" s="1559"/>
      <c r="G81" s="1559"/>
      <c r="H81" s="1560" t="s">
        <v>148</v>
      </c>
      <c r="I81" s="1559"/>
    </row>
    <row r="82" spans="1:9" ht="25.5" hidden="1" thickTop="1" thickBot="1" x14ac:dyDescent="0.25">
      <c r="A82" s="1561" t="s">
        <v>149</v>
      </c>
      <c r="B82" s="1562" t="s">
        <v>688</v>
      </c>
      <c r="C82" s="1562" t="s">
        <v>345</v>
      </c>
      <c r="D82" s="1563" t="s">
        <v>151</v>
      </c>
      <c r="E82" s="1564" t="s">
        <v>569</v>
      </c>
      <c r="F82" s="1564" t="s">
        <v>570</v>
      </c>
      <c r="G82" s="1565" t="s">
        <v>797</v>
      </c>
      <c r="H82" s="1566" t="s">
        <v>798</v>
      </c>
      <c r="I82" s="1559"/>
    </row>
    <row r="83" spans="1:9" ht="14.25" hidden="1" thickTop="1" thickBot="1" x14ac:dyDescent="0.25">
      <c r="A83" s="1567">
        <v>1</v>
      </c>
      <c r="B83" s="1568">
        <v>2</v>
      </c>
      <c r="C83" s="1568">
        <v>3</v>
      </c>
      <c r="D83" s="1568">
        <v>5</v>
      </c>
      <c r="E83" s="1569">
        <v>6</v>
      </c>
      <c r="F83" s="1569">
        <v>7</v>
      </c>
      <c r="G83" s="1570">
        <v>8</v>
      </c>
      <c r="H83" s="1586" t="s">
        <v>689</v>
      </c>
      <c r="I83" s="1559"/>
    </row>
    <row r="84" spans="1:9" ht="15" hidden="1" x14ac:dyDescent="0.25">
      <c r="A84" s="1598">
        <v>3299</v>
      </c>
      <c r="B84" s="1599">
        <v>5321</v>
      </c>
      <c r="C84" s="1599">
        <v>32133030</v>
      </c>
      <c r="D84" s="1601" t="s">
        <v>1078</v>
      </c>
      <c r="E84" s="1580"/>
      <c r="F84" s="1580"/>
      <c r="G84" s="1588"/>
      <c r="H84" s="1581" t="e">
        <f>G84/F84*100</f>
        <v>#DIV/0!</v>
      </c>
      <c r="I84" s="1559"/>
    </row>
    <row r="85" spans="1:9" ht="15" hidden="1" x14ac:dyDescent="0.25">
      <c r="A85" s="1598">
        <v>3299</v>
      </c>
      <c r="B85" s="1599">
        <v>5321</v>
      </c>
      <c r="C85" s="1599">
        <v>32533030</v>
      </c>
      <c r="D85" s="1601" t="s">
        <v>1078</v>
      </c>
      <c r="E85" s="1580"/>
      <c r="F85" s="1580"/>
      <c r="G85" s="1588"/>
      <c r="H85" s="1581" t="e">
        <f>G85/F85*100</f>
        <v>#DIV/0!</v>
      </c>
      <c r="I85" s="1559"/>
    </row>
    <row r="86" spans="1:9" ht="15.75" hidden="1" thickBot="1" x14ac:dyDescent="0.3">
      <c r="A86" s="1602">
        <v>3299</v>
      </c>
      <c r="B86" s="1603">
        <v>6341</v>
      </c>
      <c r="C86" s="1603">
        <v>32533926</v>
      </c>
      <c r="D86" s="1600" t="s">
        <v>227</v>
      </c>
      <c r="E86" s="1580">
        <v>0</v>
      </c>
      <c r="F86" s="1580">
        <v>0</v>
      </c>
      <c r="G86" s="1588">
        <v>0</v>
      </c>
      <c r="H86" s="1581" t="e">
        <f>G86/F86*100</f>
        <v>#DIV/0!</v>
      </c>
      <c r="I86" s="1559"/>
    </row>
    <row r="87" spans="1:9" ht="16.5" hidden="1" thickTop="1" thickBot="1" x14ac:dyDescent="0.3">
      <c r="A87" s="1589" t="s">
        <v>690</v>
      </c>
      <c r="B87" s="1590"/>
      <c r="C87" s="1590"/>
      <c r="D87" s="1591"/>
      <c r="E87" s="1584">
        <f>SUM(E84:E86)</f>
        <v>0</v>
      </c>
      <c r="F87" s="1584">
        <f>SUM(F84:F86)</f>
        <v>0</v>
      </c>
      <c r="G87" s="1584">
        <f>SUM(G84:G86)</f>
        <v>0</v>
      </c>
      <c r="H87" s="1585" t="e">
        <f>G87/F87*100</f>
        <v>#DIV/0!</v>
      </c>
      <c r="I87" s="1559"/>
    </row>
    <row r="88" spans="1:9" ht="15" hidden="1" x14ac:dyDescent="0.25">
      <c r="A88" s="1624"/>
      <c r="B88" s="1624"/>
      <c r="C88" s="1624"/>
      <c r="D88" s="1624"/>
      <c r="E88" s="1625"/>
      <c r="F88" s="1625"/>
      <c r="G88" s="1625"/>
      <c r="H88" s="1626"/>
    </row>
    <row r="89" spans="1:9" ht="15" x14ac:dyDescent="0.25">
      <c r="A89" s="1544" t="s">
        <v>1538</v>
      </c>
      <c r="B89" s="1558"/>
      <c r="C89" s="1558"/>
      <c r="D89" s="1558"/>
      <c r="F89" s="1559"/>
      <c r="G89" s="1559"/>
      <c r="H89" s="1559"/>
      <c r="I89" s="1559"/>
    </row>
    <row r="90" spans="1:9" ht="15.75" thickBot="1" x14ac:dyDescent="0.3">
      <c r="A90" s="1544" t="s">
        <v>885</v>
      </c>
      <c r="B90" s="1558"/>
      <c r="C90" s="1558"/>
      <c r="D90" s="1558"/>
      <c r="F90" s="1559"/>
      <c r="G90" s="1559"/>
      <c r="H90" s="1560" t="s">
        <v>148</v>
      </c>
      <c r="I90" s="1559"/>
    </row>
    <row r="91" spans="1:9" ht="25.5" thickTop="1" thickBot="1" x14ac:dyDescent="0.25">
      <c r="A91" s="1561" t="s">
        <v>149</v>
      </c>
      <c r="B91" s="1562" t="s">
        <v>688</v>
      </c>
      <c r="C91" s="1562" t="s">
        <v>345</v>
      </c>
      <c r="D91" s="1563" t="s">
        <v>151</v>
      </c>
      <c r="E91" s="1564" t="s">
        <v>569</v>
      </c>
      <c r="F91" s="1564" t="s">
        <v>570</v>
      </c>
      <c r="G91" s="1565" t="s">
        <v>797</v>
      </c>
      <c r="H91" s="1566" t="s">
        <v>798</v>
      </c>
      <c r="I91" s="1559"/>
    </row>
    <row r="92" spans="1:9" ht="14.25" thickTop="1" thickBot="1" x14ac:dyDescent="0.25">
      <c r="A92" s="1567">
        <v>1</v>
      </c>
      <c r="B92" s="1568">
        <v>2</v>
      </c>
      <c r="C92" s="1568">
        <v>3</v>
      </c>
      <c r="D92" s="1568">
        <v>5</v>
      </c>
      <c r="E92" s="1569">
        <v>6</v>
      </c>
      <c r="F92" s="1569">
        <v>7</v>
      </c>
      <c r="G92" s="1570">
        <v>8</v>
      </c>
      <c r="H92" s="1586" t="s">
        <v>689</v>
      </c>
      <c r="I92" s="1559"/>
    </row>
    <row r="93" spans="1:9" ht="15.75" thickTop="1" x14ac:dyDescent="0.25">
      <c r="A93" s="1598">
        <v>3299</v>
      </c>
      <c r="B93" s="1599">
        <v>5321</v>
      </c>
      <c r="C93" s="2848" t="s">
        <v>2097</v>
      </c>
      <c r="D93" s="1601" t="s">
        <v>1078</v>
      </c>
      <c r="E93" s="1580">
        <v>0</v>
      </c>
      <c r="F93" s="1580">
        <v>128</v>
      </c>
      <c r="G93" s="1588">
        <v>128</v>
      </c>
      <c r="H93" s="1581">
        <f>G93/F93*100</f>
        <v>100</v>
      </c>
      <c r="I93" s="1559"/>
    </row>
    <row r="94" spans="1:9" ht="15.75" thickBot="1" x14ac:dyDescent="0.3">
      <c r="A94" s="1598">
        <v>3299</v>
      </c>
      <c r="B94" s="1599">
        <v>5321</v>
      </c>
      <c r="C94" s="2848" t="s">
        <v>2096</v>
      </c>
      <c r="D94" s="1601" t="s">
        <v>1078</v>
      </c>
      <c r="E94" s="1580">
        <v>0</v>
      </c>
      <c r="F94" s="1580">
        <v>727</v>
      </c>
      <c r="G94" s="1588">
        <v>727</v>
      </c>
      <c r="H94" s="1581">
        <f>G94/F94*100</f>
        <v>100</v>
      </c>
      <c r="I94" s="1559"/>
    </row>
    <row r="95" spans="1:9" ht="15.75" hidden="1" thickBot="1" x14ac:dyDescent="0.3">
      <c r="A95" s="1602">
        <v>3299</v>
      </c>
      <c r="B95" s="1603">
        <v>6341</v>
      </c>
      <c r="C95" s="1603">
        <v>32533926</v>
      </c>
      <c r="D95" s="1600" t="s">
        <v>227</v>
      </c>
      <c r="E95" s="1580">
        <v>0</v>
      </c>
      <c r="F95" s="1580">
        <v>0</v>
      </c>
      <c r="G95" s="1588">
        <v>0</v>
      </c>
      <c r="H95" s="1581" t="e">
        <f>G95/F95*100</f>
        <v>#DIV/0!</v>
      </c>
      <c r="I95" s="1559"/>
    </row>
    <row r="96" spans="1:9" ht="16.5" thickTop="1" thickBot="1" x14ac:dyDescent="0.3">
      <c r="A96" s="1589" t="s">
        <v>690</v>
      </c>
      <c r="B96" s="1590"/>
      <c r="C96" s="1590"/>
      <c r="D96" s="1591"/>
      <c r="E96" s="1584">
        <f>SUM(E93:E95)</f>
        <v>0</v>
      </c>
      <c r="F96" s="1584">
        <f>SUM(F93:F95)</f>
        <v>855</v>
      </c>
      <c r="G96" s="1584">
        <f>SUM(G93:G95)</f>
        <v>855</v>
      </c>
      <c r="H96" s="1585">
        <f>G96/F96*100</f>
        <v>100</v>
      </c>
      <c r="I96" s="1559"/>
    </row>
    <row r="97" spans="1:9" ht="15.75" thickTop="1" x14ac:dyDescent="0.25">
      <c r="A97" s="1624"/>
      <c r="B97" s="1624"/>
      <c r="C97" s="1624"/>
      <c r="D97" s="1624"/>
      <c r="E97" s="1625"/>
      <c r="F97" s="1625"/>
      <c r="G97" s="1625"/>
      <c r="H97" s="1626"/>
    </row>
    <row r="98" spans="1:9" ht="15" hidden="1" x14ac:dyDescent="0.25">
      <c r="A98" s="1544" t="s">
        <v>1376</v>
      </c>
      <c r="B98" s="1558"/>
      <c r="C98" s="1558"/>
      <c r="D98" s="1558"/>
      <c r="F98" s="1559"/>
      <c r="G98" s="1559"/>
      <c r="H98" s="1559"/>
      <c r="I98" s="1559"/>
    </row>
    <row r="99" spans="1:9" ht="15" hidden="1" x14ac:dyDescent="0.25">
      <c r="A99" s="1544" t="s">
        <v>1377</v>
      </c>
      <c r="B99" s="1558"/>
      <c r="C99" s="1558"/>
      <c r="D99" s="1558"/>
      <c r="F99" s="1559"/>
      <c r="G99" s="1559"/>
      <c r="H99" s="1560" t="s">
        <v>148</v>
      </c>
      <c r="I99" s="1559"/>
    </row>
    <row r="100" spans="1:9" ht="25.5" hidden="1" thickTop="1" thickBot="1" x14ac:dyDescent="0.25">
      <c r="A100" s="1561" t="s">
        <v>149</v>
      </c>
      <c r="B100" s="1562" t="s">
        <v>688</v>
      </c>
      <c r="C100" s="1562" t="s">
        <v>345</v>
      </c>
      <c r="D100" s="1563" t="s">
        <v>151</v>
      </c>
      <c r="E100" s="1564" t="s">
        <v>569</v>
      </c>
      <c r="F100" s="1564" t="s">
        <v>570</v>
      </c>
      <c r="G100" s="1565" t="s">
        <v>797</v>
      </c>
      <c r="H100" s="1566" t="s">
        <v>798</v>
      </c>
      <c r="I100" s="1559"/>
    </row>
    <row r="101" spans="1:9" ht="14.25" hidden="1" thickTop="1" thickBot="1" x14ac:dyDescent="0.25">
      <c r="A101" s="1567">
        <v>1</v>
      </c>
      <c r="B101" s="1568">
        <v>2</v>
      </c>
      <c r="C101" s="1568">
        <v>3</v>
      </c>
      <c r="D101" s="1568">
        <v>5</v>
      </c>
      <c r="E101" s="1569">
        <v>6</v>
      </c>
      <c r="F101" s="1569">
        <v>7</v>
      </c>
      <c r="G101" s="1570">
        <v>8</v>
      </c>
      <c r="H101" s="1586" t="s">
        <v>689</v>
      </c>
      <c r="I101" s="1559"/>
    </row>
    <row r="102" spans="1:9" ht="15" hidden="1" x14ac:dyDescent="0.25">
      <c r="A102" s="1598">
        <v>3299</v>
      </c>
      <c r="B102" s="1599">
        <v>5321</v>
      </c>
      <c r="C102" s="1599">
        <v>32133030</v>
      </c>
      <c r="D102" s="1601" t="s">
        <v>1078</v>
      </c>
      <c r="E102" s="1580"/>
      <c r="F102" s="1580"/>
      <c r="G102" s="1588"/>
      <c r="H102" s="1581" t="e">
        <f>G102/F102*100</f>
        <v>#DIV/0!</v>
      </c>
      <c r="I102" s="1559"/>
    </row>
    <row r="103" spans="1:9" ht="15" hidden="1" x14ac:dyDescent="0.25">
      <c r="A103" s="1598">
        <v>3299</v>
      </c>
      <c r="B103" s="1599">
        <v>5321</v>
      </c>
      <c r="C103" s="1599">
        <v>32533030</v>
      </c>
      <c r="D103" s="1601" t="s">
        <v>1078</v>
      </c>
      <c r="E103" s="1580"/>
      <c r="F103" s="1580"/>
      <c r="G103" s="1588"/>
      <c r="H103" s="1581" t="e">
        <f>G103/F103*100</f>
        <v>#DIV/0!</v>
      </c>
      <c r="I103" s="1559"/>
    </row>
    <row r="104" spans="1:9" ht="15.75" hidden="1" thickBot="1" x14ac:dyDescent="0.3">
      <c r="A104" s="1602">
        <v>3299</v>
      </c>
      <c r="B104" s="1603">
        <v>6341</v>
      </c>
      <c r="C104" s="1603">
        <v>32533926</v>
      </c>
      <c r="D104" s="1600" t="s">
        <v>227</v>
      </c>
      <c r="E104" s="1580">
        <v>0</v>
      </c>
      <c r="F104" s="1580">
        <v>0</v>
      </c>
      <c r="G104" s="1588">
        <v>0</v>
      </c>
      <c r="H104" s="1581" t="e">
        <f>G104/F104*100</f>
        <v>#DIV/0!</v>
      </c>
      <c r="I104" s="1559"/>
    </row>
    <row r="105" spans="1:9" ht="16.5" hidden="1" thickTop="1" thickBot="1" x14ac:dyDescent="0.3">
      <c r="A105" s="1589" t="s">
        <v>690</v>
      </c>
      <c r="B105" s="1590"/>
      <c r="C105" s="1590"/>
      <c r="D105" s="1591"/>
      <c r="E105" s="1584">
        <f>SUM(E102:E104)</f>
        <v>0</v>
      </c>
      <c r="F105" s="1584">
        <f>SUM(F102:F104)</f>
        <v>0</v>
      </c>
      <c r="G105" s="1584">
        <f>SUM(G102:G104)</f>
        <v>0</v>
      </c>
      <c r="H105" s="1585" t="e">
        <f>G105/F105*100</f>
        <v>#DIV/0!</v>
      </c>
      <c r="I105" s="1559"/>
    </row>
    <row r="106" spans="1:9" ht="15" hidden="1" x14ac:dyDescent="0.25">
      <c r="A106" s="1624"/>
      <c r="B106" s="1624"/>
      <c r="C106" s="1624"/>
      <c r="D106" s="1624"/>
      <c r="E106" s="1625"/>
      <c r="F106" s="1625"/>
      <c r="G106" s="1625"/>
      <c r="H106" s="1626"/>
    </row>
    <row r="107" spans="1:9" ht="15" hidden="1" x14ac:dyDescent="0.25">
      <c r="A107" s="1544" t="s">
        <v>888</v>
      </c>
      <c r="B107" s="1558"/>
      <c r="C107" s="1558"/>
      <c r="D107" s="1558"/>
      <c r="F107" s="1559"/>
      <c r="G107" s="1559"/>
      <c r="H107" s="1559"/>
      <c r="I107" s="1559"/>
    </row>
    <row r="108" spans="1:9" ht="15" hidden="1" x14ac:dyDescent="0.25">
      <c r="A108" s="1544" t="s">
        <v>889</v>
      </c>
      <c r="B108" s="1558"/>
      <c r="C108" s="1558"/>
      <c r="D108" s="1558"/>
      <c r="F108" s="1559"/>
      <c r="G108" s="1559"/>
      <c r="H108" s="1560" t="s">
        <v>148</v>
      </c>
      <c r="I108" s="1559"/>
    </row>
    <row r="109" spans="1:9" ht="25.5" hidden="1" thickTop="1" thickBot="1" x14ac:dyDescent="0.25">
      <c r="A109" s="1561" t="s">
        <v>149</v>
      </c>
      <c r="B109" s="1562" t="s">
        <v>688</v>
      </c>
      <c r="C109" s="1562" t="s">
        <v>345</v>
      </c>
      <c r="D109" s="1563" t="s">
        <v>151</v>
      </c>
      <c r="E109" s="1564" t="s">
        <v>569</v>
      </c>
      <c r="F109" s="1564" t="s">
        <v>570</v>
      </c>
      <c r="G109" s="1565" t="s">
        <v>797</v>
      </c>
      <c r="H109" s="1566" t="s">
        <v>798</v>
      </c>
      <c r="I109" s="1559"/>
    </row>
    <row r="110" spans="1:9" ht="14.25" hidden="1" thickTop="1" thickBot="1" x14ac:dyDescent="0.25">
      <c r="A110" s="1567">
        <v>1</v>
      </c>
      <c r="B110" s="1568">
        <v>2</v>
      </c>
      <c r="C110" s="1568">
        <v>3</v>
      </c>
      <c r="D110" s="1568">
        <v>5</v>
      </c>
      <c r="E110" s="1569">
        <v>6</v>
      </c>
      <c r="F110" s="1569">
        <v>7</v>
      </c>
      <c r="G110" s="1570">
        <v>8</v>
      </c>
      <c r="H110" s="1586" t="s">
        <v>689</v>
      </c>
      <c r="I110" s="1559"/>
    </row>
    <row r="111" spans="1:9" ht="15" hidden="1" x14ac:dyDescent="0.25">
      <c r="A111" s="1598">
        <v>3299</v>
      </c>
      <c r="B111" s="1599">
        <v>5321</v>
      </c>
      <c r="C111" s="1599">
        <v>32133030</v>
      </c>
      <c r="D111" s="1601" t="s">
        <v>1078</v>
      </c>
      <c r="E111" s="1580"/>
      <c r="F111" s="1580"/>
      <c r="G111" s="1588"/>
      <c r="H111" s="1581" t="e">
        <f>G111/F111*100</f>
        <v>#DIV/0!</v>
      </c>
      <c r="I111" s="1559"/>
    </row>
    <row r="112" spans="1:9" ht="15" hidden="1" x14ac:dyDescent="0.25">
      <c r="A112" s="1598">
        <v>3299</v>
      </c>
      <c r="B112" s="1599">
        <v>5321</v>
      </c>
      <c r="C112" s="1599">
        <v>32533030</v>
      </c>
      <c r="D112" s="1601" t="s">
        <v>1078</v>
      </c>
      <c r="E112" s="1580"/>
      <c r="F112" s="1580"/>
      <c r="G112" s="1588"/>
      <c r="H112" s="1581" t="e">
        <f>G112/F112*100</f>
        <v>#DIV/0!</v>
      </c>
      <c r="I112" s="1559"/>
    </row>
    <row r="113" spans="1:13" ht="15.75" hidden="1" thickBot="1" x14ac:dyDescent="0.3">
      <c r="A113" s="1602">
        <v>3299</v>
      </c>
      <c r="B113" s="1603">
        <v>6341</v>
      </c>
      <c r="C113" s="1603">
        <v>32533926</v>
      </c>
      <c r="D113" s="1600" t="s">
        <v>227</v>
      </c>
      <c r="E113" s="1580">
        <v>0</v>
      </c>
      <c r="F113" s="1580">
        <v>0</v>
      </c>
      <c r="G113" s="1588">
        <v>0</v>
      </c>
      <c r="H113" s="1581" t="e">
        <f>G113/F113*100</f>
        <v>#DIV/0!</v>
      </c>
      <c r="I113" s="1559"/>
    </row>
    <row r="114" spans="1:13" ht="16.5" hidden="1" thickTop="1" thickBot="1" x14ac:dyDescent="0.3">
      <c r="A114" s="1589" t="s">
        <v>690</v>
      </c>
      <c r="B114" s="1590"/>
      <c r="C114" s="1590"/>
      <c r="D114" s="1591"/>
      <c r="E114" s="1584">
        <f>SUM(E111:E113)</f>
        <v>0</v>
      </c>
      <c r="F114" s="1584">
        <f>SUM(F111:F113)</f>
        <v>0</v>
      </c>
      <c r="G114" s="1584">
        <f>SUM(G111:G113)</f>
        <v>0</v>
      </c>
      <c r="H114" s="1585" t="e">
        <f>G114/F114*100</f>
        <v>#DIV/0!</v>
      </c>
      <c r="I114" s="1559"/>
    </row>
    <row r="115" spans="1:13" ht="15" hidden="1" x14ac:dyDescent="0.25">
      <c r="A115" s="1624"/>
      <c r="B115" s="1624"/>
      <c r="C115" s="1624"/>
      <c r="D115" s="1624"/>
      <c r="E115" s="1625"/>
      <c r="F115" s="1625"/>
      <c r="G115" s="1625"/>
      <c r="H115" s="1626"/>
    </row>
    <row r="116" spans="1:13" ht="15" hidden="1" x14ac:dyDescent="0.25">
      <c r="A116" s="1624"/>
      <c r="B116" s="1624"/>
      <c r="C116" s="1624"/>
      <c r="D116" s="1624"/>
      <c r="E116" s="1625"/>
      <c r="F116" s="1625"/>
      <c r="G116" s="1625"/>
      <c r="H116" s="1626"/>
    </row>
    <row r="117" spans="1:13" hidden="1" x14ac:dyDescent="0.2"/>
    <row r="118" spans="1:13" hidden="1" x14ac:dyDescent="0.2"/>
    <row r="119" spans="1:13" hidden="1" x14ac:dyDescent="0.2"/>
    <row r="121" spans="1:13" ht="16.5" x14ac:dyDescent="0.25">
      <c r="A121" s="1605" t="s">
        <v>423</v>
      </c>
      <c r="B121" s="1606"/>
      <c r="C121" s="1607"/>
      <c r="D121" s="1608"/>
      <c r="E121" s="1609">
        <f>SUM(E122:E124)</f>
        <v>0</v>
      </c>
      <c r="F121" s="1609">
        <f>F122+F123+F124+F125</f>
        <v>7164</v>
      </c>
      <c r="G121" s="1609">
        <f>G122+G123+G124+G125</f>
        <v>5075</v>
      </c>
      <c r="H121" s="1610">
        <f>G121/F121*100</f>
        <v>70.840312674483528</v>
      </c>
      <c r="K121" s="1611">
        <f>K122+K123+K124</f>
        <v>0</v>
      </c>
      <c r="L121" s="1611">
        <f>L122+L123+L124</f>
        <v>7163742.6799999997</v>
      </c>
      <c r="M121" s="1611">
        <f>M122+M123+M124</f>
        <v>5074592.95</v>
      </c>
    </row>
    <row r="122" spans="1:13" ht="15" x14ac:dyDescent="0.2">
      <c r="A122" s="1612" t="s">
        <v>242</v>
      </c>
      <c r="B122" s="1613"/>
      <c r="C122" s="1614"/>
      <c r="D122" s="1615"/>
      <c r="E122" s="1616">
        <f>E10+E11+E12+E13+E14+E15+E16+E17+E18+E19+E34+E35+E44+E45+E54+E55+E64+E65+E84+E85+E102+E103+E111+E112+E93+E94+E74+E75+E26</f>
        <v>0</v>
      </c>
      <c r="F122" s="1616">
        <f>F10+F11+F12+F13+F14+F15+F16+F17+F18+F19+F34+F35+F44+F45+F54+F55+F64+F65+F84+F85+F102+F103+F111+F112+F93+F94+F74+F75+F26</f>
        <v>6664</v>
      </c>
      <c r="G122" s="1616">
        <f>G10+G11+G12+G13+G14+G15+G16+G17+G18+G19+G34+G35+G44+G45+G54+G55+G64+G65+G84+G85+G102+G103+G111+G112+G93+G94+G74+G75+G26</f>
        <v>5075</v>
      </c>
      <c r="H122" s="1617">
        <f>G122/F122*100</f>
        <v>76.15546218487394</v>
      </c>
      <c r="K122" s="1618">
        <v>0</v>
      </c>
      <c r="L122" s="1618">
        <v>6663888.6799999997</v>
      </c>
      <c r="M122" s="1618">
        <v>5074592.95</v>
      </c>
    </row>
    <row r="123" spans="1:13" ht="15" x14ac:dyDescent="0.2">
      <c r="A123" s="1612" t="s">
        <v>243</v>
      </c>
      <c r="B123" s="1619"/>
      <c r="C123" s="1614"/>
      <c r="D123" s="1620"/>
      <c r="E123" s="1616">
        <f>E24+E25</f>
        <v>0</v>
      </c>
      <c r="F123" s="1616">
        <f>F24+F25</f>
        <v>500</v>
      </c>
      <c r="G123" s="1616">
        <f>G24+G25</f>
        <v>0</v>
      </c>
      <c r="H123" s="1617">
        <f>G123/F123*100</f>
        <v>0</v>
      </c>
      <c r="K123" s="1618">
        <v>0</v>
      </c>
      <c r="L123" s="1618">
        <v>499854</v>
      </c>
      <c r="M123" s="1618">
        <v>0</v>
      </c>
    </row>
    <row r="124" spans="1:13" ht="15" x14ac:dyDescent="0.2">
      <c r="A124" s="1612" t="s">
        <v>424</v>
      </c>
      <c r="B124" s="1619"/>
      <c r="C124" s="1614"/>
      <c r="D124" s="1620"/>
      <c r="E124" s="1616">
        <f>E27</f>
        <v>0</v>
      </c>
      <c r="F124" s="1616">
        <f>F27</f>
        <v>0</v>
      </c>
      <c r="G124" s="1616">
        <f>G27</f>
        <v>0</v>
      </c>
      <c r="H124" s="1617">
        <v>0</v>
      </c>
      <c r="K124" s="1618">
        <v>0</v>
      </c>
      <c r="L124" s="1618">
        <v>0</v>
      </c>
      <c r="M124" s="1618">
        <v>0</v>
      </c>
    </row>
    <row r="125" spans="1:13" ht="16.5" customHeight="1" x14ac:dyDescent="0.2">
      <c r="A125" s="1612"/>
      <c r="B125" s="1619"/>
      <c r="C125" s="1614"/>
      <c r="D125" s="1620"/>
      <c r="E125" s="1616"/>
      <c r="F125" s="1616"/>
      <c r="G125" s="1616"/>
      <c r="H125" s="1621"/>
    </row>
    <row r="126" spans="1:13" ht="57.75" customHeight="1" thickBot="1" x14ac:dyDescent="0.4">
      <c r="A126" s="3222" t="s">
        <v>1245</v>
      </c>
      <c r="B126" s="3182"/>
      <c r="C126" s="3182"/>
      <c r="D126" s="3182"/>
      <c r="E126" s="1622">
        <f>SUM(E121)</f>
        <v>0</v>
      </c>
      <c r="F126" s="1622">
        <f>SUM(F121)</f>
        <v>7164</v>
      </c>
      <c r="G126" s="1622">
        <f>SUM(G121)</f>
        <v>5075</v>
      </c>
      <c r="H126" s="1623">
        <f>(G126/F126)*100</f>
        <v>70.840312674483528</v>
      </c>
    </row>
    <row r="127" spans="1:13" ht="13.5" thickTop="1" x14ac:dyDescent="0.2"/>
  </sheetData>
  <mergeCells count="2">
    <mergeCell ref="A28:D28"/>
    <mergeCell ref="A126:D126"/>
  </mergeCells>
  <pageMargins left="0.70866141732283472" right="0.70866141732283472" top="0.78740157480314965" bottom="0.78740157480314965" header="0.31496062992125984" footer="0.31496062992125984"/>
  <pageSetup paperSize="9" scale="65" firstPageNumber="162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94"/>
  <sheetViews>
    <sheetView view="pageBreakPreview" zoomScaleNormal="100" zoomScaleSheetLayoutView="100" workbookViewId="0">
      <selection activeCell="D474" sqref="D474"/>
    </sheetView>
  </sheetViews>
  <sheetFormatPr defaultRowHeight="12.75" x14ac:dyDescent="0.2"/>
  <cols>
    <col min="1" max="1" width="5.140625" style="1551" customWidth="1"/>
    <col min="2" max="2" width="6.7109375" style="1551" customWidth="1"/>
    <col min="3" max="3" width="10.28515625" style="1551" customWidth="1"/>
    <col min="4" max="4" width="47.85546875" style="1551" customWidth="1"/>
    <col min="5" max="5" width="15.42578125" style="1551" customWidth="1"/>
    <col min="6" max="6" width="15.5703125" style="1551" customWidth="1"/>
    <col min="7" max="7" width="15.85546875" style="1551" customWidth="1"/>
    <col min="8" max="8" width="8.42578125" style="1551" customWidth="1"/>
    <col min="9" max="10" width="9.140625" style="1551"/>
    <col min="11" max="11" width="18.42578125" style="1551" customWidth="1"/>
    <col min="12" max="12" width="16" style="1551" bestFit="1" customWidth="1"/>
    <col min="13" max="256" width="9.140625" style="1551"/>
    <col min="257" max="257" width="4.7109375" style="1551" customWidth="1"/>
    <col min="258" max="258" width="6.7109375" style="1551" customWidth="1"/>
    <col min="259" max="259" width="8.85546875" style="1551" customWidth="1"/>
    <col min="260" max="260" width="47.85546875" style="1551" customWidth="1"/>
    <col min="261" max="261" width="12.85546875" style="1551" customWidth="1"/>
    <col min="262" max="262" width="15.5703125" style="1551" customWidth="1"/>
    <col min="263" max="263" width="15.85546875" style="1551" customWidth="1"/>
    <col min="264" max="264" width="6.42578125" style="1551" customWidth="1"/>
    <col min="265" max="266" width="9.140625" style="1551"/>
    <col min="267" max="267" width="18.42578125" style="1551" customWidth="1"/>
    <col min="268" max="268" width="16" style="1551" bestFit="1" customWidth="1"/>
    <col min="269" max="512" width="9.140625" style="1551"/>
    <col min="513" max="513" width="4.7109375" style="1551" customWidth="1"/>
    <col min="514" max="514" width="6.7109375" style="1551" customWidth="1"/>
    <col min="515" max="515" width="8.85546875" style="1551" customWidth="1"/>
    <col min="516" max="516" width="47.85546875" style="1551" customWidth="1"/>
    <col min="517" max="517" width="12.85546875" style="1551" customWidth="1"/>
    <col min="518" max="518" width="15.5703125" style="1551" customWidth="1"/>
    <col min="519" max="519" width="15.85546875" style="1551" customWidth="1"/>
    <col min="520" max="520" width="6.42578125" style="1551" customWidth="1"/>
    <col min="521" max="522" width="9.140625" style="1551"/>
    <col min="523" max="523" width="18.42578125" style="1551" customWidth="1"/>
    <col min="524" max="524" width="16" style="1551" bestFit="1" customWidth="1"/>
    <col min="525" max="768" width="9.140625" style="1551"/>
    <col min="769" max="769" width="4.7109375" style="1551" customWidth="1"/>
    <col min="770" max="770" width="6.7109375" style="1551" customWidth="1"/>
    <col min="771" max="771" width="8.85546875" style="1551" customWidth="1"/>
    <col min="772" max="772" width="47.85546875" style="1551" customWidth="1"/>
    <col min="773" max="773" width="12.85546875" style="1551" customWidth="1"/>
    <col min="774" max="774" width="15.5703125" style="1551" customWidth="1"/>
    <col min="775" max="775" width="15.85546875" style="1551" customWidth="1"/>
    <col min="776" max="776" width="6.42578125" style="1551" customWidth="1"/>
    <col min="777" max="778" width="9.140625" style="1551"/>
    <col min="779" max="779" width="18.42578125" style="1551" customWidth="1"/>
    <col min="780" max="780" width="16" style="1551" bestFit="1" customWidth="1"/>
    <col min="781" max="1024" width="9.140625" style="1551"/>
    <col min="1025" max="1025" width="4.7109375" style="1551" customWidth="1"/>
    <col min="1026" max="1026" width="6.7109375" style="1551" customWidth="1"/>
    <col min="1027" max="1027" width="8.85546875" style="1551" customWidth="1"/>
    <col min="1028" max="1028" width="47.85546875" style="1551" customWidth="1"/>
    <col min="1029" max="1029" width="12.85546875" style="1551" customWidth="1"/>
    <col min="1030" max="1030" width="15.5703125" style="1551" customWidth="1"/>
    <col min="1031" max="1031" width="15.85546875" style="1551" customWidth="1"/>
    <col min="1032" max="1032" width="6.42578125" style="1551" customWidth="1"/>
    <col min="1033" max="1034" width="9.140625" style="1551"/>
    <col min="1035" max="1035" width="18.42578125" style="1551" customWidth="1"/>
    <col min="1036" max="1036" width="16" style="1551" bestFit="1" customWidth="1"/>
    <col min="1037" max="1280" width="9.140625" style="1551"/>
    <col min="1281" max="1281" width="4.7109375" style="1551" customWidth="1"/>
    <col min="1282" max="1282" width="6.7109375" style="1551" customWidth="1"/>
    <col min="1283" max="1283" width="8.85546875" style="1551" customWidth="1"/>
    <col min="1284" max="1284" width="47.85546875" style="1551" customWidth="1"/>
    <col min="1285" max="1285" width="12.85546875" style="1551" customWidth="1"/>
    <col min="1286" max="1286" width="15.5703125" style="1551" customWidth="1"/>
    <col min="1287" max="1287" width="15.85546875" style="1551" customWidth="1"/>
    <col min="1288" max="1288" width="6.42578125" style="1551" customWidth="1"/>
    <col min="1289" max="1290" width="9.140625" style="1551"/>
    <col min="1291" max="1291" width="18.42578125" style="1551" customWidth="1"/>
    <col min="1292" max="1292" width="16" style="1551" bestFit="1" customWidth="1"/>
    <col min="1293" max="1536" width="9.140625" style="1551"/>
    <col min="1537" max="1537" width="4.7109375" style="1551" customWidth="1"/>
    <col min="1538" max="1538" width="6.7109375" style="1551" customWidth="1"/>
    <col min="1539" max="1539" width="8.85546875" style="1551" customWidth="1"/>
    <col min="1540" max="1540" width="47.85546875" style="1551" customWidth="1"/>
    <col min="1541" max="1541" width="12.85546875" style="1551" customWidth="1"/>
    <col min="1542" max="1542" width="15.5703125" style="1551" customWidth="1"/>
    <col min="1543" max="1543" width="15.85546875" style="1551" customWidth="1"/>
    <col min="1544" max="1544" width="6.42578125" style="1551" customWidth="1"/>
    <col min="1545" max="1546" width="9.140625" style="1551"/>
    <col min="1547" max="1547" width="18.42578125" style="1551" customWidth="1"/>
    <col min="1548" max="1548" width="16" style="1551" bestFit="1" customWidth="1"/>
    <col min="1549" max="1792" width="9.140625" style="1551"/>
    <col min="1793" max="1793" width="4.7109375" style="1551" customWidth="1"/>
    <col min="1794" max="1794" width="6.7109375" style="1551" customWidth="1"/>
    <col min="1795" max="1795" width="8.85546875" style="1551" customWidth="1"/>
    <col min="1796" max="1796" width="47.85546875" style="1551" customWidth="1"/>
    <col min="1797" max="1797" width="12.85546875" style="1551" customWidth="1"/>
    <col min="1798" max="1798" width="15.5703125" style="1551" customWidth="1"/>
    <col min="1799" max="1799" width="15.85546875" style="1551" customWidth="1"/>
    <col min="1800" max="1800" width="6.42578125" style="1551" customWidth="1"/>
    <col min="1801" max="1802" width="9.140625" style="1551"/>
    <col min="1803" max="1803" width="18.42578125" style="1551" customWidth="1"/>
    <col min="1804" max="1804" width="16" style="1551" bestFit="1" customWidth="1"/>
    <col min="1805" max="2048" width="9.140625" style="1551"/>
    <col min="2049" max="2049" width="4.7109375" style="1551" customWidth="1"/>
    <col min="2050" max="2050" width="6.7109375" style="1551" customWidth="1"/>
    <col min="2051" max="2051" width="8.85546875" style="1551" customWidth="1"/>
    <col min="2052" max="2052" width="47.85546875" style="1551" customWidth="1"/>
    <col min="2053" max="2053" width="12.85546875" style="1551" customWidth="1"/>
    <col min="2054" max="2054" width="15.5703125" style="1551" customWidth="1"/>
    <col min="2055" max="2055" width="15.85546875" style="1551" customWidth="1"/>
    <col min="2056" max="2056" width="6.42578125" style="1551" customWidth="1"/>
    <col min="2057" max="2058" width="9.140625" style="1551"/>
    <col min="2059" max="2059" width="18.42578125" style="1551" customWidth="1"/>
    <col min="2060" max="2060" width="16" style="1551" bestFit="1" customWidth="1"/>
    <col min="2061" max="2304" width="9.140625" style="1551"/>
    <col min="2305" max="2305" width="4.7109375" style="1551" customWidth="1"/>
    <col min="2306" max="2306" width="6.7109375" style="1551" customWidth="1"/>
    <col min="2307" max="2307" width="8.85546875" style="1551" customWidth="1"/>
    <col min="2308" max="2308" width="47.85546875" style="1551" customWidth="1"/>
    <col min="2309" max="2309" width="12.85546875" style="1551" customWidth="1"/>
    <col min="2310" max="2310" width="15.5703125" style="1551" customWidth="1"/>
    <col min="2311" max="2311" width="15.85546875" style="1551" customWidth="1"/>
    <col min="2312" max="2312" width="6.42578125" style="1551" customWidth="1"/>
    <col min="2313" max="2314" width="9.140625" style="1551"/>
    <col min="2315" max="2315" width="18.42578125" style="1551" customWidth="1"/>
    <col min="2316" max="2316" width="16" style="1551" bestFit="1" customWidth="1"/>
    <col min="2317" max="2560" width="9.140625" style="1551"/>
    <col min="2561" max="2561" width="4.7109375" style="1551" customWidth="1"/>
    <col min="2562" max="2562" width="6.7109375" style="1551" customWidth="1"/>
    <col min="2563" max="2563" width="8.85546875" style="1551" customWidth="1"/>
    <col min="2564" max="2564" width="47.85546875" style="1551" customWidth="1"/>
    <col min="2565" max="2565" width="12.85546875" style="1551" customWidth="1"/>
    <col min="2566" max="2566" width="15.5703125" style="1551" customWidth="1"/>
    <col min="2567" max="2567" width="15.85546875" style="1551" customWidth="1"/>
    <col min="2568" max="2568" width="6.42578125" style="1551" customWidth="1"/>
    <col min="2569" max="2570" width="9.140625" style="1551"/>
    <col min="2571" max="2571" width="18.42578125" style="1551" customWidth="1"/>
    <col min="2572" max="2572" width="16" style="1551" bestFit="1" customWidth="1"/>
    <col min="2573" max="2816" width="9.140625" style="1551"/>
    <col min="2817" max="2817" width="4.7109375" style="1551" customWidth="1"/>
    <col min="2818" max="2818" width="6.7109375" style="1551" customWidth="1"/>
    <col min="2819" max="2819" width="8.85546875" style="1551" customWidth="1"/>
    <col min="2820" max="2820" width="47.85546875" style="1551" customWidth="1"/>
    <col min="2821" max="2821" width="12.85546875" style="1551" customWidth="1"/>
    <col min="2822" max="2822" width="15.5703125" style="1551" customWidth="1"/>
    <col min="2823" max="2823" width="15.85546875" style="1551" customWidth="1"/>
    <col min="2824" max="2824" width="6.42578125" style="1551" customWidth="1"/>
    <col min="2825" max="2826" width="9.140625" style="1551"/>
    <col min="2827" max="2827" width="18.42578125" style="1551" customWidth="1"/>
    <col min="2828" max="2828" width="16" style="1551" bestFit="1" customWidth="1"/>
    <col min="2829" max="3072" width="9.140625" style="1551"/>
    <col min="3073" max="3073" width="4.7109375" style="1551" customWidth="1"/>
    <col min="3074" max="3074" width="6.7109375" style="1551" customWidth="1"/>
    <col min="3075" max="3075" width="8.85546875" style="1551" customWidth="1"/>
    <col min="3076" max="3076" width="47.85546875" style="1551" customWidth="1"/>
    <col min="3077" max="3077" width="12.85546875" style="1551" customWidth="1"/>
    <col min="3078" max="3078" width="15.5703125" style="1551" customWidth="1"/>
    <col min="3079" max="3079" width="15.85546875" style="1551" customWidth="1"/>
    <col min="3080" max="3080" width="6.42578125" style="1551" customWidth="1"/>
    <col min="3081" max="3082" width="9.140625" style="1551"/>
    <col min="3083" max="3083" width="18.42578125" style="1551" customWidth="1"/>
    <col min="3084" max="3084" width="16" style="1551" bestFit="1" customWidth="1"/>
    <col min="3085" max="3328" width="9.140625" style="1551"/>
    <col min="3329" max="3329" width="4.7109375" style="1551" customWidth="1"/>
    <col min="3330" max="3330" width="6.7109375" style="1551" customWidth="1"/>
    <col min="3331" max="3331" width="8.85546875" style="1551" customWidth="1"/>
    <col min="3332" max="3332" width="47.85546875" style="1551" customWidth="1"/>
    <col min="3333" max="3333" width="12.85546875" style="1551" customWidth="1"/>
    <col min="3334" max="3334" width="15.5703125" style="1551" customWidth="1"/>
    <col min="3335" max="3335" width="15.85546875" style="1551" customWidth="1"/>
    <col min="3336" max="3336" width="6.42578125" style="1551" customWidth="1"/>
    <col min="3337" max="3338" width="9.140625" style="1551"/>
    <col min="3339" max="3339" width="18.42578125" style="1551" customWidth="1"/>
    <col min="3340" max="3340" width="16" style="1551" bestFit="1" customWidth="1"/>
    <col min="3341" max="3584" width="9.140625" style="1551"/>
    <col min="3585" max="3585" width="4.7109375" style="1551" customWidth="1"/>
    <col min="3586" max="3586" width="6.7109375" style="1551" customWidth="1"/>
    <col min="3587" max="3587" width="8.85546875" style="1551" customWidth="1"/>
    <col min="3588" max="3588" width="47.85546875" style="1551" customWidth="1"/>
    <col min="3589" max="3589" width="12.85546875" style="1551" customWidth="1"/>
    <col min="3590" max="3590" width="15.5703125" style="1551" customWidth="1"/>
    <col min="3591" max="3591" width="15.85546875" style="1551" customWidth="1"/>
    <col min="3592" max="3592" width="6.42578125" style="1551" customWidth="1"/>
    <col min="3593" max="3594" width="9.140625" style="1551"/>
    <col min="3595" max="3595" width="18.42578125" style="1551" customWidth="1"/>
    <col min="3596" max="3596" width="16" style="1551" bestFit="1" customWidth="1"/>
    <col min="3597" max="3840" width="9.140625" style="1551"/>
    <col min="3841" max="3841" width="4.7109375" style="1551" customWidth="1"/>
    <col min="3842" max="3842" width="6.7109375" style="1551" customWidth="1"/>
    <col min="3843" max="3843" width="8.85546875" style="1551" customWidth="1"/>
    <col min="3844" max="3844" width="47.85546875" style="1551" customWidth="1"/>
    <col min="3845" max="3845" width="12.85546875" style="1551" customWidth="1"/>
    <col min="3846" max="3846" width="15.5703125" style="1551" customWidth="1"/>
    <col min="3847" max="3847" width="15.85546875" style="1551" customWidth="1"/>
    <col min="3848" max="3848" width="6.42578125" style="1551" customWidth="1"/>
    <col min="3849" max="3850" width="9.140625" style="1551"/>
    <col min="3851" max="3851" width="18.42578125" style="1551" customWidth="1"/>
    <col min="3852" max="3852" width="16" style="1551" bestFit="1" customWidth="1"/>
    <col min="3853" max="4096" width="9.140625" style="1551"/>
    <col min="4097" max="4097" width="4.7109375" style="1551" customWidth="1"/>
    <col min="4098" max="4098" width="6.7109375" style="1551" customWidth="1"/>
    <col min="4099" max="4099" width="8.85546875" style="1551" customWidth="1"/>
    <col min="4100" max="4100" width="47.85546875" style="1551" customWidth="1"/>
    <col min="4101" max="4101" width="12.85546875" style="1551" customWidth="1"/>
    <col min="4102" max="4102" width="15.5703125" style="1551" customWidth="1"/>
    <col min="4103" max="4103" width="15.85546875" style="1551" customWidth="1"/>
    <col min="4104" max="4104" width="6.42578125" style="1551" customWidth="1"/>
    <col min="4105" max="4106" width="9.140625" style="1551"/>
    <col min="4107" max="4107" width="18.42578125" style="1551" customWidth="1"/>
    <col min="4108" max="4108" width="16" style="1551" bestFit="1" customWidth="1"/>
    <col min="4109" max="4352" width="9.140625" style="1551"/>
    <col min="4353" max="4353" width="4.7109375" style="1551" customWidth="1"/>
    <col min="4354" max="4354" width="6.7109375" style="1551" customWidth="1"/>
    <col min="4355" max="4355" width="8.85546875" style="1551" customWidth="1"/>
    <col min="4356" max="4356" width="47.85546875" style="1551" customWidth="1"/>
    <col min="4357" max="4357" width="12.85546875" style="1551" customWidth="1"/>
    <col min="4358" max="4358" width="15.5703125" style="1551" customWidth="1"/>
    <col min="4359" max="4359" width="15.85546875" style="1551" customWidth="1"/>
    <col min="4360" max="4360" width="6.42578125" style="1551" customWidth="1"/>
    <col min="4361" max="4362" width="9.140625" style="1551"/>
    <col min="4363" max="4363" width="18.42578125" style="1551" customWidth="1"/>
    <col min="4364" max="4364" width="16" style="1551" bestFit="1" customWidth="1"/>
    <col min="4365" max="4608" width="9.140625" style="1551"/>
    <col min="4609" max="4609" width="4.7109375" style="1551" customWidth="1"/>
    <col min="4610" max="4610" width="6.7109375" style="1551" customWidth="1"/>
    <col min="4611" max="4611" width="8.85546875" style="1551" customWidth="1"/>
    <col min="4612" max="4612" width="47.85546875" style="1551" customWidth="1"/>
    <col min="4613" max="4613" width="12.85546875" style="1551" customWidth="1"/>
    <col min="4614" max="4614" width="15.5703125" style="1551" customWidth="1"/>
    <col min="4615" max="4615" width="15.85546875" style="1551" customWidth="1"/>
    <col min="4616" max="4616" width="6.42578125" style="1551" customWidth="1"/>
    <col min="4617" max="4618" width="9.140625" style="1551"/>
    <col min="4619" max="4619" width="18.42578125" style="1551" customWidth="1"/>
    <col min="4620" max="4620" width="16" style="1551" bestFit="1" customWidth="1"/>
    <col min="4621" max="4864" width="9.140625" style="1551"/>
    <col min="4865" max="4865" width="4.7109375" style="1551" customWidth="1"/>
    <col min="4866" max="4866" width="6.7109375" style="1551" customWidth="1"/>
    <col min="4867" max="4867" width="8.85546875" style="1551" customWidth="1"/>
    <col min="4868" max="4868" width="47.85546875" style="1551" customWidth="1"/>
    <col min="4869" max="4869" width="12.85546875" style="1551" customWidth="1"/>
    <col min="4870" max="4870" width="15.5703125" style="1551" customWidth="1"/>
    <col min="4871" max="4871" width="15.85546875" style="1551" customWidth="1"/>
    <col min="4872" max="4872" width="6.42578125" style="1551" customWidth="1"/>
    <col min="4873" max="4874" width="9.140625" style="1551"/>
    <col min="4875" max="4875" width="18.42578125" style="1551" customWidth="1"/>
    <col min="4876" max="4876" width="16" style="1551" bestFit="1" customWidth="1"/>
    <col min="4877" max="5120" width="9.140625" style="1551"/>
    <col min="5121" max="5121" width="4.7109375" style="1551" customWidth="1"/>
    <col min="5122" max="5122" width="6.7109375" style="1551" customWidth="1"/>
    <col min="5123" max="5123" width="8.85546875" style="1551" customWidth="1"/>
    <col min="5124" max="5124" width="47.85546875" style="1551" customWidth="1"/>
    <col min="5125" max="5125" width="12.85546875" style="1551" customWidth="1"/>
    <col min="5126" max="5126" width="15.5703125" style="1551" customWidth="1"/>
    <col min="5127" max="5127" width="15.85546875" style="1551" customWidth="1"/>
    <col min="5128" max="5128" width="6.42578125" style="1551" customWidth="1"/>
    <col min="5129" max="5130" width="9.140625" style="1551"/>
    <col min="5131" max="5131" width="18.42578125" style="1551" customWidth="1"/>
    <col min="5132" max="5132" width="16" style="1551" bestFit="1" customWidth="1"/>
    <col min="5133" max="5376" width="9.140625" style="1551"/>
    <col min="5377" max="5377" width="4.7109375" style="1551" customWidth="1"/>
    <col min="5378" max="5378" width="6.7109375" style="1551" customWidth="1"/>
    <col min="5379" max="5379" width="8.85546875" style="1551" customWidth="1"/>
    <col min="5380" max="5380" width="47.85546875" style="1551" customWidth="1"/>
    <col min="5381" max="5381" width="12.85546875" style="1551" customWidth="1"/>
    <col min="5382" max="5382" width="15.5703125" style="1551" customWidth="1"/>
    <col min="5383" max="5383" width="15.85546875" style="1551" customWidth="1"/>
    <col min="5384" max="5384" width="6.42578125" style="1551" customWidth="1"/>
    <col min="5385" max="5386" width="9.140625" style="1551"/>
    <col min="5387" max="5387" width="18.42578125" style="1551" customWidth="1"/>
    <col min="5388" max="5388" width="16" style="1551" bestFit="1" customWidth="1"/>
    <col min="5389" max="5632" width="9.140625" style="1551"/>
    <col min="5633" max="5633" width="4.7109375" style="1551" customWidth="1"/>
    <col min="5634" max="5634" width="6.7109375" style="1551" customWidth="1"/>
    <col min="5635" max="5635" width="8.85546875" style="1551" customWidth="1"/>
    <col min="5636" max="5636" width="47.85546875" style="1551" customWidth="1"/>
    <col min="5637" max="5637" width="12.85546875" style="1551" customWidth="1"/>
    <col min="5638" max="5638" width="15.5703125" style="1551" customWidth="1"/>
    <col min="5639" max="5639" width="15.85546875" style="1551" customWidth="1"/>
    <col min="5640" max="5640" width="6.42578125" style="1551" customWidth="1"/>
    <col min="5641" max="5642" width="9.140625" style="1551"/>
    <col min="5643" max="5643" width="18.42578125" style="1551" customWidth="1"/>
    <col min="5644" max="5644" width="16" style="1551" bestFit="1" customWidth="1"/>
    <col min="5645" max="5888" width="9.140625" style="1551"/>
    <col min="5889" max="5889" width="4.7109375" style="1551" customWidth="1"/>
    <col min="5890" max="5890" width="6.7109375" style="1551" customWidth="1"/>
    <col min="5891" max="5891" width="8.85546875" style="1551" customWidth="1"/>
    <col min="5892" max="5892" width="47.85546875" style="1551" customWidth="1"/>
    <col min="5893" max="5893" width="12.85546875" style="1551" customWidth="1"/>
    <col min="5894" max="5894" width="15.5703125" style="1551" customWidth="1"/>
    <col min="5895" max="5895" width="15.85546875" style="1551" customWidth="1"/>
    <col min="5896" max="5896" width="6.42578125" style="1551" customWidth="1"/>
    <col min="5897" max="5898" width="9.140625" style="1551"/>
    <col min="5899" max="5899" width="18.42578125" style="1551" customWidth="1"/>
    <col min="5900" max="5900" width="16" style="1551" bestFit="1" customWidth="1"/>
    <col min="5901" max="6144" width="9.140625" style="1551"/>
    <col min="6145" max="6145" width="4.7109375" style="1551" customWidth="1"/>
    <col min="6146" max="6146" width="6.7109375" style="1551" customWidth="1"/>
    <col min="6147" max="6147" width="8.85546875" style="1551" customWidth="1"/>
    <col min="6148" max="6148" width="47.85546875" style="1551" customWidth="1"/>
    <col min="6149" max="6149" width="12.85546875" style="1551" customWidth="1"/>
    <col min="6150" max="6150" width="15.5703125" style="1551" customWidth="1"/>
    <col min="6151" max="6151" width="15.85546875" style="1551" customWidth="1"/>
    <col min="6152" max="6152" width="6.42578125" style="1551" customWidth="1"/>
    <col min="6153" max="6154" width="9.140625" style="1551"/>
    <col min="6155" max="6155" width="18.42578125" style="1551" customWidth="1"/>
    <col min="6156" max="6156" width="16" style="1551" bestFit="1" customWidth="1"/>
    <col min="6157" max="6400" width="9.140625" style="1551"/>
    <col min="6401" max="6401" width="4.7109375" style="1551" customWidth="1"/>
    <col min="6402" max="6402" width="6.7109375" style="1551" customWidth="1"/>
    <col min="6403" max="6403" width="8.85546875" style="1551" customWidth="1"/>
    <col min="6404" max="6404" width="47.85546875" style="1551" customWidth="1"/>
    <col min="6405" max="6405" width="12.85546875" style="1551" customWidth="1"/>
    <col min="6406" max="6406" width="15.5703125" style="1551" customWidth="1"/>
    <col min="6407" max="6407" width="15.85546875" style="1551" customWidth="1"/>
    <col min="6408" max="6408" width="6.42578125" style="1551" customWidth="1"/>
    <col min="6409" max="6410" width="9.140625" style="1551"/>
    <col min="6411" max="6411" width="18.42578125" style="1551" customWidth="1"/>
    <col min="6412" max="6412" width="16" style="1551" bestFit="1" customWidth="1"/>
    <col min="6413" max="6656" width="9.140625" style="1551"/>
    <col min="6657" max="6657" width="4.7109375" style="1551" customWidth="1"/>
    <col min="6658" max="6658" width="6.7109375" style="1551" customWidth="1"/>
    <col min="6659" max="6659" width="8.85546875" style="1551" customWidth="1"/>
    <col min="6660" max="6660" width="47.85546875" style="1551" customWidth="1"/>
    <col min="6661" max="6661" width="12.85546875" style="1551" customWidth="1"/>
    <col min="6662" max="6662" width="15.5703125" style="1551" customWidth="1"/>
    <col min="6663" max="6663" width="15.85546875" style="1551" customWidth="1"/>
    <col min="6664" max="6664" width="6.42578125" style="1551" customWidth="1"/>
    <col min="6665" max="6666" width="9.140625" style="1551"/>
    <col min="6667" max="6667" width="18.42578125" style="1551" customWidth="1"/>
    <col min="6668" max="6668" width="16" style="1551" bestFit="1" customWidth="1"/>
    <col min="6669" max="6912" width="9.140625" style="1551"/>
    <col min="6913" max="6913" width="4.7109375" style="1551" customWidth="1"/>
    <col min="6914" max="6914" width="6.7109375" style="1551" customWidth="1"/>
    <col min="6915" max="6915" width="8.85546875" style="1551" customWidth="1"/>
    <col min="6916" max="6916" width="47.85546875" style="1551" customWidth="1"/>
    <col min="6917" max="6917" width="12.85546875" style="1551" customWidth="1"/>
    <col min="6918" max="6918" width="15.5703125" style="1551" customWidth="1"/>
    <col min="6919" max="6919" width="15.85546875" style="1551" customWidth="1"/>
    <col min="6920" max="6920" width="6.42578125" style="1551" customWidth="1"/>
    <col min="6921" max="6922" width="9.140625" style="1551"/>
    <col min="6923" max="6923" width="18.42578125" style="1551" customWidth="1"/>
    <col min="6924" max="6924" width="16" style="1551" bestFit="1" customWidth="1"/>
    <col min="6925" max="7168" width="9.140625" style="1551"/>
    <col min="7169" max="7169" width="4.7109375" style="1551" customWidth="1"/>
    <col min="7170" max="7170" width="6.7109375" style="1551" customWidth="1"/>
    <col min="7171" max="7171" width="8.85546875" style="1551" customWidth="1"/>
    <col min="7172" max="7172" width="47.85546875" style="1551" customWidth="1"/>
    <col min="7173" max="7173" width="12.85546875" style="1551" customWidth="1"/>
    <col min="7174" max="7174" width="15.5703125" style="1551" customWidth="1"/>
    <col min="7175" max="7175" width="15.85546875" style="1551" customWidth="1"/>
    <col min="7176" max="7176" width="6.42578125" style="1551" customWidth="1"/>
    <col min="7177" max="7178" width="9.140625" style="1551"/>
    <col min="7179" max="7179" width="18.42578125" style="1551" customWidth="1"/>
    <col min="7180" max="7180" width="16" style="1551" bestFit="1" customWidth="1"/>
    <col min="7181" max="7424" width="9.140625" style="1551"/>
    <col min="7425" max="7425" width="4.7109375" style="1551" customWidth="1"/>
    <col min="7426" max="7426" width="6.7109375" style="1551" customWidth="1"/>
    <col min="7427" max="7427" width="8.85546875" style="1551" customWidth="1"/>
    <col min="7428" max="7428" width="47.85546875" style="1551" customWidth="1"/>
    <col min="7429" max="7429" width="12.85546875" style="1551" customWidth="1"/>
    <col min="7430" max="7430" width="15.5703125" style="1551" customWidth="1"/>
    <col min="7431" max="7431" width="15.85546875" style="1551" customWidth="1"/>
    <col min="7432" max="7432" width="6.42578125" style="1551" customWidth="1"/>
    <col min="7433" max="7434" width="9.140625" style="1551"/>
    <col min="7435" max="7435" width="18.42578125" style="1551" customWidth="1"/>
    <col min="7436" max="7436" width="16" style="1551" bestFit="1" customWidth="1"/>
    <col min="7437" max="7680" width="9.140625" style="1551"/>
    <col min="7681" max="7681" width="4.7109375" style="1551" customWidth="1"/>
    <col min="7682" max="7682" width="6.7109375" style="1551" customWidth="1"/>
    <col min="7683" max="7683" width="8.85546875" style="1551" customWidth="1"/>
    <col min="7684" max="7684" width="47.85546875" style="1551" customWidth="1"/>
    <col min="7685" max="7685" width="12.85546875" style="1551" customWidth="1"/>
    <col min="7686" max="7686" width="15.5703125" style="1551" customWidth="1"/>
    <col min="7687" max="7687" width="15.85546875" style="1551" customWidth="1"/>
    <col min="7688" max="7688" width="6.42578125" style="1551" customWidth="1"/>
    <col min="7689" max="7690" width="9.140625" style="1551"/>
    <col min="7691" max="7691" width="18.42578125" style="1551" customWidth="1"/>
    <col min="7692" max="7692" width="16" style="1551" bestFit="1" customWidth="1"/>
    <col min="7693" max="7936" width="9.140625" style="1551"/>
    <col min="7937" max="7937" width="4.7109375" style="1551" customWidth="1"/>
    <col min="7938" max="7938" width="6.7109375" style="1551" customWidth="1"/>
    <col min="7939" max="7939" width="8.85546875" style="1551" customWidth="1"/>
    <col min="7940" max="7940" width="47.85546875" style="1551" customWidth="1"/>
    <col min="7941" max="7941" width="12.85546875" style="1551" customWidth="1"/>
    <col min="7942" max="7942" width="15.5703125" style="1551" customWidth="1"/>
    <col min="7943" max="7943" width="15.85546875" style="1551" customWidth="1"/>
    <col min="7944" max="7944" width="6.42578125" style="1551" customWidth="1"/>
    <col min="7945" max="7946" width="9.140625" style="1551"/>
    <col min="7947" max="7947" width="18.42578125" style="1551" customWidth="1"/>
    <col min="7948" max="7948" width="16" style="1551" bestFit="1" customWidth="1"/>
    <col min="7949" max="8192" width="9.140625" style="1551"/>
    <col min="8193" max="8193" width="4.7109375" style="1551" customWidth="1"/>
    <col min="8194" max="8194" width="6.7109375" style="1551" customWidth="1"/>
    <col min="8195" max="8195" width="8.85546875" style="1551" customWidth="1"/>
    <col min="8196" max="8196" width="47.85546875" style="1551" customWidth="1"/>
    <col min="8197" max="8197" width="12.85546875" style="1551" customWidth="1"/>
    <col min="8198" max="8198" width="15.5703125" style="1551" customWidth="1"/>
    <col min="8199" max="8199" width="15.85546875" style="1551" customWidth="1"/>
    <col min="8200" max="8200" width="6.42578125" style="1551" customWidth="1"/>
    <col min="8201" max="8202" width="9.140625" style="1551"/>
    <col min="8203" max="8203" width="18.42578125" style="1551" customWidth="1"/>
    <col min="8204" max="8204" width="16" style="1551" bestFit="1" customWidth="1"/>
    <col min="8205" max="8448" width="9.140625" style="1551"/>
    <col min="8449" max="8449" width="4.7109375" style="1551" customWidth="1"/>
    <col min="8450" max="8450" width="6.7109375" style="1551" customWidth="1"/>
    <col min="8451" max="8451" width="8.85546875" style="1551" customWidth="1"/>
    <col min="8452" max="8452" width="47.85546875" style="1551" customWidth="1"/>
    <col min="8453" max="8453" width="12.85546875" style="1551" customWidth="1"/>
    <col min="8454" max="8454" width="15.5703125" style="1551" customWidth="1"/>
    <col min="8455" max="8455" width="15.85546875" style="1551" customWidth="1"/>
    <col min="8456" max="8456" width="6.42578125" style="1551" customWidth="1"/>
    <col min="8457" max="8458" width="9.140625" style="1551"/>
    <col min="8459" max="8459" width="18.42578125" style="1551" customWidth="1"/>
    <col min="8460" max="8460" width="16" style="1551" bestFit="1" customWidth="1"/>
    <col min="8461" max="8704" width="9.140625" style="1551"/>
    <col min="8705" max="8705" width="4.7109375" style="1551" customWidth="1"/>
    <col min="8706" max="8706" width="6.7109375" style="1551" customWidth="1"/>
    <col min="8707" max="8707" width="8.85546875" style="1551" customWidth="1"/>
    <col min="8708" max="8708" width="47.85546875" style="1551" customWidth="1"/>
    <col min="8709" max="8709" width="12.85546875" style="1551" customWidth="1"/>
    <col min="8710" max="8710" width="15.5703125" style="1551" customWidth="1"/>
    <col min="8711" max="8711" width="15.85546875" style="1551" customWidth="1"/>
    <col min="8712" max="8712" width="6.42578125" style="1551" customWidth="1"/>
    <col min="8713" max="8714" width="9.140625" style="1551"/>
    <col min="8715" max="8715" width="18.42578125" style="1551" customWidth="1"/>
    <col min="8716" max="8716" width="16" style="1551" bestFit="1" customWidth="1"/>
    <col min="8717" max="8960" width="9.140625" style="1551"/>
    <col min="8961" max="8961" width="4.7109375" style="1551" customWidth="1"/>
    <col min="8962" max="8962" width="6.7109375" style="1551" customWidth="1"/>
    <col min="8963" max="8963" width="8.85546875" style="1551" customWidth="1"/>
    <col min="8964" max="8964" width="47.85546875" style="1551" customWidth="1"/>
    <col min="8965" max="8965" width="12.85546875" style="1551" customWidth="1"/>
    <col min="8966" max="8966" width="15.5703125" style="1551" customWidth="1"/>
    <col min="8967" max="8967" width="15.85546875" style="1551" customWidth="1"/>
    <col min="8968" max="8968" width="6.42578125" style="1551" customWidth="1"/>
    <col min="8969" max="8970" width="9.140625" style="1551"/>
    <col min="8971" max="8971" width="18.42578125" style="1551" customWidth="1"/>
    <col min="8972" max="8972" width="16" style="1551" bestFit="1" customWidth="1"/>
    <col min="8973" max="9216" width="9.140625" style="1551"/>
    <col min="9217" max="9217" width="4.7109375" style="1551" customWidth="1"/>
    <col min="9218" max="9218" width="6.7109375" style="1551" customWidth="1"/>
    <col min="9219" max="9219" width="8.85546875" style="1551" customWidth="1"/>
    <col min="9220" max="9220" width="47.85546875" style="1551" customWidth="1"/>
    <col min="9221" max="9221" width="12.85546875" style="1551" customWidth="1"/>
    <col min="9222" max="9222" width="15.5703125" style="1551" customWidth="1"/>
    <col min="9223" max="9223" width="15.85546875" style="1551" customWidth="1"/>
    <col min="9224" max="9224" width="6.42578125" style="1551" customWidth="1"/>
    <col min="9225" max="9226" width="9.140625" style="1551"/>
    <col min="9227" max="9227" width="18.42578125" style="1551" customWidth="1"/>
    <col min="9228" max="9228" width="16" style="1551" bestFit="1" customWidth="1"/>
    <col min="9229" max="9472" width="9.140625" style="1551"/>
    <col min="9473" max="9473" width="4.7109375" style="1551" customWidth="1"/>
    <col min="9474" max="9474" width="6.7109375" style="1551" customWidth="1"/>
    <col min="9475" max="9475" width="8.85546875" style="1551" customWidth="1"/>
    <col min="9476" max="9476" width="47.85546875" style="1551" customWidth="1"/>
    <col min="9477" max="9477" width="12.85546875" style="1551" customWidth="1"/>
    <col min="9478" max="9478" width="15.5703125" style="1551" customWidth="1"/>
    <col min="9479" max="9479" width="15.85546875" style="1551" customWidth="1"/>
    <col min="9480" max="9480" width="6.42578125" style="1551" customWidth="1"/>
    <col min="9481" max="9482" width="9.140625" style="1551"/>
    <col min="9483" max="9483" width="18.42578125" style="1551" customWidth="1"/>
    <col min="9484" max="9484" width="16" style="1551" bestFit="1" customWidth="1"/>
    <col min="9485" max="9728" width="9.140625" style="1551"/>
    <col min="9729" max="9729" width="4.7109375" style="1551" customWidth="1"/>
    <col min="9730" max="9730" width="6.7109375" style="1551" customWidth="1"/>
    <col min="9731" max="9731" width="8.85546875" style="1551" customWidth="1"/>
    <col min="9732" max="9732" width="47.85546875" style="1551" customWidth="1"/>
    <col min="9733" max="9733" width="12.85546875" style="1551" customWidth="1"/>
    <col min="9734" max="9734" width="15.5703125" style="1551" customWidth="1"/>
    <col min="9735" max="9735" width="15.85546875" style="1551" customWidth="1"/>
    <col min="9736" max="9736" width="6.42578125" style="1551" customWidth="1"/>
    <col min="9737" max="9738" width="9.140625" style="1551"/>
    <col min="9739" max="9739" width="18.42578125" style="1551" customWidth="1"/>
    <col min="9740" max="9740" width="16" style="1551" bestFit="1" customWidth="1"/>
    <col min="9741" max="9984" width="9.140625" style="1551"/>
    <col min="9985" max="9985" width="4.7109375" style="1551" customWidth="1"/>
    <col min="9986" max="9986" width="6.7109375" style="1551" customWidth="1"/>
    <col min="9987" max="9987" width="8.85546875" style="1551" customWidth="1"/>
    <col min="9988" max="9988" width="47.85546875" style="1551" customWidth="1"/>
    <col min="9989" max="9989" width="12.85546875" style="1551" customWidth="1"/>
    <col min="9990" max="9990" width="15.5703125" style="1551" customWidth="1"/>
    <col min="9991" max="9991" width="15.85546875" style="1551" customWidth="1"/>
    <col min="9992" max="9992" width="6.42578125" style="1551" customWidth="1"/>
    <col min="9993" max="9994" width="9.140625" style="1551"/>
    <col min="9995" max="9995" width="18.42578125" style="1551" customWidth="1"/>
    <col min="9996" max="9996" width="16" style="1551" bestFit="1" customWidth="1"/>
    <col min="9997" max="10240" width="9.140625" style="1551"/>
    <col min="10241" max="10241" width="4.7109375" style="1551" customWidth="1"/>
    <col min="10242" max="10242" width="6.7109375" style="1551" customWidth="1"/>
    <col min="10243" max="10243" width="8.85546875" style="1551" customWidth="1"/>
    <col min="10244" max="10244" width="47.85546875" style="1551" customWidth="1"/>
    <col min="10245" max="10245" width="12.85546875" style="1551" customWidth="1"/>
    <col min="10246" max="10246" width="15.5703125" style="1551" customWidth="1"/>
    <col min="10247" max="10247" width="15.85546875" style="1551" customWidth="1"/>
    <col min="10248" max="10248" width="6.42578125" style="1551" customWidth="1"/>
    <col min="10249" max="10250" width="9.140625" style="1551"/>
    <col min="10251" max="10251" width="18.42578125" style="1551" customWidth="1"/>
    <col min="10252" max="10252" width="16" style="1551" bestFit="1" customWidth="1"/>
    <col min="10253" max="10496" width="9.140625" style="1551"/>
    <col min="10497" max="10497" width="4.7109375" style="1551" customWidth="1"/>
    <col min="10498" max="10498" width="6.7109375" style="1551" customWidth="1"/>
    <col min="10499" max="10499" width="8.85546875" style="1551" customWidth="1"/>
    <col min="10500" max="10500" width="47.85546875" style="1551" customWidth="1"/>
    <col min="10501" max="10501" width="12.85546875" style="1551" customWidth="1"/>
    <col min="10502" max="10502" width="15.5703125" style="1551" customWidth="1"/>
    <col min="10503" max="10503" width="15.85546875" style="1551" customWidth="1"/>
    <col min="10504" max="10504" width="6.42578125" style="1551" customWidth="1"/>
    <col min="10505" max="10506" width="9.140625" style="1551"/>
    <col min="10507" max="10507" width="18.42578125" style="1551" customWidth="1"/>
    <col min="10508" max="10508" width="16" style="1551" bestFit="1" customWidth="1"/>
    <col min="10509" max="10752" width="9.140625" style="1551"/>
    <col min="10753" max="10753" width="4.7109375" style="1551" customWidth="1"/>
    <col min="10754" max="10754" width="6.7109375" style="1551" customWidth="1"/>
    <col min="10755" max="10755" width="8.85546875" style="1551" customWidth="1"/>
    <col min="10756" max="10756" width="47.85546875" style="1551" customWidth="1"/>
    <col min="10757" max="10757" width="12.85546875" style="1551" customWidth="1"/>
    <col min="10758" max="10758" width="15.5703125" style="1551" customWidth="1"/>
    <col min="10759" max="10759" width="15.85546875" style="1551" customWidth="1"/>
    <col min="10760" max="10760" width="6.42578125" style="1551" customWidth="1"/>
    <col min="10761" max="10762" width="9.140625" style="1551"/>
    <col min="10763" max="10763" width="18.42578125" style="1551" customWidth="1"/>
    <col min="10764" max="10764" width="16" style="1551" bestFit="1" customWidth="1"/>
    <col min="10765" max="11008" width="9.140625" style="1551"/>
    <col min="11009" max="11009" width="4.7109375" style="1551" customWidth="1"/>
    <col min="11010" max="11010" width="6.7109375" style="1551" customWidth="1"/>
    <col min="11011" max="11011" width="8.85546875" style="1551" customWidth="1"/>
    <col min="11012" max="11012" width="47.85546875" style="1551" customWidth="1"/>
    <col min="11013" max="11013" width="12.85546875" style="1551" customWidth="1"/>
    <col min="11014" max="11014" width="15.5703125" style="1551" customWidth="1"/>
    <col min="11015" max="11015" width="15.85546875" style="1551" customWidth="1"/>
    <col min="11016" max="11016" width="6.42578125" style="1551" customWidth="1"/>
    <col min="11017" max="11018" width="9.140625" style="1551"/>
    <col min="11019" max="11019" width="18.42578125" style="1551" customWidth="1"/>
    <col min="11020" max="11020" width="16" style="1551" bestFit="1" customWidth="1"/>
    <col min="11021" max="11264" width="9.140625" style="1551"/>
    <col min="11265" max="11265" width="4.7109375" style="1551" customWidth="1"/>
    <col min="11266" max="11266" width="6.7109375" style="1551" customWidth="1"/>
    <col min="11267" max="11267" width="8.85546875" style="1551" customWidth="1"/>
    <col min="11268" max="11268" width="47.85546875" style="1551" customWidth="1"/>
    <col min="11269" max="11269" width="12.85546875" style="1551" customWidth="1"/>
    <col min="11270" max="11270" width="15.5703125" style="1551" customWidth="1"/>
    <col min="11271" max="11271" width="15.85546875" style="1551" customWidth="1"/>
    <col min="11272" max="11272" width="6.42578125" style="1551" customWidth="1"/>
    <col min="11273" max="11274" width="9.140625" style="1551"/>
    <col min="11275" max="11275" width="18.42578125" style="1551" customWidth="1"/>
    <col min="11276" max="11276" width="16" style="1551" bestFit="1" customWidth="1"/>
    <col min="11277" max="11520" width="9.140625" style="1551"/>
    <col min="11521" max="11521" width="4.7109375" style="1551" customWidth="1"/>
    <col min="11522" max="11522" width="6.7109375" style="1551" customWidth="1"/>
    <col min="11523" max="11523" width="8.85546875" style="1551" customWidth="1"/>
    <col min="11524" max="11524" width="47.85546875" style="1551" customWidth="1"/>
    <col min="11525" max="11525" width="12.85546875" style="1551" customWidth="1"/>
    <col min="11526" max="11526" width="15.5703125" style="1551" customWidth="1"/>
    <col min="11527" max="11527" width="15.85546875" style="1551" customWidth="1"/>
    <col min="11528" max="11528" width="6.42578125" style="1551" customWidth="1"/>
    <col min="11529" max="11530" width="9.140625" style="1551"/>
    <col min="11531" max="11531" width="18.42578125" style="1551" customWidth="1"/>
    <col min="11532" max="11532" width="16" style="1551" bestFit="1" customWidth="1"/>
    <col min="11533" max="11776" width="9.140625" style="1551"/>
    <col min="11777" max="11777" width="4.7109375" style="1551" customWidth="1"/>
    <col min="11778" max="11778" width="6.7109375" style="1551" customWidth="1"/>
    <col min="11779" max="11779" width="8.85546875" style="1551" customWidth="1"/>
    <col min="11780" max="11780" width="47.85546875" style="1551" customWidth="1"/>
    <col min="11781" max="11781" width="12.85546875" style="1551" customWidth="1"/>
    <col min="11782" max="11782" width="15.5703125" style="1551" customWidth="1"/>
    <col min="11783" max="11783" width="15.85546875" style="1551" customWidth="1"/>
    <col min="11784" max="11784" width="6.42578125" style="1551" customWidth="1"/>
    <col min="11785" max="11786" width="9.140625" style="1551"/>
    <col min="11787" max="11787" width="18.42578125" style="1551" customWidth="1"/>
    <col min="11788" max="11788" width="16" style="1551" bestFit="1" customWidth="1"/>
    <col min="11789" max="12032" width="9.140625" style="1551"/>
    <col min="12033" max="12033" width="4.7109375" style="1551" customWidth="1"/>
    <col min="12034" max="12034" width="6.7109375" style="1551" customWidth="1"/>
    <col min="12035" max="12035" width="8.85546875" style="1551" customWidth="1"/>
    <col min="12036" max="12036" width="47.85546875" style="1551" customWidth="1"/>
    <col min="12037" max="12037" width="12.85546875" style="1551" customWidth="1"/>
    <col min="12038" max="12038" width="15.5703125" style="1551" customWidth="1"/>
    <col min="12039" max="12039" width="15.85546875" style="1551" customWidth="1"/>
    <col min="12040" max="12040" width="6.42578125" style="1551" customWidth="1"/>
    <col min="12041" max="12042" width="9.140625" style="1551"/>
    <col min="12043" max="12043" width="18.42578125" style="1551" customWidth="1"/>
    <col min="12044" max="12044" width="16" style="1551" bestFit="1" customWidth="1"/>
    <col min="12045" max="12288" width="9.140625" style="1551"/>
    <col min="12289" max="12289" width="4.7109375" style="1551" customWidth="1"/>
    <col min="12290" max="12290" width="6.7109375" style="1551" customWidth="1"/>
    <col min="12291" max="12291" width="8.85546875" style="1551" customWidth="1"/>
    <col min="12292" max="12292" width="47.85546875" style="1551" customWidth="1"/>
    <col min="12293" max="12293" width="12.85546875" style="1551" customWidth="1"/>
    <col min="12294" max="12294" width="15.5703125" style="1551" customWidth="1"/>
    <col min="12295" max="12295" width="15.85546875" style="1551" customWidth="1"/>
    <col min="12296" max="12296" width="6.42578125" style="1551" customWidth="1"/>
    <col min="12297" max="12298" width="9.140625" style="1551"/>
    <col min="12299" max="12299" width="18.42578125" style="1551" customWidth="1"/>
    <col min="12300" max="12300" width="16" style="1551" bestFit="1" customWidth="1"/>
    <col min="12301" max="12544" width="9.140625" style="1551"/>
    <col min="12545" max="12545" width="4.7109375" style="1551" customWidth="1"/>
    <col min="12546" max="12546" width="6.7109375" style="1551" customWidth="1"/>
    <col min="12547" max="12547" width="8.85546875" style="1551" customWidth="1"/>
    <col min="12548" max="12548" width="47.85546875" style="1551" customWidth="1"/>
    <col min="12549" max="12549" width="12.85546875" style="1551" customWidth="1"/>
    <col min="12550" max="12550" width="15.5703125" style="1551" customWidth="1"/>
    <col min="12551" max="12551" width="15.85546875" style="1551" customWidth="1"/>
    <col min="12552" max="12552" width="6.42578125" style="1551" customWidth="1"/>
    <col min="12553" max="12554" width="9.140625" style="1551"/>
    <col min="12555" max="12555" width="18.42578125" style="1551" customWidth="1"/>
    <col min="12556" max="12556" width="16" style="1551" bestFit="1" customWidth="1"/>
    <col min="12557" max="12800" width="9.140625" style="1551"/>
    <col min="12801" max="12801" width="4.7109375" style="1551" customWidth="1"/>
    <col min="12802" max="12802" width="6.7109375" style="1551" customWidth="1"/>
    <col min="12803" max="12803" width="8.85546875" style="1551" customWidth="1"/>
    <col min="12804" max="12804" width="47.85546875" style="1551" customWidth="1"/>
    <col min="12805" max="12805" width="12.85546875" style="1551" customWidth="1"/>
    <col min="12806" max="12806" width="15.5703125" style="1551" customWidth="1"/>
    <col min="12807" max="12807" width="15.85546875" style="1551" customWidth="1"/>
    <col min="12808" max="12808" width="6.42578125" style="1551" customWidth="1"/>
    <col min="12809" max="12810" width="9.140625" style="1551"/>
    <col min="12811" max="12811" width="18.42578125" style="1551" customWidth="1"/>
    <col min="12812" max="12812" width="16" style="1551" bestFit="1" customWidth="1"/>
    <col min="12813" max="13056" width="9.140625" style="1551"/>
    <col min="13057" max="13057" width="4.7109375" style="1551" customWidth="1"/>
    <col min="13058" max="13058" width="6.7109375" style="1551" customWidth="1"/>
    <col min="13059" max="13059" width="8.85546875" style="1551" customWidth="1"/>
    <col min="13060" max="13060" width="47.85546875" style="1551" customWidth="1"/>
    <col min="13061" max="13061" width="12.85546875" style="1551" customWidth="1"/>
    <col min="13062" max="13062" width="15.5703125" style="1551" customWidth="1"/>
    <col min="13063" max="13063" width="15.85546875" style="1551" customWidth="1"/>
    <col min="13064" max="13064" width="6.42578125" style="1551" customWidth="1"/>
    <col min="13065" max="13066" width="9.140625" style="1551"/>
    <col min="13067" max="13067" width="18.42578125" style="1551" customWidth="1"/>
    <col min="13068" max="13068" width="16" style="1551" bestFit="1" customWidth="1"/>
    <col min="13069" max="13312" width="9.140625" style="1551"/>
    <col min="13313" max="13313" width="4.7109375" style="1551" customWidth="1"/>
    <col min="13314" max="13314" width="6.7109375" style="1551" customWidth="1"/>
    <col min="13315" max="13315" width="8.85546875" style="1551" customWidth="1"/>
    <col min="13316" max="13316" width="47.85546875" style="1551" customWidth="1"/>
    <col min="13317" max="13317" width="12.85546875" style="1551" customWidth="1"/>
    <col min="13318" max="13318" width="15.5703125" style="1551" customWidth="1"/>
    <col min="13319" max="13319" width="15.85546875" style="1551" customWidth="1"/>
    <col min="13320" max="13320" width="6.42578125" style="1551" customWidth="1"/>
    <col min="13321" max="13322" width="9.140625" style="1551"/>
    <col min="13323" max="13323" width="18.42578125" style="1551" customWidth="1"/>
    <col min="13324" max="13324" width="16" style="1551" bestFit="1" customWidth="1"/>
    <col min="13325" max="13568" width="9.140625" style="1551"/>
    <col min="13569" max="13569" width="4.7109375" style="1551" customWidth="1"/>
    <col min="13570" max="13570" width="6.7109375" style="1551" customWidth="1"/>
    <col min="13571" max="13571" width="8.85546875" style="1551" customWidth="1"/>
    <col min="13572" max="13572" width="47.85546875" style="1551" customWidth="1"/>
    <col min="13573" max="13573" width="12.85546875" style="1551" customWidth="1"/>
    <col min="13574" max="13574" width="15.5703125" style="1551" customWidth="1"/>
    <col min="13575" max="13575" width="15.85546875" style="1551" customWidth="1"/>
    <col min="13576" max="13576" width="6.42578125" style="1551" customWidth="1"/>
    <col min="13577" max="13578" width="9.140625" style="1551"/>
    <col min="13579" max="13579" width="18.42578125" style="1551" customWidth="1"/>
    <col min="13580" max="13580" width="16" style="1551" bestFit="1" customWidth="1"/>
    <col min="13581" max="13824" width="9.140625" style="1551"/>
    <col min="13825" max="13825" width="4.7109375" style="1551" customWidth="1"/>
    <col min="13826" max="13826" width="6.7109375" style="1551" customWidth="1"/>
    <col min="13827" max="13827" width="8.85546875" style="1551" customWidth="1"/>
    <col min="13828" max="13828" width="47.85546875" style="1551" customWidth="1"/>
    <col min="13829" max="13829" width="12.85546875" style="1551" customWidth="1"/>
    <col min="13830" max="13830" width="15.5703125" style="1551" customWidth="1"/>
    <col min="13831" max="13831" width="15.85546875" style="1551" customWidth="1"/>
    <col min="13832" max="13832" width="6.42578125" style="1551" customWidth="1"/>
    <col min="13833" max="13834" width="9.140625" style="1551"/>
    <col min="13835" max="13835" width="18.42578125" style="1551" customWidth="1"/>
    <col min="13836" max="13836" width="16" style="1551" bestFit="1" customWidth="1"/>
    <col min="13837" max="14080" width="9.140625" style="1551"/>
    <col min="14081" max="14081" width="4.7109375" style="1551" customWidth="1"/>
    <col min="14082" max="14082" width="6.7109375" style="1551" customWidth="1"/>
    <col min="14083" max="14083" width="8.85546875" style="1551" customWidth="1"/>
    <col min="14084" max="14084" width="47.85546875" style="1551" customWidth="1"/>
    <col min="14085" max="14085" width="12.85546875" style="1551" customWidth="1"/>
    <col min="14086" max="14086" width="15.5703125" style="1551" customWidth="1"/>
    <col min="14087" max="14087" width="15.85546875" style="1551" customWidth="1"/>
    <col min="14088" max="14088" width="6.42578125" style="1551" customWidth="1"/>
    <col min="14089" max="14090" width="9.140625" style="1551"/>
    <col min="14091" max="14091" width="18.42578125" style="1551" customWidth="1"/>
    <col min="14092" max="14092" width="16" style="1551" bestFit="1" customWidth="1"/>
    <col min="14093" max="14336" width="9.140625" style="1551"/>
    <col min="14337" max="14337" width="4.7109375" style="1551" customWidth="1"/>
    <col min="14338" max="14338" width="6.7109375" style="1551" customWidth="1"/>
    <col min="14339" max="14339" width="8.85546875" style="1551" customWidth="1"/>
    <col min="14340" max="14340" width="47.85546875" style="1551" customWidth="1"/>
    <col min="14341" max="14341" width="12.85546875" style="1551" customWidth="1"/>
    <col min="14342" max="14342" width="15.5703125" style="1551" customWidth="1"/>
    <col min="14343" max="14343" width="15.85546875" style="1551" customWidth="1"/>
    <col min="14344" max="14344" width="6.42578125" style="1551" customWidth="1"/>
    <col min="14345" max="14346" width="9.140625" style="1551"/>
    <col min="14347" max="14347" width="18.42578125" style="1551" customWidth="1"/>
    <col min="14348" max="14348" width="16" style="1551" bestFit="1" customWidth="1"/>
    <col min="14349" max="14592" width="9.140625" style="1551"/>
    <col min="14593" max="14593" width="4.7109375" style="1551" customWidth="1"/>
    <col min="14594" max="14594" width="6.7109375" style="1551" customWidth="1"/>
    <col min="14595" max="14595" width="8.85546875" style="1551" customWidth="1"/>
    <col min="14596" max="14596" width="47.85546875" style="1551" customWidth="1"/>
    <col min="14597" max="14597" width="12.85546875" style="1551" customWidth="1"/>
    <col min="14598" max="14598" width="15.5703125" style="1551" customWidth="1"/>
    <col min="14599" max="14599" width="15.85546875" style="1551" customWidth="1"/>
    <col min="14600" max="14600" width="6.42578125" style="1551" customWidth="1"/>
    <col min="14601" max="14602" width="9.140625" style="1551"/>
    <col min="14603" max="14603" width="18.42578125" style="1551" customWidth="1"/>
    <col min="14604" max="14604" width="16" style="1551" bestFit="1" customWidth="1"/>
    <col min="14605" max="14848" width="9.140625" style="1551"/>
    <col min="14849" max="14849" width="4.7109375" style="1551" customWidth="1"/>
    <col min="14850" max="14850" width="6.7109375" style="1551" customWidth="1"/>
    <col min="14851" max="14851" width="8.85546875" style="1551" customWidth="1"/>
    <col min="14852" max="14852" width="47.85546875" style="1551" customWidth="1"/>
    <col min="14853" max="14853" width="12.85546875" style="1551" customWidth="1"/>
    <col min="14854" max="14854" width="15.5703125" style="1551" customWidth="1"/>
    <col min="14855" max="14855" width="15.85546875" style="1551" customWidth="1"/>
    <col min="14856" max="14856" width="6.42578125" style="1551" customWidth="1"/>
    <col min="14857" max="14858" width="9.140625" style="1551"/>
    <col min="14859" max="14859" width="18.42578125" style="1551" customWidth="1"/>
    <col min="14860" max="14860" width="16" style="1551" bestFit="1" customWidth="1"/>
    <col min="14861" max="15104" width="9.140625" style="1551"/>
    <col min="15105" max="15105" width="4.7109375" style="1551" customWidth="1"/>
    <col min="15106" max="15106" width="6.7109375" style="1551" customWidth="1"/>
    <col min="15107" max="15107" width="8.85546875" style="1551" customWidth="1"/>
    <col min="15108" max="15108" width="47.85546875" style="1551" customWidth="1"/>
    <col min="15109" max="15109" width="12.85546875" style="1551" customWidth="1"/>
    <col min="15110" max="15110" width="15.5703125" style="1551" customWidth="1"/>
    <col min="15111" max="15111" width="15.85546875" style="1551" customWidth="1"/>
    <col min="15112" max="15112" width="6.42578125" style="1551" customWidth="1"/>
    <col min="15113" max="15114" width="9.140625" style="1551"/>
    <col min="15115" max="15115" width="18.42578125" style="1551" customWidth="1"/>
    <col min="15116" max="15116" width="16" style="1551" bestFit="1" customWidth="1"/>
    <col min="15117" max="15360" width="9.140625" style="1551"/>
    <col min="15361" max="15361" width="4.7109375" style="1551" customWidth="1"/>
    <col min="15362" max="15362" width="6.7109375" style="1551" customWidth="1"/>
    <col min="15363" max="15363" width="8.85546875" style="1551" customWidth="1"/>
    <col min="15364" max="15364" width="47.85546875" style="1551" customWidth="1"/>
    <col min="15365" max="15365" width="12.85546875" style="1551" customWidth="1"/>
    <col min="15366" max="15366" width="15.5703125" style="1551" customWidth="1"/>
    <col min="15367" max="15367" width="15.85546875" style="1551" customWidth="1"/>
    <col min="15368" max="15368" width="6.42578125" style="1551" customWidth="1"/>
    <col min="15369" max="15370" width="9.140625" style="1551"/>
    <col min="15371" max="15371" width="18.42578125" style="1551" customWidth="1"/>
    <col min="15372" max="15372" width="16" style="1551" bestFit="1" customWidth="1"/>
    <col min="15373" max="15616" width="9.140625" style="1551"/>
    <col min="15617" max="15617" width="4.7109375" style="1551" customWidth="1"/>
    <col min="15618" max="15618" width="6.7109375" style="1551" customWidth="1"/>
    <col min="15619" max="15619" width="8.85546875" style="1551" customWidth="1"/>
    <col min="15620" max="15620" width="47.85546875" style="1551" customWidth="1"/>
    <col min="15621" max="15621" width="12.85546875" style="1551" customWidth="1"/>
    <col min="15622" max="15622" width="15.5703125" style="1551" customWidth="1"/>
    <col min="15623" max="15623" width="15.85546875" style="1551" customWidth="1"/>
    <col min="15624" max="15624" width="6.42578125" style="1551" customWidth="1"/>
    <col min="15625" max="15626" width="9.140625" style="1551"/>
    <col min="15627" max="15627" width="18.42578125" style="1551" customWidth="1"/>
    <col min="15628" max="15628" width="16" style="1551" bestFit="1" customWidth="1"/>
    <col min="15629" max="15872" width="9.140625" style="1551"/>
    <col min="15873" max="15873" width="4.7109375" style="1551" customWidth="1"/>
    <col min="15874" max="15874" width="6.7109375" style="1551" customWidth="1"/>
    <col min="15875" max="15875" width="8.85546875" style="1551" customWidth="1"/>
    <col min="15876" max="15876" width="47.85546875" style="1551" customWidth="1"/>
    <col min="15877" max="15877" width="12.85546875" style="1551" customWidth="1"/>
    <col min="15878" max="15878" width="15.5703125" style="1551" customWidth="1"/>
    <col min="15879" max="15879" width="15.85546875" style="1551" customWidth="1"/>
    <col min="15880" max="15880" width="6.42578125" style="1551" customWidth="1"/>
    <col min="15881" max="15882" width="9.140625" style="1551"/>
    <col min="15883" max="15883" width="18.42578125" style="1551" customWidth="1"/>
    <col min="15884" max="15884" width="16" style="1551" bestFit="1" customWidth="1"/>
    <col min="15885" max="16128" width="9.140625" style="1551"/>
    <col min="16129" max="16129" width="4.7109375" style="1551" customWidth="1"/>
    <col min="16130" max="16130" width="6.7109375" style="1551" customWidth="1"/>
    <col min="16131" max="16131" width="8.85546875" style="1551" customWidth="1"/>
    <col min="16132" max="16132" width="47.85546875" style="1551" customWidth="1"/>
    <col min="16133" max="16133" width="12.85546875" style="1551" customWidth="1"/>
    <col min="16134" max="16134" width="15.5703125" style="1551" customWidth="1"/>
    <col min="16135" max="16135" width="15.85546875" style="1551" customWidth="1"/>
    <col min="16136" max="16136" width="6.42578125" style="1551" customWidth="1"/>
    <col min="16137" max="16138" width="9.140625" style="1551"/>
    <col min="16139" max="16139" width="18.42578125" style="1551" customWidth="1"/>
    <col min="16140" max="16140" width="16" style="1551" bestFit="1" customWidth="1"/>
    <col min="16141" max="16384" width="9.140625" style="1551"/>
  </cols>
  <sheetData>
    <row r="1" spans="1:8" ht="18.75" thickBot="1" x14ac:dyDescent="0.3">
      <c r="A1" s="1545" t="s">
        <v>1251</v>
      </c>
      <c r="B1" s="1546"/>
      <c r="C1" s="1547"/>
      <c r="D1" s="1548"/>
      <c r="E1" s="1549"/>
      <c r="F1" s="1548"/>
      <c r="G1" s="1550"/>
      <c r="H1" s="1545"/>
    </row>
    <row r="2" spans="1:8" ht="18" x14ac:dyDescent="0.25">
      <c r="A2" s="1552"/>
      <c r="B2" s="1553"/>
      <c r="C2" s="1553"/>
      <c r="D2" s="1553"/>
      <c r="E2" s="1553"/>
      <c r="F2" s="1553"/>
      <c r="G2" s="1553"/>
      <c r="H2" s="1554" t="s">
        <v>1250</v>
      </c>
    </row>
    <row r="3" spans="1:8" ht="18" x14ac:dyDescent="0.25">
      <c r="A3" s="1555" t="s">
        <v>336</v>
      </c>
      <c r="B3" s="1553"/>
      <c r="C3" s="2852" t="s">
        <v>2009</v>
      </c>
      <c r="D3" s="1553"/>
      <c r="E3" s="1553"/>
      <c r="F3" s="1553"/>
      <c r="G3" s="1553"/>
      <c r="H3" s="1554"/>
    </row>
    <row r="4" spans="1:8" ht="18" x14ac:dyDescent="0.25">
      <c r="A4" s="1552"/>
      <c r="B4" s="1553"/>
      <c r="C4" s="2852" t="s">
        <v>1450</v>
      </c>
      <c r="D4" s="1553"/>
      <c r="E4" s="1553"/>
      <c r="F4" s="1553"/>
      <c r="G4" s="1553"/>
      <c r="H4" s="1554"/>
    </row>
    <row r="5" spans="1:8" ht="18" x14ac:dyDescent="0.25">
      <c r="A5" s="1557" t="s">
        <v>1249</v>
      </c>
      <c r="B5" s="1553"/>
      <c r="C5" s="1553"/>
      <c r="D5" s="1553"/>
      <c r="E5" s="1553"/>
      <c r="F5" s="1553"/>
      <c r="G5" s="1553"/>
      <c r="H5" s="1554"/>
    </row>
    <row r="6" spans="1:8" x14ac:dyDescent="0.2">
      <c r="A6" s="1558"/>
      <c r="B6" s="1558"/>
      <c r="C6" s="1558"/>
      <c r="E6" s="1559"/>
      <c r="F6" s="1559"/>
      <c r="G6" s="1559"/>
    </row>
    <row r="7" spans="1:8" ht="15.75" thickBot="1" x14ac:dyDescent="0.3">
      <c r="A7" s="1544" t="s">
        <v>229</v>
      </c>
      <c r="B7" s="1558"/>
      <c r="C7" s="1558"/>
      <c r="E7" s="1559"/>
      <c r="F7" s="1559"/>
      <c r="G7" s="1559"/>
      <c r="H7" s="1560" t="s">
        <v>148</v>
      </c>
    </row>
    <row r="8" spans="1:8" ht="25.5" thickTop="1" thickBot="1" x14ac:dyDescent="0.25">
      <c r="A8" s="1378" t="s">
        <v>149</v>
      </c>
      <c r="B8" s="1379" t="s">
        <v>688</v>
      </c>
      <c r="C8" s="1379" t="s">
        <v>345</v>
      </c>
      <c r="D8" s="1380" t="s">
        <v>151</v>
      </c>
      <c r="E8" s="1402" t="s">
        <v>569</v>
      </c>
      <c r="F8" s="1402" t="s">
        <v>570</v>
      </c>
      <c r="G8" s="1403" t="s">
        <v>797</v>
      </c>
      <c r="H8" s="1404" t="s">
        <v>798</v>
      </c>
    </row>
    <row r="9" spans="1:8" ht="14.2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5">
        <v>5</v>
      </c>
      <c r="F9" s="1295">
        <v>6</v>
      </c>
      <c r="G9" s="1446">
        <v>7</v>
      </c>
      <c r="H9" s="1468" t="s">
        <v>54</v>
      </c>
    </row>
    <row r="10" spans="1:8" ht="45.75" thickTop="1" x14ac:dyDescent="0.2">
      <c r="A10" s="1572">
        <v>3299</v>
      </c>
      <c r="B10" s="1573">
        <v>5213</v>
      </c>
      <c r="C10" s="2851" t="s">
        <v>2097</v>
      </c>
      <c r="D10" s="1574" t="s">
        <v>935</v>
      </c>
      <c r="E10" s="1575">
        <v>0</v>
      </c>
      <c r="F10" s="1575">
        <v>329</v>
      </c>
      <c r="G10" s="1575">
        <v>264</v>
      </c>
      <c r="H10" s="1576">
        <f t="shared" ref="H10:H24" si="0">G10/F10*100</f>
        <v>80.243161094224931</v>
      </c>
    </row>
    <row r="11" spans="1:8" ht="45" x14ac:dyDescent="0.2">
      <c r="A11" s="1577">
        <v>3299</v>
      </c>
      <c r="B11" s="1578">
        <v>5213</v>
      </c>
      <c r="C11" s="1629" t="s">
        <v>2096</v>
      </c>
      <c r="D11" s="1579" t="s">
        <v>935</v>
      </c>
      <c r="E11" s="1580">
        <v>0</v>
      </c>
      <c r="F11" s="1580">
        <v>1861</v>
      </c>
      <c r="G11" s="1580">
        <v>1495</v>
      </c>
      <c r="H11" s="1581">
        <f t="shared" si="0"/>
        <v>80.333154218162278</v>
      </c>
    </row>
    <row r="12" spans="1:8" ht="30" hidden="1" x14ac:dyDescent="0.2">
      <c r="A12" s="1577">
        <v>3299</v>
      </c>
      <c r="B12" s="1578">
        <v>5221</v>
      </c>
      <c r="C12" s="1629" t="s">
        <v>2097</v>
      </c>
      <c r="D12" s="1579" t="s">
        <v>1183</v>
      </c>
      <c r="E12" s="1580"/>
      <c r="F12" s="1580"/>
      <c r="G12" s="1580"/>
      <c r="H12" s="1581" t="e">
        <f t="shared" si="0"/>
        <v>#DIV/0!</v>
      </c>
    </row>
    <row r="13" spans="1:8" ht="30" hidden="1" x14ac:dyDescent="0.2">
      <c r="A13" s="1577">
        <v>3299</v>
      </c>
      <c r="B13" s="1578">
        <v>5221</v>
      </c>
      <c r="C13" s="1629" t="s">
        <v>2096</v>
      </c>
      <c r="D13" s="1579" t="s">
        <v>1183</v>
      </c>
      <c r="E13" s="1580"/>
      <c r="F13" s="1580"/>
      <c r="G13" s="1580"/>
      <c r="H13" s="1581" t="e">
        <f t="shared" si="0"/>
        <v>#DIV/0!</v>
      </c>
    </row>
    <row r="14" spans="1:8" ht="15" x14ac:dyDescent="0.2">
      <c r="A14" s="1577">
        <v>3299</v>
      </c>
      <c r="B14" s="1578">
        <v>5222</v>
      </c>
      <c r="C14" s="1629" t="s">
        <v>2097</v>
      </c>
      <c r="D14" s="1579" t="s">
        <v>1513</v>
      </c>
      <c r="E14" s="1580">
        <v>0</v>
      </c>
      <c r="F14" s="1580">
        <v>58</v>
      </c>
      <c r="G14" s="1580">
        <v>51</v>
      </c>
      <c r="H14" s="1581">
        <f t="shared" si="0"/>
        <v>87.931034482758619</v>
      </c>
    </row>
    <row r="15" spans="1:8" ht="15" x14ac:dyDescent="0.2">
      <c r="A15" s="1577">
        <v>3299</v>
      </c>
      <c r="B15" s="1578">
        <v>5222</v>
      </c>
      <c r="C15" s="1629" t="s">
        <v>2096</v>
      </c>
      <c r="D15" s="1579" t="s">
        <v>1513</v>
      </c>
      <c r="E15" s="1580">
        <v>0</v>
      </c>
      <c r="F15" s="1580">
        <v>330</v>
      </c>
      <c r="G15" s="1580">
        <v>287</v>
      </c>
      <c r="H15" s="1581">
        <f t="shared" si="0"/>
        <v>86.969696969696969</v>
      </c>
    </row>
    <row r="16" spans="1:8" ht="15" x14ac:dyDescent="0.2">
      <c r="A16" s="1577">
        <v>3299</v>
      </c>
      <c r="B16" s="1578">
        <v>5332</v>
      </c>
      <c r="C16" s="2850" t="s">
        <v>2097</v>
      </c>
      <c r="D16" s="1579" t="s">
        <v>560</v>
      </c>
      <c r="E16" s="1580">
        <v>0</v>
      </c>
      <c r="F16" s="1580">
        <v>459</v>
      </c>
      <c r="G16" s="1580">
        <v>338</v>
      </c>
      <c r="H16" s="1581">
        <f t="shared" si="0"/>
        <v>73.63834422657952</v>
      </c>
    </row>
    <row r="17" spans="1:9" ht="15" x14ac:dyDescent="0.2">
      <c r="A17" s="1577">
        <v>3299</v>
      </c>
      <c r="B17" s="1578">
        <v>5332</v>
      </c>
      <c r="C17" s="2850" t="s">
        <v>2096</v>
      </c>
      <c r="D17" s="1579" t="s">
        <v>560</v>
      </c>
      <c r="E17" s="1580">
        <v>0</v>
      </c>
      <c r="F17" s="1580">
        <v>2602</v>
      </c>
      <c r="G17" s="1580">
        <v>1917</v>
      </c>
      <c r="H17" s="1581">
        <f t="shared" si="0"/>
        <v>73.674096848578017</v>
      </c>
    </row>
    <row r="18" spans="1:9" ht="30" x14ac:dyDescent="0.2">
      <c r="A18" s="1577">
        <v>3299</v>
      </c>
      <c r="B18" s="1578">
        <v>5339</v>
      </c>
      <c r="C18" s="2850" t="s">
        <v>2097</v>
      </c>
      <c r="D18" s="1579" t="s">
        <v>1539</v>
      </c>
      <c r="E18" s="1580">
        <v>0</v>
      </c>
      <c r="F18" s="1580">
        <v>79</v>
      </c>
      <c r="G18" s="1580">
        <v>73</v>
      </c>
      <c r="H18" s="1581">
        <f t="shared" si="0"/>
        <v>92.405063291139243</v>
      </c>
    </row>
    <row r="19" spans="1:9" ht="30" x14ac:dyDescent="0.2">
      <c r="A19" s="1577">
        <v>3299</v>
      </c>
      <c r="B19" s="1578">
        <v>5339</v>
      </c>
      <c r="C19" s="2850" t="s">
        <v>2096</v>
      </c>
      <c r="D19" s="1579" t="s">
        <v>1539</v>
      </c>
      <c r="E19" s="1580">
        <v>0</v>
      </c>
      <c r="F19" s="1580">
        <v>449</v>
      </c>
      <c r="G19" s="1580">
        <v>416</v>
      </c>
      <c r="H19" s="1581">
        <f t="shared" si="0"/>
        <v>92.650334075723833</v>
      </c>
    </row>
    <row r="20" spans="1:9" ht="15" customHeight="1" x14ac:dyDescent="0.2">
      <c r="A20" s="1577">
        <v>3299</v>
      </c>
      <c r="B20" s="1578">
        <v>5901</v>
      </c>
      <c r="C20" s="2850" t="s">
        <v>2097</v>
      </c>
      <c r="D20" s="1579" t="s">
        <v>547</v>
      </c>
      <c r="E20" s="1580">
        <v>0</v>
      </c>
      <c r="F20" s="1580">
        <v>69</v>
      </c>
      <c r="G20" s="1580">
        <v>0</v>
      </c>
      <c r="H20" s="1581">
        <f t="shared" si="0"/>
        <v>0</v>
      </c>
    </row>
    <row r="21" spans="1:9" ht="15" customHeight="1" x14ac:dyDescent="0.2">
      <c r="A21" s="1577">
        <v>3299</v>
      </c>
      <c r="B21" s="1578">
        <v>5901</v>
      </c>
      <c r="C21" s="2850" t="s">
        <v>2096</v>
      </c>
      <c r="D21" s="1579" t="s">
        <v>547</v>
      </c>
      <c r="E21" s="1580">
        <v>0</v>
      </c>
      <c r="F21" s="1580">
        <v>388</v>
      </c>
      <c r="G21" s="1580">
        <v>0</v>
      </c>
      <c r="H21" s="1581">
        <f t="shared" si="0"/>
        <v>0</v>
      </c>
    </row>
    <row r="22" spans="1:9" ht="45" hidden="1" x14ac:dyDescent="0.2">
      <c r="A22" s="1577">
        <v>3299</v>
      </c>
      <c r="B22" s="1578">
        <v>6313</v>
      </c>
      <c r="C22" s="2850">
        <v>32133926</v>
      </c>
      <c r="D22" s="1579" t="s">
        <v>496</v>
      </c>
      <c r="E22" s="1580"/>
      <c r="F22" s="1580"/>
      <c r="G22" s="1580"/>
      <c r="H22" s="1581" t="e">
        <f t="shared" si="0"/>
        <v>#DIV/0!</v>
      </c>
    </row>
    <row r="23" spans="1:9" ht="15" x14ac:dyDescent="0.2">
      <c r="A23" s="1577">
        <v>3299</v>
      </c>
      <c r="B23" s="1578">
        <v>5909</v>
      </c>
      <c r="C23" s="2850" t="s">
        <v>1760</v>
      </c>
      <c r="D23" s="1579" t="s">
        <v>588</v>
      </c>
      <c r="E23" s="1580">
        <v>0</v>
      </c>
      <c r="F23" s="1580">
        <v>4</v>
      </c>
      <c r="G23" s="1580">
        <v>0</v>
      </c>
      <c r="H23" s="1581">
        <f t="shared" si="0"/>
        <v>0</v>
      </c>
    </row>
    <row r="24" spans="1:9" ht="15" x14ac:dyDescent="0.2">
      <c r="A24" s="1577">
        <v>3299</v>
      </c>
      <c r="B24" s="1578">
        <v>6901</v>
      </c>
      <c r="C24" s="2850" t="s">
        <v>2097</v>
      </c>
      <c r="D24" s="1579" t="s">
        <v>391</v>
      </c>
      <c r="E24" s="1580">
        <v>0</v>
      </c>
      <c r="F24" s="1580">
        <v>43</v>
      </c>
      <c r="G24" s="1580">
        <v>0</v>
      </c>
      <c r="H24" s="1581">
        <f t="shared" si="0"/>
        <v>0</v>
      </c>
    </row>
    <row r="25" spans="1:9" ht="15" x14ac:dyDescent="0.2">
      <c r="A25" s="1577">
        <v>3299</v>
      </c>
      <c r="B25" s="1578">
        <v>6901</v>
      </c>
      <c r="C25" s="2850" t="s">
        <v>2095</v>
      </c>
      <c r="D25" s="1579" t="s">
        <v>391</v>
      </c>
      <c r="E25" s="1580">
        <v>0</v>
      </c>
      <c r="F25" s="1580">
        <v>1</v>
      </c>
      <c r="G25" s="1580">
        <v>0</v>
      </c>
      <c r="H25" s="1581">
        <v>0</v>
      </c>
    </row>
    <row r="26" spans="1:9" ht="15" customHeight="1" x14ac:dyDescent="0.2">
      <c r="A26" s="1577">
        <v>3299</v>
      </c>
      <c r="B26" s="1578">
        <v>6901</v>
      </c>
      <c r="C26" s="2850" t="s">
        <v>2096</v>
      </c>
      <c r="D26" s="1579" t="s">
        <v>391</v>
      </c>
      <c r="E26" s="1580">
        <v>0</v>
      </c>
      <c r="F26" s="1580">
        <v>243</v>
      </c>
      <c r="G26" s="1580">
        <v>0</v>
      </c>
      <c r="H26" s="1581">
        <f>G26/F26*100</f>
        <v>0</v>
      </c>
    </row>
    <row r="27" spans="1:9" ht="15" customHeight="1" x14ac:dyDescent="0.2">
      <c r="A27" s="1577">
        <v>3299</v>
      </c>
      <c r="B27" s="1578">
        <v>6901</v>
      </c>
      <c r="C27" s="2850" t="s">
        <v>2094</v>
      </c>
      <c r="D27" s="1579" t="s">
        <v>391</v>
      </c>
      <c r="E27" s="1580">
        <v>0</v>
      </c>
      <c r="F27" s="1580">
        <v>2</v>
      </c>
      <c r="G27" s="1580">
        <v>0</v>
      </c>
      <c r="H27" s="1581">
        <v>0</v>
      </c>
    </row>
    <row r="28" spans="1:9" ht="15" hidden="1" customHeight="1" x14ac:dyDescent="0.2">
      <c r="A28" s="1577">
        <v>6402</v>
      </c>
      <c r="B28" s="1578">
        <v>5363</v>
      </c>
      <c r="C28" s="2850" t="s">
        <v>1786</v>
      </c>
      <c r="D28" s="1579" t="s">
        <v>1353</v>
      </c>
      <c r="E28" s="1580">
        <v>0</v>
      </c>
      <c r="F28" s="1580">
        <v>0</v>
      </c>
      <c r="G28" s="1580">
        <v>0</v>
      </c>
      <c r="H28" s="1581">
        <v>0</v>
      </c>
    </row>
    <row r="29" spans="1:9" ht="15.75" thickBot="1" x14ac:dyDescent="0.25">
      <c r="A29" s="1577">
        <v>6330</v>
      </c>
      <c r="B29" s="1578">
        <v>5345</v>
      </c>
      <c r="C29" s="2850" t="s">
        <v>1760</v>
      </c>
      <c r="D29" s="1579" t="s">
        <v>693</v>
      </c>
      <c r="E29" s="1580">
        <v>0</v>
      </c>
      <c r="F29" s="1580">
        <v>0</v>
      </c>
      <c r="G29" s="1580">
        <v>6508</v>
      </c>
      <c r="H29" s="1583">
        <v>0</v>
      </c>
    </row>
    <row r="30" spans="1:9" ht="16.5" thickTop="1" thickBot="1" x14ac:dyDescent="0.3">
      <c r="A30" s="3219" t="s">
        <v>690</v>
      </c>
      <c r="B30" s="3220"/>
      <c r="C30" s="3220"/>
      <c r="D30" s="3220"/>
      <c r="E30" s="1387">
        <f>SUM(E10:E27)</f>
        <v>0</v>
      </c>
      <c r="F30" s="1387">
        <f>SUM(F10:F29)</f>
        <v>6917</v>
      </c>
      <c r="G30" s="1387">
        <f>SUM(G10:G29)</f>
        <v>11349</v>
      </c>
      <c r="H30" s="1391">
        <f>G30/F30*100</f>
        <v>164.07402052913113</v>
      </c>
    </row>
    <row r="31" spans="1:9" ht="13.5" thickTop="1" x14ac:dyDescent="0.2"/>
    <row r="32" spans="1:9" ht="15" x14ac:dyDescent="0.25">
      <c r="A32" s="1544" t="s">
        <v>1516</v>
      </c>
      <c r="B32" s="1558"/>
      <c r="C32" s="1558"/>
      <c r="D32" s="1558"/>
      <c r="F32" s="1559"/>
      <c r="G32" s="1559"/>
      <c r="H32" s="1559"/>
      <c r="I32" s="1559"/>
    </row>
    <row r="33" spans="1:9" ht="15.75" thickBot="1" x14ac:dyDescent="0.3">
      <c r="A33" s="1544" t="s">
        <v>1130</v>
      </c>
      <c r="B33" s="1558"/>
      <c r="C33" s="1558"/>
      <c r="D33" s="1558"/>
      <c r="F33" s="1559"/>
      <c r="G33" s="1559"/>
      <c r="H33" s="1560" t="s">
        <v>148</v>
      </c>
      <c r="I33" s="1559"/>
    </row>
    <row r="34" spans="1:9" ht="25.5" thickTop="1" thickBot="1" x14ac:dyDescent="0.25">
      <c r="A34" s="1561" t="s">
        <v>149</v>
      </c>
      <c r="B34" s="1562" t="s">
        <v>688</v>
      </c>
      <c r="C34" s="1562" t="s">
        <v>345</v>
      </c>
      <c r="D34" s="1563" t="s">
        <v>151</v>
      </c>
      <c r="E34" s="1564" t="s">
        <v>569</v>
      </c>
      <c r="F34" s="1564" t="s">
        <v>570</v>
      </c>
      <c r="G34" s="1565" t="s">
        <v>797</v>
      </c>
      <c r="H34" s="1566" t="s">
        <v>798</v>
      </c>
      <c r="I34" s="1559"/>
    </row>
    <row r="35" spans="1:9" ht="14.25" thickTop="1" thickBot="1" x14ac:dyDescent="0.25">
      <c r="A35" s="1567">
        <v>1</v>
      </c>
      <c r="B35" s="1568">
        <v>2</v>
      </c>
      <c r="C35" s="1568">
        <v>3</v>
      </c>
      <c r="D35" s="1568">
        <v>5</v>
      </c>
      <c r="E35" s="1569">
        <v>6</v>
      </c>
      <c r="F35" s="1569">
        <v>7</v>
      </c>
      <c r="G35" s="1570">
        <v>8</v>
      </c>
      <c r="H35" s="1586" t="s">
        <v>689</v>
      </c>
      <c r="I35" s="1559"/>
    </row>
    <row r="36" spans="1:9" ht="30.75" thickTop="1" x14ac:dyDescent="0.2">
      <c r="A36" s="1577">
        <v>3299</v>
      </c>
      <c r="B36" s="1578">
        <v>5336</v>
      </c>
      <c r="C36" s="1629" t="s">
        <v>2097</v>
      </c>
      <c r="D36" s="1579" t="s">
        <v>1131</v>
      </c>
      <c r="E36" s="1575">
        <v>0</v>
      </c>
      <c r="F36" s="1575">
        <v>89</v>
      </c>
      <c r="G36" s="1587">
        <v>81</v>
      </c>
      <c r="H36" s="1576">
        <f>G36/F36*100</f>
        <v>91.011235955056179</v>
      </c>
      <c r="I36" s="1559"/>
    </row>
    <row r="37" spans="1:9" ht="30.75" thickBot="1" x14ac:dyDescent="0.25">
      <c r="A37" s="1577">
        <v>3299</v>
      </c>
      <c r="B37" s="1578">
        <v>5336</v>
      </c>
      <c r="C37" s="1629" t="s">
        <v>2096</v>
      </c>
      <c r="D37" s="1579" t="s">
        <v>1131</v>
      </c>
      <c r="E37" s="1580">
        <v>0</v>
      </c>
      <c r="F37" s="1580">
        <v>502</v>
      </c>
      <c r="G37" s="1588">
        <v>459</v>
      </c>
      <c r="H37" s="1581">
        <f>G37/F37*100</f>
        <v>91.434262948207163</v>
      </c>
      <c r="I37" s="1559"/>
    </row>
    <row r="38" spans="1:9" ht="30.75" hidden="1" thickBot="1" x14ac:dyDescent="0.25">
      <c r="A38" s="1577">
        <v>3299</v>
      </c>
      <c r="B38" s="1578">
        <v>6351</v>
      </c>
      <c r="C38" s="1578">
        <v>32133006</v>
      </c>
      <c r="D38" s="1579" t="s">
        <v>1145</v>
      </c>
      <c r="E38" s="1580">
        <v>0</v>
      </c>
      <c r="F38" s="1580">
        <v>0</v>
      </c>
      <c r="G38" s="1588">
        <v>0</v>
      </c>
      <c r="H38" s="1581" t="e">
        <f>G38/F38*100</f>
        <v>#DIV/0!</v>
      </c>
      <c r="I38" s="1559"/>
    </row>
    <row r="39" spans="1:9" ht="30.75" hidden="1" thickBot="1" x14ac:dyDescent="0.25">
      <c r="A39" s="1577">
        <v>3299</v>
      </c>
      <c r="B39" s="1578">
        <v>6351</v>
      </c>
      <c r="C39" s="1578">
        <v>32533006</v>
      </c>
      <c r="D39" s="1579" t="s">
        <v>1145</v>
      </c>
      <c r="E39" s="1580">
        <v>0</v>
      </c>
      <c r="F39" s="1580">
        <v>0</v>
      </c>
      <c r="G39" s="1588">
        <v>0</v>
      </c>
      <c r="H39" s="1581" t="e">
        <f>G39/F39*100</f>
        <v>#DIV/0!</v>
      </c>
      <c r="I39" s="1559"/>
    </row>
    <row r="40" spans="1:9" ht="16.5" thickTop="1" thickBot="1" x14ac:dyDescent="0.3">
      <c r="A40" s="1589" t="s">
        <v>690</v>
      </c>
      <c r="B40" s="1590"/>
      <c r="C40" s="1590"/>
      <c r="D40" s="1591"/>
      <c r="E40" s="1584">
        <f>SUM(E36:E39)</f>
        <v>0</v>
      </c>
      <c r="F40" s="1584">
        <f>SUM(F36:F39)</f>
        <v>591</v>
      </c>
      <c r="G40" s="1584">
        <f>SUM(G36:G39)</f>
        <v>540</v>
      </c>
      <c r="H40" s="1585">
        <f>G40/F40*100</f>
        <v>91.370558375634516</v>
      </c>
      <c r="I40" s="1559"/>
    </row>
    <row r="41" spans="1:9" ht="13.5" thickTop="1" x14ac:dyDescent="0.2"/>
    <row r="42" spans="1:9" ht="15" hidden="1" x14ac:dyDescent="0.25">
      <c r="A42" s="1544" t="s">
        <v>471</v>
      </c>
      <c r="B42" s="1558"/>
      <c r="C42" s="1558"/>
      <c r="D42" s="1558"/>
      <c r="F42" s="1559"/>
      <c r="G42" s="1559"/>
      <c r="H42" s="1559"/>
      <c r="I42" s="1559"/>
    </row>
    <row r="43" spans="1:9" ht="15" hidden="1" x14ac:dyDescent="0.25">
      <c r="A43" s="1544" t="s">
        <v>1378</v>
      </c>
      <c r="B43" s="1558"/>
      <c r="C43" s="1558"/>
      <c r="D43" s="1558"/>
      <c r="F43" s="1559"/>
      <c r="G43" s="1559"/>
      <c r="H43" s="1560" t="s">
        <v>148</v>
      </c>
      <c r="I43" s="1559"/>
    </row>
    <row r="44" spans="1:9" ht="25.5" hidden="1" thickTop="1" thickBot="1" x14ac:dyDescent="0.25">
      <c r="A44" s="1561" t="s">
        <v>149</v>
      </c>
      <c r="B44" s="1562" t="s">
        <v>688</v>
      </c>
      <c r="C44" s="1562" t="s">
        <v>345</v>
      </c>
      <c r="D44" s="1563" t="s">
        <v>151</v>
      </c>
      <c r="E44" s="1564" t="s">
        <v>569</v>
      </c>
      <c r="F44" s="1564" t="s">
        <v>570</v>
      </c>
      <c r="G44" s="1565" t="s">
        <v>797</v>
      </c>
      <c r="H44" s="1566" t="s">
        <v>798</v>
      </c>
      <c r="I44" s="1559"/>
    </row>
    <row r="45" spans="1:9" ht="14.25" hidden="1" thickTop="1" thickBot="1" x14ac:dyDescent="0.25">
      <c r="A45" s="1567">
        <v>1</v>
      </c>
      <c r="B45" s="1568">
        <v>2</v>
      </c>
      <c r="C45" s="1568">
        <v>3</v>
      </c>
      <c r="D45" s="1568">
        <v>5</v>
      </c>
      <c r="E45" s="1569">
        <v>6</v>
      </c>
      <c r="F45" s="1569">
        <v>7</v>
      </c>
      <c r="G45" s="1570">
        <v>8</v>
      </c>
      <c r="H45" s="1586" t="s">
        <v>689</v>
      </c>
      <c r="I45" s="1559"/>
    </row>
    <row r="46" spans="1:9" ht="30.75" hidden="1" thickTop="1" x14ac:dyDescent="0.2">
      <c r="A46" s="1577">
        <v>3299</v>
      </c>
      <c r="B46" s="1578">
        <v>5336</v>
      </c>
      <c r="C46" s="1629" t="s">
        <v>2097</v>
      </c>
      <c r="D46" s="1579" t="s">
        <v>1131</v>
      </c>
      <c r="E46" s="1575"/>
      <c r="F46" s="1575"/>
      <c r="G46" s="1587"/>
      <c r="H46" s="1576" t="e">
        <f>G46/F46*100</f>
        <v>#DIV/0!</v>
      </c>
      <c r="I46" s="1559"/>
    </row>
    <row r="47" spans="1:9" ht="30" hidden="1" x14ac:dyDescent="0.2">
      <c r="A47" s="1577">
        <v>3299</v>
      </c>
      <c r="B47" s="1578">
        <v>5336</v>
      </c>
      <c r="C47" s="1629" t="s">
        <v>2096</v>
      </c>
      <c r="D47" s="1579" t="s">
        <v>1131</v>
      </c>
      <c r="E47" s="1580"/>
      <c r="F47" s="1580"/>
      <c r="G47" s="1588"/>
      <c r="H47" s="1581" t="e">
        <f>G47/F47*100</f>
        <v>#DIV/0!</v>
      </c>
      <c r="I47" s="1559"/>
    </row>
    <row r="48" spans="1:9" ht="30" hidden="1" x14ac:dyDescent="0.2">
      <c r="A48" s="1577">
        <v>3299</v>
      </c>
      <c r="B48" s="1578">
        <v>6351</v>
      </c>
      <c r="C48" s="1578">
        <v>32133006</v>
      </c>
      <c r="D48" s="1579" t="s">
        <v>1145</v>
      </c>
      <c r="E48" s="1580">
        <v>0</v>
      </c>
      <c r="F48" s="1580">
        <v>0</v>
      </c>
      <c r="G48" s="1588">
        <v>0</v>
      </c>
      <c r="H48" s="1581" t="e">
        <f>G48/F48*100</f>
        <v>#DIV/0!</v>
      </c>
      <c r="I48" s="1559"/>
    </row>
    <row r="49" spans="1:9" ht="30" hidden="1" x14ac:dyDescent="0.2">
      <c r="A49" s="1577">
        <v>3299</v>
      </c>
      <c r="B49" s="1578">
        <v>6351</v>
      </c>
      <c r="C49" s="1578">
        <v>32533006</v>
      </c>
      <c r="D49" s="1579" t="s">
        <v>1145</v>
      </c>
      <c r="E49" s="1580">
        <v>0</v>
      </c>
      <c r="F49" s="1580">
        <v>0</v>
      </c>
      <c r="G49" s="1588">
        <v>0</v>
      </c>
      <c r="H49" s="1581" t="e">
        <f>G49/F49*100</f>
        <v>#DIV/0!</v>
      </c>
      <c r="I49" s="1559"/>
    </row>
    <row r="50" spans="1:9" ht="16.5" hidden="1" thickTop="1" thickBot="1" x14ac:dyDescent="0.3">
      <c r="A50" s="1589" t="s">
        <v>690</v>
      </c>
      <c r="B50" s="1590"/>
      <c r="C50" s="1590"/>
      <c r="D50" s="1591"/>
      <c r="E50" s="1584">
        <f>SUM(E46:E49)</f>
        <v>0</v>
      </c>
      <c r="F50" s="1584">
        <f>SUM(F46:F49)</f>
        <v>0</v>
      </c>
      <c r="G50" s="1584">
        <f>SUM(G46:G49)</f>
        <v>0</v>
      </c>
      <c r="H50" s="1585" t="e">
        <f>G50/F50*100</f>
        <v>#DIV/0!</v>
      </c>
      <c r="I50" s="1559"/>
    </row>
    <row r="52" spans="1:9" ht="15" x14ac:dyDescent="0.25">
      <c r="A52" s="1544" t="s">
        <v>1540</v>
      </c>
      <c r="B52" s="1558"/>
      <c r="C52" s="1558"/>
      <c r="D52" s="1558"/>
      <c r="F52" s="1559"/>
      <c r="G52" s="1559"/>
      <c r="H52" s="1559"/>
      <c r="I52" s="1559"/>
    </row>
    <row r="53" spans="1:9" ht="15.75" thickBot="1" x14ac:dyDescent="0.3">
      <c r="A53" s="1544" t="s">
        <v>1541</v>
      </c>
      <c r="B53" s="1558"/>
      <c r="C53" s="1558"/>
      <c r="D53" s="1558"/>
      <c r="F53" s="1559"/>
      <c r="G53" s="1559"/>
      <c r="H53" s="1560" t="s">
        <v>148</v>
      </c>
      <c r="I53" s="1559"/>
    </row>
    <row r="54" spans="1:9" ht="25.5" thickTop="1" thickBot="1" x14ac:dyDescent="0.25">
      <c r="A54" s="1561" t="s">
        <v>149</v>
      </c>
      <c r="B54" s="1562" t="s">
        <v>688</v>
      </c>
      <c r="C54" s="1562" t="s">
        <v>345</v>
      </c>
      <c r="D54" s="1563" t="s">
        <v>151</v>
      </c>
      <c r="E54" s="1564" t="s">
        <v>569</v>
      </c>
      <c r="F54" s="1564" t="s">
        <v>570</v>
      </c>
      <c r="G54" s="1565" t="s">
        <v>797</v>
      </c>
      <c r="H54" s="1566" t="s">
        <v>798</v>
      </c>
      <c r="I54" s="1559"/>
    </row>
    <row r="55" spans="1:9" ht="14.25" thickTop="1" thickBot="1" x14ac:dyDescent="0.25">
      <c r="A55" s="1567">
        <v>1</v>
      </c>
      <c r="B55" s="1568">
        <v>2</v>
      </c>
      <c r="C55" s="1568">
        <v>3</v>
      </c>
      <c r="D55" s="1568">
        <v>5</v>
      </c>
      <c r="E55" s="1569">
        <v>6</v>
      </c>
      <c r="F55" s="1569">
        <v>7</v>
      </c>
      <c r="G55" s="1570">
        <v>8</v>
      </c>
      <c r="H55" s="1586" t="s">
        <v>689</v>
      </c>
      <c r="I55" s="1559"/>
    </row>
    <row r="56" spans="1:9" ht="30.75" thickTop="1" x14ac:dyDescent="0.2">
      <c r="A56" s="1577">
        <v>3299</v>
      </c>
      <c r="B56" s="1578">
        <v>5336</v>
      </c>
      <c r="C56" s="1629" t="s">
        <v>2097</v>
      </c>
      <c r="D56" s="1579" t="s">
        <v>1131</v>
      </c>
      <c r="E56" s="1575">
        <v>0</v>
      </c>
      <c r="F56" s="1575">
        <v>46</v>
      </c>
      <c r="G56" s="1587">
        <v>35</v>
      </c>
      <c r="H56" s="1576">
        <f>G56/F56*100</f>
        <v>76.08695652173914</v>
      </c>
      <c r="I56" s="1559"/>
    </row>
    <row r="57" spans="1:9" ht="30.75" thickBot="1" x14ac:dyDescent="0.25">
      <c r="A57" s="1577">
        <v>3299</v>
      </c>
      <c r="B57" s="1578">
        <v>5336</v>
      </c>
      <c r="C57" s="1629" t="s">
        <v>2096</v>
      </c>
      <c r="D57" s="1579" t="s">
        <v>1131</v>
      </c>
      <c r="E57" s="1580">
        <v>0</v>
      </c>
      <c r="F57" s="1580">
        <v>260</v>
      </c>
      <c r="G57" s="1588">
        <v>199</v>
      </c>
      <c r="H57" s="1581">
        <f>G57/F57*100</f>
        <v>76.538461538461533</v>
      </c>
      <c r="I57" s="1559"/>
    </row>
    <row r="58" spans="1:9" ht="30.75" hidden="1" thickBot="1" x14ac:dyDescent="0.25">
      <c r="A58" s="1577">
        <v>3299</v>
      </c>
      <c r="B58" s="1578">
        <v>6351</v>
      </c>
      <c r="C58" s="1629">
        <v>32133926</v>
      </c>
      <c r="D58" s="1579" t="s">
        <v>1145</v>
      </c>
      <c r="E58" s="1580"/>
      <c r="F58" s="1580"/>
      <c r="G58" s="1588"/>
      <c r="H58" s="1581" t="e">
        <f>G58/F58*100</f>
        <v>#DIV/0!</v>
      </c>
      <c r="I58" s="1559"/>
    </row>
    <row r="59" spans="1:9" ht="30.75" hidden="1" thickBot="1" x14ac:dyDescent="0.25">
      <c r="A59" s="1577">
        <v>3299</v>
      </c>
      <c r="B59" s="1578">
        <v>6351</v>
      </c>
      <c r="C59" s="1629">
        <v>32533926</v>
      </c>
      <c r="D59" s="1579" t="s">
        <v>1145</v>
      </c>
      <c r="E59" s="1580"/>
      <c r="F59" s="1580"/>
      <c r="G59" s="1588"/>
      <c r="H59" s="1581" t="e">
        <f>G59/F59*100</f>
        <v>#DIV/0!</v>
      </c>
      <c r="I59" s="1559"/>
    </row>
    <row r="60" spans="1:9" ht="16.5" thickTop="1" thickBot="1" x14ac:dyDescent="0.3">
      <c r="A60" s="1589" t="s">
        <v>690</v>
      </c>
      <c r="B60" s="1590"/>
      <c r="C60" s="1590"/>
      <c r="D60" s="1591"/>
      <c r="E60" s="1584">
        <f>SUM(E56:E59)</f>
        <v>0</v>
      </c>
      <c r="F60" s="1584">
        <f>SUM(F56:F59)</f>
        <v>306</v>
      </c>
      <c r="G60" s="1584">
        <f>SUM(G56:G59)</f>
        <v>234</v>
      </c>
      <c r="H60" s="1585">
        <f>G60/F60*100</f>
        <v>76.470588235294116</v>
      </c>
      <c r="I60" s="1559"/>
    </row>
    <row r="61" spans="1:9" ht="13.5" thickTop="1" x14ac:dyDescent="0.2"/>
    <row r="62" spans="1:9" ht="15" x14ac:dyDescent="0.25">
      <c r="A62" s="1544" t="s">
        <v>1379</v>
      </c>
      <c r="B62" s="1558"/>
      <c r="C62" s="1558"/>
      <c r="D62" s="1558"/>
      <c r="F62" s="1559"/>
      <c r="G62" s="1559"/>
      <c r="H62" s="1559"/>
      <c r="I62" s="1559"/>
    </row>
    <row r="63" spans="1:9" ht="15.75" thickBot="1" x14ac:dyDescent="0.3">
      <c r="A63" s="1544" t="s">
        <v>785</v>
      </c>
      <c r="B63" s="1558"/>
      <c r="C63" s="1558"/>
      <c r="D63" s="1558"/>
      <c r="F63" s="1559"/>
      <c r="G63" s="1559"/>
      <c r="H63" s="1560" t="s">
        <v>148</v>
      </c>
      <c r="I63" s="1559"/>
    </row>
    <row r="64" spans="1:9" ht="25.5" thickTop="1" thickBot="1" x14ac:dyDescent="0.25">
      <c r="A64" s="1561" t="s">
        <v>149</v>
      </c>
      <c r="B64" s="1562" t="s">
        <v>688</v>
      </c>
      <c r="C64" s="1562" t="s">
        <v>345</v>
      </c>
      <c r="D64" s="1563" t="s">
        <v>151</v>
      </c>
      <c r="E64" s="1564" t="s">
        <v>569</v>
      </c>
      <c r="F64" s="1564" t="s">
        <v>570</v>
      </c>
      <c r="G64" s="1565" t="s">
        <v>797</v>
      </c>
      <c r="H64" s="1566" t="s">
        <v>798</v>
      </c>
      <c r="I64" s="1559"/>
    </row>
    <row r="65" spans="1:9" ht="14.25" thickTop="1" thickBot="1" x14ac:dyDescent="0.25">
      <c r="A65" s="1567">
        <v>1</v>
      </c>
      <c r="B65" s="1568">
        <v>2</v>
      </c>
      <c r="C65" s="1568">
        <v>3</v>
      </c>
      <c r="D65" s="1568">
        <v>5</v>
      </c>
      <c r="E65" s="1569">
        <v>6</v>
      </c>
      <c r="F65" s="1569">
        <v>7</v>
      </c>
      <c r="G65" s="1570">
        <v>8</v>
      </c>
      <c r="H65" s="1586" t="s">
        <v>689</v>
      </c>
      <c r="I65" s="1559"/>
    </row>
    <row r="66" spans="1:9" ht="30.75" thickTop="1" x14ac:dyDescent="0.2">
      <c r="A66" s="1577">
        <v>3299</v>
      </c>
      <c r="B66" s="1578">
        <v>5336</v>
      </c>
      <c r="C66" s="1629" t="s">
        <v>2097</v>
      </c>
      <c r="D66" s="1579" t="s">
        <v>1131</v>
      </c>
      <c r="E66" s="1575">
        <v>0</v>
      </c>
      <c r="F66" s="1575">
        <v>258</v>
      </c>
      <c r="G66" s="1587">
        <v>150</v>
      </c>
      <c r="H66" s="1576">
        <f>G66/F66*100</f>
        <v>58.139534883720934</v>
      </c>
      <c r="I66" s="1559"/>
    </row>
    <row r="67" spans="1:9" ht="30.75" thickBot="1" x14ac:dyDescent="0.25">
      <c r="A67" s="1577">
        <v>3299</v>
      </c>
      <c r="B67" s="1578">
        <v>5336</v>
      </c>
      <c r="C67" s="1629" t="s">
        <v>2096</v>
      </c>
      <c r="D67" s="1579" t="s">
        <v>1131</v>
      </c>
      <c r="E67" s="1580">
        <v>0</v>
      </c>
      <c r="F67" s="1580">
        <v>1460</v>
      </c>
      <c r="G67" s="1588">
        <v>851</v>
      </c>
      <c r="H67" s="1581">
        <f>G67/F67*100</f>
        <v>58.287671232876711</v>
      </c>
      <c r="I67" s="1559"/>
    </row>
    <row r="68" spans="1:9" ht="30.75" hidden="1" thickBot="1" x14ac:dyDescent="0.25">
      <c r="A68" s="1577">
        <v>3299</v>
      </c>
      <c r="B68" s="1578">
        <v>6351</v>
      </c>
      <c r="C68" s="1578">
        <v>32133006</v>
      </c>
      <c r="D68" s="1579" t="s">
        <v>1145</v>
      </c>
      <c r="E68" s="1580">
        <v>0</v>
      </c>
      <c r="F68" s="1580">
        <v>0</v>
      </c>
      <c r="G68" s="1588">
        <v>0</v>
      </c>
      <c r="H68" s="1581" t="e">
        <f>G68/F68*100</f>
        <v>#DIV/0!</v>
      </c>
      <c r="I68" s="1559"/>
    </row>
    <row r="69" spans="1:9" ht="30.75" hidden="1" thickBot="1" x14ac:dyDescent="0.25">
      <c r="A69" s="1577">
        <v>3299</v>
      </c>
      <c r="B69" s="1578">
        <v>6351</v>
      </c>
      <c r="C69" s="1578">
        <v>32533006</v>
      </c>
      <c r="D69" s="1579" t="s">
        <v>1145</v>
      </c>
      <c r="E69" s="1580">
        <v>0</v>
      </c>
      <c r="F69" s="1580">
        <v>0</v>
      </c>
      <c r="G69" s="1588">
        <v>0</v>
      </c>
      <c r="H69" s="1581" t="e">
        <f>G69/F69*100</f>
        <v>#DIV/0!</v>
      </c>
      <c r="I69" s="1559"/>
    </row>
    <row r="70" spans="1:9" ht="16.5" thickTop="1" thickBot="1" x14ac:dyDescent="0.3">
      <c r="A70" s="1589" t="s">
        <v>690</v>
      </c>
      <c r="B70" s="1590"/>
      <c r="C70" s="1590"/>
      <c r="D70" s="1591"/>
      <c r="E70" s="1584">
        <f>SUM(E66:E69)</f>
        <v>0</v>
      </c>
      <c r="F70" s="1584">
        <f>SUM(F66:F69)</f>
        <v>1718</v>
      </c>
      <c r="G70" s="1584">
        <f>SUM(G66:G69)</f>
        <v>1001</v>
      </c>
      <c r="H70" s="1585">
        <f>G70/F70*100</f>
        <v>58.265424912689177</v>
      </c>
      <c r="I70" s="1559"/>
    </row>
    <row r="71" spans="1:9" ht="13.5" thickTop="1" x14ac:dyDescent="0.2"/>
    <row r="72" spans="1:9" ht="15" x14ac:dyDescent="0.25">
      <c r="A72" s="1544" t="s">
        <v>1542</v>
      </c>
      <c r="B72" s="1558"/>
      <c r="C72" s="1558"/>
      <c r="D72" s="1558"/>
      <c r="F72" s="1559"/>
      <c r="G72" s="1559"/>
      <c r="H72" s="1559"/>
      <c r="I72" s="1559"/>
    </row>
    <row r="73" spans="1:9" ht="15.75" thickBot="1" x14ac:dyDescent="0.3">
      <c r="A73" s="1544" t="s">
        <v>1543</v>
      </c>
      <c r="B73" s="1558"/>
      <c r="C73" s="1558"/>
      <c r="D73" s="1558"/>
      <c r="F73" s="1559"/>
      <c r="G73" s="1559"/>
      <c r="H73" s="1560" t="s">
        <v>148</v>
      </c>
      <c r="I73" s="1559"/>
    </row>
    <row r="74" spans="1:9" ht="25.5" thickTop="1" thickBot="1" x14ac:dyDescent="0.25">
      <c r="A74" s="1561" t="s">
        <v>149</v>
      </c>
      <c r="B74" s="1562" t="s">
        <v>688</v>
      </c>
      <c r="C74" s="1562" t="s">
        <v>345</v>
      </c>
      <c r="D74" s="1563" t="s">
        <v>151</v>
      </c>
      <c r="E74" s="1564" t="s">
        <v>569</v>
      </c>
      <c r="F74" s="1564" t="s">
        <v>570</v>
      </c>
      <c r="G74" s="1565" t="s">
        <v>797</v>
      </c>
      <c r="H74" s="1566" t="s">
        <v>798</v>
      </c>
      <c r="I74" s="1559"/>
    </row>
    <row r="75" spans="1:9" ht="14.25" thickTop="1" thickBot="1" x14ac:dyDescent="0.25">
      <c r="A75" s="1567">
        <v>1</v>
      </c>
      <c r="B75" s="1568">
        <v>2</v>
      </c>
      <c r="C75" s="1568">
        <v>3</v>
      </c>
      <c r="D75" s="1568">
        <v>5</v>
      </c>
      <c r="E75" s="1569">
        <v>6</v>
      </c>
      <c r="F75" s="1569">
        <v>7</v>
      </c>
      <c r="G75" s="1570">
        <v>8</v>
      </c>
      <c r="H75" s="1586" t="s">
        <v>689</v>
      </c>
      <c r="I75" s="1559"/>
    </row>
    <row r="76" spans="1:9" ht="15.75" thickTop="1" x14ac:dyDescent="0.25">
      <c r="A76" s="1598">
        <v>3299</v>
      </c>
      <c r="B76" s="1599">
        <v>5321</v>
      </c>
      <c r="C76" s="2848" t="s">
        <v>2097</v>
      </c>
      <c r="D76" s="1601" t="s">
        <v>1078</v>
      </c>
      <c r="E76" s="1580">
        <v>0</v>
      </c>
      <c r="F76" s="1580">
        <v>45</v>
      </c>
      <c r="G76" s="1588">
        <v>24</v>
      </c>
      <c r="H76" s="1581">
        <f>G76/F76*100</f>
        <v>53.333333333333336</v>
      </c>
      <c r="I76" s="1559"/>
    </row>
    <row r="77" spans="1:9" ht="15.75" thickBot="1" x14ac:dyDescent="0.3">
      <c r="A77" s="1598">
        <v>3299</v>
      </c>
      <c r="B77" s="1599">
        <v>5321</v>
      </c>
      <c r="C77" s="2848" t="s">
        <v>2096</v>
      </c>
      <c r="D77" s="1601" t="s">
        <v>1078</v>
      </c>
      <c r="E77" s="1580">
        <v>0</v>
      </c>
      <c r="F77" s="1580">
        <v>253</v>
      </c>
      <c r="G77" s="1588">
        <v>133</v>
      </c>
      <c r="H77" s="1581">
        <f>G77/F77*100</f>
        <v>52.569169960474305</v>
      </c>
      <c r="I77" s="1559"/>
    </row>
    <row r="78" spans="1:9" ht="15.75" hidden="1" thickBot="1" x14ac:dyDescent="0.3">
      <c r="A78" s="1598">
        <v>3299</v>
      </c>
      <c r="B78" s="1599">
        <v>6341</v>
      </c>
      <c r="C78" s="2848">
        <v>32133926</v>
      </c>
      <c r="D78" s="1600" t="s">
        <v>227</v>
      </c>
      <c r="E78" s="1580"/>
      <c r="F78" s="1580"/>
      <c r="G78" s="1588"/>
      <c r="H78" s="1581" t="e">
        <f>G78/F78*100</f>
        <v>#DIV/0!</v>
      </c>
      <c r="I78" s="1559"/>
    </row>
    <row r="79" spans="1:9" ht="15.75" hidden="1" thickBot="1" x14ac:dyDescent="0.3">
      <c r="A79" s="1602">
        <v>3299</v>
      </c>
      <c r="B79" s="1603">
        <v>6341</v>
      </c>
      <c r="C79" s="2853">
        <v>32533926</v>
      </c>
      <c r="D79" s="1600" t="s">
        <v>227</v>
      </c>
      <c r="E79" s="1580"/>
      <c r="F79" s="1580"/>
      <c r="G79" s="1588"/>
      <c r="H79" s="1581" t="e">
        <f>G79/F79*100</f>
        <v>#DIV/0!</v>
      </c>
      <c r="I79" s="1559"/>
    </row>
    <row r="80" spans="1:9" ht="16.5" thickTop="1" thickBot="1" x14ac:dyDescent="0.3">
      <c r="A80" s="1589" t="s">
        <v>690</v>
      </c>
      <c r="B80" s="1590"/>
      <c r="C80" s="1590"/>
      <c r="D80" s="1591"/>
      <c r="E80" s="1584">
        <f>SUM(E76:E79)</f>
        <v>0</v>
      </c>
      <c r="F80" s="1584">
        <f>SUM(F76:F79)</f>
        <v>298</v>
      </c>
      <c r="G80" s="1584">
        <f>SUM(G76:G79)</f>
        <v>157</v>
      </c>
      <c r="H80" s="1585">
        <f>G80/F80*100</f>
        <v>52.68456375838926</v>
      </c>
      <c r="I80" s="1559"/>
    </row>
    <row r="81" spans="1:12" ht="13.5" thickTop="1" x14ac:dyDescent="0.2"/>
    <row r="88" spans="1:12" ht="16.5" x14ac:dyDescent="0.25">
      <c r="A88" s="1605" t="s">
        <v>423</v>
      </c>
      <c r="B88" s="1606"/>
      <c r="C88" s="1607"/>
      <c r="D88" s="1608"/>
      <c r="E88" s="1609">
        <f>SUM(E89:E91)</f>
        <v>0</v>
      </c>
      <c r="F88" s="1609">
        <f>F89+F90+F91+F92</f>
        <v>9826</v>
      </c>
      <c r="G88" s="1609">
        <f>G89+G90+G91+G92</f>
        <v>13281</v>
      </c>
      <c r="H88" s="1610">
        <f>G88/F88*100</f>
        <v>135.16181559128842</v>
      </c>
      <c r="J88" s="1611">
        <f>J89+J90+J91</f>
        <v>0</v>
      </c>
      <c r="K88" s="1611">
        <f>K89+K90+K91</f>
        <v>9825914.3200000003</v>
      </c>
      <c r="L88" s="1611">
        <f>L89+L90+L91</f>
        <v>13280926.43</v>
      </c>
    </row>
    <row r="89" spans="1:12" ht="15" x14ac:dyDescent="0.2">
      <c r="A89" s="1612" t="s">
        <v>242</v>
      </c>
      <c r="B89" s="1613"/>
      <c r="C89" s="1614"/>
      <c r="D89" s="1615"/>
      <c r="E89" s="1616">
        <f>E10+E11+E12+E13+E14+E15+E16+E17+E18+E19+E20+E21+E36+E37+E46+E47+E56+E57+E66+E67+E76+E77+E28</f>
        <v>0</v>
      </c>
      <c r="F89" s="1616">
        <f>F10+F11+F12+F13+F14+F15+F16+F17+F18+F19+F20+F21+F36+F37+F46+F47+F56+F57+F66+F67+F76+F77+F28</f>
        <v>9537</v>
      </c>
      <c r="G89" s="1616">
        <f>G10+G11+G12+G13+G14+G15+G16+G17+G18+G19+G20+G21+G36+G37+G46+G47+G56+G57+G66+G67+G76+G77+G28</f>
        <v>6773</v>
      </c>
      <c r="H89" s="1617">
        <f>G89/F89*100</f>
        <v>71.018139876271363</v>
      </c>
      <c r="J89" s="1618">
        <v>0</v>
      </c>
      <c r="K89" s="1618">
        <v>9536932.3200000003</v>
      </c>
      <c r="L89" s="1618">
        <v>6773199.6900000004</v>
      </c>
    </row>
    <row r="90" spans="1:12" ht="15" x14ac:dyDescent="0.2">
      <c r="A90" s="1612" t="s">
        <v>243</v>
      </c>
      <c r="B90" s="1619"/>
      <c r="C90" s="1614"/>
      <c r="D90" s="1620"/>
      <c r="E90" s="1616">
        <f>E24+E25+E26+E27</f>
        <v>0</v>
      </c>
      <c r="F90" s="1616">
        <f>F24+F25+F26+F27</f>
        <v>289</v>
      </c>
      <c r="G90" s="1616">
        <f>G24+G25+G26+G27</f>
        <v>0</v>
      </c>
      <c r="H90" s="1617">
        <f>G90/F90*100</f>
        <v>0</v>
      </c>
      <c r="J90" s="1618">
        <v>0</v>
      </c>
      <c r="K90" s="1618">
        <v>288982</v>
      </c>
      <c r="L90" s="1618">
        <v>0</v>
      </c>
    </row>
    <row r="91" spans="1:12" ht="15" x14ac:dyDescent="0.2">
      <c r="A91" s="1612" t="s">
        <v>424</v>
      </c>
      <c r="B91" s="1619"/>
      <c r="C91" s="1614"/>
      <c r="D91" s="1620"/>
      <c r="E91" s="1616">
        <f>E29</f>
        <v>0</v>
      </c>
      <c r="F91" s="1616">
        <f>F29</f>
        <v>0</v>
      </c>
      <c r="G91" s="1616">
        <f>G29</f>
        <v>6508</v>
      </c>
      <c r="H91" s="1617">
        <v>0</v>
      </c>
      <c r="J91" s="1618">
        <v>0</v>
      </c>
      <c r="K91" s="1618">
        <v>0</v>
      </c>
      <c r="L91" s="1618">
        <v>6507726.7400000002</v>
      </c>
    </row>
    <row r="92" spans="1:12" ht="16.5" customHeight="1" x14ac:dyDescent="0.2">
      <c r="A92" s="1612"/>
      <c r="B92" s="1619"/>
      <c r="C92" s="1614"/>
      <c r="D92" s="1620"/>
      <c r="E92" s="1616"/>
      <c r="F92" s="1616"/>
      <c r="G92" s="1616"/>
      <c r="H92" s="1621"/>
    </row>
    <row r="93" spans="1:12" ht="57.75" customHeight="1" thickBot="1" x14ac:dyDescent="0.4">
      <c r="A93" s="3222" t="s">
        <v>1380</v>
      </c>
      <c r="B93" s="3182"/>
      <c r="C93" s="3182"/>
      <c r="D93" s="3182"/>
      <c r="E93" s="1622">
        <f>SUM(E88)</f>
        <v>0</v>
      </c>
      <c r="F93" s="1622">
        <f>SUM(F88)</f>
        <v>9826</v>
      </c>
      <c r="G93" s="1622">
        <f>SUM(G88)</f>
        <v>13281</v>
      </c>
      <c r="H93" s="1623">
        <f>(G93/F93)*100</f>
        <v>135.16181559128842</v>
      </c>
    </row>
    <row r="94" spans="1:12" ht="13.5" thickTop="1" x14ac:dyDescent="0.2"/>
  </sheetData>
  <mergeCells count="2">
    <mergeCell ref="A30:D30"/>
    <mergeCell ref="A93:D93"/>
  </mergeCells>
  <pageMargins left="0.70866141732283472" right="0.70866141732283472" top="0.78740157480314965" bottom="0.78740157480314965" header="0.31496062992125984" footer="0.31496062992125984"/>
  <pageSetup paperSize="9" scale="65" firstPageNumber="163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rowBreaks count="1" manualBreakCount="1">
    <brk id="71" max="7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6"/>
  <sheetViews>
    <sheetView view="pageBreakPreview" zoomScaleNormal="100" zoomScaleSheetLayoutView="100" workbookViewId="0">
      <selection activeCell="D474" sqref="D474"/>
    </sheetView>
  </sheetViews>
  <sheetFormatPr defaultRowHeight="12.75" x14ac:dyDescent="0.2"/>
  <cols>
    <col min="1" max="1" width="5.5703125" style="1551" customWidth="1"/>
    <col min="2" max="2" width="6.7109375" style="1551" customWidth="1"/>
    <col min="3" max="3" width="10.5703125" style="1551" customWidth="1"/>
    <col min="4" max="4" width="47.85546875" style="1551" customWidth="1"/>
    <col min="5" max="5" width="15.42578125" style="1551" customWidth="1"/>
    <col min="6" max="6" width="15.5703125" style="1551" customWidth="1"/>
    <col min="7" max="7" width="15.85546875" style="1551" customWidth="1"/>
    <col min="8" max="8" width="8.7109375" style="1551" customWidth="1"/>
    <col min="9" max="10" width="9.140625" style="1551"/>
    <col min="11" max="12" width="14.7109375" style="1551" bestFit="1" customWidth="1"/>
    <col min="13" max="256" width="9.140625" style="1551"/>
    <col min="257" max="257" width="5.5703125" style="1551" customWidth="1"/>
    <col min="258" max="258" width="6.7109375" style="1551" customWidth="1"/>
    <col min="259" max="259" width="8.85546875" style="1551" customWidth="1"/>
    <col min="260" max="260" width="47.85546875" style="1551" customWidth="1"/>
    <col min="261" max="261" width="12.85546875" style="1551" customWidth="1"/>
    <col min="262" max="262" width="15.5703125" style="1551" customWidth="1"/>
    <col min="263" max="263" width="15.85546875" style="1551" customWidth="1"/>
    <col min="264" max="264" width="6.42578125" style="1551" customWidth="1"/>
    <col min="265" max="266" width="9.140625" style="1551"/>
    <col min="267" max="268" width="14.7109375" style="1551" bestFit="1" customWidth="1"/>
    <col min="269" max="512" width="9.140625" style="1551"/>
    <col min="513" max="513" width="5.5703125" style="1551" customWidth="1"/>
    <col min="514" max="514" width="6.7109375" style="1551" customWidth="1"/>
    <col min="515" max="515" width="8.85546875" style="1551" customWidth="1"/>
    <col min="516" max="516" width="47.85546875" style="1551" customWidth="1"/>
    <col min="517" max="517" width="12.85546875" style="1551" customWidth="1"/>
    <col min="518" max="518" width="15.5703125" style="1551" customWidth="1"/>
    <col min="519" max="519" width="15.85546875" style="1551" customWidth="1"/>
    <col min="520" max="520" width="6.42578125" style="1551" customWidth="1"/>
    <col min="521" max="522" width="9.140625" style="1551"/>
    <col min="523" max="524" width="14.7109375" style="1551" bestFit="1" customWidth="1"/>
    <col min="525" max="768" width="9.140625" style="1551"/>
    <col min="769" max="769" width="5.5703125" style="1551" customWidth="1"/>
    <col min="770" max="770" width="6.7109375" style="1551" customWidth="1"/>
    <col min="771" max="771" width="8.85546875" style="1551" customWidth="1"/>
    <col min="772" max="772" width="47.85546875" style="1551" customWidth="1"/>
    <col min="773" max="773" width="12.85546875" style="1551" customWidth="1"/>
    <col min="774" max="774" width="15.5703125" style="1551" customWidth="1"/>
    <col min="775" max="775" width="15.85546875" style="1551" customWidth="1"/>
    <col min="776" max="776" width="6.42578125" style="1551" customWidth="1"/>
    <col min="777" max="778" width="9.140625" style="1551"/>
    <col min="779" max="780" width="14.7109375" style="1551" bestFit="1" customWidth="1"/>
    <col min="781" max="1024" width="9.140625" style="1551"/>
    <col min="1025" max="1025" width="5.5703125" style="1551" customWidth="1"/>
    <col min="1026" max="1026" width="6.7109375" style="1551" customWidth="1"/>
    <col min="1027" max="1027" width="8.85546875" style="1551" customWidth="1"/>
    <col min="1028" max="1028" width="47.85546875" style="1551" customWidth="1"/>
    <col min="1029" max="1029" width="12.85546875" style="1551" customWidth="1"/>
    <col min="1030" max="1030" width="15.5703125" style="1551" customWidth="1"/>
    <col min="1031" max="1031" width="15.85546875" style="1551" customWidth="1"/>
    <col min="1032" max="1032" width="6.42578125" style="1551" customWidth="1"/>
    <col min="1033" max="1034" width="9.140625" style="1551"/>
    <col min="1035" max="1036" width="14.7109375" style="1551" bestFit="1" customWidth="1"/>
    <col min="1037" max="1280" width="9.140625" style="1551"/>
    <col min="1281" max="1281" width="5.5703125" style="1551" customWidth="1"/>
    <col min="1282" max="1282" width="6.7109375" style="1551" customWidth="1"/>
    <col min="1283" max="1283" width="8.85546875" style="1551" customWidth="1"/>
    <col min="1284" max="1284" width="47.85546875" style="1551" customWidth="1"/>
    <col min="1285" max="1285" width="12.85546875" style="1551" customWidth="1"/>
    <col min="1286" max="1286" width="15.5703125" style="1551" customWidth="1"/>
    <col min="1287" max="1287" width="15.85546875" style="1551" customWidth="1"/>
    <col min="1288" max="1288" width="6.42578125" style="1551" customWidth="1"/>
    <col min="1289" max="1290" width="9.140625" style="1551"/>
    <col min="1291" max="1292" width="14.7109375" style="1551" bestFit="1" customWidth="1"/>
    <col min="1293" max="1536" width="9.140625" style="1551"/>
    <col min="1537" max="1537" width="5.5703125" style="1551" customWidth="1"/>
    <col min="1538" max="1538" width="6.7109375" style="1551" customWidth="1"/>
    <col min="1539" max="1539" width="8.85546875" style="1551" customWidth="1"/>
    <col min="1540" max="1540" width="47.85546875" style="1551" customWidth="1"/>
    <col min="1541" max="1541" width="12.85546875" style="1551" customWidth="1"/>
    <col min="1542" max="1542" width="15.5703125" style="1551" customWidth="1"/>
    <col min="1543" max="1543" width="15.85546875" style="1551" customWidth="1"/>
    <col min="1544" max="1544" width="6.42578125" style="1551" customWidth="1"/>
    <col min="1545" max="1546" width="9.140625" style="1551"/>
    <col min="1547" max="1548" width="14.7109375" style="1551" bestFit="1" customWidth="1"/>
    <col min="1549" max="1792" width="9.140625" style="1551"/>
    <col min="1793" max="1793" width="5.5703125" style="1551" customWidth="1"/>
    <col min="1794" max="1794" width="6.7109375" style="1551" customWidth="1"/>
    <col min="1795" max="1795" width="8.85546875" style="1551" customWidth="1"/>
    <col min="1796" max="1796" width="47.85546875" style="1551" customWidth="1"/>
    <col min="1797" max="1797" width="12.85546875" style="1551" customWidth="1"/>
    <col min="1798" max="1798" width="15.5703125" style="1551" customWidth="1"/>
    <col min="1799" max="1799" width="15.85546875" style="1551" customWidth="1"/>
    <col min="1800" max="1800" width="6.42578125" style="1551" customWidth="1"/>
    <col min="1801" max="1802" width="9.140625" style="1551"/>
    <col min="1803" max="1804" width="14.7109375" style="1551" bestFit="1" customWidth="1"/>
    <col min="1805" max="2048" width="9.140625" style="1551"/>
    <col min="2049" max="2049" width="5.5703125" style="1551" customWidth="1"/>
    <col min="2050" max="2050" width="6.7109375" style="1551" customWidth="1"/>
    <col min="2051" max="2051" width="8.85546875" style="1551" customWidth="1"/>
    <col min="2052" max="2052" width="47.85546875" style="1551" customWidth="1"/>
    <col min="2053" max="2053" width="12.85546875" style="1551" customWidth="1"/>
    <col min="2054" max="2054" width="15.5703125" style="1551" customWidth="1"/>
    <col min="2055" max="2055" width="15.85546875" style="1551" customWidth="1"/>
    <col min="2056" max="2056" width="6.42578125" style="1551" customWidth="1"/>
    <col min="2057" max="2058" width="9.140625" style="1551"/>
    <col min="2059" max="2060" width="14.7109375" style="1551" bestFit="1" customWidth="1"/>
    <col min="2061" max="2304" width="9.140625" style="1551"/>
    <col min="2305" max="2305" width="5.5703125" style="1551" customWidth="1"/>
    <col min="2306" max="2306" width="6.7109375" style="1551" customWidth="1"/>
    <col min="2307" max="2307" width="8.85546875" style="1551" customWidth="1"/>
    <col min="2308" max="2308" width="47.85546875" style="1551" customWidth="1"/>
    <col min="2309" max="2309" width="12.85546875" style="1551" customWidth="1"/>
    <col min="2310" max="2310" width="15.5703125" style="1551" customWidth="1"/>
    <col min="2311" max="2311" width="15.85546875" style="1551" customWidth="1"/>
    <col min="2312" max="2312" width="6.42578125" style="1551" customWidth="1"/>
    <col min="2313" max="2314" width="9.140625" style="1551"/>
    <col min="2315" max="2316" width="14.7109375" style="1551" bestFit="1" customWidth="1"/>
    <col min="2317" max="2560" width="9.140625" style="1551"/>
    <col min="2561" max="2561" width="5.5703125" style="1551" customWidth="1"/>
    <col min="2562" max="2562" width="6.7109375" style="1551" customWidth="1"/>
    <col min="2563" max="2563" width="8.85546875" style="1551" customWidth="1"/>
    <col min="2564" max="2564" width="47.85546875" style="1551" customWidth="1"/>
    <col min="2565" max="2565" width="12.85546875" style="1551" customWidth="1"/>
    <col min="2566" max="2566" width="15.5703125" style="1551" customWidth="1"/>
    <col min="2567" max="2567" width="15.85546875" style="1551" customWidth="1"/>
    <col min="2568" max="2568" width="6.42578125" style="1551" customWidth="1"/>
    <col min="2569" max="2570" width="9.140625" style="1551"/>
    <col min="2571" max="2572" width="14.7109375" style="1551" bestFit="1" customWidth="1"/>
    <col min="2573" max="2816" width="9.140625" style="1551"/>
    <col min="2817" max="2817" width="5.5703125" style="1551" customWidth="1"/>
    <col min="2818" max="2818" width="6.7109375" style="1551" customWidth="1"/>
    <col min="2819" max="2819" width="8.85546875" style="1551" customWidth="1"/>
    <col min="2820" max="2820" width="47.85546875" style="1551" customWidth="1"/>
    <col min="2821" max="2821" width="12.85546875" style="1551" customWidth="1"/>
    <col min="2822" max="2822" width="15.5703125" style="1551" customWidth="1"/>
    <col min="2823" max="2823" width="15.85546875" style="1551" customWidth="1"/>
    <col min="2824" max="2824" width="6.42578125" style="1551" customWidth="1"/>
    <col min="2825" max="2826" width="9.140625" style="1551"/>
    <col min="2827" max="2828" width="14.7109375" style="1551" bestFit="1" customWidth="1"/>
    <col min="2829" max="3072" width="9.140625" style="1551"/>
    <col min="3073" max="3073" width="5.5703125" style="1551" customWidth="1"/>
    <col min="3074" max="3074" width="6.7109375" style="1551" customWidth="1"/>
    <col min="3075" max="3075" width="8.85546875" style="1551" customWidth="1"/>
    <col min="3076" max="3076" width="47.85546875" style="1551" customWidth="1"/>
    <col min="3077" max="3077" width="12.85546875" style="1551" customWidth="1"/>
    <col min="3078" max="3078" width="15.5703125" style="1551" customWidth="1"/>
    <col min="3079" max="3079" width="15.85546875" style="1551" customWidth="1"/>
    <col min="3080" max="3080" width="6.42578125" style="1551" customWidth="1"/>
    <col min="3081" max="3082" width="9.140625" style="1551"/>
    <col min="3083" max="3084" width="14.7109375" style="1551" bestFit="1" customWidth="1"/>
    <col min="3085" max="3328" width="9.140625" style="1551"/>
    <col min="3329" max="3329" width="5.5703125" style="1551" customWidth="1"/>
    <col min="3330" max="3330" width="6.7109375" style="1551" customWidth="1"/>
    <col min="3331" max="3331" width="8.85546875" style="1551" customWidth="1"/>
    <col min="3332" max="3332" width="47.85546875" style="1551" customWidth="1"/>
    <col min="3333" max="3333" width="12.85546875" style="1551" customWidth="1"/>
    <col min="3334" max="3334" width="15.5703125" style="1551" customWidth="1"/>
    <col min="3335" max="3335" width="15.85546875" style="1551" customWidth="1"/>
    <col min="3336" max="3336" width="6.42578125" style="1551" customWidth="1"/>
    <col min="3337" max="3338" width="9.140625" style="1551"/>
    <col min="3339" max="3340" width="14.7109375" style="1551" bestFit="1" customWidth="1"/>
    <col min="3341" max="3584" width="9.140625" style="1551"/>
    <col min="3585" max="3585" width="5.5703125" style="1551" customWidth="1"/>
    <col min="3586" max="3586" width="6.7109375" style="1551" customWidth="1"/>
    <col min="3587" max="3587" width="8.85546875" style="1551" customWidth="1"/>
    <col min="3588" max="3588" width="47.85546875" style="1551" customWidth="1"/>
    <col min="3589" max="3589" width="12.85546875" style="1551" customWidth="1"/>
    <col min="3590" max="3590" width="15.5703125" style="1551" customWidth="1"/>
    <col min="3591" max="3591" width="15.85546875" style="1551" customWidth="1"/>
    <col min="3592" max="3592" width="6.42578125" style="1551" customWidth="1"/>
    <col min="3593" max="3594" width="9.140625" style="1551"/>
    <col min="3595" max="3596" width="14.7109375" style="1551" bestFit="1" customWidth="1"/>
    <col min="3597" max="3840" width="9.140625" style="1551"/>
    <col min="3841" max="3841" width="5.5703125" style="1551" customWidth="1"/>
    <col min="3842" max="3842" width="6.7109375" style="1551" customWidth="1"/>
    <col min="3843" max="3843" width="8.85546875" style="1551" customWidth="1"/>
    <col min="3844" max="3844" width="47.85546875" style="1551" customWidth="1"/>
    <col min="3845" max="3845" width="12.85546875" style="1551" customWidth="1"/>
    <col min="3846" max="3846" width="15.5703125" style="1551" customWidth="1"/>
    <col min="3847" max="3847" width="15.85546875" style="1551" customWidth="1"/>
    <col min="3848" max="3848" width="6.42578125" style="1551" customWidth="1"/>
    <col min="3849" max="3850" width="9.140625" style="1551"/>
    <col min="3851" max="3852" width="14.7109375" style="1551" bestFit="1" customWidth="1"/>
    <col min="3853" max="4096" width="9.140625" style="1551"/>
    <col min="4097" max="4097" width="5.5703125" style="1551" customWidth="1"/>
    <col min="4098" max="4098" width="6.7109375" style="1551" customWidth="1"/>
    <col min="4099" max="4099" width="8.85546875" style="1551" customWidth="1"/>
    <col min="4100" max="4100" width="47.85546875" style="1551" customWidth="1"/>
    <col min="4101" max="4101" width="12.85546875" style="1551" customWidth="1"/>
    <col min="4102" max="4102" width="15.5703125" style="1551" customWidth="1"/>
    <col min="4103" max="4103" width="15.85546875" style="1551" customWidth="1"/>
    <col min="4104" max="4104" width="6.42578125" style="1551" customWidth="1"/>
    <col min="4105" max="4106" width="9.140625" style="1551"/>
    <col min="4107" max="4108" width="14.7109375" style="1551" bestFit="1" customWidth="1"/>
    <col min="4109" max="4352" width="9.140625" style="1551"/>
    <col min="4353" max="4353" width="5.5703125" style="1551" customWidth="1"/>
    <col min="4354" max="4354" width="6.7109375" style="1551" customWidth="1"/>
    <col min="4355" max="4355" width="8.85546875" style="1551" customWidth="1"/>
    <col min="4356" max="4356" width="47.85546875" style="1551" customWidth="1"/>
    <col min="4357" max="4357" width="12.85546875" style="1551" customWidth="1"/>
    <col min="4358" max="4358" width="15.5703125" style="1551" customWidth="1"/>
    <col min="4359" max="4359" width="15.85546875" style="1551" customWidth="1"/>
    <col min="4360" max="4360" width="6.42578125" style="1551" customWidth="1"/>
    <col min="4361" max="4362" width="9.140625" style="1551"/>
    <col min="4363" max="4364" width="14.7109375" style="1551" bestFit="1" customWidth="1"/>
    <col min="4365" max="4608" width="9.140625" style="1551"/>
    <col min="4609" max="4609" width="5.5703125" style="1551" customWidth="1"/>
    <col min="4610" max="4610" width="6.7109375" style="1551" customWidth="1"/>
    <col min="4611" max="4611" width="8.85546875" style="1551" customWidth="1"/>
    <col min="4612" max="4612" width="47.85546875" style="1551" customWidth="1"/>
    <col min="4613" max="4613" width="12.85546875" style="1551" customWidth="1"/>
    <col min="4614" max="4614" width="15.5703125" style="1551" customWidth="1"/>
    <col min="4615" max="4615" width="15.85546875" style="1551" customWidth="1"/>
    <col min="4616" max="4616" width="6.42578125" style="1551" customWidth="1"/>
    <col min="4617" max="4618" width="9.140625" style="1551"/>
    <col min="4619" max="4620" width="14.7109375" style="1551" bestFit="1" customWidth="1"/>
    <col min="4621" max="4864" width="9.140625" style="1551"/>
    <col min="4865" max="4865" width="5.5703125" style="1551" customWidth="1"/>
    <col min="4866" max="4866" width="6.7109375" style="1551" customWidth="1"/>
    <col min="4867" max="4867" width="8.85546875" style="1551" customWidth="1"/>
    <col min="4868" max="4868" width="47.85546875" style="1551" customWidth="1"/>
    <col min="4869" max="4869" width="12.85546875" style="1551" customWidth="1"/>
    <col min="4870" max="4870" width="15.5703125" style="1551" customWidth="1"/>
    <col min="4871" max="4871" width="15.85546875" style="1551" customWidth="1"/>
    <col min="4872" max="4872" width="6.42578125" style="1551" customWidth="1"/>
    <col min="4873" max="4874" width="9.140625" style="1551"/>
    <col min="4875" max="4876" width="14.7109375" style="1551" bestFit="1" customWidth="1"/>
    <col min="4877" max="5120" width="9.140625" style="1551"/>
    <col min="5121" max="5121" width="5.5703125" style="1551" customWidth="1"/>
    <col min="5122" max="5122" width="6.7109375" style="1551" customWidth="1"/>
    <col min="5123" max="5123" width="8.85546875" style="1551" customWidth="1"/>
    <col min="5124" max="5124" width="47.85546875" style="1551" customWidth="1"/>
    <col min="5125" max="5125" width="12.85546875" style="1551" customWidth="1"/>
    <col min="5126" max="5126" width="15.5703125" style="1551" customWidth="1"/>
    <col min="5127" max="5127" width="15.85546875" style="1551" customWidth="1"/>
    <col min="5128" max="5128" width="6.42578125" style="1551" customWidth="1"/>
    <col min="5129" max="5130" width="9.140625" style="1551"/>
    <col min="5131" max="5132" width="14.7109375" style="1551" bestFit="1" customWidth="1"/>
    <col min="5133" max="5376" width="9.140625" style="1551"/>
    <col min="5377" max="5377" width="5.5703125" style="1551" customWidth="1"/>
    <col min="5378" max="5378" width="6.7109375" style="1551" customWidth="1"/>
    <col min="5379" max="5379" width="8.85546875" style="1551" customWidth="1"/>
    <col min="5380" max="5380" width="47.85546875" style="1551" customWidth="1"/>
    <col min="5381" max="5381" width="12.85546875" style="1551" customWidth="1"/>
    <col min="5382" max="5382" width="15.5703125" style="1551" customWidth="1"/>
    <col min="5383" max="5383" width="15.85546875" style="1551" customWidth="1"/>
    <col min="5384" max="5384" width="6.42578125" style="1551" customWidth="1"/>
    <col min="5385" max="5386" width="9.140625" style="1551"/>
    <col min="5387" max="5388" width="14.7109375" style="1551" bestFit="1" customWidth="1"/>
    <col min="5389" max="5632" width="9.140625" style="1551"/>
    <col min="5633" max="5633" width="5.5703125" style="1551" customWidth="1"/>
    <col min="5634" max="5634" width="6.7109375" style="1551" customWidth="1"/>
    <col min="5635" max="5635" width="8.85546875" style="1551" customWidth="1"/>
    <col min="5636" max="5636" width="47.85546875" style="1551" customWidth="1"/>
    <col min="5637" max="5637" width="12.85546875" style="1551" customWidth="1"/>
    <col min="5638" max="5638" width="15.5703125" style="1551" customWidth="1"/>
    <col min="5639" max="5639" width="15.85546875" style="1551" customWidth="1"/>
    <col min="5640" max="5640" width="6.42578125" style="1551" customWidth="1"/>
    <col min="5641" max="5642" width="9.140625" style="1551"/>
    <col min="5643" max="5644" width="14.7109375" style="1551" bestFit="1" customWidth="1"/>
    <col min="5645" max="5888" width="9.140625" style="1551"/>
    <col min="5889" max="5889" width="5.5703125" style="1551" customWidth="1"/>
    <col min="5890" max="5890" width="6.7109375" style="1551" customWidth="1"/>
    <col min="5891" max="5891" width="8.85546875" style="1551" customWidth="1"/>
    <col min="5892" max="5892" width="47.85546875" style="1551" customWidth="1"/>
    <col min="5893" max="5893" width="12.85546875" style="1551" customWidth="1"/>
    <col min="5894" max="5894" width="15.5703125" style="1551" customWidth="1"/>
    <col min="5895" max="5895" width="15.85546875" style="1551" customWidth="1"/>
    <col min="5896" max="5896" width="6.42578125" style="1551" customWidth="1"/>
    <col min="5897" max="5898" width="9.140625" style="1551"/>
    <col min="5899" max="5900" width="14.7109375" style="1551" bestFit="1" customWidth="1"/>
    <col min="5901" max="6144" width="9.140625" style="1551"/>
    <col min="6145" max="6145" width="5.5703125" style="1551" customWidth="1"/>
    <col min="6146" max="6146" width="6.7109375" style="1551" customWidth="1"/>
    <col min="6147" max="6147" width="8.85546875" style="1551" customWidth="1"/>
    <col min="6148" max="6148" width="47.85546875" style="1551" customWidth="1"/>
    <col min="6149" max="6149" width="12.85546875" style="1551" customWidth="1"/>
    <col min="6150" max="6150" width="15.5703125" style="1551" customWidth="1"/>
    <col min="6151" max="6151" width="15.85546875" style="1551" customWidth="1"/>
    <col min="6152" max="6152" width="6.42578125" style="1551" customWidth="1"/>
    <col min="6153" max="6154" width="9.140625" style="1551"/>
    <col min="6155" max="6156" width="14.7109375" style="1551" bestFit="1" customWidth="1"/>
    <col min="6157" max="6400" width="9.140625" style="1551"/>
    <col min="6401" max="6401" width="5.5703125" style="1551" customWidth="1"/>
    <col min="6402" max="6402" width="6.7109375" style="1551" customWidth="1"/>
    <col min="6403" max="6403" width="8.85546875" style="1551" customWidth="1"/>
    <col min="6404" max="6404" width="47.85546875" style="1551" customWidth="1"/>
    <col min="6405" max="6405" width="12.85546875" style="1551" customWidth="1"/>
    <col min="6406" max="6406" width="15.5703125" style="1551" customWidth="1"/>
    <col min="6407" max="6407" width="15.85546875" style="1551" customWidth="1"/>
    <col min="6408" max="6408" width="6.42578125" style="1551" customWidth="1"/>
    <col min="6409" max="6410" width="9.140625" style="1551"/>
    <col min="6411" max="6412" width="14.7109375" style="1551" bestFit="1" customWidth="1"/>
    <col min="6413" max="6656" width="9.140625" style="1551"/>
    <col min="6657" max="6657" width="5.5703125" style="1551" customWidth="1"/>
    <col min="6658" max="6658" width="6.7109375" style="1551" customWidth="1"/>
    <col min="6659" max="6659" width="8.85546875" style="1551" customWidth="1"/>
    <col min="6660" max="6660" width="47.85546875" style="1551" customWidth="1"/>
    <col min="6661" max="6661" width="12.85546875" style="1551" customWidth="1"/>
    <col min="6662" max="6662" width="15.5703125" style="1551" customWidth="1"/>
    <col min="6663" max="6663" width="15.85546875" style="1551" customWidth="1"/>
    <col min="6664" max="6664" width="6.42578125" style="1551" customWidth="1"/>
    <col min="6665" max="6666" width="9.140625" style="1551"/>
    <col min="6667" max="6668" width="14.7109375" style="1551" bestFit="1" customWidth="1"/>
    <col min="6669" max="6912" width="9.140625" style="1551"/>
    <col min="6913" max="6913" width="5.5703125" style="1551" customWidth="1"/>
    <col min="6914" max="6914" width="6.7109375" style="1551" customWidth="1"/>
    <col min="6915" max="6915" width="8.85546875" style="1551" customWidth="1"/>
    <col min="6916" max="6916" width="47.85546875" style="1551" customWidth="1"/>
    <col min="6917" max="6917" width="12.85546875" style="1551" customWidth="1"/>
    <col min="6918" max="6918" width="15.5703125" style="1551" customWidth="1"/>
    <col min="6919" max="6919" width="15.85546875" style="1551" customWidth="1"/>
    <col min="6920" max="6920" width="6.42578125" style="1551" customWidth="1"/>
    <col min="6921" max="6922" width="9.140625" style="1551"/>
    <col min="6923" max="6924" width="14.7109375" style="1551" bestFit="1" customWidth="1"/>
    <col min="6925" max="7168" width="9.140625" style="1551"/>
    <col min="7169" max="7169" width="5.5703125" style="1551" customWidth="1"/>
    <col min="7170" max="7170" width="6.7109375" style="1551" customWidth="1"/>
    <col min="7171" max="7171" width="8.85546875" style="1551" customWidth="1"/>
    <col min="7172" max="7172" width="47.85546875" style="1551" customWidth="1"/>
    <col min="7173" max="7173" width="12.85546875" style="1551" customWidth="1"/>
    <col min="7174" max="7174" width="15.5703125" style="1551" customWidth="1"/>
    <col min="7175" max="7175" width="15.85546875" style="1551" customWidth="1"/>
    <col min="7176" max="7176" width="6.42578125" style="1551" customWidth="1"/>
    <col min="7177" max="7178" width="9.140625" style="1551"/>
    <col min="7179" max="7180" width="14.7109375" style="1551" bestFit="1" customWidth="1"/>
    <col min="7181" max="7424" width="9.140625" style="1551"/>
    <col min="7425" max="7425" width="5.5703125" style="1551" customWidth="1"/>
    <col min="7426" max="7426" width="6.7109375" style="1551" customWidth="1"/>
    <col min="7427" max="7427" width="8.85546875" style="1551" customWidth="1"/>
    <col min="7428" max="7428" width="47.85546875" style="1551" customWidth="1"/>
    <col min="7429" max="7429" width="12.85546875" style="1551" customWidth="1"/>
    <col min="7430" max="7430" width="15.5703125" style="1551" customWidth="1"/>
    <col min="7431" max="7431" width="15.85546875" style="1551" customWidth="1"/>
    <col min="7432" max="7432" width="6.42578125" style="1551" customWidth="1"/>
    <col min="7433" max="7434" width="9.140625" style="1551"/>
    <col min="7435" max="7436" width="14.7109375" style="1551" bestFit="1" customWidth="1"/>
    <col min="7437" max="7680" width="9.140625" style="1551"/>
    <col min="7681" max="7681" width="5.5703125" style="1551" customWidth="1"/>
    <col min="7682" max="7682" width="6.7109375" style="1551" customWidth="1"/>
    <col min="7683" max="7683" width="8.85546875" style="1551" customWidth="1"/>
    <col min="7684" max="7684" width="47.85546875" style="1551" customWidth="1"/>
    <col min="7685" max="7685" width="12.85546875" style="1551" customWidth="1"/>
    <col min="7686" max="7686" width="15.5703125" style="1551" customWidth="1"/>
    <col min="7687" max="7687" width="15.85546875" style="1551" customWidth="1"/>
    <col min="7688" max="7688" width="6.42578125" style="1551" customWidth="1"/>
    <col min="7689" max="7690" width="9.140625" style="1551"/>
    <col min="7691" max="7692" width="14.7109375" style="1551" bestFit="1" customWidth="1"/>
    <col min="7693" max="7936" width="9.140625" style="1551"/>
    <col min="7937" max="7937" width="5.5703125" style="1551" customWidth="1"/>
    <col min="7938" max="7938" width="6.7109375" style="1551" customWidth="1"/>
    <col min="7939" max="7939" width="8.85546875" style="1551" customWidth="1"/>
    <col min="7940" max="7940" width="47.85546875" style="1551" customWidth="1"/>
    <col min="7941" max="7941" width="12.85546875" style="1551" customWidth="1"/>
    <col min="7942" max="7942" width="15.5703125" style="1551" customWidth="1"/>
    <col min="7943" max="7943" width="15.85546875" style="1551" customWidth="1"/>
    <col min="7944" max="7944" width="6.42578125" style="1551" customWidth="1"/>
    <col min="7945" max="7946" width="9.140625" style="1551"/>
    <col min="7947" max="7948" width="14.7109375" style="1551" bestFit="1" customWidth="1"/>
    <col min="7949" max="8192" width="9.140625" style="1551"/>
    <col min="8193" max="8193" width="5.5703125" style="1551" customWidth="1"/>
    <col min="8194" max="8194" width="6.7109375" style="1551" customWidth="1"/>
    <col min="8195" max="8195" width="8.85546875" style="1551" customWidth="1"/>
    <col min="8196" max="8196" width="47.85546875" style="1551" customWidth="1"/>
    <col min="8197" max="8197" width="12.85546875" style="1551" customWidth="1"/>
    <col min="8198" max="8198" width="15.5703125" style="1551" customWidth="1"/>
    <col min="8199" max="8199" width="15.85546875" style="1551" customWidth="1"/>
    <col min="8200" max="8200" width="6.42578125" style="1551" customWidth="1"/>
    <col min="8201" max="8202" width="9.140625" style="1551"/>
    <col min="8203" max="8204" width="14.7109375" style="1551" bestFit="1" customWidth="1"/>
    <col min="8205" max="8448" width="9.140625" style="1551"/>
    <col min="8449" max="8449" width="5.5703125" style="1551" customWidth="1"/>
    <col min="8450" max="8450" width="6.7109375" style="1551" customWidth="1"/>
    <col min="8451" max="8451" width="8.85546875" style="1551" customWidth="1"/>
    <col min="8452" max="8452" width="47.85546875" style="1551" customWidth="1"/>
    <col min="8453" max="8453" width="12.85546875" style="1551" customWidth="1"/>
    <col min="8454" max="8454" width="15.5703125" style="1551" customWidth="1"/>
    <col min="8455" max="8455" width="15.85546875" style="1551" customWidth="1"/>
    <col min="8456" max="8456" width="6.42578125" style="1551" customWidth="1"/>
    <col min="8457" max="8458" width="9.140625" style="1551"/>
    <col min="8459" max="8460" width="14.7109375" style="1551" bestFit="1" customWidth="1"/>
    <col min="8461" max="8704" width="9.140625" style="1551"/>
    <col min="8705" max="8705" width="5.5703125" style="1551" customWidth="1"/>
    <col min="8706" max="8706" width="6.7109375" style="1551" customWidth="1"/>
    <col min="8707" max="8707" width="8.85546875" style="1551" customWidth="1"/>
    <col min="8708" max="8708" width="47.85546875" style="1551" customWidth="1"/>
    <col min="8709" max="8709" width="12.85546875" style="1551" customWidth="1"/>
    <col min="8710" max="8710" width="15.5703125" style="1551" customWidth="1"/>
    <col min="8711" max="8711" width="15.85546875" style="1551" customWidth="1"/>
    <col min="8712" max="8712" width="6.42578125" style="1551" customWidth="1"/>
    <col min="8713" max="8714" width="9.140625" style="1551"/>
    <col min="8715" max="8716" width="14.7109375" style="1551" bestFit="1" customWidth="1"/>
    <col min="8717" max="8960" width="9.140625" style="1551"/>
    <col min="8961" max="8961" width="5.5703125" style="1551" customWidth="1"/>
    <col min="8962" max="8962" width="6.7109375" style="1551" customWidth="1"/>
    <col min="8963" max="8963" width="8.85546875" style="1551" customWidth="1"/>
    <col min="8964" max="8964" width="47.85546875" style="1551" customWidth="1"/>
    <col min="8965" max="8965" width="12.85546875" style="1551" customWidth="1"/>
    <col min="8966" max="8966" width="15.5703125" style="1551" customWidth="1"/>
    <col min="8967" max="8967" width="15.85546875" style="1551" customWidth="1"/>
    <col min="8968" max="8968" width="6.42578125" style="1551" customWidth="1"/>
    <col min="8969" max="8970" width="9.140625" style="1551"/>
    <col min="8971" max="8972" width="14.7109375" style="1551" bestFit="1" customWidth="1"/>
    <col min="8973" max="9216" width="9.140625" style="1551"/>
    <col min="9217" max="9217" width="5.5703125" style="1551" customWidth="1"/>
    <col min="9218" max="9218" width="6.7109375" style="1551" customWidth="1"/>
    <col min="9219" max="9219" width="8.85546875" style="1551" customWidth="1"/>
    <col min="9220" max="9220" width="47.85546875" style="1551" customWidth="1"/>
    <col min="9221" max="9221" width="12.85546875" style="1551" customWidth="1"/>
    <col min="9222" max="9222" width="15.5703125" style="1551" customWidth="1"/>
    <col min="9223" max="9223" width="15.85546875" style="1551" customWidth="1"/>
    <col min="9224" max="9224" width="6.42578125" style="1551" customWidth="1"/>
    <col min="9225" max="9226" width="9.140625" style="1551"/>
    <col min="9227" max="9228" width="14.7109375" style="1551" bestFit="1" customWidth="1"/>
    <col min="9229" max="9472" width="9.140625" style="1551"/>
    <col min="9473" max="9473" width="5.5703125" style="1551" customWidth="1"/>
    <col min="9474" max="9474" width="6.7109375" style="1551" customWidth="1"/>
    <col min="9475" max="9475" width="8.85546875" style="1551" customWidth="1"/>
    <col min="9476" max="9476" width="47.85546875" style="1551" customWidth="1"/>
    <col min="9477" max="9477" width="12.85546875" style="1551" customWidth="1"/>
    <col min="9478" max="9478" width="15.5703125" style="1551" customWidth="1"/>
    <col min="9479" max="9479" width="15.85546875" style="1551" customWidth="1"/>
    <col min="9480" max="9480" width="6.42578125" style="1551" customWidth="1"/>
    <col min="9481" max="9482" width="9.140625" style="1551"/>
    <col min="9483" max="9484" width="14.7109375" style="1551" bestFit="1" customWidth="1"/>
    <col min="9485" max="9728" width="9.140625" style="1551"/>
    <col min="9729" max="9729" width="5.5703125" style="1551" customWidth="1"/>
    <col min="9730" max="9730" width="6.7109375" style="1551" customWidth="1"/>
    <col min="9731" max="9731" width="8.85546875" style="1551" customWidth="1"/>
    <col min="9732" max="9732" width="47.85546875" style="1551" customWidth="1"/>
    <col min="9733" max="9733" width="12.85546875" style="1551" customWidth="1"/>
    <col min="9734" max="9734" width="15.5703125" style="1551" customWidth="1"/>
    <col min="9735" max="9735" width="15.85546875" style="1551" customWidth="1"/>
    <col min="9736" max="9736" width="6.42578125" style="1551" customWidth="1"/>
    <col min="9737" max="9738" width="9.140625" style="1551"/>
    <col min="9739" max="9740" width="14.7109375" style="1551" bestFit="1" customWidth="1"/>
    <col min="9741" max="9984" width="9.140625" style="1551"/>
    <col min="9985" max="9985" width="5.5703125" style="1551" customWidth="1"/>
    <col min="9986" max="9986" width="6.7109375" style="1551" customWidth="1"/>
    <col min="9987" max="9987" width="8.85546875" style="1551" customWidth="1"/>
    <col min="9988" max="9988" width="47.85546875" style="1551" customWidth="1"/>
    <col min="9989" max="9989" width="12.85546875" style="1551" customWidth="1"/>
    <col min="9990" max="9990" width="15.5703125" style="1551" customWidth="1"/>
    <col min="9991" max="9991" width="15.85546875" style="1551" customWidth="1"/>
    <col min="9992" max="9992" width="6.42578125" style="1551" customWidth="1"/>
    <col min="9993" max="9994" width="9.140625" style="1551"/>
    <col min="9995" max="9996" width="14.7109375" style="1551" bestFit="1" customWidth="1"/>
    <col min="9997" max="10240" width="9.140625" style="1551"/>
    <col min="10241" max="10241" width="5.5703125" style="1551" customWidth="1"/>
    <col min="10242" max="10242" width="6.7109375" style="1551" customWidth="1"/>
    <col min="10243" max="10243" width="8.85546875" style="1551" customWidth="1"/>
    <col min="10244" max="10244" width="47.85546875" style="1551" customWidth="1"/>
    <col min="10245" max="10245" width="12.85546875" style="1551" customWidth="1"/>
    <col min="10246" max="10246" width="15.5703125" style="1551" customWidth="1"/>
    <col min="10247" max="10247" width="15.85546875" style="1551" customWidth="1"/>
    <col min="10248" max="10248" width="6.42578125" style="1551" customWidth="1"/>
    <col min="10249" max="10250" width="9.140625" style="1551"/>
    <col min="10251" max="10252" width="14.7109375" style="1551" bestFit="1" customWidth="1"/>
    <col min="10253" max="10496" width="9.140625" style="1551"/>
    <col min="10497" max="10497" width="5.5703125" style="1551" customWidth="1"/>
    <col min="10498" max="10498" width="6.7109375" style="1551" customWidth="1"/>
    <col min="10499" max="10499" width="8.85546875" style="1551" customWidth="1"/>
    <col min="10500" max="10500" width="47.85546875" style="1551" customWidth="1"/>
    <col min="10501" max="10501" width="12.85546875" style="1551" customWidth="1"/>
    <col min="10502" max="10502" width="15.5703125" style="1551" customWidth="1"/>
    <col min="10503" max="10503" width="15.85546875" style="1551" customWidth="1"/>
    <col min="10504" max="10504" width="6.42578125" style="1551" customWidth="1"/>
    <col min="10505" max="10506" width="9.140625" style="1551"/>
    <col min="10507" max="10508" width="14.7109375" style="1551" bestFit="1" customWidth="1"/>
    <col min="10509" max="10752" width="9.140625" style="1551"/>
    <col min="10753" max="10753" width="5.5703125" style="1551" customWidth="1"/>
    <col min="10754" max="10754" width="6.7109375" style="1551" customWidth="1"/>
    <col min="10755" max="10755" width="8.85546875" style="1551" customWidth="1"/>
    <col min="10756" max="10756" width="47.85546875" style="1551" customWidth="1"/>
    <col min="10757" max="10757" width="12.85546875" style="1551" customWidth="1"/>
    <col min="10758" max="10758" width="15.5703125" style="1551" customWidth="1"/>
    <col min="10759" max="10759" width="15.85546875" style="1551" customWidth="1"/>
    <col min="10760" max="10760" width="6.42578125" style="1551" customWidth="1"/>
    <col min="10761" max="10762" width="9.140625" style="1551"/>
    <col min="10763" max="10764" width="14.7109375" style="1551" bestFit="1" customWidth="1"/>
    <col min="10765" max="11008" width="9.140625" style="1551"/>
    <col min="11009" max="11009" width="5.5703125" style="1551" customWidth="1"/>
    <col min="11010" max="11010" width="6.7109375" style="1551" customWidth="1"/>
    <col min="11011" max="11011" width="8.85546875" style="1551" customWidth="1"/>
    <col min="11012" max="11012" width="47.85546875" style="1551" customWidth="1"/>
    <col min="11013" max="11013" width="12.85546875" style="1551" customWidth="1"/>
    <col min="11014" max="11014" width="15.5703125" style="1551" customWidth="1"/>
    <col min="11015" max="11015" width="15.85546875" style="1551" customWidth="1"/>
    <col min="11016" max="11016" width="6.42578125" style="1551" customWidth="1"/>
    <col min="11017" max="11018" width="9.140625" style="1551"/>
    <col min="11019" max="11020" width="14.7109375" style="1551" bestFit="1" customWidth="1"/>
    <col min="11021" max="11264" width="9.140625" style="1551"/>
    <col min="11265" max="11265" width="5.5703125" style="1551" customWidth="1"/>
    <col min="11266" max="11266" width="6.7109375" style="1551" customWidth="1"/>
    <col min="11267" max="11267" width="8.85546875" style="1551" customWidth="1"/>
    <col min="11268" max="11268" width="47.85546875" style="1551" customWidth="1"/>
    <col min="11269" max="11269" width="12.85546875" style="1551" customWidth="1"/>
    <col min="11270" max="11270" width="15.5703125" style="1551" customWidth="1"/>
    <col min="11271" max="11271" width="15.85546875" style="1551" customWidth="1"/>
    <col min="11272" max="11272" width="6.42578125" style="1551" customWidth="1"/>
    <col min="11273" max="11274" width="9.140625" style="1551"/>
    <col min="11275" max="11276" width="14.7109375" style="1551" bestFit="1" customWidth="1"/>
    <col min="11277" max="11520" width="9.140625" style="1551"/>
    <col min="11521" max="11521" width="5.5703125" style="1551" customWidth="1"/>
    <col min="11522" max="11522" width="6.7109375" style="1551" customWidth="1"/>
    <col min="11523" max="11523" width="8.85546875" style="1551" customWidth="1"/>
    <col min="11524" max="11524" width="47.85546875" style="1551" customWidth="1"/>
    <col min="11525" max="11525" width="12.85546875" style="1551" customWidth="1"/>
    <col min="11526" max="11526" width="15.5703125" style="1551" customWidth="1"/>
    <col min="11527" max="11527" width="15.85546875" style="1551" customWidth="1"/>
    <col min="11528" max="11528" width="6.42578125" style="1551" customWidth="1"/>
    <col min="11529" max="11530" width="9.140625" style="1551"/>
    <col min="11531" max="11532" width="14.7109375" style="1551" bestFit="1" customWidth="1"/>
    <col min="11533" max="11776" width="9.140625" style="1551"/>
    <col min="11777" max="11777" width="5.5703125" style="1551" customWidth="1"/>
    <col min="11778" max="11778" width="6.7109375" style="1551" customWidth="1"/>
    <col min="11779" max="11779" width="8.85546875" style="1551" customWidth="1"/>
    <col min="11780" max="11780" width="47.85546875" style="1551" customWidth="1"/>
    <col min="11781" max="11781" width="12.85546875" style="1551" customWidth="1"/>
    <col min="11782" max="11782" width="15.5703125" style="1551" customWidth="1"/>
    <col min="11783" max="11783" width="15.85546875" style="1551" customWidth="1"/>
    <col min="11784" max="11784" width="6.42578125" style="1551" customWidth="1"/>
    <col min="11785" max="11786" width="9.140625" style="1551"/>
    <col min="11787" max="11788" width="14.7109375" style="1551" bestFit="1" customWidth="1"/>
    <col min="11789" max="12032" width="9.140625" style="1551"/>
    <col min="12033" max="12033" width="5.5703125" style="1551" customWidth="1"/>
    <col min="12034" max="12034" width="6.7109375" style="1551" customWidth="1"/>
    <col min="12035" max="12035" width="8.85546875" style="1551" customWidth="1"/>
    <col min="12036" max="12036" width="47.85546875" style="1551" customWidth="1"/>
    <col min="12037" max="12037" width="12.85546875" style="1551" customWidth="1"/>
    <col min="12038" max="12038" width="15.5703125" style="1551" customWidth="1"/>
    <col min="12039" max="12039" width="15.85546875" style="1551" customWidth="1"/>
    <col min="12040" max="12040" width="6.42578125" style="1551" customWidth="1"/>
    <col min="12041" max="12042" width="9.140625" style="1551"/>
    <col min="12043" max="12044" width="14.7109375" style="1551" bestFit="1" customWidth="1"/>
    <col min="12045" max="12288" width="9.140625" style="1551"/>
    <col min="12289" max="12289" width="5.5703125" style="1551" customWidth="1"/>
    <col min="12290" max="12290" width="6.7109375" style="1551" customWidth="1"/>
    <col min="12291" max="12291" width="8.85546875" style="1551" customWidth="1"/>
    <col min="12292" max="12292" width="47.85546875" style="1551" customWidth="1"/>
    <col min="12293" max="12293" width="12.85546875" style="1551" customWidth="1"/>
    <col min="12294" max="12294" width="15.5703125" style="1551" customWidth="1"/>
    <col min="12295" max="12295" width="15.85546875" style="1551" customWidth="1"/>
    <col min="12296" max="12296" width="6.42578125" style="1551" customWidth="1"/>
    <col min="12297" max="12298" width="9.140625" style="1551"/>
    <col min="12299" max="12300" width="14.7109375" style="1551" bestFit="1" customWidth="1"/>
    <col min="12301" max="12544" width="9.140625" style="1551"/>
    <col min="12545" max="12545" width="5.5703125" style="1551" customWidth="1"/>
    <col min="12546" max="12546" width="6.7109375" style="1551" customWidth="1"/>
    <col min="12547" max="12547" width="8.85546875" style="1551" customWidth="1"/>
    <col min="12548" max="12548" width="47.85546875" style="1551" customWidth="1"/>
    <col min="12549" max="12549" width="12.85546875" style="1551" customWidth="1"/>
    <col min="12550" max="12550" width="15.5703125" style="1551" customWidth="1"/>
    <col min="12551" max="12551" width="15.85546875" style="1551" customWidth="1"/>
    <col min="12552" max="12552" width="6.42578125" style="1551" customWidth="1"/>
    <col min="12553" max="12554" width="9.140625" style="1551"/>
    <col min="12555" max="12556" width="14.7109375" style="1551" bestFit="1" customWidth="1"/>
    <col min="12557" max="12800" width="9.140625" style="1551"/>
    <col min="12801" max="12801" width="5.5703125" style="1551" customWidth="1"/>
    <col min="12802" max="12802" width="6.7109375" style="1551" customWidth="1"/>
    <col min="12803" max="12803" width="8.85546875" style="1551" customWidth="1"/>
    <col min="12804" max="12804" width="47.85546875" style="1551" customWidth="1"/>
    <col min="12805" max="12805" width="12.85546875" style="1551" customWidth="1"/>
    <col min="12806" max="12806" width="15.5703125" style="1551" customWidth="1"/>
    <col min="12807" max="12807" width="15.85546875" style="1551" customWidth="1"/>
    <col min="12808" max="12808" width="6.42578125" style="1551" customWidth="1"/>
    <col min="12809" max="12810" width="9.140625" style="1551"/>
    <col min="12811" max="12812" width="14.7109375" style="1551" bestFit="1" customWidth="1"/>
    <col min="12813" max="13056" width="9.140625" style="1551"/>
    <col min="13057" max="13057" width="5.5703125" style="1551" customWidth="1"/>
    <col min="13058" max="13058" width="6.7109375" style="1551" customWidth="1"/>
    <col min="13059" max="13059" width="8.85546875" style="1551" customWidth="1"/>
    <col min="13060" max="13060" width="47.85546875" style="1551" customWidth="1"/>
    <col min="13061" max="13061" width="12.85546875" style="1551" customWidth="1"/>
    <col min="13062" max="13062" width="15.5703125" style="1551" customWidth="1"/>
    <col min="13063" max="13063" width="15.85546875" style="1551" customWidth="1"/>
    <col min="13064" max="13064" width="6.42578125" style="1551" customWidth="1"/>
    <col min="13065" max="13066" width="9.140625" style="1551"/>
    <col min="13067" max="13068" width="14.7109375" style="1551" bestFit="1" customWidth="1"/>
    <col min="13069" max="13312" width="9.140625" style="1551"/>
    <col min="13313" max="13313" width="5.5703125" style="1551" customWidth="1"/>
    <col min="13314" max="13314" width="6.7109375" style="1551" customWidth="1"/>
    <col min="13315" max="13315" width="8.85546875" style="1551" customWidth="1"/>
    <col min="13316" max="13316" width="47.85546875" style="1551" customWidth="1"/>
    <col min="13317" max="13317" width="12.85546875" style="1551" customWidth="1"/>
    <col min="13318" max="13318" width="15.5703125" style="1551" customWidth="1"/>
    <col min="13319" max="13319" width="15.85546875" style="1551" customWidth="1"/>
    <col min="13320" max="13320" width="6.42578125" style="1551" customWidth="1"/>
    <col min="13321" max="13322" width="9.140625" style="1551"/>
    <col min="13323" max="13324" width="14.7109375" style="1551" bestFit="1" customWidth="1"/>
    <col min="13325" max="13568" width="9.140625" style="1551"/>
    <col min="13569" max="13569" width="5.5703125" style="1551" customWidth="1"/>
    <col min="13570" max="13570" width="6.7109375" style="1551" customWidth="1"/>
    <col min="13571" max="13571" width="8.85546875" style="1551" customWidth="1"/>
    <col min="13572" max="13572" width="47.85546875" style="1551" customWidth="1"/>
    <col min="13573" max="13573" width="12.85546875" style="1551" customWidth="1"/>
    <col min="13574" max="13574" width="15.5703125" style="1551" customWidth="1"/>
    <col min="13575" max="13575" width="15.85546875" style="1551" customWidth="1"/>
    <col min="13576" max="13576" width="6.42578125" style="1551" customWidth="1"/>
    <col min="13577" max="13578" width="9.140625" style="1551"/>
    <col min="13579" max="13580" width="14.7109375" style="1551" bestFit="1" customWidth="1"/>
    <col min="13581" max="13824" width="9.140625" style="1551"/>
    <col min="13825" max="13825" width="5.5703125" style="1551" customWidth="1"/>
    <col min="13826" max="13826" width="6.7109375" style="1551" customWidth="1"/>
    <col min="13827" max="13827" width="8.85546875" style="1551" customWidth="1"/>
    <col min="13828" max="13828" width="47.85546875" style="1551" customWidth="1"/>
    <col min="13829" max="13829" width="12.85546875" style="1551" customWidth="1"/>
    <col min="13830" max="13830" width="15.5703125" style="1551" customWidth="1"/>
    <col min="13831" max="13831" width="15.85546875" style="1551" customWidth="1"/>
    <col min="13832" max="13832" width="6.42578125" style="1551" customWidth="1"/>
    <col min="13833" max="13834" width="9.140625" style="1551"/>
    <col min="13835" max="13836" width="14.7109375" style="1551" bestFit="1" customWidth="1"/>
    <col min="13837" max="14080" width="9.140625" style="1551"/>
    <col min="14081" max="14081" width="5.5703125" style="1551" customWidth="1"/>
    <col min="14082" max="14082" width="6.7109375" style="1551" customWidth="1"/>
    <col min="14083" max="14083" width="8.85546875" style="1551" customWidth="1"/>
    <col min="14084" max="14084" width="47.85546875" style="1551" customWidth="1"/>
    <col min="14085" max="14085" width="12.85546875" style="1551" customWidth="1"/>
    <col min="14086" max="14086" width="15.5703125" style="1551" customWidth="1"/>
    <col min="14087" max="14087" width="15.85546875" style="1551" customWidth="1"/>
    <col min="14088" max="14088" width="6.42578125" style="1551" customWidth="1"/>
    <col min="14089" max="14090" width="9.140625" style="1551"/>
    <col min="14091" max="14092" width="14.7109375" style="1551" bestFit="1" customWidth="1"/>
    <col min="14093" max="14336" width="9.140625" style="1551"/>
    <col min="14337" max="14337" width="5.5703125" style="1551" customWidth="1"/>
    <col min="14338" max="14338" width="6.7109375" style="1551" customWidth="1"/>
    <col min="14339" max="14339" width="8.85546875" style="1551" customWidth="1"/>
    <col min="14340" max="14340" width="47.85546875" style="1551" customWidth="1"/>
    <col min="14341" max="14341" width="12.85546875" style="1551" customWidth="1"/>
    <col min="14342" max="14342" width="15.5703125" style="1551" customWidth="1"/>
    <col min="14343" max="14343" width="15.85546875" style="1551" customWidth="1"/>
    <col min="14344" max="14344" width="6.42578125" style="1551" customWidth="1"/>
    <col min="14345" max="14346" width="9.140625" style="1551"/>
    <col min="14347" max="14348" width="14.7109375" style="1551" bestFit="1" customWidth="1"/>
    <col min="14349" max="14592" width="9.140625" style="1551"/>
    <col min="14593" max="14593" width="5.5703125" style="1551" customWidth="1"/>
    <col min="14594" max="14594" width="6.7109375" style="1551" customWidth="1"/>
    <col min="14595" max="14595" width="8.85546875" style="1551" customWidth="1"/>
    <col min="14596" max="14596" width="47.85546875" style="1551" customWidth="1"/>
    <col min="14597" max="14597" width="12.85546875" style="1551" customWidth="1"/>
    <col min="14598" max="14598" width="15.5703125" style="1551" customWidth="1"/>
    <col min="14599" max="14599" width="15.85546875" style="1551" customWidth="1"/>
    <col min="14600" max="14600" width="6.42578125" style="1551" customWidth="1"/>
    <col min="14601" max="14602" width="9.140625" style="1551"/>
    <col min="14603" max="14604" width="14.7109375" style="1551" bestFit="1" customWidth="1"/>
    <col min="14605" max="14848" width="9.140625" style="1551"/>
    <col min="14849" max="14849" width="5.5703125" style="1551" customWidth="1"/>
    <col min="14850" max="14850" width="6.7109375" style="1551" customWidth="1"/>
    <col min="14851" max="14851" width="8.85546875" style="1551" customWidth="1"/>
    <col min="14852" max="14852" width="47.85546875" style="1551" customWidth="1"/>
    <col min="14853" max="14853" width="12.85546875" style="1551" customWidth="1"/>
    <col min="14854" max="14854" width="15.5703125" style="1551" customWidth="1"/>
    <col min="14855" max="14855" width="15.85546875" style="1551" customWidth="1"/>
    <col min="14856" max="14856" width="6.42578125" style="1551" customWidth="1"/>
    <col min="14857" max="14858" width="9.140625" style="1551"/>
    <col min="14859" max="14860" width="14.7109375" style="1551" bestFit="1" customWidth="1"/>
    <col min="14861" max="15104" width="9.140625" style="1551"/>
    <col min="15105" max="15105" width="5.5703125" style="1551" customWidth="1"/>
    <col min="15106" max="15106" width="6.7109375" style="1551" customWidth="1"/>
    <col min="15107" max="15107" width="8.85546875" style="1551" customWidth="1"/>
    <col min="15108" max="15108" width="47.85546875" style="1551" customWidth="1"/>
    <col min="15109" max="15109" width="12.85546875" style="1551" customWidth="1"/>
    <col min="15110" max="15110" width="15.5703125" style="1551" customWidth="1"/>
    <col min="15111" max="15111" width="15.85546875" style="1551" customWidth="1"/>
    <col min="15112" max="15112" width="6.42578125" style="1551" customWidth="1"/>
    <col min="15113" max="15114" width="9.140625" style="1551"/>
    <col min="15115" max="15116" width="14.7109375" style="1551" bestFit="1" customWidth="1"/>
    <col min="15117" max="15360" width="9.140625" style="1551"/>
    <col min="15361" max="15361" width="5.5703125" style="1551" customWidth="1"/>
    <col min="15362" max="15362" width="6.7109375" style="1551" customWidth="1"/>
    <col min="15363" max="15363" width="8.85546875" style="1551" customWidth="1"/>
    <col min="15364" max="15364" width="47.85546875" style="1551" customWidth="1"/>
    <col min="15365" max="15365" width="12.85546875" style="1551" customWidth="1"/>
    <col min="15366" max="15366" width="15.5703125" style="1551" customWidth="1"/>
    <col min="15367" max="15367" width="15.85546875" style="1551" customWidth="1"/>
    <col min="15368" max="15368" width="6.42578125" style="1551" customWidth="1"/>
    <col min="15369" max="15370" width="9.140625" style="1551"/>
    <col min="15371" max="15372" width="14.7109375" style="1551" bestFit="1" customWidth="1"/>
    <col min="15373" max="15616" width="9.140625" style="1551"/>
    <col min="15617" max="15617" width="5.5703125" style="1551" customWidth="1"/>
    <col min="15618" max="15618" width="6.7109375" style="1551" customWidth="1"/>
    <col min="15619" max="15619" width="8.85546875" style="1551" customWidth="1"/>
    <col min="15620" max="15620" width="47.85546875" style="1551" customWidth="1"/>
    <col min="15621" max="15621" width="12.85546875" style="1551" customWidth="1"/>
    <col min="15622" max="15622" width="15.5703125" style="1551" customWidth="1"/>
    <col min="15623" max="15623" width="15.85546875" style="1551" customWidth="1"/>
    <col min="15624" max="15624" width="6.42578125" style="1551" customWidth="1"/>
    <col min="15625" max="15626" width="9.140625" style="1551"/>
    <col min="15627" max="15628" width="14.7109375" style="1551" bestFit="1" customWidth="1"/>
    <col min="15629" max="15872" width="9.140625" style="1551"/>
    <col min="15873" max="15873" width="5.5703125" style="1551" customWidth="1"/>
    <col min="15874" max="15874" width="6.7109375" style="1551" customWidth="1"/>
    <col min="15875" max="15875" width="8.85546875" style="1551" customWidth="1"/>
    <col min="15876" max="15876" width="47.85546875" style="1551" customWidth="1"/>
    <col min="15877" max="15877" width="12.85546875" style="1551" customWidth="1"/>
    <col min="15878" max="15878" width="15.5703125" style="1551" customWidth="1"/>
    <col min="15879" max="15879" width="15.85546875" style="1551" customWidth="1"/>
    <col min="15880" max="15880" width="6.42578125" style="1551" customWidth="1"/>
    <col min="15881" max="15882" width="9.140625" style="1551"/>
    <col min="15883" max="15884" width="14.7109375" style="1551" bestFit="1" customWidth="1"/>
    <col min="15885" max="16128" width="9.140625" style="1551"/>
    <col min="16129" max="16129" width="5.5703125" style="1551" customWidth="1"/>
    <col min="16130" max="16130" width="6.7109375" style="1551" customWidth="1"/>
    <col min="16131" max="16131" width="8.85546875" style="1551" customWidth="1"/>
    <col min="16132" max="16132" width="47.85546875" style="1551" customWidth="1"/>
    <col min="16133" max="16133" width="12.85546875" style="1551" customWidth="1"/>
    <col min="16134" max="16134" width="15.5703125" style="1551" customWidth="1"/>
    <col min="16135" max="16135" width="15.85546875" style="1551" customWidth="1"/>
    <col min="16136" max="16136" width="6.42578125" style="1551" customWidth="1"/>
    <col min="16137" max="16138" width="9.140625" style="1551"/>
    <col min="16139" max="16140" width="14.7109375" style="1551" bestFit="1" customWidth="1"/>
    <col min="16141" max="16384" width="9.140625" style="1551"/>
  </cols>
  <sheetData>
    <row r="1" spans="1:8" ht="18.75" thickBot="1" x14ac:dyDescent="0.3">
      <c r="A1" s="1545" t="s">
        <v>1255</v>
      </c>
      <c r="B1" s="1546"/>
      <c r="C1" s="1547"/>
      <c r="D1" s="1548"/>
      <c r="E1" s="1549"/>
      <c r="F1" s="1548"/>
      <c r="G1" s="1550"/>
      <c r="H1" s="1545"/>
    </row>
    <row r="2" spans="1:8" ht="18" x14ac:dyDescent="0.25">
      <c r="A2" s="1552"/>
      <c r="B2" s="1553"/>
      <c r="C2" s="1553"/>
      <c r="D2" s="1553"/>
      <c r="E2" s="1553"/>
      <c r="F2" s="1553"/>
      <c r="G2" s="1553"/>
      <c r="H2" s="1554" t="s">
        <v>1254</v>
      </c>
    </row>
    <row r="3" spans="1:8" ht="18" x14ac:dyDescent="0.25">
      <c r="A3" s="1555" t="s">
        <v>336</v>
      </c>
      <c r="B3" s="1553"/>
      <c r="C3" s="2852" t="s">
        <v>2009</v>
      </c>
      <c r="D3" s="1553"/>
      <c r="E3" s="1553"/>
      <c r="F3" s="1553"/>
      <c r="G3" s="1553"/>
      <c r="H3" s="1554"/>
    </row>
    <row r="4" spans="1:8" ht="18" x14ac:dyDescent="0.25">
      <c r="A4" s="1552"/>
      <c r="B4" s="1553"/>
      <c r="C4" s="2852" t="s">
        <v>1450</v>
      </c>
      <c r="D4" s="1553"/>
      <c r="E4" s="1553"/>
      <c r="F4" s="1553"/>
      <c r="G4" s="1553"/>
      <c r="H4" s="1554"/>
    </row>
    <row r="5" spans="1:8" ht="18" x14ac:dyDescent="0.25">
      <c r="A5" s="1557" t="s">
        <v>1253</v>
      </c>
      <c r="B5" s="1553"/>
      <c r="C5" s="1553"/>
      <c r="D5" s="1553"/>
      <c r="E5" s="1553"/>
      <c r="F5" s="1553"/>
      <c r="G5" s="1553"/>
      <c r="H5" s="1554"/>
    </row>
    <row r="6" spans="1:8" ht="18" x14ac:dyDescent="0.25">
      <c r="A6" s="1557"/>
      <c r="B6" s="1553"/>
      <c r="C6" s="1553"/>
      <c r="D6" s="1553"/>
      <c r="E6" s="1553"/>
      <c r="F6" s="1553"/>
      <c r="G6" s="1553"/>
      <c r="H6" s="1554"/>
    </row>
    <row r="7" spans="1:8" x14ac:dyDescent="0.2">
      <c r="A7" s="1558"/>
      <c r="B7" s="1558"/>
      <c r="C7" s="1558"/>
      <c r="E7" s="1559"/>
      <c r="F7" s="1559"/>
      <c r="G7" s="1559"/>
    </row>
    <row r="8" spans="1:8" ht="27" customHeight="1" x14ac:dyDescent="0.25">
      <c r="A8" s="3233" t="s">
        <v>1381</v>
      </c>
      <c r="B8" s="3151"/>
      <c r="C8" s="3151"/>
      <c r="D8" s="3151"/>
      <c r="E8" s="3151"/>
      <c r="F8" s="3151"/>
      <c r="G8" s="3151"/>
      <c r="H8" s="3151"/>
    </row>
    <row r="9" spans="1:8" ht="15.75" thickBot="1" x14ac:dyDescent="0.3">
      <c r="A9" s="1544" t="s">
        <v>1382</v>
      </c>
      <c r="B9" s="1558"/>
      <c r="C9" s="1558"/>
      <c r="E9" s="1559"/>
      <c r="F9" s="1559"/>
      <c r="G9" s="1559"/>
      <c r="H9" s="1560" t="s">
        <v>148</v>
      </c>
    </row>
    <row r="10" spans="1:8" ht="25.5" thickTop="1" thickBot="1" x14ac:dyDescent="0.25">
      <c r="A10" s="1378" t="s">
        <v>149</v>
      </c>
      <c r="B10" s="1379" t="s">
        <v>688</v>
      </c>
      <c r="C10" s="1379" t="s">
        <v>345</v>
      </c>
      <c r="D10" s="1380" t="s">
        <v>151</v>
      </c>
      <c r="E10" s="1402" t="s">
        <v>569</v>
      </c>
      <c r="F10" s="1402" t="s">
        <v>570</v>
      </c>
      <c r="G10" s="1403" t="s">
        <v>797</v>
      </c>
      <c r="H10" s="1404" t="s">
        <v>798</v>
      </c>
    </row>
    <row r="11" spans="1:8" ht="14.25" thickTop="1" thickBot="1" x14ac:dyDescent="0.25">
      <c r="A11" s="1297">
        <v>1</v>
      </c>
      <c r="B11" s="1296">
        <v>2</v>
      </c>
      <c r="C11" s="1296">
        <v>3</v>
      </c>
      <c r="D11" s="1296">
        <v>4</v>
      </c>
      <c r="E11" s="1295">
        <v>5</v>
      </c>
      <c r="F11" s="1295">
        <v>6</v>
      </c>
      <c r="G11" s="1446">
        <v>7</v>
      </c>
      <c r="H11" s="1468" t="s">
        <v>54</v>
      </c>
    </row>
    <row r="12" spans="1:8" ht="15.75" hidden="1" thickTop="1" x14ac:dyDescent="0.2">
      <c r="A12" s="1572">
        <v>3299</v>
      </c>
      <c r="B12" s="1573">
        <v>5011</v>
      </c>
      <c r="C12" s="1573">
        <v>32133019</v>
      </c>
      <c r="D12" s="1574" t="s">
        <v>189</v>
      </c>
      <c r="E12" s="1575"/>
      <c r="F12" s="1575"/>
      <c r="G12" s="1575"/>
      <c r="H12" s="1576" t="e">
        <f t="shared" ref="H12:H19" si="0">G12/F12*100</f>
        <v>#DIV/0!</v>
      </c>
    </row>
    <row r="13" spans="1:8" ht="15.75" hidden="1" thickTop="1" x14ac:dyDescent="0.2">
      <c r="A13" s="1577">
        <v>3299</v>
      </c>
      <c r="B13" s="1578">
        <v>5011</v>
      </c>
      <c r="C13" s="1578">
        <v>32533019</v>
      </c>
      <c r="D13" s="1579" t="s">
        <v>189</v>
      </c>
      <c r="E13" s="1580"/>
      <c r="F13" s="1580"/>
      <c r="G13" s="1580"/>
      <c r="H13" s="1581" t="e">
        <f t="shared" si="0"/>
        <v>#DIV/0!</v>
      </c>
    </row>
    <row r="14" spans="1:8" ht="15.75" hidden="1" thickTop="1" x14ac:dyDescent="0.2">
      <c r="A14" s="1577">
        <v>3299</v>
      </c>
      <c r="B14" s="1578">
        <v>5021</v>
      </c>
      <c r="C14" s="1578">
        <v>32133019</v>
      </c>
      <c r="D14" s="1579" t="s">
        <v>356</v>
      </c>
      <c r="E14" s="1580"/>
      <c r="F14" s="1580"/>
      <c r="G14" s="1580"/>
      <c r="H14" s="1581" t="e">
        <f t="shared" si="0"/>
        <v>#DIV/0!</v>
      </c>
    </row>
    <row r="15" spans="1:8" ht="15.75" hidden="1" thickTop="1" x14ac:dyDescent="0.2">
      <c r="A15" s="1577">
        <v>3299</v>
      </c>
      <c r="B15" s="1578">
        <v>5021</v>
      </c>
      <c r="C15" s="1578">
        <v>32533019</v>
      </c>
      <c r="D15" s="1579" t="s">
        <v>356</v>
      </c>
      <c r="E15" s="1580"/>
      <c r="F15" s="1580"/>
      <c r="G15" s="1580"/>
      <c r="H15" s="1581" t="e">
        <f t="shared" si="0"/>
        <v>#DIV/0!</v>
      </c>
    </row>
    <row r="16" spans="1:8" ht="30.75" hidden="1" thickTop="1" x14ac:dyDescent="0.2">
      <c r="A16" s="1577">
        <v>3299</v>
      </c>
      <c r="B16" s="1578">
        <v>5031</v>
      </c>
      <c r="C16" s="1578">
        <v>32133019</v>
      </c>
      <c r="D16" s="1627" t="s">
        <v>1165</v>
      </c>
      <c r="E16" s="1580"/>
      <c r="F16" s="1580"/>
      <c r="G16" s="1580"/>
      <c r="H16" s="1581" t="e">
        <f t="shared" si="0"/>
        <v>#DIV/0!</v>
      </c>
    </row>
    <row r="17" spans="1:8" ht="30.75" hidden="1" thickTop="1" x14ac:dyDescent="0.2">
      <c r="A17" s="1577">
        <v>3299</v>
      </c>
      <c r="B17" s="1578">
        <v>5031</v>
      </c>
      <c r="C17" s="1578">
        <v>32533019</v>
      </c>
      <c r="D17" s="1627" t="s">
        <v>1165</v>
      </c>
      <c r="E17" s="1580"/>
      <c r="F17" s="1580"/>
      <c r="G17" s="1580"/>
      <c r="H17" s="1581" t="e">
        <f t="shared" si="0"/>
        <v>#DIV/0!</v>
      </c>
    </row>
    <row r="18" spans="1:8" ht="30.75" hidden="1" thickTop="1" x14ac:dyDescent="0.2">
      <c r="A18" s="1577">
        <v>3299</v>
      </c>
      <c r="B18" s="1578">
        <v>5032</v>
      </c>
      <c r="C18" s="1582">
        <v>32133019</v>
      </c>
      <c r="D18" s="1579" t="s">
        <v>1058</v>
      </c>
      <c r="E18" s="1580"/>
      <c r="F18" s="1580"/>
      <c r="G18" s="1580"/>
      <c r="H18" s="1581" t="e">
        <f t="shared" si="0"/>
        <v>#DIV/0!</v>
      </c>
    </row>
    <row r="19" spans="1:8" ht="30.75" hidden="1" thickTop="1" x14ac:dyDescent="0.2">
      <c r="A19" s="1577">
        <v>3299</v>
      </c>
      <c r="B19" s="1578">
        <v>5032</v>
      </c>
      <c r="C19" s="1582">
        <v>32533019</v>
      </c>
      <c r="D19" s="1579" t="s">
        <v>1058</v>
      </c>
      <c r="E19" s="1580"/>
      <c r="F19" s="1580"/>
      <c r="G19" s="1580"/>
      <c r="H19" s="1581" t="e">
        <f t="shared" si="0"/>
        <v>#DIV/0!</v>
      </c>
    </row>
    <row r="20" spans="1:8" ht="15.75" hidden="1" thickTop="1" x14ac:dyDescent="0.2">
      <c r="A20" s="1577">
        <v>3299</v>
      </c>
      <c r="B20" s="1578">
        <v>5137</v>
      </c>
      <c r="C20" s="1582">
        <v>32133019</v>
      </c>
      <c r="D20" s="1579" t="s">
        <v>142</v>
      </c>
      <c r="E20" s="1580"/>
      <c r="F20" s="1580"/>
      <c r="G20" s="1580"/>
      <c r="H20" s="1581">
        <v>0</v>
      </c>
    </row>
    <row r="21" spans="1:8" ht="15.75" hidden="1" thickTop="1" x14ac:dyDescent="0.2">
      <c r="A21" s="1577">
        <v>3299</v>
      </c>
      <c r="B21" s="1578">
        <v>5137</v>
      </c>
      <c r="C21" s="1582">
        <v>32533019</v>
      </c>
      <c r="D21" s="1579" t="s">
        <v>142</v>
      </c>
      <c r="E21" s="1580"/>
      <c r="F21" s="1580"/>
      <c r="G21" s="1580"/>
      <c r="H21" s="1581" t="e">
        <f t="shared" ref="H21:H35" si="1">G21/F21*100</f>
        <v>#DIV/0!</v>
      </c>
    </row>
    <row r="22" spans="1:8" ht="15.75" hidden="1" thickTop="1" x14ac:dyDescent="0.2">
      <c r="A22" s="1577">
        <v>3299</v>
      </c>
      <c r="B22" s="1578">
        <v>5139</v>
      </c>
      <c r="C22" s="1582">
        <v>32133019</v>
      </c>
      <c r="D22" s="1579" t="s">
        <v>249</v>
      </c>
      <c r="E22" s="1580"/>
      <c r="F22" s="1580"/>
      <c r="G22" s="1580"/>
      <c r="H22" s="1581" t="e">
        <f t="shared" si="1"/>
        <v>#DIV/0!</v>
      </c>
    </row>
    <row r="23" spans="1:8" ht="15.75" hidden="1" thickTop="1" x14ac:dyDescent="0.2">
      <c r="A23" s="1577">
        <v>3299</v>
      </c>
      <c r="B23" s="1578">
        <v>5139</v>
      </c>
      <c r="C23" s="1582">
        <v>32533019</v>
      </c>
      <c r="D23" s="1579" t="s">
        <v>249</v>
      </c>
      <c r="E23" s="1580"/>
      <c r="F23" s="1580"/>
      <c r="G23" s="1580"/>
      <c r="H23" s="1581" t="e">
        <f t="shared" si="1"/>
        <v>#DIV/0!</v>
      </c>
    </row>
    <row r="24" spans="1:8" ht="30.75" hidden="1" thickTop="1" x14ac:dyDescent="0.2">
      <c r="A24" s="1577">
        <v>3299</v>
      </c>
      <c r="B24" s="1578">
        <v>5168</v>
      </c>
      <c r="C24" s="1582">
        <v>32133019</v>
      </c>
      <c r="D24" s="1579" t="s">
        <v>1650</v>
      </c>
      <c r="E24" s="1580"/>
      <c r="F24" s="1580"/>
      <c r="G24" s="1580"/>
      <c r="H24" s="1581" t="e">
        <f t="shared" si="1"/>
        <v>#DIV/0!</v>
      </c>
    </row>
    <row r="25" spans="1:8" ht="30.75" hidden="1" thickTop="1" x14ac:dyDescent="0.2">
      <c r="A25" s="1577">
        <v>3299</v>
      </c>
      <c r="B25" s="1578">
        <v>5168</v>
      </c>
      <c r="C25" s="1582">
        <v>32533019</v>
      </c>
      <c r="D25" s="1579" t="s">
        <v>1650</v>
      </c>
      <c r="E25" s="1580"/>
      <c r="F25" s="1580"/>
      <c r="G25" s="1580"/>
      <c r="H25" s="1581" t="e">
        <f t="shared" si="1"/>
        <v>#DIV/0!</v>
      </c>
    </row>
    <row r="26" spans="1:8" ht="15.75" hidden="1" thickTop="1" x14ac:dyDescent="0.2">
      <c r="A26" s="1577">
        <v>3299</v>
      </c>
      <c r="B26" s="1578">
        <v>5169</v>
      </c>
      <c r="C26" s="1582">
        <v>32133019</v>
      </c>
      <c r="D26" s="1579" t="s">
        <v>769</v>
      </c>
      <c r="E26" s="1580"/>
      <c r="F26" s="1580"/>
      <c r="G26" s="1580"/>
      <c r="H26" s="1581" t="e">
        <f t="shared" si="1"/>
        <v>#DIV/0!</v>
      </c>
    </row>
    <row r="27" spans="1:8" ht="15.75" hidden="1" thickTop="1" x14ac:dyDescent="0.2">
      <c r="A27" s="1577">
        <v>3299</v>
      </c>
      <c r="B27" s="1578">
        <v>5169</v>
      </c>
      <c r="C27" s="1582">
        <v>32533019</v>
      </c>
      <c r="D27" s="1579" t="s">
        <v>769</v>
      </c>
      <c r="E27" s="1580"/>
      <c r="F27" s="1580"/>
      <c r="G27" s="1580"/>
      <c r="H27" s="1581" t="e">
        <f t="shared" si="1"/>
        <v>#DIV/0!</v>
      </c>
    </row>
    <row r="28" spans="1:8" ht="15.75" hidden="1" thickTop="1" x14ac:dyDescent="0.2">
      <c r="A28" s="1577">
        <v>3299</v>
      </c>
      <c r="B28" s="1578">
        <v>5175</v>
      </c>
      <c r="C28" s="1582">
        <v>32133019</v>
      </c>
      <c r="D28" s="1579" t="s">
        <v>605</v>
      </c>
      <c r="E28" s="1580"/>
      <c r="F28" s="1580"/>
      <c r="G28" s="1580"/>
      <c r="H28" s="1581" t="e">
        <f t="shared" si="1"/>
        <v>#DIV/0!</v>
      </c>
    </row>
    <row r="29" spans="1:8" ht="15.75" hidden="1" thickTop="1" x14ac:dyDescent="0.2">
      <c r="A29" s="1577">
        <v>3299</v>
      </c>
      <c r="B29" s="1578">
        <v>5175</v>
      </c>
      <c r="C29" s="1582">
        <v>32533019</v>
      </c>
      <c r="D29" s="1579" t="s">
        <v>605</v>
      </c>
      <c r="E29" s="1580"/>
      <c r="F29" s="1580"/>
      <c r="G29" s="1580"/>
      <c r="H29" s="1581" t="e">
        <f t="shared" si="1"/>
        <v>#DIV/0!</v>
      </c>
    </row>
    <row r="30" spans="1:8" ht="15.75" hidden="1" thickTop="1" x14ac:dyDescent="0.2">
      <c r="A30" s="1577">
        <v>3299</v>
      </c>
      <c r="B30" s="1578">
        <v>5901</v>
      </c>
      <c r="C30" s="1582">
        <v>0</v>
      </c>
      <c r="D30" s="1579" t="s">
        <v>547</v>
      </c>
      <c r="E30" s="1580"/>
      <c r="F30" s="1580"/>
      <c r="G30" s="1580"/>
      <c r="H30" s="1581" t="e">
        <f t="shared" si="1"/>
        <v>#DIV/0!</v>
      </c>
    </row>
    <row r="31" spans="1:8" ht="15.75" hidden="1" thickTop="1" x14ac:dyDescent="0.2">
      <c r="A31" s="1577">
        <v>3299</v>
      </c>
      <c r="B31" s="1578">
        <v>5901</v>
      </c>
      <c r="C31" s="1582">
        <v>32133019</v>
      </c>
      <c r="D31" s="1579" t="s">
        <v>547</v>
      </c>
      <c r="E31" s="1580"/>
      <c r="F31" s="1580"/>
      <c r="G31" s="1580"/>
      <c r="H31" s="1581" t="e">
        <f t="shared" si="1"/>
        <v>#DIV/0!</v>
      </c>
    </row>
    <row r="32" spans="1:8" ht="15.75" hidden="1" thickTop="1" x14ac:dyDescent="0.2">
      <c r="A32" s="1577">
        <v>3299</v>
      </c>
      <c r="B32" s="1578">
        <v>5901</v>
      </c>
      <c r="C32" s="1582">
        <v>32533019</v>
      </c>
      <c r="D32" s="1579" t="s">
        <v>547</v>
      </c>
      <c r="E32" s="1580"/>
      <c r="F32" s="1580"/>
      <c r="G32" s="1580"/>
      <c r="H32" s="1581" t="e">
        <f t="shared" si="1"/>
        <v>#DIV/0!</v>
      </c>
    </row>
    <row r="33" spans="1:12" ht="15.75" hidden="1" thickTop="1" x14ac:dyDescent="0.2">
      <c r="A33" s="1577">
        <v>3299</v>
      </c>
      <c r="B33" s="1578">
        <v>5323</v>
      </c>
      <c r="C33" s="1582">
        <v>32133019</v>
      </c>
      <c r="D33" s="1579" t="s">
        <v>203</v>
      </c>
      <c r="E33" s="1580"/>
      <c r="F33" s="1580"/>
      <c r="G33" s="1580"/>
      <c r="H33" s="1581" t="e">
        <f t="shared" si="1"/>
        <v>#DIV/0!</v>
      </c>
    </row>
    <row r="34" spans="1:12" ht="30.75" thickTop="1" x14ac:dyDescent="0.2">
      <c r="A34" s="1577">
        <v>6402</v>
      </c>
      <c r="B34" s="1578">
        <v>5364</v>
      </c>
      <c r="C34" s="2850" t="s">
        <v>1786</v>
      </c>
      <c r="D34" s="1579" t="s">
        <v>2104</v>
      </c>
      <c r="E34" s="1580">
        <v>0</v>
      </c>
      <c r="F34" s="1580">
        <v>291</v>
      </c>
      <c r="G34" s="1580">
        <v>291</v>
      </c>
      <c r="H34" s="1581">
        <f t="shared" si="1"/>
        <v>100</v>
      </c>
    </row>
    <row r="35" spans="1:12" ht="15" hidden="1" x14ac:dyDescent="0.2">
      <c r="A35" s="1577">
        <v>3636</v>
      </c>
      <c r="B35" s="1578">
        <v>6901</v>
      </c>
      <c r="C35" s="2850">
        <v>32533926</v>
      </c>
      <c r="D35" s="1579" t="s">
        <v>391</v>
      </c>
      <c r="E35" s="1580"/>
      <c r="F35" s="1580"/>
      <c r="G35" s="1580"/>
      <c r="H35" s="1581" t="e">
        <f t="shared" si="1"/>
        <v>#DIV/0!</v>
      </c>
    </row>
    <row r="36" spans="1:12" ht="15.75" thickBot="1" x14ac:dyDescent="0.25">
      <c r="A36" s="1577">
        <v>6330</v>
      </c>
      <c r="B36" s="1578">
        <v>5345</v>
      </c>
      <c r="C36" s="2850" t="s">
        <v>1760</v>
      </c>
      <c r="D36" s="1579" t="s">
        <v>693</v>
      </c>
      <c r="E36" s="1580">
        <v>0</v>
      </c>
      <c r="F36" s="1580">
        <v>0</v>
      </c>
      <c r="G36" s="1580">
        <v>291</v>
      </c>
      <c r="H36" s="1583">
        <v>0</v>
      </c>
    </row>
    <row r="37" spans="1:12" ht="16.5" thickTop="1" thickBot="1" x14ac:dyDescent="0.3">
      <c r="A37" s="3219" t="s">
        <v>690</v>
      </c>
      <c r="B37" s="3220"/>
      <c r="C37" s="3220"/>
      <c r="D37" s="3220"/>
      <c r="E37" s="1387">
        <f>SUM(E12:E35)</f>
        <v>0</v>
      </c>
      <c r="F37" s="1387">
        <f>SUM(F12:F36)</f>
        <v>291</v>
      </c>
      <c r="G37" s="1387">
        <f>SUM(G12:G36)</f>
        <v>582</v>
      </c>
      <c r="H37" s="1391">
        <f>G37/F37*100</f>
        <v>200</v>
      </c>
    </row>
    <row r="38" spans="1:12" ht="13.5" thickTop="1" x14ac:dyDescent="0.2"/>
    <row r="40" spans="1:12" ht="16.5" x14ac:dyDescent="0.25">
      <c r="A40" s="1605" t="s">
        <v>423</v>
      </c>
      <c r="B40" s="1606"/>
      <c r="C40" s="1607"/>
      <c r="D40" s="1608"/>
      <c r="E40" s="1609">
        <f>SUM(E41:E43)</f>
        <v>0</v>
      </c>
      <c r="F40" s="1609">
        <f>F41+F42+F43+F44</f>
        <v>291</v>
      </c>
      <c r="G40" s="1609">
        <f>G41+G42+G43+G44</f>
        <v>582</v>
      </c>
      <c r="H40" s="1610">
        <f>G40/F40*100</f>
        <v>200</v>
      </c>
      <c r="J40" s="1611">
        <f>J41+J42+J43</f>
        <v>0</v>
      </c>
      <c r="K40" s="1611">
        <f>K41+K42+K43</f>
        <v>290674.48</v>
      </c>
      <c r="L40" s="1611">
        <f>L41+L42+L43</f>
        <v>581339.96</v>
      </c>
    </row>
    <row r="41" spans="1:12" ht="15" x14ac:dyDescent="0.2">
      <c r="A41" s="1612" t="s">
        <v>242</v>
      </c>
      <c r="B41" s="1613"/>
      <c r="C41" s="1614"/>
      <c r="D41" s="1615"/>
      <c r="E41" s="1616">
        <f>+E12+E13+E14+E15+E16+E17+E18+E19+E20+E21+E22+E23+E26+E27+E28+E29+E31+E32+E33+E34+E24+E25</f>
        <v>0</v>
      </c>
      <c r="F41" s="1616">
        <f>+F12+F13+F14+F15+F16+F17+F18+F19+F20+F21+F22+F23+F26+F27+F28+F29+F31+F32+F33+F34+F24+F25</f>
        <v>291</v>
      </c>
      <c r="G41" s="1616">
        <f>+G12+G13+G14+G15+G16+G17+G18+G19+G20+G21+G22+G23+G26+G27+G28+G29+G31+G32+G33+G34+G24+G25</f>
        <v>291</v>
      </c>
      <c r="H41" s="1617">
        <f>G41/F41*100</f>
        <v>100</v>
      </c>
      <c r="J41" s="1618">
        <v>0</v>
      </c>
      <c r="K41" s="1618">
        <v>290674.48</v>
      </c>
      <c r="L41" s="1618">
        <f>290674.48-9</f>
        <v>290665.48</v>
      </c>
    </row>
    <row r="42" spans="1:12" ht="15" x14ac:dyDescent="0.2">
      <c r="A42" s="1612" t="s">
        <v>243</v>
      </c>
      <c r="B42" s="1619"/>
      <c r="C42" s="1614"/>
      <c r="D42" s="1620"/>
      <c r="E42" s="1616">
        <f>0</f>
        <v>0</v>
      </c>
      <c r="F42" s="1616">
        <f>0</f>
        <v>0</v>
      </c>
      <c r="G42" s="1616">
        <f>0</f>
        <v>0</v>
      </c>
      <c r="H42" s="1617">
        <v>0</v>
      </c>
      <c r="J42" s="1618">
        <v>0</v>
      </c>
      <c r="K42" s="1618">
        <v>0</v>
      </c>
      <c r="L42" s="1618">
        <v>0</v>
      </c>
    </row>
    <row r="43" spans="1:12" ht="15" x14ac:dyDescent="0.2">
      <c r="A43" s="1612" t="s">
        <v>424</v>
      </c>
      <c r="B43" s="1619"/>
      <c r="C43" s="1614"/>
      <c r="D43" s="1620"/>
      <c r="E43" s="1616">
        <f>+E36</f>
        <v>0</v>
      </c>
      <c r="F43" s="1616">
        <f>+F36</f>
        <v>0</v>
      </c>
      <c r="G43" s="1616">
        <f>+G36</f>
        <v>291</v>
      </c>
      <c r="H43" s="1617">
        <v>0</v>
      </c>
      <c r="J43" s="1618">
        <v>0</v>
      </c>
      <c r="K43" s="1618">
        <v>0</v>
      </c>
      <c r="L43" s="1618">
        <v>290674.48</v>
      </c>
    </row>
    <row r="44" spans="1:12" ht="16.5" customHeight="1" x14ac:dyDescent="0.2">
      <c r="A44" s="1612"/>
      <c r="B44" s="1619"/>
      <c r="C44" s="1614"/>
      <c r="D44" s="1620"/>
      <c r="E44" s="1616"/>
      <c r="F44" s="1616"/>
      <c r="G44" s="1616"/>
      <c r="H44" s="1621"/>
    </row>
    <row r="45" spans="1:12" ht="57.75" customHeight="1" thickBot="1" x14ac:dyDescent="0.4">
      <c r="A45" s="3222" t="s">
        <v>1252</v>
      </c>
      <c r="B45" s="3182"/>
      <c r="C45" s="3182"/>
      <c r="D45" s="3182"/>
      <c r="E45" s="1622">
        <f>SUM(E40)</f>
        <v>0</v>
      </c>
      <c r="F45" s="1622">
        <f>SUM(F40)</f>
        <v>291</v>
      </c>
      <c r="G45" s="1622">
        <f>SUM(G40)</f>
        <v>582</v>
      </c>
      <c r="H45" s="1623">
        <f>G45/F45*100</f>
        <v>200</v>
      </c>
    </row>
    <row r="46" spans="1:12" ht="13.5" thickTop="1" x14ac:dyDescent="0.2"/>
  </sheetData>
  <mergeCells count="3">
    <mergeCell ref="A8:H8"/>
    <mergeCell ref="A37:D37"/>
    <mergeCell ref="A45:D45"/>
  </mergeCells>
  <pageMargins left="0.70866141732283472" right="0.70866141732283472" top="0.78740157480314965" bottom="0.78740157480314965" header="0.31496062992125984" footer="0.31496062992125984"/>
  <pageSetup paperSize="9" scale="68" firstPageNumber="165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1"/>
  <sheetViews>
    <sheetView view="pageBreakPreview" zoomScaleNormal="100" zoomScaleSheetLayoutView="100" workbookViewId="0">
      <selection activeCell="D474" sqref="D474"/>
    </sheetView>
  </sheetViews>
  <sheetFormatPr defaultRowHeight="12.75" x14ac:dyDescent="0.2"/>
  <cols>
    <col min="1" max="1" width="4.7109375" style="1551" customWidth="1"/>
    <col min="2" max="2" width="6.7109375" style="1551" customWidth="1"/>
    <col min="3" max="3" width="10" style="1551" customWidth="1"/>
    <col min="4" max="4" width="47.85546875" style="1551" customWidth="1"/>
    <col min="5" max="5" width="15.42578125" style="1551" customWidth="1"/>
    <col min="6" max="6" width="15.5703125" style="1551" customWidth="1"/>
    <col min="7" max="7" width="15.85546875" style="1551" customWidth="1"/>
    <col min="8" max="8" width="8.85546875" style="1551" customWidth="1"/>
    <col min="9" max="10" width="9.140625" style="1551"/>
    <col min="11" max="12" width="14.7109375" style="1551" bestFit="1" customWidth="1"/>
    <col min="13" max="256" width="9.140625" style="1551"/>
    <col min="257" max="257" width="4.7109375" style="1551" customWidth="1"/>
    <col min="258" max="258" width="6.7109375" style="1551" customWidth="1"/>
    <col min="259" max="259" width="8.85546875" style="1551" customWidth="1"/>
    <col min="260" max="260" width="47.85546875" style="1551" customWidth="1"/>
    <col min="261" max="261" width="12.85546875" style="1551" customWidth="1"/>
    <col min="262" max="262" width="15.5703125" style="1551" customWidth="1"/>
    <col min="263" max="263" width="15.85546875" style="1551" customWidth="1"/>
    <col min="264" max="264" width="6.42578125" style="1551" customWidth="1"/>
    <col min="265" max="266" width="9.140625" style="1551"/>
    <col min="267" max="268" width="14.7109375" style="1551" bestFit="1" customWidth="1"/>
    <col min="269" max="512" width="9.140625" style="1551"/>
    <col min="513" max="513" width="4.7109375" style="1551" customWidth="1"/>
    <col min="514" max="514" width="6.7109375" style="1551" customWidth="1"/>
    <col min="515" max="515" width="8.85546875" style="1551" customWidth="1"/>
    <col min="516" max="516" width="47.85546875" style="1551" customWidth="1"/>
    <col min="517" max="517" width="12.85546875" style="1551" customWidth="1"/>
    <col min="518" max="518" width="15.5703125" style="1551" customWidth="1"/>
    <col min="519" max="519" width="15.85546875" style="1551" customWidth="1"/>
    <col min="520" max="520" width="6.42578125" style="1551" customWidth="1"/>
    <col min="521" max="522" width="9.140625" style="1551"/>
    <col min="523" max="524" width="14.7109375" style="1551" bestFit="1" customWidth="1"/>
    <col min="525" max="768" width="9.140625" style="1551"/>
    <col min="769" max="769" width="4.7109375" style="1551" customWidth="1"/>
    <col min="770" max="770" width="6.7109375" style="1551" customWidth="1"/>
    <col min="771" max="771" width="8.85546875" style="1551" customWidth="1"/>
    <col min="772" max="772" width="47.85546875" style="1551" customWidth="1"/>
    <col min="773" max="773" width="12.85546875" style="1551" customWidth="1"/>
    <col min="774" max="774" width="15.5703125" style="1551" customWidth="1"/>
    <col min="775" max="775" width="15.85546875" style="1551" customWidth="1"/>
    <col min="776" max="776" width="6.42578125" style="1551" customWidth="1"/>
    <col min="777" max="778" width="9.140625" style="1551"/>
    <col min="779" max="780" width="14.7109375" style="1551" bestFit="1" customWidth="1"/>
    <col min="781" max="1024" width="9.140625" style="1551"/>
    <col min="1025" max="1025" width="4.7109375" style="1551" customWidth="1"/>
    <col min="1026" max="1026" width="6.7109375" style="1551" customWidth="1"/>
    <col min="1027" max="1027" width="8.85546875" style="1551" customWidth="1"/>
    <col min="1028" max="1028" width="47.85546875" style="1551" customWidth="1"/>
    <col min="1029" max="1029" width="12.85546875" style="1551" customWidth="1"/>
    <col min="1030" max="1030" width="15.5703125" style="1551" customWidth="1"/>
    <col min="1031" max="1031" width="15.85546875" style="1551" customWidth="1"/>
    <col min="1032" max="1032" width="6.42578125" style="1551" customWidth="1"/>
    <col min="1033" max="1034" width="9.140625" style="1551"/>
    <col min="1035" max="1036" width="14.7109375" style="1551" bestFit="1" customWidth="1"/>
    <col min="1037" max="1280" width="9.140625" style="1551"/>
    <col min="1281" max="1281" width="4.7109375" style="1551" customWidth="1"/>
    <col min="1282" max="1282" width="6.7109375" style="1551" customWidth="1"/>
    <col min="1283" max="1283" width="8.85546875" style="1551" customWidth="1"/>
    <col min="1284" max="1284" width="47.85546875" style="1551" customWidth="1"/>
    <col min="1285" max="1285" width="12.85546875" style="1551" customWidth="1"/>
    <col min="1286" max="1286" width="15.5703125" style="1551" customWidth="1"/>
    <col min="1287" max="1287" width="15.85546875" style="1551" customWidth="1"/>
    <col min="1288" max="1288" width="6.42578125" style="1551" customWidth="1"/>
    <col min="1289" max="1290" width="9.140625" style="1551"/>
    <col min="1291" max="1292" width="14.7109375" style="1551" bestFit="1" customWidth="1"/>
    <col min="1293" max="1536" width="9.140625" style="1551"/>
    <col min="1537" max="1537" width="4.7109375" style="1551" customWidth="1"/>
    <col min="1538" max="1538" width="6.7109375" style="1551" customWidth="1"/>
    <col min="1539" max="1539" width="8.85546875" style="1551" customWidth="1"/>
    <col min="1540" max="1540" width="47.85546875" style="1551" customWidth="1"/>
    <col min="1541" max="1541" width="12.85546875" style="1551" customWidth="1"/>
    <col min="1542" max="1542" width="15.5703125" style="1551" customWidth="1"/>
    <col min="1543" max="1543" width="15.85546875" style="1551" customWidth="1"/>
    <col min="1544" max="1544" width="6.42578125" style="1551" customWidth="1"/>
    <col min="1545" max="1546" width="9.140625" style="1551"/>
    <col min="1547" max="1548" width="14.7109375" style="1551" bestFit="1" customWidth="1"/>
    <col min="1549" max="1792" width="9.140625" style="1551"/>
    <col min="1793" max="1793" width="4.7109375" style="1551" customWidth="1"/>
    <col min="1794" max="1794" width="6.7109375" style="1551" customWidth="1"/>
    <col min="1795" max="1795" width="8.85546875" style="1551" customWidth="1"/>
    <col min="1796" max="1796" width="47.85546875" style="1551" customWidth="1"/>
    <col min="1797" max="1797" width="12.85546875" style="1551" customWidth="1"/>
    <col min="1798" max="1798" width="15.5703125" style="1551" customWidth="1"/>
    <col min="1799" max="1799" width="15.85546875" style="1551" customWidth="1"/>
    <col min="1800" max="1800" width="6.42578125" style="1551" customWidth="1"/>
    <col min="1801" max="1802" width="9.140625" style="1551"/>
    <col min="1803" max="1804" width="14.7109375" style="1551" bestFit="1" customWidth="1"/>
    <col min="1805" max="2048" width="9.140625" style="1551"/>
    <col min="2049" max="2049" width="4.7109375" style="1551" customWidth="1"/>
    <col min="2050" max="2050" width="6.7109375" style="1551" customWidth="1"/>
    <col min="2051" max="2051" width="8.85546875" style="1551" customWidth="1"/>
    <col min="2052" max="2052" width="47.85546875" style="1551" customWidth="1"/>
    <col min="2053" max="2053" width="12.85546875" style="1551" customWidth="1"/>
    <col min="2054" max="2054" width="15.5703125" style="1551" customWidth="1"/>
    <col min="2055" max="2055" width="15.85546875" style="1551" customWidth="1"/>
    <col min="2056" max="2056" width="6.42578125" style="1551" customWidth="1"/>
    <col min="2057" max="2058" width="9.140625" style="1551"/>
    <col min="2059" max="2060" width="14.7109375" style="1551" bestFit="1" customWidth="1"/>
    <col min="2061" max="2304" width="9.140625" style="1551"/>
    <col min="2305" max="2305" width="4.7109375" style="1551" customWidth="1"/>
    <col min="2306" max="2306" width="6.7109375" style="1551" customWidth="1"/>
    <col min="2307" max="2307" width="8.85546875" style="1551" customWidth="1"/>
    <col min="2308" max="2308" width="47.85546875" style="1551" customWidth="1"/>
    <col min="2309" max="2309" width="12.85546875" style="1551" customWidth="1"/>
    <col min="2310" max="2310" width="15.5703125" style="1551" customWidth="1"/>
    <col min="2311" max="2311" width="15.85546875" style="1551" customWidth="1"/>
    <col min="2312" max="2312" width="6.42578125" style="1551" customWidth="1"/>
    <col min="2313" max="2314" width="9.140625" style="1551"/>
    <col min="2315" max="2316" width="14.7109375" style="1551" bestFit="1" customWidth="1"/>
    <col min="2317" max="2560" width="9.140625" style="1551"/>
    <col min="2561" max="2561" width="4.7109375" style="1551" customWidth="1"/>
    <col min="2562" max="2562" width="6.7109375" style="1551" customWidth="1"/>
    <col min="2563" max="2563" width="8.85546875" style="1551" customWidth="1"/>
    <col min="2564" max="2564" width="47.85546875" style="1551" customWidth="1"/>
    <col min="2565" max="2565" width="12.85546875" style="1551" customWidth="1"/>
    <col min="2566" max="2566" width="15.5703125" style="1551" customWidth="1"/>
    <col min="2567" max="2567" width="15.85546875" style="1551" customWidth="1"/>
    <col min="2568" max="2568" width="6.42578125" style="1551" customWidth="1"/>
    <col min="2569" max="2570" width="9.140625" style="1551"/>
    <col min="2571" max="2572" width="14.7109375" style="1551" bestFit="1" customWidth="1"/>
    <col min="2573" max="2816" width="9.140625" style="1551"/>
    <col min="2817" max="2817" width="4.7109375" style="1551" customWidth="1"/>
    <col min="2818" max="2818" width="6.7109375" style="1551" customWidth="1"/>
    <col min="2819" max="2819" width="8.85546875" style="1551" customWidth="1"/>
    <col min="2820" max="2820" width="47.85546875" style="1551" customWidth="1"/>
    <col min="2821" max="2821" width="12.85546875" style="1551" customWidth="1"/>
    <col min="2822" max="2822" width="15.5703125" style="1551" customWidth="1"/>
    <col min="2823" max="2823" width="15.85546875" style="1551" customWidth="1"/>
    <col min="2824" max="2824" width="6.42578125" style="1551" customWidth="1"/>
    <col min="2825" max="2826" width="9.140625" style="1551"/>
    <col min="2827" max="2828" width="14.7109375" style="1551" bestFit="1" customWidth="1"/>
    <col min="2829" max="3072" width="9.140625" style="1551"/>
    <col min="3073" max="3073" width="4.7109375" style="1551" customWidth="1"/>
    <col min="3074" max="3074" width="6.7109375" style="1551" customWidth="1"/>
    <col min="3075" max="3075" width="8.85546875" style="1551" customWidth="1"/>
    <col min="3076" max="3076" width="47.85546875" style="1551" customWidth="1"/>
    <col min="3077" max="3077" width="12.85546875" style="1551" customWidth="1"/>
    <col min="3078" max="3078" width="15.5703125" style="1551" customWidth="1"/>
    <col min="3079" max="3079" width="15.85546875" style="1551" customWidth="1"/>
    <col min="3080" max="3080" width="6.42578125" style="1551" customWidth="1"/>
    <col min="3081" max="3082" width="9.140625" style="1551"/>
    <col min="3083" max="3084" width="14.7109375" style="1551" bestFit="1" customWidth="1"/>
    <col min="3085" max="3328" width="9.140625" style="1551"/>
    <col min="3329" max="3329" width="4.7109375" style="1551" customWidth="1"/>
    <col min="3330" max="3330" width="6.7109375" style="1551" customWidth="1"/>
    <col min="3331" max="3331" width="8.85546875" style="1551" customWidth="1"/>
    <col min="3332" max="3332" width="47.85546875" style="1551" customWidth="1"/>
    <col min="3333" max="3333" width="12.85546875" style="1551" customWidth="1"/>
    <col min="3334" max="3334" width="15.5703125" style="1551" customWidth="1"/>
    <col min="3335" max="3335" width="15.85546875" style="1551" customWidth="1"/>
    <col min="3336" max="3336" width="6.42578125" style="1551" customWidth="1"/>
    <col min="3337" max="3338" width="9.140625" style="1551"/>
    <col min="3339" max="3340" width="14.7109375" style="1551" bestFit="1" customWidth="1"/>
    <col min="3341" max="3584" width="9.140625" style="1551"/>
    <col min="3585" max="3585" width="4.7109375" style="1551" customWidth="1"/>
    <col min="3586" max="3586" width="6.7109375" style="1551" customWidth="1"/>
    <col min="3587" max="3587" width="8.85546875" style="1551" customWidth="1"/>
    <col min="3588" max="3588" width="47.85546875" style="1551" customWidth="1"/>
    <col min="3589" max="3589" width="12.85546875" style="1551" customWidth="1"/>
    <col min="3590" max="3590" width="15.5703125" style="1551" customWidth="1"/>
    <col min="3591" max="3591" width="15.85546875" style="1551" customWidth="1"/>
    <col min="3592" max="3592" width="6.42578125" style="1551" customWidth="1"/>
    <col min="3593" max="3594" width="9.140625" style="1551"/>
    <col min="3595" max="3596" width="14.7109375" style="1551" bestFit="1" customWidth="1"/>
    <col min="3597" max="3840" width="9.140625" style="1551"/>
    <col min="3841" max="3841" width="4.7109375" style="1551" customWidth="1"/>
    <col min="3842" max="3842" width="6.7109375" style="1551" customWidth="1"/>
    <col min="3843" max="3843" width="8.85546875" style="1551" customWidth="1"/>
    <col min="3844" max="3844" width="47.85546875" style="1551" customWidth="1"/>
    <col min="3845" max="3845" width="12.85546875" style="1551" customWidth="1"/>
    <col min="3846" max="3846" width="15.5703125" style="1551" customWidth="1"/>
    <col min="3847" max="3847" width="15.85546875" style="1551" customWidth="1"/>
    <col min="3848" max="3848" width="6.42578125" style="1551" customWidth="1"/>
    <col min="3849" max="3850" width="9.140625" style="1551"/>
    <col min="3851" max="3852" width="14.7109375" style="1551" bestFit="1" customWidth="1"/>
    <col min="3853" max="4096" width="9.140625" style="1551"/>
    <col min="4097" max="4097" width="4.7109375" style="1551" customWidth="1"/>
    <col min="4098" max="4098" width="6.7109375" style="1551" customWidth="1"/>
    <col min="4099" max="4099" width="8.85546875" style="1551" customWidth="1"/>
    <col min="4100" max="4100" width="47.85546875" style="1551" customWidth="1"/>
    <col min="4101" max="4101" width="12.85546875" style="1551" customWidth="1"/>
    <col min="4102" max="4102" width="15.5703125" style="1551" customWidth="1"/>
    <col min="4103" max="4103" width="15.85546875" style="1551" customWidth="1"/>
    <col min="4104" max="4104" width="6.42578125" style="1551" customWidth="1"/>
    <col min="4105" max="4106" width="9.140625" style="1551"/>
    <col min="4107" max="4108" width="14.7109375" style="1551" bestFit="1" customWidth="1"/>
    <col min="4109" max="4352" width="9.140625" style="1551"/>
    <col min="4353" max="4353" width="4.7109375" style="1551" customWidth="1"/>
    <col min="4354" max="4354" width="6.7109375" style="1551" customWidth="1"/>
    <col min="4355" max="4355" width="8.85546875" style="1551" customWidth="1"/>
    <col min="4356" max="4356" width="47.85546875" style="1551" customWidth="1"/>
    <col min="4357" max="4357" width="12.85546875" style="1551" customWidth="1"/>
    <col min="4358" max="4358" width="15.5703125" style="1551" customWidth="1"/>
    <col min="4359" max="4359" width="15.85546875" style="1551" customWidth="1"/>
    <col min="4360" max="4360" width="6.42578125" style="1551" customWidth="1"/>
    <col min="4361" max="4362" width="9.140625" style="1551"/>
    <col min="4363" max="4364" width="14.7109375" style="1551" bestFit="1" customWidth="1"/>
    <col min="4365" max="4608" width="9.140625" style="1551"/>
    <col min="4609" max="4609" width="4.7109375" style="1551" customWidth="1"/>
    <col min="4610" max="4610" width="6.7109375" style="1551" customWidth="1"/>
    <col min="4611" max="4611" width="8.85546875" style="1551" customWidth="1"/>
    <col min="4612" max="4612" width="47.85546875" style="1551" customWidth="1"/>
    <col min="4613" max="4613" width="12.85546875" style="1551" customWidth="1"/>
    <col min="4614" max="4614" width="15.5703125" style="1551" customWidth="1"/>
    <col min="4615" max="4615" width="15.85546875" style="1551" customWidth="1"/>
    <col min="4616" max="4616" width="6.42578125" style="1551" customWidth="1"/>
    <col min="4617" max="4618" width="9.140625" style="1551"/>
    <col min="4619" max="4620" width="14.7109375" style="1551" bestFit="1" customWidth="1"/>
    <col min="4621" max="4864" width="9.140625" style="1551"/>
    <col min="4865" max="4865" width="4.7109375" style="1551" customWidth="1"/>
    <col min="4866" max="4866" width="6.7109375" style="1551" customWidth="1"/>
    <col min="4867" max="4867" width="8.85546875" style="1551" customWidth="1"/>
    <col min="4868" max="4868" width="47.85546875" style="1551" customWidth="1"/>
    <col min="4869" max="4869" width="12.85546875" style="1551" customWidth="1"/>
    <col min="4870" max="4870" width="15.5703125" style="1551" customWidth="1"/>
    <col min="4871" max="4871" width="15.85546875" style="1551" customWidth="1"/>
    <col min="4872" max="4872" width="6.42578125" style="1551" customWidth="1"/>
    <col min="4873" max="4874" width="9.140625" style="1551"/>
    <col min="4875" max="4876" width="14.7109375" style="1551" bestFit="1" customWidth="1"/>
    <col min="4877" max="5120" width="9.140625" style="1551"/>
    <col min="5121" max="5121" width="4.7109375" style="1551" customWidth="1"/>
    <col min="5122" max="5122" width="6.7109375" style="1551" customWidth="1"/>
    <col min="5123" max="5123" width="8.85546875" style="1551" customWidth="1"/>
    <col min="5124" max="5124" width="47.85546875" style="1551" customWidth="1"/>
    <col min="5125" max="5125" width="12.85546875" style="1551" customWidth="1"/>
    <col min="5126" max="5126" width="15.5703125" style="1551" customWidth="1"/>
    <col min="5127" max="5127" width="15.85546875" style="1551" customWidth="1"/>
    <col min="5128" max="5128" width="6.42578125" style="1551" customWidth="1"/>
    <col min="5129" max="5130" width="9.140625" style="1551"/>
    <col min="5131" max="5132" width="14.7109375" style="1551" bestFit="1" customWidth="1"/>
    <col min="5133" max="5376" width="9.140625" style="1551"/>
    <col min="5377" max="5377" width="4.7109375" style="1551" customWidth="1"/>
    <col min="5378" max="5378" width="6.7109375" style="1551" customWidth="1"/>
    <col min="5379" max="5379" width="8.85546875" style="1551" customWidth="1"/>
    <col min="5380" max="5380" width="47.85546875" style="1551" customWidth="1"/>
    <col min="5381" max="5381" width="12.85546875" style="1551" customWidth="1"/>
    <col min="5382" max="5382" width="15.5703125" style="1551" customWidth="1"/>
    <col min="5383" max="5383" width="15.85546875" style="1551" customWidth="1"/>
    <col min="5384" max="5384" width="6.42578125" style="1551" customWidth="1"/>
    <col min="5385" max="5386" width="9.140625" style="1551"/>
    <col min="5387" max="5388" width="14.7109375" style="1551" bestFit="1" customWidth="1"/>
    <col min="5389" max="5632" width="9.140625" style="1551"/>
    <col min="5633" max="5633" width="4.7109375" style="1551" customWidth="1"/>
    <col min="5634" max="5634" width="6.7109375" style="1551" customWidth="1"/>
    <col min="5635" max="5635" width="8.85546875" style="1551" customWidth="1"/>
    <col min="5636" max="5636" width="47.85546875" style="1551" customWidth="1"/>
    <col min="5637" max="5637" width="12.85546875" style="1551" customWidth="1"/>
    <col min="5638" max="5638" width="15.5703125" style="1551" customWidth="1"/>
    <col min="5639" max="5639" width="15.85546875" style="1551" customWidth="1"/>
    <col min="5640" max="5640" width="6.42578125" style="1551" customWidth="1"/>
    <col min="5641" max="5642" width="9.140625" style="1551"/>
    <col min="5643" max="5644" width="14.7109375" style="1551" bestFit="1" customWidth="1"/>
    <col min="5645" max="5888" width="9.140625" style="1551"/>
    <col min="5889" max="5889" width="4.7109375" style="1551" customWidth="1"/>
    <col min="5890" max="5890" width="6.7109375" style="1551" customWidth="1"/>
    <col min="5891" max="5891" width="8.85546875" style="1551" customWidth="1"/>
    <col min="5892" max="5892" width="47.85546875" style="1551" customWidth="1"/>
    <col min="5893" max="5893" width="12.85546875" style="1551" customWidth="1"/>
    <col min="5894" max="5894" width="15.5703125" style="1551" customWidth="1"/>
    <col min="5895" max="5895" width="15.85546875" style="1551" customWidth="1"/>
    <col min="5896" max="5896" width="6.42578125" style="1551" customWidth="1"/>
    <col min="5897" max="5898" width="9.140625" style="1551"/>
    <col min="5899" max="5900" width="14.7109375" style="1551" bestFit="1" customWidth="1"/>
    <col min="5901" max="6144" width="9.140625" style="1551"/>
    <col min="6145" max="6145" width="4.7109375" style="1551" customWidth="1"/>
    <col min="6146" max="6146" width="6.7109375" style="1551" customWidth="1"/>
    <col min="6147" max="6147" width="8.85546875" style="1551" customWidth="1"/>
    <col min="6148" max="6148" width="47.85546875" style="1551" customWidth="1"/>
    <col min="6149" max="6149" width="12.85546875" style="1551" customWidth="1"/>
    <col min="6150" max="6150" width="15.5703125" style="1551" customWidth="1"/>
    <col min="6151" max="6151" width="15.85546875" style="1551" customWidth="1"/>
    <col min="6152" max="6152" width="6.42578125" style="1551" customWidth="1"/>
    <col min="6153" max="6154" width="9.140625" style="1551"/>
    <col min="6155" max="6156" width="14.7109375" style="1551" bestFit="1" customWidth="1"/>
    <col min="6157" max="6400" width="9.140625" style="1551"/>
    <col min="6401" max="6401" width="4.7109375" style="1551" customWidth="1"/>
    <col min="6402" max="6402" width="6.7109375" style="1551" customWidth="1"/>
    <col min="6403" max="6403" width="8.85546875" style="1551" customWidth="1"/>
    <col min="6404" max="6404" width="47.85546875" style="1551" customWidth="1"/>
    <col min="6405" max="6405" width="12.85546875" style="1551" customWidth="1"/>
    <col min="6406" max="6406" width="15.5703125" style="1551" customWidth="1"/>
    <col min="6407" max="6407" width="15.85546875" style="1551" customWidth="1"/>
    <col min="6408" max="6408" width="6.42578125" style="1551" customWidth="1"/>
    <col min="6409" max="6410" width="9.140625" style="1551"/>
    <col min="6411" max="6412" width="14.7109375" style="1551" bestFit="1" customWidth="1"/>
    <col min="6413" max="6656" width="9.140625" style="1551"/>
    <col min="6657" max="6657" width="4.7109375" style="1551" customWidth="1"/>
    <col min="6658" max="6658" width="6.7109375" style="1551" customWidth="1"/>
    <col min="6659" max="6659" width="8.85546875" style="1551" customWidth="1"/>
    <col min="6660" max="6660" width="47.85546875" style="1551" customWidth="1"/>
    <col min="6661" max="6661" width="12.85546875" style="1551" customWidth="1"/>
    <col min="6662" max="6662" width="15.5703125" style="1551" customWidth="1"/>
    <col min="6663" max="6663" width="15.85546875" style="1551" customWidth="1"/>
    <col min="6664" max="6664" width="6.42578125" style="1551" customWidth="1"/>
    <col min="6665" max="6666" width="9.140625" style="1551"/>
    <col min="6667" max="6668" width="14.7109375" style="1551" bestFit="1" customWidth="1"/>
    <col min="6669" max="6912" width="9.140625" style="1551"/>
    <col min="6913" max="6913" width="4.7109375" style="1551" customWidth="1"/>
    <col min="6914" max="6914" width="6.7109375" style="1551" customWidth="1"/>
    <col min="6915" max="6915" width="8.85546875" style="1551" customWidth="1"/>
    <col min="6916" max="6916" width="47.85546875" style="1551" customWidth="1"/>
    <col min="6917" max="6917" width="12.85546875" style="1551" customWidth="1"/>
    <col min="6918" max="6918" width="15.5703125" style="1551" customWidth="1"/>
    <col min="6919" max="6919" width="15.85546875" style="1551" customWidth="1"/>
    <col min="6920" max="6920" width="6.42578125" style="1551" customWidth="1"/>
    <col min="6921" max="6922" width="9.140625" style="1551"/>
    <col min="6923" max="6924" width="14.7109375" style="1551" bestFit="1" customWidth="1"/>
    <col min="6925" max="7168" width="9.140625" style="1551"/>
    <col min="7169" max="7169" width="4.7109375" style="1551" customWidth="1"/>
    <col min="7170" max="7170" width="6.7109375" style="1551" customWidth="1"/>
    <col min="7171" max="7171" width="8.85546875" style="1551" customWidth="1"/>
    <col min="7172" max="7172" width="47.85546875" style="1551" customWidth="1"/>
    <col min="7173" max="7173" width="12.85546875" style="1551" customWidth="1"/>
    <col min="7174" max="7174" width="15.5703125" style="1551" customWidth="1"/>
    <col min="7175" max="7175" width="15.85546875" style="1551" customWidth="1"/>
    <col min="7176" max="7176" width="6.42578125" style="1551" customWidth="1"/>
    <col min="7177" max="7178" width="9.140625" style="1551"/>
    <col min="7179" max="7180" width="14.7109375" style="1551" bestFit="1" customWidth="1"/>
    <col min="7181" max="7424" width="9.140625" style="1551"/>
    <col min="7425" max="7425" width="4.7109375" style="1551" customWidth="1"/>
    <col min="7426" max="7426" width="6.7109375" style="1551" customWidth="1"/>
    <col min="7427" max="7427" width="8.85546875" style="1551" customWidth="1"/>
    <col min="7428" max="7428" width="47.85546875" style="1551" customWidth="1"/>
    <col min="7429" max="7429" width="12.85546875" style="1551" customWidth="1"/>
    <col min="7430" max="7430" width="15.5703125" style="1551" customWidth="1"/>
    <col min="7431" max="7431" width="15.85546875" style="1551" customWidth="1"/>
    <col min="7432" max="7432" width="6.42578125" style="1551" customWidth="1"/>
    <col min="7433" max="7434" width="9.140625" style="1551"/>
    <col min="7435" max="7436" width="14.7109375" style="1551" bestFit="1" customWidth="1"/>
    <col min="7437" max="7680" width="9.140625" style="1551"/>
    <col min="7681" max="7681" width="4.7109375" style="1551" customWidth="1"/>
    <col min="7682" max="7682" width="6.7109375" style="1551" customWidth="1"/>
    <col min="7683" max="7683" width="8.85546875" style="1551" customWidth="1"/>
    <col min="7684" max="7684" width="47.85546875" style="1551" customWidth="1"/>
    <col min="7685" max="7685" width="12.85546875" style="1551" customWidth="1"/>
    <col min="7686" max="7686" width="15.5703125" style="1551" customWidth="1"/>
    <col min="7687" max="7687" width="15.85546875" style="1551" customWidth="1"/>
    <col min="7688" max="7688" width="6.42578125" style="1551" customWidth="1"/>
    <col min="7689" max="7690" width="9.140625" style="1551"/>
    <col min="7691" max="7692" width="14.7109375" style="1551" bestFit="1" customWidth="1"/>
    <col min="7693" max="7936" width="9.140625" style="1551"/>
    <col min="7937" max="7937" width="4.7109375" style="1551" customWidth="1"/>
    <col min="7938" max="7938" width="6.7109375" style="1551" customWidth="1"/>
    <col min="7939" max="7939" width="8.85546875" style="1551" customWidth="1"/>
    <col min="7940" max="7940" width="47.85546875" style="1551" customWidth="1"/>
    <col min="7941" max="7941" width="12.85546875" style="1551" customWidth="1"/>
    <col min="7942" max="7942" width="15.5703125" style="1551" customWidth="1"/>
    <col min="7943" max="7943" width="15.85546875" style="1551" customWidth="1"/>
    <col min="7944" max="7944" width="6.42578125" style="1551" customWidth="1"/>
    <col min="7945" max="7946" width="9.140625" style="1551"/>
    <col min="7947" max="7948" width="14.7109375" style="1551" bestFit="1" customWidth="1"/>
    <col min="7949" max="8192" width="9.140625" style="1551"/>
    <col min="8193" max="8193" width="4.7109375" style="1551" customWidth="1"/>
    <col min="8194" max="8194" width="6.7109375" style="1551" customWidth="1"/>
    <col min="8195" max="8195" width="8.85546875" style="1551" customWidth="1"/>
    <col min="8196" max="8196" width="47.85546875" style="1551" customWidth="1"/>
    <col min="8197" max="8197" width="12.85546875" style="1551" customWidth="1"/>
    <col min="8198" max="8198" width="15.5703125" style="1551" customWidth="1"/>
    <col min="8199" max="8199" width="15.85546875" style="1551" customWidth="1"/>
    <col min="8200" max="8200" width="6.42578125" style="1551" customWidth="1"/>
    <col min="8201" max="8202" width="9.140625" style="1551"/>
    <col min="8203" max="8204" width="14.7109375" style="1551" bestFit="1" customWidth="1"/>
    <col min="8205" max="8448" width="9.140625" style="1551"/>
    <col min="8449" max="8449" width="4.7109375" style="1551" customWidth="1"/>
    <col min="8450" max="8450" width="6.7109375" style="1551" customWidth="1"/>
    <col min="8451" max="8451" width="8.85546875" style="1551" customWidth="1"/>
    <col min="8452" max="8452" width="47.85546875" style="1551" customWidth="1"/>
    <col min="8453" max="8453" width="12.85546875" style="1551" customWidth="1"/>
    <col min="8454" max="8454" width="15.5703125" style="1551" customWidth="1"/>
    <col min="8455" max="8455" width="15.85546875" style="1551" customWidth="1"/>
    <col min="8456" max="8456" width="6.42578125" style="1551" customWidth="1"/>
    <col min="8457" max="8458" width="9.140625" style="1551"/>
    <col min="8459" max="8460" width="14.7109375" style="1551" bestFit="1" customWidth="1"/>
    <col min="8461" max="8704" width="9.140625" style="1551"/>
    <col min="8705" max="8705" width="4.7109375" style="1551" customWidth="1"/>
    <col min="8706" max="8706" width="6.7109375" style="1551" customWidth="1"/>
    <col min="8707" max="8707" width="8.85546875" style="1551" customWidth="1"/>
    <col min="8708" max="8708" width="47.85546875" style="1551" customWidth="1"/>
    <col min="8709" max="8709" width="12.85546875" style="1551" customWidth="1"/>
    <col min="8710" max="8710" width="15.5703125" style="1551" customWidth="1"/>
    <col min="8711" max="8711" width="15.85546875" style="1551" customWidth="1"/>
    <col min="8712" max="8712" width="6.42578125" style="1551" customWidth="1"/>
    <col min="8713" max="8714" width="9.140625" style="1551"/>
    <col min="8715" max="8716" width="14.7109375" style="1551" bestFit="1" customWidth="1"/>
    <col min="8717" max="8960" width="9.140625" style="1551"/>
    <col min="8961" max="8961" width="4.7109375" style="1551" customWidth="1"/>
    <col min="8962" max="8962" width="6.7109375" style="1551" customWidth="1"/>
    <col min="8963" max="8963" width="8.85546875" style="1551" customWidth="1"/>
    <col min="8964" max="8964" width="47.85546875" style="1551" customWidth="1"/>
    <col min="8965" max="8965" width="12.85546875" style="1551" customWidth="1"/>
    <col min="8966" max="8966" width="15.5703125" style="1551" customWidth="1"/>
    <col min="8967" max="8967" width="15.85546875" style="1551" customWidth="1"/>
    <col min="8968" max="8968" width="6.42578125" style="1551" customWidth="1"/>
    <col min="8969" max="8970" width="9.140625" style="1551"/>
    <col min="8971" max="8972" width="14.7109375" style="1551" bestFit="1" customWidth="1"/>
    <col min="8973" max="9216" width="9.140625" style="1551"/>
    <col min="9217" max="9217" width="4.7109375" style="1551" customWidth="1"/>
    <col min="9218" max="9218" width="6.7109375" style="1551" customWidth="1"/>
    <col min="9219" max="9219" width="8.85546875" style="1551" customWidth="1"/>
    <col min="9220" max="9220" width="47.85546875" style="1551" customWidth="1"/>
    <col min="9221" max="9221" width="12.85546875" style="1551" customWidth="1"/>
    <col min="9222" max="9222" width="15.5703125" style="1551" customWidth="1"/>
    <col min="9223" max="9223" width="15.85546875" style="1551" customWidth="1"/>
    <col min="9224" max="9224" width="6.42578125" style="1551" customWidth="1"/>
    <col min="9225" max="9226" width="9.140625" style="1551"/>
    <col min="9227" max="9228" width="14.7109375" style="1551" bestFit="1" customWidth="1"/>
    <col min="9229" max="9472" width="9.140625" style="1551"/>
    <col min="9473" max="9473" width="4.7109375" style="1551" customWidth="1"/>
    <col min="9474" max="9474" width="6.7109375" style="1551" customWidth="1"/>
    <col min="9475" max="9475" width="8.85546875" style="1551" customWidth="1"/>
    <col min="9476" max="9476" width="47.85546875" style="1551" customWidth="1"/>
    <col min="9477" max="9477" width="12.85546875" style="1551" customWidth="1"/>
    <col min="9478" max="9478" width="15.5703125" style="1551" customWidth="1"/>
    <col min="9479" max="9479" width="15.85546875" style="1551" customWidth="1"/>
    <col min="9480" max="9480" width="6.42578125" style="1551" customWidth="1"/>
    <col min="9481" max="9482" width="9.140625" style="1551"/>
    <col min="9483" max="9484" width="14.7109375" style="1551" bestFit="1" customWidth="1"/>
    <col min="9485" max="9728" width="9.140625" style="1551"/>
    <col min="9729" max="9729" width="4.7109375" style="1551" customWidth="1"/>
    <col min="9730" max="9730" width="6.7109375" style="1551" customWidth="1"/>
    <col min="9731" max="9731" width="8.85546875" style="1551" customWidth="1"/>
    <col min="9732" max="9732" width="47.85546875" style="1551" customWidth="1"/>
    <col min="9733" max="9733" width="12.85546875" style="1551" customWidth="1"/>
    <col min="9734" max="9734" width="15.5703125" style="1551" customWidth="1"/>
    <col min="9735" max="9735" width="15.85546875" style="1551" customWidth="1"/>
    <col min="9736" max="9736" width="6.42578125" style="1551" customWidth="1"/>
    <col min="9737" max="9738" width="9.140625" style="1551"/>
    <col min="9739" max="9740" width="14.7109375" style="1551" bestFit="1" customWidth="1"/>
    <col min="9741" max="9984" width="9.140625" style="1551"/>
    <col min="9985" max="9985" width="4.7109375" style="1551" customWidth="1"/>
    <col min="9986" max="9986" width="6.7109375" style="1551" customWidth="1"/>
    <col min="9987" max="9987" width="8.85546875" style="1551" customWidth="1"/>
    <col min="9988" max="9988" width="47.85546875" style="1551" customWidth="1"/>
    <col min="9989" max="9989" width="12.85546875" style="1551" customWidth="1"/>
    <col min="9990" max="9990" width="15.5703125" style="1551" customWidth="1"/>
    <col min="9991" max="9991" width="15.85546875" style="1551" customWidth="1"/>
    <col min="9992" max="9992" width="6.42578125" style="1551" customWidth="1"/>
    <col min="9993" max="9994" width="9.140625" style="1551"/>
    <col min="9995" max="9996" width="14.7109375" style="1551" bestFit="1" customWidth="1"/>
    <col min="9997" max="10240" width="9.140625" style="1551"/>
    <col min="10241" max="10241" width="4.7109375" style="1551" customWidth="1"/>
    <col min="10242" max="10242" width="6.7109375" style="1551" customWidth="1"/>
    <col min="10243" max="10243" width="8.85546875" style="1551" customWidth="1"/>
    <col min="10244" max="10244" width="47.85546875" style="1551" customWidth="1"/>
    <col min="10245" max="10245" width="12.85546875" style="1551" customWidth="1"/>
    <col min="10246" max="10246" width="15.5703125" style="1551" customWidth="1"/>
    <col min="10247" max="10247" width="15.85546875" style="1551" customWidth="1"/>
    <col min="10248" max="10248" width="6.42578125" style="1551" customWidth="1"/>
    <col min="10249" max="10250" width="9.140625" style="1551"/>
    <col min="10251" max="10252" width="14.7109375" style="1551" bestFit="1" customWidth="1"/>
    <col min="10253" max="10496" width="9.140625" style="1551"/>
    <col min="10497" max="10497" width="4.7109375" style="1551" customWidth="1"/>
    <col min="10498" max="10498" width="6.7109375" style="1551" customWidth="1"/>
    <col min="10499" max="10499" width="8.85546875" style="1551" customWidth="1"/>
    <col min="10500" max="10500" width="47.85546875" style="1551" customWidth="1"/>
    <col min="10501" max="10501" width="12.85546875" style="1551" customWidth="1"/>
    <col min="10502" max="10502" width="15.5703125" style="1551" customWidth="1"/>
    <col min="10503" max="10503" width="15.85546875" style="1551" customWidth="1"/>
    <col min="10504" max="10504" width="6.42578125" style="1551" customWidth="1"/>
    <col min="10505" max="10506" width="9.140625" style="1551"/>
    <col min="10507" max="10508" width="14.7109375" style="1551" bestFit="1" customWidth="1"/>
    <col min="10509" max="10752" width="9.140625" style="1551"/>
    <col min="10753" max="10753" width="4.7109375" style="1551" customWidth="1"/>
    <col min="10754" max="10754" width="6.7109375" style="1551" customWidth="1"/>
    <col min="10755" max="10755" width="8.85546875" style="1551" customWidth="1"/>
    <col min="10756" max="10756" width="47.85546875" style="1551" customWidth="1"/>
    <col min="10757" max="10757" width="12.85546875" style="1551" customWidth="1"/>
    <col min="10758" max="10758" width="15.5703125" style="1551" customWidth="1"/>
    <col min="10759" max="10759" width="15.85546875" style="1551" customWidth="1"/>
    <col min="10760" max="10760" width="6.42578125" style="1551" customWidth="1"/>
    <col min="10761" max="10762" width="9.140625" style="1551"/>
    <col min="10763" max="10764" width="14.7109375" style="1551" bestFit="1" customWidth="1"/>
    <col min="10765" max="11008" width="9.140625" style="1551"/>
    <col min="11009" max="11009" width="4.7109375" style="1551" customWidth="1"/>
    <col min="11010" max="11010" width="6.7109375" style="1551" customWidth="1"/>
    <col min="11011" max="11011" width="8.85546875" style="1551" customWidth="1"/>
    <col min="11012" max="11012" width="47.85546875" style="1551" customWidth="1"/>
    <col min="11013" max="11013" width="12.85546875" style="1551" customWidth="1"/>
    <col min="11014" max="11014" width="15.5703125" style="1551" customWidth="1"/>
    <col min="11015" max="11015" width="15.85546875" style="1551" customWidth="1"/>
    <col min="11016" max="11016" width="6.42578125" style="1551" customWidth="1"/>
    <col min="11017" max="11018" width="9.140625" style="1551"/>
    <col min="11019" max="11020" width="14.7109375" style="1551" bestFit="1" customWidth="1"/>
    <col min="11021" max="11264" width="9.140625" style="1551"/>
    <col min="11265" max="11265" width="4.7109375" style="1551" customWidth="1"/>
    <col min="11266" max="11266" width="6.7109375" style="1551" customWidth="1"/>
    <col min="11267" max="11267" width="8.85546875" style="1551" customWidth="1"/>
    <col min="11268" max="11268" width="47.85546875" style="1551" customWidth="1"/>
    <col min="11269" max="11269" width="12.85546875" style="1551" customWidth="1"/>
    <col min="11270" max="11270" width="15.5703125" style="1551" customWidth="1"/>
    <col min="11271" max="11271" width="15.85546875" style="1551" customWidth="1"/>
    <col min="11272" max="11272" width="6.42578125" style="1551" customWidth="1"/>
    <col min="11273" max="11274" width="9.140625" style="1551"/>
    <col min="11275" max="11276" width="14.7109375" style="1551" bestFit="1" customWidth="1"/>
    <col min="11277" max="11520" width="9.140625" style="1551"/>
    <col min="11521" max="11521" width="4.7109375" style="1551" customWidth="1"/>
    <col min="11522" max="11522" width="6.7109375" style="1551" customWidth="1"/>
    <col min="11523" max="11523" width="8.85546875" style="1551" customWidth="1"/>
    <col min="11524" max="11524" width="47.85546875" style="1551" customWidth="1"/>
    <col min="11525" max="11525" width="12.85546875" style="1551" customWidth="1"/>
    <col min="11526" max="11526" width="15.5703125" style="1551" customWidth="1"/>
    <col min="11527" max="11527" width="15.85546875" style="1551" customWidth="1"/>
    <col min="11528" max="11528" width="6.42578125" style="1551" customWidth="1"/>
    <col min="11529" max="11530" width="9.140625" style="1551"/>
    <col min="11531" max="11532" width="14.7109375" style="1551" bestFit="1" customWidth="1"/>
    <col min="11533" max="11776" width="9.140625" style="1551"/>
    <col min="11777" max="11777" width="4.7109375" style="1551" customWidth="1"/>
    <col min="11778" max="11778" width="6.7109375" style="1551" customWidth="1"/>
    <col min="11779" max="11779" width="8.85546875" style="1551" customWidth="1"/>
    <col min="11780" max="11780" width="47.85546875" style="1551" customWidth="1"/>
    <col min="11781" max="11781" width="12.85546875" style="1551" customWidth="1"/>
    <col min="11782" max="11782" width="15.5703125" style="1551" customWidth="1"/>
    <col min="11783" max="11783" width="15.85546875" style="1551" customWidth="1"/>
    <col min="11784" max="11784" width="6.42578125" style="1551" customWidth="1"/>
    <col min="11785" max="11786" width="9.140625" style="1551"/>
    <col min="11787" max="11788" width="14.7109375" style="1551" bestFit="1" customWidth="1"/>
    <col min="11789" max="12032" width="9.140625" style="1551"/>
    <col min="12033" max="12033" width="4.7109375" style="1551" customWidth="1"/>
    <col min="12034" max="12034" width="6.7109375" style="1551" customWidth="1"/>
    <col min="12035" max="12035" width="8.85546875" style="1551" customWidth="1"/>
    <col min="12036" max="12036" width="47.85546875" style="1551" customWidth="1"/>
    <col min="12037" max="12037" width="12.85546875" style="1551" customWidth="1"/>
    <col min="12038" max="12038" width="15.5703125" style="1551" customWidth="1"/>
    <col min="12039" max="12039" width="15.85546875" style="1551" customWidth="1"/>
    <col min="12040" max="12040" width="6.42578125" style="1551" customWidth="1"/>
    <col min="12041" max="12042" width="9.140625" style="1551"/>
    <col min="12043" max="12044" width="14.7109375" style="1551" bestFit="1" customWidth="1"/>
    <col min="12045" max="12288" width="9.140625" style="1551"/>
    <col min="12289" max="12289" width="4.7109375" style="1551" customWidth="1"/>
    <col min="12290" max="12290" width="6.7109375" style="1551" customWidth="1"/>
    <col min="12291" max="12291" width="8.85546875" style="1551" customWidth="1"/>
    <col min="12292" max="12292" width="47.85546875" style="1551" customWidth="1"/>
    <col min="12293" max="12293" width="12.85546875" style="1551" customWidth="1"/>
    <col min="12294" max="12294" width="15.5703125" style="1551" customWidth="1"/>
    <col min="12295" max="12295" width="15.85546875" style="1551" customWidth="1"/>
    <col min="12296" max="12296" width="6.42578125" style="1551" customWidth="1"/>
    <col min="12297" max="12298" width="9.140625" style="1551"/>
    <col min="12299" max="12300" width="14.7109375" style="1551" bestFit="1" customWidth="1"/>
    <col min="12301" max="12544" width="9.140625" style="1551"/>
    <col min="12545" max="12545" width="4.7109375" style="1551" customWidth="1"/>
    <col min="12546" max="12546" width="6.7109375" style="1551" customWidth="1"/>
    <col min="12547" max="12547" width="8.85546875" style="1551" customWidth="1"/>
    <col min="12548" max="12548" width="47.85546875" style="1551" customWidth="1"/>
    <col min="12549" max="12549" width="12.85546875" style="1551" customWidth="1"/>
    <col min="12550" max="12550" width="15.5703125" style="1551" customWidth="1"/>
    <col min="12551" max="12551" width="15.85546875" style="1551" customWidth="1"/>
    <col min="12552" max="12552" width="6.42578125" style="1551" customWidth="1"/>
    <col min="12553" max="12554" width="9.140625" style="1551"/>
    <col min="12555" max="12556" width="14.7109375" style="1551" bestFit="1" customWidth="1"/>
    <col min="12557" max="12800" width="9.140625" style="1551"/>
    <col min="12801" max="12801" width="4.7109375" style="1551" customWidth="1"/>
    <col min="12802" max="12802" width="6.7109375" style="1551" customWidth="1"/>
    <col min="12803" max="12803" width="8.85546875" style="1551" customWidth="1"/>
    <col min="12804" max="12804" width="47.85546875" style="1551" customWidth="1"/>
    <col min="12805" max="12805" width="12.85546875" style="1551" customWidth="1"/>
    <col min="12806" max="12806" width="15.5703125" style="1551" customWidth="1"/>
    <col min="12807" max="12807" width="15.85546875" style="1551" customWidth="1"/>
    <col min="12808" max="12808" width="6.42578125" style="1551" customWidth="1"/>
    <col min="12809" max="12810" width="9.140625" style="1551"/>
    <col min="12811" max="12812" width="14.7109375" style="1551" bestFit="1" customWidth="1"/>
    <col min="12813" max="13056" width="9.140625" style="1551"/>
    <col min="13057" max="13057" width="4.7109375" style="1551" customWidth="1"/>
    <col min="13058" max="13058" width="6.7109375" style="1551" customWidth="1"/>
    <col min="13059" max="13059" width="8.85546875" style="1551" customWidth="1"/>
    <col min="13060" max="13060" width="47.85546875" style="1551" customWidth="1"/>
    <col min="13061" max="13061" width="12.85546875" style="1551" customWidth="1"/>
    <col min="13062" max="13062" width="15.5703125" style="1551" customWidth="1"/>
    <col min="13063" max="13063" width="15.85546875" style="1551" customWidth="1"/>
    <col min="13064" max="13064" width="6.42578125" style="1551" customWidth="1"/>
    <col min="13065" max="13066" width="9.140625" style="1551"/>
    <col min="13067" max="13068" width="14.7109375" style="1551" bestFit="1" customWidth="1"/>
    <col min="13069" max="13312" width="9.140625" style="1551"/>
    <col min="13313" max="13313" width="4.7109375" style="1551" customWidth="1"/>
    <col min="13314" max="13314" width="6.7109375" style="1551" customWidth="1"/>
    <col min="13315" max="13315" width="8.85546875" style="1551" customWidth="1"/>
    <col min="13316" max="13316" width="47.85546875" style="1551" customWidth="1"/>
    <col min="13317" max="13317" width="12.85546875" style="1551" customWidth="1"/>
    <col min="13318" max="13318" width="15.5703125" style="1551" customWidth="1"/>
    <col min="13319" max="13319" width="15.85546875" style="1551" customWidth="1"/>
    <col min="13320" max="13320" width="6.42578125" style="1551" customWidth="1"/>
    <col min="13321" max="13322" width="9.140625" style="1551"/>
    <col min="13323" max="13324" width="14.7109375" style="1551" bestFit="1" customWidth="1"/>
    <col min="13325" max="13568" width="9.140625" style="1551"/>
    <col min="13569" max="13569" width="4.7109375" style="1551" customWidth="1"/>
    <col min="13570" max="13570" width="6.7109375" style="1551" customWidth="1"/>
    <col min="13571" max="13571" width="8.85546875" style="1551" customWidth="1"/>
    <col min="13572" max="13572" width="47.85546875" style="1551" customWidth="1"/>
    <col min="13573" max="13573" width="12.85546875" style="1551" customWidth="1"/>
    <col min="13574" max="13574" width="15.5703125" style="1551" customWidth="1"/>
    <col min="13575" max="13575" width="15.85546875" style="1551" customWidth="1"/>
    <col min="13576" max="13576" width="6.42578125" style="1551" customWidth="1"/>
    <col min="13577" max="13578" width="9.140625" style="1551"/>
    <col min="13579" max="13580" width="14.7109375" style="1551" bestFit="1" customWidth="1"/>
    <col min="13581" max="13824" width="9.140625" style="1551"/>
    <col min="13825" max="13825" width="4.7109375" style="1551" customWidth="1"/>
    <col min="13826" max="13826" width="6.7109375" style="1551" customWidth="1"/>
    <col min="13827" max="13827" width="8.85546875" style="1551" customWidth="1"/>
    <col min="13828" max="13828" width="47.85546875" style="1551" customWidth="1"/>
    <col min="13829" max="13829" width="12.85546875" style="1551" customWidth="1"/>
    <col min="13830" max="13830" width="15.5703125" style="1551" customWidth="1"/>
    <col min="13831" max="13831" width="15.85546875" style="1551" customWidth="1"/>
    <col min="13832" max="13832" width="6.42578125" style="1551" customWidth="1"/>
    <col min="13833" max="13834" width="9.140625" style="1551"/>
    <col min="13835" max="13836" width="14.7109375" style="1551" bestFit="1" customWidth="1"/>
    <col min="13837" max="14080" width="9.140625" style="1551"/>
    <col min="14081" max="14081" width="4.7109375" style="1551" customWidth="1"/>
    <col min="14082" max="14082" width="6.7109375" style="1551" customWidth="1"/>
    <col min="14083" max="14083" width="8.85546875" style="1551" customWidth="1"/>
    <col min="14084" max="14084" width="47.85546875" style="1551" customWidth="1"/>
    <col min="14085" max="14085" width="12.85546875" style="1551" customWidth="1"/>
    <col min="14086" max="14086" width="15.5703125" style="1551" customWidth="1"/>
    <col min="14087" max="14087" width="15.85546875" style="1551" customWidth="1"/>
    <col min="14088" max="14088" width="6.42578125" style="1551" customWidth="1"/>
    <col min="14089" max="14090" width="9.140625" style="1551"/>
    <col min="14091" max="14092" width="14.7109375" style="1551" bestFit="1" customWidth="1"/>
    <col min="14093" max="14336" width="9.140625" style="1551"/>
    <col min="14337" max="14337" width="4.7109375" style="1551" customWidth="1"/>
    <col min="14338" max="14338" width="6.7109375" style="1551" customWidth="1"/>
    <col min="14339" max="14339" width="8.85546875" style="1551" customWidth="1"/>
    <col min="14340" max="14340" width="47.85546875" style="1551" customWidth="1"/>
    <col min="14341" max="14341" width="12.85546875" style="1551" customWidth="1"/>
    <col min="14342" max="14342" width="15.5703125" style="1551" customWidth="1"/>
    <col min="14343" max="14343" width="15.85546875" style="1551" customWidth="1"/>
    <col min="14344" max="14344" width="6.42578125" style="1551" customWidth="1"/>
    <col min="14345" max="14346" width="9.140625" style="1551"/>
    <col min="14347" max="14348" width="14.7109375" style="1551" bestFit="1" customWidth="1"/>
    <col min="14349" max="14592" width="9.140625" style="1551"/>
    <col min="14593" max="14593" width="4.7109375" style="1551" customWidth="1"/>
    <col min="14594" max="14594" width="6.7109375" style="1551" customWidth="1"/>
    <col min="14595" max="14595" width="8.85546875" style="1551" customWidth="1"/>
    <col min="14596" max="14596" width="47.85546875" style="1551" customWidth="1"/>
    <col min="14597" max="14597" width="12.85546875" style="1551" customWidth="1"/>
    <col min="14598" max="14598" width="15.5703125" style="1551" customWidth="1"/>
    <col min="14599" max="14599" width="15.85546875" style="1551" customWidth="1"/>
    <col min="14600" max="14600" width="6.42578125" style="1551" customWidth="1"/>
    <col min="14601" max="14602" width="9.140625" style="1551"/>
    <col min="14603" max="14604" width="14.7109375" style="1551" bestFit="1" customWidth="1"/>
    <col min="14605" max="14848" width="9.140625" style="1551"/>
    <col min="14849" max="14849" width="4.7109375" style="1551" customWidth="1"/>
    <col min="14850" max="14850" width="6.7109375" style="1551" customWidth="1"/>
    <col min="14851" max="14851" width="8.85546875" style="1551" customWidth="1"/>
    <col min="14852" max="14852" width="47.85546875" style="1551" customWidth="1"/>
    <col min="14853" max="14853" width="12.85546875" style="1551" customWidth="1"/>
    <col min="14854" max="14854" width="15.5703125" style="1551" customWidth="1"/>
    <col min="14855" max="14855" width="15.85546875" style="1551" customWidth="1"/>
    <col min="14856" max="14856" width="6.42578125" style="1551" customWidth="1"/>
    <col min="14857" max="14858" width="9.140625" style="1551"/>
    <col min="14859" max="14860" width="14.7109375" style="1551" bestFit="1" customWidth="1"/>
    <col min="14861" max="15104" width="9.140625" style="1551"/>
    <col min="15105" max="15105" width="4.7109375" style="1551" customWidth="1"/>
    <col min="15106" max="15106" width="6.7109375" style="1551" customWidth="1"/>
    <col min="15107" max="15107" width="8.85546875" style="1551" customWidth="1"/>
    <col min="15108" max="15108" width="47.85546875" style="1551" customWidth="1"/>
    <col min="15109" max="15109" width="12.85546875" style="1551" customWidth="1"/>
    <col min="15110" max="15110" width="15.5703125" style="1551" customWidth="1"/>
    <col min="15111" max="15111" width="15.85546875" style="1551" customWidth="1"/>
    <col min="15112" max="15112" width="6.42578125" style="1551" customWidth="1"/>
    <col min="15113" max="15114" width="9.140625" style="1551"/>
    <col min="15115" max="15116" width="14.7109375" style="1551" bestFit="1" customWidth="1"/>
    <col min="15117" max="15360" width="9.140625" style="1551"/>
    <col min="15361" max="15361" width="4.7109375" style="1551" customWidth="1"/>
    <col min="15362" max="15362" width="6.7109375" style="1551" customWidth="1"/>
    <col min="15363" max="15363" width="8.85546875" style="1551" customWidth="1"/>
    <col min="15364" max="15364" width="47.85546875" style="1551" customWidth="1"/>
    <col min="15365" max="15365" width="12.85546875" style="1551" customWidth="1"/>
    <col min="15366" max="15366" width="15.5703125" style="1551" customWidth="1"/>
    <col min="15367" max="15367" width="15.85546875" style="1551" customWidth="1"/>
    <col min="15368" max="15368" width="6.42578125" style="1551" customWidth="1"/>
    <col min="15369" max="15370" width="9.140625" style="1551"/>
    <col min="15371" max="15372" width="14.7109375" style="1551" bestFit="1" customWidth="1"/>
    <col min="15373" max="15616" width="9.140625" style="1551"/>
    <col min="15617" max="15617" width="4.7109375" style="1551" customWidth="1"/>
    <col min="15618" max="15618" width="6.7109375" style="1551" customWidth="1"/>
    <col min="15619" max="15619" width="8.85546875" style="1551" customWidth="1"/>
    <col min="15620" max="15620" width="47.85546875" style="1551" customWidth="1"/>
    <col min="15621" max="15621" width="12.85546875" style="1551" customWidth="1"/>
    <col min="15622" max="15622" width="15.5703125" style="1551" customWidth="1"/>
    <col min="15623" max="15623" width="15.85546875" style="1551" customWidth="1"/>
    <col min="15624" max="15624" width="6.42578125" style="1551" customWidth="1"/>
    <col min="15625" max="15626" width="9.140625" style="1551"/>
    <col min="15627" max="15628" width="14.7109375" style="1551" bestFit="1" customWidth="1"/>
    <col min="15629" max="15872" width="9.140625" style="1551"/>
    <col min="15873" max="15873" width="4.7109375" style="1551" customWidth="1"/>
    <col min="15874" max="15874" width="6.7109375" style="1551" customWidth="1"/>
    <col min="15875" max="15875" width="8.85546875" style="1551" customWidth="1"/>
    <col min="15876" max="15876" width="47.85546875" style="1551" customWidth="1"/>
    <col min="15877" max="15877" width="12.85546875" style="1551" customWidth="1"/>
    <col min="15878" max="15878" width="15.5703125" style="1551" customWidth="1"/>
    <col min="15879" max="15879" width="15.85546875" style="1551" customWidth="1"/>
    <col min="15880" max="15880" width="6.42578125" style="1551" customWidth="1"/>
    <col min="15881" max="15882" width="9.140625" style="1551"/>
    <col min="15883" max="15884" width="14.7109375" style="1551" bestFit="1" customWidth="1"/>
    <col min="15885" max="16128" width="9.140625" style="1551"/>
    <col min="16129" max="16129" width="4.7109375" style="1551" customWidth="1"/>
    <col min="16130" max="16130" width="6.7109375" style="1551" customWidth="1"/>
    <col min="16131" max="16131" width="8.85546875" style="1551" customWidth="1"/>
    <col min="16132" max="16132" width="47.85546875" style="1551" customWidth="1"/>
    <col min="16133" max="16133" width="12.85546875" style="1551" customWidth="1"/>
    <col min="16134" max="16134" width="15.5703125" style="1551" customWidth="1"/>
    <col min="16135" max="16135" width="15.85546875" style="1551" customWidth="1"/>
    <col min="16136" max="16136" width="6.42578125" style="1551" customWidth="1"/>
    <col min="16137" max="16138" width="9.140625" style="1551"/>
    <col min="16139" max="16140" width="14.7109375" style="1551" bestFit="1" customWidth="1"/>
    <col min="16141" max="16384" width="9.140625" style="1551"/>
  </cols>
  <sheetData>
    <row r="1" spans="1:8" ht="18.75" thickBot="1" x14ac:dyDescent="0.3">
      <c r="A1" s="1443" t="s">
        <v>1260</v>
      </c>
      <c r="B1" s="1546"/>
      <c r="C1" s="1547"/>
      <c r="D1" s="1548"/>
      <c r="E1" s="1549"/>
      <c r="F1" s="1548"/>
      <c r="G1" s="1550"/>
      <c r="H1" s="1545"/>
    </row>
    <row r="2" spans="1:8" ht="18" x14ac:dyDescent="0.25">
      <c r="A2" s="1552"/>
      <c r="B2" s="1553"/>
      <c r="C2" s="1553"/>
      <c r="D2" s="1553"/>
      <c r="E2" s="1553"/>
      <c r="F2" s="1553"/>
      <c r="G2" s="1553"/>
      <c r="H2" s="1554" t="s">
        <v>1259</v>
      </c>
    </row>
    <row r="3" spans="1:8" ht="18" x14ac:dyDescent="0.25">
      <c r="A3" s="1555" t="s">
        <v>336</v>
      </c>
      <c r="B3" s="1553"/>
      <c r="C3" s="2852" t="s">
        <v>2009</v>
      </c>
      <c r="D3" s="1553"/>
      <c r="E3" s="1553"/>
      <c r="F3" s="1553"/>
      <c r="G3" s="1553"/>
      <c r="H3" s="1554"/>
    </row>
    <row r="4" spans="1:8" ht="18" x14ac:dyDescent="0.25">
      <c r="A4" s="1552"/>
      <c r="B4" s="1553"/>
      <c r="C4" s="2852" t="s">
        <v>1450</v>
      </c>
      <c r="D4" s="1553"/>
      <c r="E4" s="1553"/>
      <c r="F4" s="1553"/>
      <c r="G4" s="1553"/>
      <c r="H4" s="1554"/>
    </row>
    <row r="5" spans="1:8" ht="18" x14ac:dyDescent="0.25">
      <c r="A5" s="1375" t="s">
        <v>1258</v>
      </c>
      <c r="B5" s="1553"/>
      <c r="C5" s="1553"/>
      <c r="D5" s="1553"/>
      <c r="E5" s="1553"/>
      <c r="F5" s="1553"/>
      <c r="G5" s="1553"/>
      <c r="H5" s="1554"/>
    </row>
    <row r="6" spans="1:8" x14ac:dyDescent="0.2">
      <c r="A6" s="1558"/>
      <c r="B6" s="1558"/>
      <c r="C6" s="1558"/>
      <c r="E6" s="1559"/>
      <c r="F6" s="1559"/>
      <c r="G6" s="1559"/>
    </row>
    <row r="7" spans="1:8" ht="15.75" thickBot="1" x14ac:dyDescent="0.3">
      <c r="A7" s="1544" t="s">
        <v>229</v>
      </c>
      <c r="B7" s="1558"/>
      <c r="C7" s="1558"/>
      <c r="E7" s="1559"/>
      <c r="F7" s="1559"/>
      <c r="G7" s="1559"/>
      <c r="H7" s="1560" t="s">
        <v>148</v>
      </c>
    </row>
    <row r="8" spans="1:8" ht="25.5" thickTop="1" thickBot="1" x14ac:dyDescent="0.25">
      <c r="A8" s="1378" t="s">
        <v>149</v>
      </c>
      <c r="B8" s="1379" t="s">
        <v>688</v>
      </c>
      <c r="C8" s="1379" t="s">
        <v>345</v>
      </c>
      <c r="D8" s="1380" t="s">
        <v>151</v>
      </c>
      <c r="E8" s="1402" t="s">
        <v>569</v>
      </c>
      <c r="F8" s="1402" t="s">
        <v>570</v>
      </c>
      <c r="G8" s="1403" t="s">
        <v>797</v>
      </c>
      <c r="H8" s="1404" t="s">
        <v>798</v>
      </c>
    </row>
    <row r="9" spans="1:8" ht="14.25" thickTop="1" thickBot="1" x14ac:dyDescent="0.25">
      <c r="A9" s="1297">
        <v>1</v>
      </c>
      <c r="B9" s="1296">
        <v>2</v>
      </c>
      <c r="C9" s="1296">
        <v>3</v>
      </c>
      <c r="D9" s="1296">
        <v>4</v>
      </c>
      <c r="E9" s="1295">
        <v>5</v>
      </c>
      <c r="F9" s="1295">
        <v>6</v>
      </c>
      <c r="G9" s="1446">
        <v>7</v>
      </c>
      <c r="H9" s="1468" t="s">
        <v>54</v>
      </c>
    </row>
    <row r="10" spans="1:8" ht="15.75" thickTop="1" x14ac:dyDescent="0.2">
      <c r="A10" s="1572">
        <v>3299</v>
      </c>
      <c r="B10" s="1573">
        <v>5011</v>
      </c>
      <c r="C10" s="2851" t="s">
        <v>2106</v>
      </c>
      <c r="D10" s="1574" t="s">
        <v>189</v>
      </c>
      <c r="E10" s="1575">
        <v>0</v>
      </c>
      <c r="F10" s="1575">
        <v>628</v>
      </c>
      <c r="G10" s="1575">
        <v>535</v>
      </c>
      <c r="H10" s="1576">
        <f t="shared" ref="H10:H27" si="0">G10/F10*100</f>
        <v>85.191082802547768</v>
      </c>
    </row>
    <row r="11" spans="1:8" ht="15" x14ac:dyDescent="0.2">
      <c r="A11" s="1577">
        <v>3299</v>
      </c>
      <c r="B11" s="1578">
        <v>5011</v>
      </c>
      <c r="C11" s="1629" t="s">
        <v>2105</v>
      </c>
      <c r="D11" s="1579" t="s">
        <v>189</v>
      </c>
      <c r="E11" s="1580">
        <v>0</v>
      </c>
      <c r="F11" s="1580">
        <v>3560</v>
      </c>
      <c r="G11" s="1580">
        <v>3033</v>
      </c>
      <c r="H11" s="1581">
        <f t="shared" si="0"/>
        <v>85.196629213483149</v>
      </c>
    </row>
    <row r="12" spans="1:8" ht="30" x14ac:dyDescent="0.2">
      <c r="A12" s="1577">
        <v>3299</v>
      </c>
      <c r="B12" s="1578">
        <v>5031</v>
      </c>
      <c r="C12" s="1629" t="s">
        <v>2106</v>
      </c>
      <c r="D12" s="1579" t="s">
        <v>1165</v>
      </c>
      <c r="E12" s="1580">
        <v>0</v>
      </c>
      <c r="F12" s="1580">
        <v>157</v>
      </c>
      <c r="G12" s="1580">
        <v>134</v>
      </c>
      <c r="H12" s="1581">
        <f t="shared" si="0"/>
        <v>85.350318471337587</v>
      </c>
    </row>
    <row r="13" spans="1:8" ht="30" x14ac:dyDescent="0.2">
      <c r="A13" s="1577">
        <v>3299</v>
      </c>
      <c r="B13" s="1578">
        <v>5031</v>
      </c>
      <c r="C13" s="1629" t="s">
        <v>2105</v>
      </c>
      <c r="D13" s="1579" t="s">
        <v>1165</v>
      </c>
      <c r="E13" s="1580">
        <v>0</v>
      </c>
      <c r="F13" s="1580">
        <v>890</v>
      </c>
      <c r="G13" s="1580">
        <v>757</v>
      </c>
      <c r="H13" s="1581">
        <f t="shared" si="0"/>
        <v>85.056179775280896</v>
      </c>
    </row>
    <row r="14" spans="1:8" ht="30" x14ac:dyDescent="0.2">
      <c r="A14" s="1577">
        <v>3299</v>
      </c>
      <c r="B14" s="1578">
        <v>5032</v>
      </c>
      <c r="C14" s="1629" t="s">
        <v>2106</v>
      </c>
      <c r="D14" s="1579" t="s">
        <v>1058</v>
      </c>
      <c r="E14" s="1580">
        <v>0</v>
      </c>
      <c r="F14" s="1580">
        <v>57</v>
      </c>
      <c r="G14" s="1580">
        <v>48</v>
      </c>
      <c r="H14" s="1581">
        <f t="shared" si="0"/>
        <v>84.210526315789465</v>
      </c>
    </row>
    <row r="15" spans="1:8" ht="30" x14ac:dyDescent="0.2">
      <c r="A15" s="1577">
        <v>3299</v>
      </c>
      <c r="B15" s="1578">
        <v>5032</v>
      </c>
      <c r="C15" s="1629" t="s">
        <v>2105</v>
      </c>
      <c r="D15" s="1579" t="s">
        <v>1058</v>
      </c>
      <c r="E15" s="1580">
        <v>0</v>
      </c>
      <c r="F15" s="1580">
        <v>320</v>
      </c>
      <c r="G15" s="1580">
        <v>273</v>
      </c>
      <c r="H15" s="1581">
        <f t="shared" si="0"/>
        <v>85.3125</v>
      </c>
    </row>
    <row r="16" spans="1:8" ht="15" hidden="1" x14ac:dyDescent="0.2">
      <c r="A16" s="1577">
        <v>3299</v>
      </c>
      <c r="B16" s="1578">
        <v>5137</v>
      </c>
      <c r="C16" s="2850">
        <v>32133007</v>
      </c>
      <c r="D16" s="1579" t="s">
        <v>142</v>
      </c>
      <c r="E16" s="1580"/>
      <c r="F16" s="1580"/>
      <c r="G16" s="1580"/>
      <c r="H16" s="1581" t="e">
        <f t="shared" si="0"/>
        <v>#DIV/0!</v>
      </c>
    </row>
    <row r="17" spans="1:9" ht="15" hidden="1" x14ac:dyDescent="0.2">
      <c r="A17" s="1577">
        <v>3299</v>
      </c>
      <c r="B17" s="1578">
        <v>5137</v>
      </c>
      <c r="C17" s="2850">
        <v>32533007</v>
      </c>
      <c r="D17" s="1579" t="s">
        <v>142</v>
      </c>
      <c r="E17" s="1580"/>
      <c r="F17" s="1580"/>
      <c r="G17" s="1580"/>
      <c r="H17" s="1581" t="e">
        <f t="shared" si="0"/>
        <v>#DIV/0!</v>
      </c>
    </row>
    <row r="18" spans="1:9" ht="15" x14ac:dyDescent="0.2">
      <c r="A18" s="1577">
        <v>3299</v>
      </c>
      <c r="B18" s="1578">
        <v>5163</v>
      </c>
      <c r="C18" s="2850" t="s">
        <v>2106</v>
      </c>
      <c r="D18" s="1579" t="s">
        <v>807</v>
      </c>
      <c r="E18" s="1580">
        <v>0</v>
      </c>
      <c r="F18" s="1580">
        <v>1</v>
      </c>
      <c r="G18" s="1580">
        <v>0</v>
      </c>
      <c r="H18" s="1581">
        <f t="shared" si="0"/>
        <v>0</v>
      </c>
    </row>
    <row r="19" spans="1:9" ht="15" x14ac:dyDescent="0.2">
      <c r="A19" s="1577">
        <v>3299</v>
      </c>
      <c r="B19" s="1578">
        <v>5163</v>
      </c>
      <c r="C19" s="2850" t="s">
        <v>2105</v>
      </c>
      <c r="D19" s="1579" t="s">
        <v>807</v>
      </c>
      <c r="E19" s="1580">
        <v>0</v>
      </c>
      <c r="F19" s="1580">
        <v>4</v>
      </c>
      <c r="G19" s="1580">
        <v>2</v>
      </c>
      <c r="H19" s="1581">
        <f t="shared" si="0"/>
        <v>50</v>
      </c>
    </row>
    <row r="20" spans="1:9" ht="15" hidden="1" x14ac:dyDescent="0.2">
      <c r="A20" s="1577">
        <v>3299</v>
      </c>
      <c r="B20" s="1578">
        <v>5164</v>
      </c>
      <c r="C20" s="2850">
        <v>32133007</v>
      </c>
      <c r="D20" s="1579" t="s">
        <v>157</v>
      </c>
      <c r="E20" s="1580"/>
      <c r="F20" s="1580"/>
      <c r="G20" s="1580"/>
      <c r="H20" s="1581" t="e">
        <f t="shared" si="0"/>
        <v>#DIV/0!</v>
      </c>
    </row>
    <row r="21" spans="1:9" ht="15" hidden="1" x14ac:dyDescent="0.2">
      <c r="A21" s="1577">
        <v>3299</v>
      </c>
      <c r="B21" s="1578">
        <v>5164</v>
      </c>
      <c r="C21" s="2850">
        <v>32533007</v>
      </c>
      <c r="D21" s="1579" t="s">
        <v>157</v>
      </c>
      <c r="E21" s="1580"/>
      <c r="F21" s="1580"/>
      <c r="G21" s="1580"/>
      <c r="H21" s="1581" t="e">
        <f t="shared" si="0"/>
        <v>#DIV/0!</v>
      </c>
    </row>
    <row r="22" spans="1:9" ht="15" x14ac:dyDescent="0.2">
      <c r="A22" s="1577">
        <v>3299</v>
      </c>
      <c r="B22" s="1578">
        <v>5166</v>
      </c>
      <c r="C22" s="2850" t="s">
        <v>2106</v>
      </c>
      <c r="D22" s="1579" t="s">
        <v>553</v>
      </c>
      <c r="E22" s="1580">
        <v>0</v>
      </c>
      <c r="F22" s="1580">
        <v>15</v>
      </c>
      <c r="G22" s="1580">
        <v>15</v>
      </c>
      <c r="H22" s="1581">
        <f t="shared" si="0"/>
        <v>100</v>
      </c>
    </row>
    <row r="23" spans="1:9" ht="15" x14ac:dyDescent="0.2">
      <c r="A23" s="1577">
        <v>3299</v>
      </c>
      <c r="B23" s="1578">
        <v>5166</v>
      </c>
      <c r="C23" s="2850" t="s">
        <v>2105</v>
      </c>
      <c r="D23" s="1579" t="s">
        <v>553</v>
      </c>
      <c r="E23" s="1580">
        <v>0</v>
      </c>
      <c r="F23" s="1580">
        <v>82</v>
      </c>
      <c r="G23" s="1580">
        <v>82</v>
      </c>
      <c r="H23" s="1581">
        <f t="shared" si="0"/>
        <v>100</v>
      </c>
    </row>
    <row r="24" spans="1:9" ht="15" x14ac:dyDescent="0.2">
      <c r="A24" s="1577">
        <v>3299</v>
      </c>
      <c r="B24" s="1578">
        <v>5167</v>
      </c>
      <c r="C24" s="2850" t="s">
        <v>2106</v>
      </c>
      <c r="D24" s="1579" t="s">
        <v>810</v>
      </c>
      <c r="E24" s="1580">
        <v>0</v>
      </c>
      <c r="F24" s="1580">
        <v>11</v>
      </c>
      <c r="G24" s="1580">
        <v>11</v>
      </c>
      <c r="H24" s="1581">
        <f t="shared" si="0"/>
        <v>100</v>
      </c>
    </row>
    <row r="25" spans="1:9" ht="15" x14ac:dyDescent="0.2">
      <c r="A25" s="1577">
        <v>3299</v>
      </c>
      <c r="B25" s="1578">
        <v>5167</v>
      </c>
      <c r="C25" s="2850" t="s">
        <v>2105</v>
      </c>
      <c r="D25" s="1579" t="s">
        <v>810</v>
      </c>
      <c r="E25" s="1580">
        <v>0</v>
      </c>
      <c r="F25" s="1580">
        <v>64</v>
      </c>
      <c r="G25" s="1580">
        <v>60</v>
      </c>
      <c r="H25" s="1581">
        <f t="shared" si="0"/>
        <v>93.75</v>
      </c>
    </row>
    <row r="26" spans="1:9" ht="15" hidden="1" x14ac:dyDescent="0.2">
      <c r="A26" s="1577">
        <v>3299</v>
      </c>
      <c r="B26" s="1578">
        <v>5175</v>
      </c>
      <c r="C26" s="2850" t="s">
        <v>2106</v>
      </c>
      <c r="D26" s="1579" t="s">
        <v>605</v>
      </c>
      <c r="E26" s="1580"/>
      <c r="F26" s="1580"/>
      <c r="G26" s="1580"/>
      <c r="H26" s="1581" t="e">
        <f t="shared" si="0"/>
        <v>#DIV/0!</v>
      </c>
    </row>
    <row r="27" spans="1:9" ht="15" hidden="1" x14ac:dyDescent="0.2">
      <c r="A27" s="1577">
        <v>3299</v>
      </c>
      <c r="B27" s="1578">
        <v>5175</v>
      </c>
      <c r="C27" s="2850" t="s">
        <v>2105</v>
      </c>
      <c r="D27" s="1579" t="s">
        <v>605</v>
      </c>
      <c r="E27" s="1580"/>
      <c r="F27" s="1580"/>
      <c r="G27" s="1580"/>
      <c r="H27" s="1581" t="e">
        <f t="shared" si="0"/>
        <v>#DIV/0!</v>
      </c>
    </row>
    <row r="28" spans="1:9" s="1553" customFormat="1" ht="15.75" thickBot="1" x14ac:dyDescent="0.3">
      <c r="A28" s="1628">
        <v>6330</v>
      </c>
      <c r="B28" s="1599">
        <v>5345</v>
      </c>
      <c r="C28" s="1629" t="s">
        <v>1760</v>
      </c>
      <c r="D28" s="1600" t="s">
        <v>693</v>
      </c>
      <c r="E28" s="1630">
        <v>0</v>
      </c>
      <c r="F28" s="1630">
        <v>0</v>
      </c>
      <c r="G28" s="1630">
        <v>2752</v>
      </c>
      <c r="H28" s="1583">
        <v>0</v>
      </c>
    </row>
    <row r="29" spans="1:9" ht="16.5" thickTop="1" thickBot="1" x14ac:dyDescent="0.3">
      <c r="A29" s="3219" t="s">
        <v>690</v>
      </c>
      <c r="B29" s="3220"/>
      <c r="C29" s="3220"/>
      <c r="D29" s="3220"/>
      <c r="E29" s="1387">
        <f>SUM(E10:E27)</f>
        <v>0</v>
      </c>
      <c r="F29" s="1387">
        <f>SUM(F10:F28)</f>
        <v>5789</v>
      </c>
      <c r="G29" s="1387">
        <f>SUM(G10:G28)</f>
        <v>7702</v>
      </c>
      <c r="H29" s="1391">
        <f>G29/F29*100</f>
        <v>133.04543098980827</v>
      </c>
    </row>
    <row r="30" spans="1:9" ht="13.5" thickTop="1" x14ac:dyDescent="0.2"/>
    <row r="31" spans="1:9" ht="15" x14ac:dyDescent="0.25">
      <c r="A31" s="1544"/>
      <c r="B31" s="1558"/>
      <c r="C31" s="1558"/>
      <c r="D31" s="1558"/>
      <c r="F31" s="1559"/>
      <c r="G31" s="1559"/>
      <c r="H31" s="1560"/>
      <c r="I31" s="1631"/>
    </row>
    <row r="35" spans="1:12" ht="16.5" x14ac:dyDescent="0.25">
      <c r="A35" s="1605" t="s">
        <v>423</v>
      </c>
      <c r="B35" s="1606"/>
      <c r="C35" s="1607"/>
      <c r="D35" s="1608"/>
      <c r="E35" s="1609">
        <f>SUM(E36:E38)</f>
        <v>0</v>
      </c>
      <c r="F35" s="1609">
        <f>F36+F37+F38+F39</f>
        <v>5789</v>
      </c>
      <c r="G35" s="1609">
        <f>G36+G37+G38+G39</f>
        <v>7702</v>
      </c>
      <c r="H35" s="1610">
        <f>G35/F35*100</f>
        <v>133.04543098980827</v>
      </c>
      <c r="J35" s="1611">
        <f>J36+J37+J38</f>
        <v>0</v>
      </c>
      <c r="K35" s="1611">
        <f>K36+K37+K38</f>
        <v>5788601.1100000003</v>
      </c>
      <c r="L35" s="1611">
        <f>L36+L37+L38</f>
        <v>7701616.5600000005</v>
      </c>
    </row>
    <row r="36" spans="1:12" ht="15" x14ac:dyDescent="0.2">
      <c r="A36" s="1612" t="s">
        <v>242</v>
      </c>
      <c r="B36" s="1613"/>
      <c r="C36" s="1614"/>
      <c r="D36" s="1615"/>
      <c r="E36" s="1616">
        <f>E10+E11+E12+E13+E14+E15+E16+E17+E18+E19+E20+E21+E22+E23+E24+E25+E26+E27</f>
        <v>0</v>
      </c>
      <c r="F36" s="1616">
        <f>F10+F11+F12+F13+F14+F15+F16+F17+F18+F19+F20+F21+F22+F23+F24+F25+F26+F27</f>
        <v>5789</v>
      </c>
      <c r="G36" s="1616">
        <f>G10+G11+G12+G13+G14+G15+G16+G17+G18+G19+G20+G21+G22+G23+G24+G25+G26+G27</f>
        <v>4950</v>
      </c>
      <c r="H36" s="1617">
        <f>G36/F36*100</f>
        <v>85.506996026947661</v>
      </c>
      <c r="J36" s="1618">
        <v>0</v>
      </c>
      <c r="K36" s="1618">
        <v>5788601.1100000003</v>
      </c>
      <c r="L36" s="1618">
        <v>4949535.1900000004</v>
      </c>
    </row>
    <row r="37" spans="1:12" ht="15" x14ac:dyDescent="0.2">
      <c r="A37" s="1612" t="s">
        <v>243</v>
      </c>
      <c r="B37" s="1619"/>
      <c r="C37" s="1614"/>
      <c r="D37" s="1620"/>
      <c r="E37" s="1616">
        <v>0</v>
      </c>
      <c r="F37" s="1616">
        <v>0</v>
      </c>
      <c r="G37" s="1616">
        <v>0</v>
      </c>
      <c r="H37" s="1617">
        <v>0</v>
      </c>
      <c r="J37" s="1618">
        <v>0</v>
      </c>
      <c r="K37" s="1618">
        <v>0</v>
      </c>
      <c r="L37" s="1618">
        <v>0</v>
      </c>
    </row>
    <row r="38" spans="1:12" ht="15" x14ac:dyDescent="0.2">
      <c r="A38" s="1612" t="s">
        <v>424</v>
      </c>
      <c r="B38" s="1619"/>
      <c r="C38" s="1614"/>
      <c r="D38" s="1620"/>
      <c r="E38" s="1616">
        <v>0</v>
      </c>
      <c r="F38" s="1616">
        <v>0</v>
      </c>
      <c r="G38" s="1616">
        <f>G28</f>
        <v>2752</v>
      </c>
      <c r="H38" s="1617">
        <v>0</v>
      </c>
      <c r="J38" s="1618">
        <v>0</v>
      </c>
      <c r="K38" s="1618">
        <v>0</v>
      </c>
      <c r="L38" s="1618">
        <v>2752081.37</v>
      </c>
    </row>
    <row r="39" spans="1:12" ht="16.5" customHeight="1" x14ac:dyDescent="0.2">
      <c r="A39" s="1612"/>
      <c r="B39" s="1619"/>
      <c r="C39" s="1614"/>
      <c r="D39" s="1620"/>
      <c r="E39" s="1616"/>
      <c r="F39" s="1616"/>
      <c r="G39" s="1616"/>
      <c r="H39" s="1621"/>
    </row>
    <row r="40" spans="1:12" ht="69.75" customHeight="1" thickBot="1" x14ac:dyDescent="0.4">
      <c r="A40" s="3222" t="s">
        <v>1257</v>
      </c>
      <c r="B40" s="3182"/>
      <c r="C40" s="3182"/>
      <c r="D40" s="3182"/>
      <c r="E40" s="1622">
        <f>SUM(E35)</f>
        <v>0</v>
      </c>
      <c r="F40" s="1622">
        <f>SUM(F35)</f>
        <v>5789</v>
      </c>
      <c r="G40" s="1622">
        <f>SUM(G35)</f>
        <v>7702</v>
      </c>
      <c r="H40" s="1623">
        <f>G40/F40*100</f>
        <v>133.04543098980827</v>
      </c>
    </row>
    <row r="41" spans="1:12" ht="13.5" thickTop="1" x14ac:dyDescent="0.2"/>
  </sheetData>
  <mergeCells count="2">
    <mergeCell ref="A29:D29"/>
    <mergeCell ref="A40:D40"/>
  </mergeCells>
  <pageMargins left="0.70866141732283472" right="0.70866141732283472" top="0.78740157480314965" bottom="0.78740157480314965" header="0.31496062992125984" footer="0.31496062992125984"/>
  <pageSetup paperSize="9" scale="70" firstPageNumber="166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93"/>
  <sheetViews>
    <sheetView view="pageBreakPreview" zoomScaleNormal="100" zoomScaleSheetLayoutView="100" workbookViewId="0">
      <selection activeCell="D474" sqref="D474"/>
    </sheetView>
  </sheetViews>
  <sheetFormatPr defaultRowHeight="12.75" x14ac:dyDescent="0.2"/>
  <cols>
    <col min="1" max="1" width="4.7109375" style="1558" customWidth="1"/>
    <col min="2" max="2" width="6.7109375" style="1558" customWidth="1"/>
    <col min="3" max="3" width="9.5703125" style="1558" customWidth="1"/>
    <col min="4" max="4" width="46.42578125" style="1551" customWidth="1"/>
    <col min="5" max="5" width="15.42578125" style="1559" customWidth="1"/>
    <col min="6" max="6" width="15.5703125" style="1559" customWidth="1"/>
    <col min="7" max="7" width="15.85546875" style="1559" customWidth="1"/>
    <col min="8" max="8" width="8.85546875" style="1551" customWidth="1"/>
    <col min="9" max="9" width="14.28515625" style="1551" bestFit="1" customWidth="1"/>
    <col min="10" max="10" width="9.140625" style="1551"/>
    <col min="11" max="11" width="12.7109375" style="1551" bestFit="1" customWidth="1"/>
    <col min="12" max="12" width="13.140625" style="1551" customWidth="1"/>
    <col min="13" max="256" width="9.140625" style="1551"/>
    <col min="257" max="257" width="4.7109375" style="1551" customWidth="1"/>
    <col min="258" max="258" width="6.7109375" style="1551" customWidth="1"/>
    <col min="259" max="259" width="8.85546875" style="1551" customWidth="1"/>
    <col min="260" max="260" width="46.42578125" style="1551" customWidth="1"/>
    <col min="261" max="261" width="12.85546875" style="1551" customWidth="1"/>
    <col min="262" max="262" width="15.5703125" style="1551" customWidth="1"/>
    <col min="263" max="263" width="15.85546875" style="1551" customWidth="1"/>
    <col min="264" max="264" width="6.42578125" style="1551" customWidth="1"/>
    <col min="265" max="265" width="14.28515625" style="1551" bestFit="1" customWidth="1"/>
    <col min="266" max="266" width="9.140625" style="1551"/>
    <col min="267" max="267" width="12.7109375" style="1551" bestFit="1" customWidth="1"/>
    <col min="268" max="268" width="13.140625" style="1551" customWidth="1"/>
    <col min="269" max="512" width="9.140625" style="1551"/>
    <col min="513" max="513" width="4.7109375" style="1551" customWidth="1"/>
    <col min="514" max="514" width="6.7109375" style="1551" customWidth="1"/>
    <col min="515" max="515" width="8.85546875" style="1551" customWidth="1"/>
    <col min="516" max="516" width="46.42578125" style="1551" customWidth="1"/>
    <col min="517" max="517" width="12.85546875" style="1551" customWidth="1"/>
    <col min="518" max="518" width="15.5703125" style="1551" customWidth="1"/>
    <col min="519" max="519" width="15.85546875" style="1551" customWidth="1"/>
    <col min="520" max="520" width="6.42578125" style="1551" customWidth="1"/>
    <col min="521" max="521" width="14.28515625" style="1551" bestFit="1" customWidth="1"/>
    <col min="522" max="522" width="9.140625" style="1551"/>
    <col min="523" max="523" width="12.7109375" style="1551" bestFit="1" customWidth="1"/>
    <col min="524" max="524" width="13.140625" style="1551" customWidth="1"/>
    <col min="525" max="768" width="9.140625" style="1551"/>
    <col min="769" max="769" width="4.7109375" style="1551" customWidth="1"/>
    <col min="770" max="770" width="6.7109375" style="1551" customWidth="1"/>
    <col min="771" max="771" width="8.85546875" style="1551" customWidth="1"/>
    <col min="772" max="772" width="46.42578125" style="1551" customWidth="1"/>
    <col min="773" max="773" width="12.85546875" style="1551" customWidth="1"/>
    <col min="774" max="774" width="15.5703125" style="1551" customWidth="1"/>
    <col min="775" max="775" width="15.85546875" style="1551" customWidth="1"/>
    <col min="776" max="776" width="6.42578125" style="1551" customWidth="1"/>
    <col min="777" max="777" width="14.28515625" style="1551" bestFit="1" customWidth="1"/>
    <col min="778" max="778" width="9.140625" style="1551"/>
    <col min="779" max="779" width="12.7109375" style="1551" bestFit="1" customWidth="1"/>
    <col min="780" max="780" width="13.140625" style="1551" customWidth="1"/>
    <col min="781" max="1024" width="9.140625" style="1551"/>
    <col min="1025" max="1025" width="4.7109375" style="1551" customWidth="1"/>
    <col min="1026" max="1026" width="6.7109375" style="1551" customWidth="1"/>
    <col min="1027" max="1027" width="8.85546875" style="1551" customWidth="1"/>
    <col min="1028" max="1028" width="46.42578125" style="1551" customWidth="1"/>
    <col min="1029" max="1029" width="12.85546875" style="1551" customWidth="1"/>
    <col min="1030" max="1030" width="15.5703125" style="1551" customWidth="1"/>
    <col min="1031" max="1031" width="15.85546875" style="1551" customWidth="1"/>
    <col min="1032" max="1032" width="6.42578125" style="1551" customWidth="1"/>
    <col min="1033" max="1033" width="14.28515625" style="1551" bestFit="1" customWidth="1"/>
    <col min="1034" max="1034" width="9.140625" style="1551"/>
    <col min="1035" max="1035" width="12.7109375" style="1551" bestFit="1" customWidth="1"/>
    <col min="1036" max="1036" width="13.140625" style="1551" customWidth="1"/>
    <col min="1037" max="1280" width="9.140625" style="1551"/>
    <col min="1281" max="1281" width="4.7109375" style="1551" customWidth="1"/>
    <col min="1282" max="1282" width="6.7109375" style="1551" customWidth="1"/>
    <col min="1283" max="1283" width="8.85546875" style="1551" customWidth="1"/>
    <col min="1284" max="1284" width="46.42578125" style="1551" customWidth="1"/>
    <col min="1285" max="1285" width="12.85546875" style="1551" customWidth="1"/>
    <col min="1286" max="1286" width="15.5703125" style="1551" customWidth="1"/>
    <col min="1287" max="1287" width="15.85546875" style="1551" customWidth="1"/>
    <col min="1288" max="1288" width="6.42578125" style="1551" customWidth="1"/>
    <col min="1289" max="1289" width="14.28515625" style="1551" bestFit="1" customWidth="1"/>
    <col min="1290" max="1290" width="9.140625" style="1551"/>
    <col min="1291" max="1291" width="12.7109375" style="1551" bestFit="1" customWidth="1"/>
    <col min="1292" max="1292" width="13.140625" style="1551" customWidth="1"/>
    <col min="1293" max="1536" width="9.140625" style="1551"/>
    <col min="1537" max="1537" width="4.7109375" style="1551" customWidth="1"/>
    <col min="1538" max="1538" width="6.7109375" style="1551" customWidth="1"/>
    <col min="1539" max="1539" width="8.85546875" style="1551" customWidth="1"/>
    <col min="1540" max="1540" width="46.42578125" style="1551" customWidth="1"/>
    <col min="1541" max="1541" width="12.85546875" style="1551" customWidth="1"/>
    <col min="1542" max="1542" width="15.5703125" style="1551" customWidth="1"/>
    <col min="1543" max="1543" width="15.85546875" style="1551" customWidth="1"/>
    <col min="1544" max="1544" width="6.42578125" style="1551" customWidth="1"/>
    <col min="1545" max="1545" width="14.28515625" style="1551" bestFit="1" customWidth="1"/>
    <col min="1546" max="1546" width="9.140625" style="1551"/>
    <col min="1547" max="1547" width="12.7109375" style="1551" bestFit="1" customWidth="1"/>
    <col min="1548" max="1548" width="13.140625" style="1551" customWidth="1"/>
    <col min="1549" max="1792" width="9.140625" style="1551"/>
    <col min="1793" max="1793" width="4.7109375" style="1551" customWidth="1"/>
    <col min="1794" max="1794" width="6.7109375" style="1551" customWidth="1"/>
    <col min="1795" max="1795" width="8.85546875" style="1551" customWidth="1"/>
    <col min="1796" max="1796" width="46.42578125" style="1551" customWidth="1"/>
    <col min="1797" max="1797" width="12.85546875" style="1551" customWidth="1"/>
    <col min="1798" max="1798" width="15.5703125" style="1551" customWidth="1"/>
    <col min="1799" max="1799" width="15.85546875" style="1551" customWidth="1"/>
    <col min="1800" max="1800" width="6.42578125" style="1551" customWidth="1"/>
    <col min="1801" max="1801" width="14.28515625" style="1551" bestFit="1" customWidth="1"/>
    <col min="1802" max="1802" width="9.140625" style="1551"/>
    <col min="1803" max="1803" width="12.7109375" style="1551" bestFit="1" customWidth="1"/>
    <col min="1804" max="1804" width="13.140625" style="1551" customWidth="1"/>
    <col min="1805" max="2048" width="9.140625" style="1551"/>
    <col min="2049" max="2049" width="4.7109375" style="1551" customWidth="1"/>
    <col min="2050" max="2050" width="6.7109375" style="1551" customWidth="1"/>
    <col min="2051" max="2051" width="8.85546875" style="1551" customWidth="1"/>
    <col min="2052" max="2052" width="46.42578125" style="1551" customWidth="1"/>
    <col min="2053" max="2053" width="12.85546875" style="1551" customWidth="1"/>
    <col min="2054" max="2054" width="15.5703125" style="1551" customWidth="1"/>
    <col min="2055" max="2055" width="15.85546875" style="1551" customWidth="1"/>
    <col min="2056" max="2056" width="6.42578125" style="1551" customWidth="1"/>
    <col min="2057" max="2057" width="14.28515625" style="1551" bestFit="1" customWidth="1"/>
    <col min="2058" max="2058" width="9.140625" style="1551"/>
    <col min="2059" max="2059" width="12.7109375" style="1551" bestFit="1" customWidth="1"/>
    <col min="2060" max="2060" width="13.140625" style="1551" customWidth="1"/>
    <col min="2061" max="2304" width="9.140625" style="1551"/>
    <col min="2305" max="2305" width="4.7109375" style="1551" customWidth="1"/>
    <col min="2306" max="2306" width="6.7109375" style="1551" customWidth="1"/>
    <col min="2307" max="2307" width="8.85546875" style="1551" customWidth="1"/>
    <col min="2308" max="2308" width="46.42578125" style="1551" customWidth="1"/>
    <col min="2309" max="2309" width="12.85546875" style="1551" customWidth="1"/>
    <col min="2310" max="2310" width="15.5703125" style="1551" customWidth="1"/>
    <col min="2311" max="2311" width="15.85546875" style="1551" customWidth="1"/>
    <col min="2312" max="2312" width="6.42578125" style="1551" customWidth="1"/>
    <col min="2313" max="2313" width="14.28515625" style="1551" bestFit="1" customWidth="1"/>
    <col min="2314" max="2314" width="9.140625" style="1551"/>
    <col min="2315" max="2315" width="12.7109375" style="1551" bestFit="1" customWidth="1"/>
    <col min="2316" max="2316" width="13.140625" style="1551" customWidth="1"/>
    <col min="2317" max="2560" width="9.140625" style="1551"/>
    <col min="2561" max="2561" width="4.7109375" style="1551" customWidth="1"/>
    <col min="2562" max="2562" width="6.7109375" style="1551" customWidth="1"/>
    <col min="2563" max="2563" width="8.85546875" style="1551" customWidth="1"/>
    <col min="2564" max="2564" width="46.42578125" style="1551" customWidth="1"/>
    <col min="2565" max="2565" width="12.85546875" style="1551" customWidth="1"/>
    <col min="2566" max="2566" width="15.5703125" style="1551" customWidth="1"/>
    <col min="2567" max="2567" width="15.85546875" style="1551" customWidth="1"/>
    <col min="2568" max="2568" width="6.42578125" style="1551" customWidth="1"/>
    <col min="2569" max="2569" width="14.28515625" style="1551" bestFit="1" customWidth="1"/>
    <col min="2570" max="2570" width="9.140625" style="1551"/>
    <col min="2571" max="2571" width="12.7109375" style="1551" bestFit="1" customWidth="1"/>
    <col min="2572" max="2572" width="13.140625" style="1551" customWidth="1"/>
    <col min="2573" max="2816" width="9.140625" style="1551"/>
    <col min="2817" max="2817" width="4.7109375" style="1551" customWidth="1"/>
    <col min="2818" max="2818" width="6.7109375" style="1551" customWidth="1"/>
    <col min="2819" max="2819" width="8.85546875" style="1551" customWidth="1"/>
    <col min="2820" max="2820" width="46.42578125" style="1551" customWidth="1"/>
    <col min="2821" max="2821" width="12.85546875" style="1551" customWidth="1"/>
    <col min="2822" max="2822" width="15.5703125" style="1551" customWidth="1"/>
    <col min="2823" max="2823" width="15.85546875" style="1551" customWidth="1"/>
    <col min="2824" max="2824" width="6.42578125" style="1551" customWidth="1"/>
    <col min="2825" max="2825" width="14.28515625" style="1551" bestFit="1" customWidth="1"/>
    <col min="2826" max="2826" width="9.140625" style="1551"/>
    <col min="2827" max="2827" width="12.7109375" style="1551" bestFit="1" customWidth="1"/>
    <col min="2828" max="2828" width="13.140625" style="1551" customWidth="1"/>
    <col min="2829" max="3072" width="9.140625" style="1551"/>
    <col min="3073" max="3073" width="4.7109375" style="1551" customWidth="1"/>
    <col min="3074" max="3074" width="6.7109375" style="1551" customWidth="1"/>
    <col min="3075" max="3075" width="8.85546875" style="1551" customWidth="1"/>
    <col min="3076" max="3076" width="46.42578125" style="1551" customWidth="1"/>
    <col min="3077" max="3077" width="12.85546875" style="1551" customWidth="1"/>
    <col min="3078" max="3078" width="15.5703125" style="1551" customWidth="1"/>
    <col min="3079" max="3079" width="15.85546875" style="1551" customWidth="1"/>
    <col min="3080" max="3080" width="6.42578125" style="1551" customWidth="1"/>
    <col min="3081" max="3081" width="14.28515625" style="1551" bestFit="1" customWidth="1"/>
    <col min="3082" max="3082" width="9.140625" style="1551"/>
    <col min="3083" max="3083" width="12.7109375" style="1551" bestFit="1" customWidth="1"/>
    <col min="3084" max="3084" width="13.140625" style="1551" customWidth="1"/>
    <col min="3085" max="3328" width="9.140625" style="1551"/>
    <col min="3329" max="3329" width="4.7109375" style="1551" customWidth="1"/>
    <col min="3330" max="3330" width="6.7109375" style="1551" customWidth="1"/>
    <col min="3331" max="3331" width="8.85546875" style="1551" customWidth="1"/>
    <col min="3332" max="3332" width="46.42578125" style="1551" customWidth="1"/>
    <col min="3333" max="3333" width="12.85546875" style="1551" customWidth="1"/>
    <col min="3334" max="3334" width="15.5703125" style="1551" customWidth="1"/>
    <col min="3335" max="3335" width="15.85546875" style="1551" customWidth="1"/>
    <col min="3336" max="3336" width="6.42578125" style="1551" customWidth="1"/>
    <col min="3337" max="3337" width="14.28515625" style="1551" bestFit="1" customWidth="1"/>
    <col min="3338" max="3338" width="9.140625" style="1551"/>
    <col min="3339" max="3339" width="12.7109375" style="1551" bestFit="1" customWidth="1"/>
    <col min="3340" max="3340" width="13.140625" style="1551" customWidth="1"/>
    <col min="3341" max="3584" width="9.140625" style="1551"/>
    <col min="3585" max="3585" width="4.7109375" style="1551" customWidth="1"/>
    <col min="3586" max="3586" width="6.7109375" style="1551" customWidth="1"/>
    <col min="3587" max="3587" width="8.85546875" style="1551" customWidth="1"/>
    <col min="3588" max="3588" width="46.42578125" style="1551" customWidth="1"/>
    <col min="3589" max="3589" width="12.85546875" style="1551" customWidth="1"/>
    <col min="3590" max="3590" width="15.5703125" style="1551" customWidth="1"/>
    <col min="3591" max="3591" width="15.85546875" style="1551" customWidth="1"/>
    <col min="3592" max="3592" width="6.42578125" style="1551" customWidth="1"/>
    <col min="3593" max="3593" width="14.28515625" style="1551" bestFit="1" customWidth="1"/>
    <col min="3594" max="3594" width="9.140625" style="1551"/>
    <col min="3595" max="3595" width="12.7109375" style="1551" bestFit="1" customWidth="1"/>
    <col min="3596" max="3596" width="13.140625" style="1551" customWidth="1"/>
    <col min="3597" max="3840" width="9.140625" style="1551"/>
    <col min="3841" max="3841" width="4.7109375" style="1551" customWidth="1"/>
    <col min="3842" max="3842" width="6.7109375" style="1551" customWidth="1"/>
    <col min="3843" max="3843" width="8.85546875" style="1551" customWidth="1"/>
    <col min="3844" max="3844" width="46.42578125" style="1551" customWidth="1"/>
    <col min="3845" max="3845" width="12.85546875" style="1551" customWidth="1"/>
    <col min="3846" max="3846" width="15.5703125" style="1551" customWidth="1"/>
    <col min="3847" max="3847" width="15.85546875" style="1551" customWidth="1"/>
    <col min="3848" max="3848" width="6.42578125" style="1551" customWidth="1"/>
    <col min="3849" max="3849" width="14.28515625" style="1551" bestFit="1" customWidth="1"/>
    <col min="3850" max="3850" width="9.140625" style="1551"/>
    <col min="3851" max="3851" width="12.7109375" style="1551" bestFit="1" customWidth="1"/>
    <col min="3852" max="3852" width="13.140625" style="1551" customWidth="1"/>
    <col min="3853" max="4096" width="9.140625" style="1551"/>
    <col min="4097" max="4097" width="4.7109375" style="1551" customWidth="1"/>
    <col min="4098" max="4098" width="6.7109375" style="1551" customWidth="1"/>
    <col min="4099" max="4099" width="8.85546875" style="1551" customWidth="1"/>
    <col min="4100" max="4100" width="46.42578125" style="1551" customWidth="1"/>
    <col min="4101" max="4101" width="12.85546875" style="1551" customWidth="1"/>
    <col min="4102" max="4102" width="15.5703125" style="1551" customWidth="1"/>
    <col min="4103" max="4103" width="15.85546875" style="1551" customWidth="1"/>
    <col min="4104" max="4104" width="6.42578125" style="1551" customWidth="1"/>
    <col min="4105" max="4105" width="14.28515625" style="1551" bestFit="1" customWidth="1"/>
    <col min="4106" max="4106" width="9.140625" style="1551"/>
    <col min="4107" max="4107" width="12.7109375" style="1551" bestFit="1" customWidth="1"/>
    <col min="4108" max="4108" width="13.140625" style="1551" customWidth="1"/>
    <col min="4109" max="4352" width="9.140625" style="1551"/>
    <col min="4353" max="4353" width="4.7109375" style="1551" customWidth="1"/>
    <col min="4354" max="4354" width="6.7109375" style="1551" customWidth="1"/>
    <col min="4355" max="4355" width="8.85546875" style="1551" customWidth="1"/>
    <col min="4356" max="4356" width="46.42578125" style="1551" customWidth="1"/>
    <col min="4357" max="4357" width="12.85546875" style="1551" customWidth="1"/>
    <col min="4358" max="4358" width="15.5703125" style="1551" customWidth="1"/>
    <col min="4359" max="4359" width="15.85546875" style="1551" customWidth="1"/>
    <col min="4360" max="4360" width="6.42578125" style="1551" customWidth="1"/>
    <col min="4361" max="4361" width="14.28515625" style="1551" bestFit="1" customWidth="1"/>
    <col min="4362" max="4362" width="9.140625" style="1551"/>
    <col min="4363" max="4363" width="12.7109375" style="1551" bestFit="1" customWidth="1"/>
    <col min="4364" max="4364" width="13.140625" style="1551" customWidth="1"/>
    <col min="4365" max="4608" width="9.140625" style="1551"/>
    <col min="4609" max="4609" width="4.7109375" style="1551" customWidth="1"/>
    <col min="4610" max="4610" width="6.7109375" style="1551" customWidth="1"/>
    <col min="4611" max="4611" width="8.85546875" style="1551" customWidth="1"/>
    <col min="4612" max="4612" width="46.42578125" style="1551" customWidth="1"/>
    <col min="4613" max="4613" width="12.85546875" style="1551" customWidth="1"/>
    <col min="4614" max="4614" width="15.5703125" style="1551" customWidth="1"/>
    <col min="4615" max="4615" width="15.85546875" style="1551" customWidth="1"/>
    <col min="4616" max="4616" width="6.42578125" style="1551" customWidth="1"/>
    <col min="4617" max="4617" width="14.28515625" style="1551" bestFit="1" customWidth="1"/>
    <col min="4618" max="4618" width="9.140625" style="1551"/>
    <col min="4619" max="4619" width="12.7109375" style="1551" bestFit="1" customWidth="1"/>
    <col min="4620" max="4620" width="13.140625" style="1551" customWidth="1"/>
    <col min="4621" max="4864" width="9.140625" style="1551"/>
    <col min="4865" max="4865" width="4.7109375" style="1551" customWidth="1"/>
    <col min="4866" max="4866" width="6.7109375" style="1551" customWidth="1"/>
    <col min="4867" max="4867" width="8.85546875" style="1551" customWidth="1"/>
    <col min="4868" max="4868" width="46.42578125" style="1551" customWidth="1"/>
    <col min="4869" max="4869" width="12.85546875" style="1551" customWidth="1"/>
    <col min="4870" max="4870" width="15.5703125" style="1551" customWidth="1"/>
    <col min="4871" max="4871" width="15.85546875" style="1551" customWidth="1"/>
    <col min="4872" max="4872" width="6.42578125" style="1551" customWidth="1"/>
    <col min="4873" max="4873" width="14.28515625" style="1551" bestFit="1" customWidth="1"/>
    <col min="4874" max="4874" width="9.140625" style="1551"/>
    <col min="4875" max="4875" width="12.7109375" style="1551" bestFit="1" customWidth="1"/>
    <col min="4876" max="4876" width="13.140625" style="1551" customWidth="1"/>
    <col min="4877" max="5120" width="9.140625" style="1551"/>
    <col min="5121" max="5121" width="4.7109375" style="1551" customWidth="1"/>
    <col min="5122" max="5122" width="6.7109375" style="1551" customWidth="1"/>
    <col min="5123" max="5123" width="8.85546875" style="1551" customWidth="1"/>
    <col min="5124" max="5124" width="46.42578125" style="1551" customWidth="1"/>
    <col min="5125" max="5125" width="12.85546875" style="1551" customWidth="1"/>
    <col min="5126" max="5126" width="15.5703125" style="1551" customWidth="1"/>
    <col min="5127" max="5127" width="15.85546875" style="1551" customWidth="1"/>
    <col min="5128" max="5128" width="6.42578125" style="1551" customWidth="1"/>
    <col min="5129" max="5129" width="14.28515625" style="1551" bestFit="1" customWidth="1"/>
    <col min="5130" max="5130" width="9.140625" style="1551"/>
    <col min="5131" max="5131" width="12.7109375" style="1551" bestFit="1" customWidth="1"/>
    <col min="5132" max="5132" width="13.140625" style="1551" customWidth="1"/>
    <col min="5133" max="5376" width="9.140625" style="1551"/>
    <col min="5377" max="5377" width="4.7109375" style="1551" customWidth="1"/>
    <col min="5378" max="5378" width="6.7109375" style="1551" customWidth="1"/>
    <col min="5379" max="5379" width="8.85546875" style="1551" customWidth="1"/>
    <col min="5380" max="5380" width="46.42578125" style="1551" customWidth="1"/>
    <col min="5381" max="5381" width="12.85546875" style="1551" customWidth="1"/>
    <col min="5382" max="5382" width="15.5703125" style="1551" customWidth="1"/>
    <col min="5383" max="5383" width="15.85546875" style="1551" customWidth="1"/>
    <col min="5384" max="5384" width="6.42578125" style="1551" customWidth="1"/>
    <col min="5385" max="5385" width="14.28515625" style="1551" bestFit="1" customWidth="1"/>
    <col min="5386" max="5386" width="9.140625" style="1551"/>
    <col min="5387" max="5387" width="12.7109375" style="1551" bestFit="1" customWidth="1"/>
    <col min="5388" max="5388" width="13.140625" style="1551" customWidth="1"/>
    <col min="5389" max="5632" width="9.140625" style="1551"/>
    <col min="5633" max="5633" width="4.7109375" style="1551" customWidth="1"/>
    <col min="5634" max="5634" width="6.7109375" style="1551" customWidth="1"/>
    <col min="5635" max="5635" width="8.85546875" style="1551" customWidth="1"/>
    <col min="5636" max="5636" width="46.42578125" style="1551" customWidth="1"/>
    <col min="5637" max="5637" width="12.85546875" style="1551" customWidth="1"/>
    <col min="5638" max="5638" width="15.5703125" style="1551" customWidth="1"/>
    <col min="5639" max="5639" width="15.85546875" style="1551" customWidth="1"/>
    <col min="5640" max="5640" width="6.42578125" style="1551" customWidth="1"/>
    <col min="5641" max="5641" width="14.28515625" style="1551" bestFit="1" customWidth="1"/>
    <col min="5642" max="5642" width="9.140625" style="1551"/>
    <col min="5643" max="5643" width="12.7109375" style="1551" bestFit="1" customWidth="1"/>
    <col min="5644" max="5644" width="13.140625" style="1551" customWidth="1"/>
    <col min="5645" max="5888" width="9.140625" style="1551"/>
    <col min="5889" max="5889" width="4.7109375" style="1551" customWidth="1"/>
    <col min="5890" max="5890" width="6.7109375" style="1551" customWidth="1"/>
    <col min="5891" max="5891" width="8.85546875" style="1551" customWidth="1"/>
    <col min="5892" max="5892" width="46.42578125" style="1551" customWidth="1"/>
    <col min="5893" max="5893" width="12.85546875" style="1551" customWidth="1"/>
    <col min="5894" max="5894" width="15.5703125" style="1551" customWidth="1"/>
    <col min="5895" max="5895" width="15.85546875" style="1551" customWidth="1"/>
    <col min="5896" max="5896" width="6.42578125" style="1551" customWidth="1"/>
    <col min="5897" max="5897" width="14.28515625" style="1551" bestFit="1" customWidth="1"/>
    <col min="5898" max="5898" width="9.140625" style="1551"/>
    <col min="5899" max="5899" width="12.7109375" style="1551" bestFit="1" customWidth="1"/>
    <col min="5900" max="5900" width="13.140625" style="1551" customWidth="1"/>
    <col min="5901" max="6144" width="9.140625" style="1551"/>
    <col min="6145" max="6145" width="4.7109375" style="1551" customWidth="1"/>
    <col min="6146" max="6146" width="6.7109375" style="1551" customWidth="1"/>
    <col min="6147" max="6147" width="8.85546875" style="1551" customWidth="1"/>
    <col min="6148" max="6148" width="46.42578125" style="1551" customWidth="1"/>
    <col min="6149" max="6149" width="12.85546875" style="1551" customWidth="1"/>
    <col min="6150" max="6150" width="15.5703125" style="1551" customWidth="1"/>
    <col min="6151" max="6151" width="15.85546875" style="1551" customWidth="1"/>
    <col min="6152" max="6152" width="6.42578125" style="1551" customWidth="1"/>
    <col min="6153" max="6153" width="14.28515625" style="1551" bestFit="1" customWidth="1"/>
    <col min="6154" max="6154" width="9.140625" style="1551"/>
    <col min="6155" max="6155" width="12.7109375" style="1551" bestFit="1" customWidth="1"/>
    <col min="6156" max="6156" width="13.140625" style="1551" customWidth="1"/>
    <col min="6157" max="6400" width="9.140625" style="1551"/>
    <col min="6401" max="6401" width="4.7109375" style="1551" customWidth="1"/>
    <col min="6402" max="6402" width="6.7109375" style="1551" customWidth="1"/>
    <col min="6403" max="6403" width="8.85546875" style="1551" customWidth="1"/>
    <col min="6404" max="6404" width="46.42578125" style="1551" customWidth="1"/>
    <col min="6405" max="6405" width="12.85546875" style="1551" customWidth="1"/>
    <col min="6406" max="6406" width="15.5703125" style="1551" customWidth="1"/>
    <col min="6407" max="6407" width="15.85546875" style="1551" customWidth="1"/>
    <col min="6408" max="6408" width="6.42578125" style="1551" customWidth="1"/>
    <col min="6409" max="6409" width="14.28515625" style="1551" bestFit="1" customWidth="1"/>
    <col min="6410" max="6410" width="9.140625" style="1551"/>
    <col min="6411" max="6411" width="12.7109375" style="1551" bestFit="1" customWidth="1"/>
    <col min="6412" max="6412" width="13.140625" style="1551" customWidth="1"/>
    <col min="6413" max="6656" width="9.140625" style="1551"/>
    <col min="6657" max="6657" width="4.7109375" style="1551" customWidth="1"/>
    <col min="6658" max="6658" width="6.7109375" style="1551" customWidth="1"/>
    <col min="6659" max="6659" width="8.85546875" style="1551" customWidth="1"/>
    <col min="6660" max="6660" width="46.42578125" style="1551" customWidth="1"/>
    <col min="6661" max="6661" width="12.85546875" style="1551" customWidth="1"/>
    <col min="6662" max="6662" width="15.5703125" style="1551" customWidth="1"/>
    <col min="6663" max="6663" width="15.85546875" style="1551" customWidth="1"/>
    <col min="6664" max="6664" width="6.42578125" style="1551" customWidth="1"/>
    <col min="6665" max="6665" width="14.28515625" style="1551" bestFit="1" customWidth="1"/>
    <col min="6666" max="6666" width="9.140625" style="1551"/>
    <col min="6667" max="6667" width="12.7109375" style="1551" bestFit="1" customWidth="1"/>
    <col min="6668" max="6668" width="13.140625" style="1551" customWidth="1"/>
    <col min="6669" max="6912" width="9.140625" style="1551"/>
    <col min="6913" max="6913" width="4.7109375" style="1551" customWidth="1"/>
    <col min="6914" max="6914" width="6.7109375" style="1551" customWidth="1"/>
    <col min="6915" max="6915" width="8.85546875" style="1551" customWidth="1"/>
    <col min="6916" max="6916" width="46.42578125" style="1551" customWidth="1"/>
    <col min="6917" max="6917" width="12.85546875" style="1551" customWidth="1"/>
    <col min="6918" max="6918" width="15.5703125" style="1551" customWidth="1"/>
    <col min="6919" max="6919" width="15.85546875" style="1551" customWidth="1"/>
    <col min="6920" max="6920" width="6.42578125" style="1551" customWidth="1"/>
    <col min="6921" max="6921" width="14.28515625" style="1551" bestFit="1" customWidth="1"/>
    <col min="6922" max="6922" width="9.140625" style="1551"/>
    <col min="6923" max="6923" width="12.7109375" style="1551" bestFit="1" customWidth="1"/>
    <col min="6924" max="6924" width="13.140625" style="1551" customWidth="1"/>
    <col min="6925" max="7168" width="9.140625" style="1551"/>
    <col min="7169" max="7169" width="4.7109375" style="1551" customWidth="1"/>
    <col min="7170" max="7170" width="6.7109375" style="1551" customWidth="1"/>
    <col min="7171" max="7171" width="8.85546875" style="1551" customWidth="1"/>
    <col min="7172" max="7172" width="46.42578125" style="1551" customWidth="1"/>
    <col min="7173" max="7173" width="12.85546875" style="1551" customWidth="1"/>
    <col min="7174" max="7174" width="15.5703125" style="1551" customWidth="1"/>
    <col min="7175" max="7175" width="15.85546875" style="1551" customWidth="1"/>
    <col min="7176" max="7176" width="6.42578125" style="1551" customWidth="1"/>
    <col min="7177" max="7177" width="14.28515625" style="1551" bestFit="1" customWidth="1"/>
    <col min="7178" max="7178" width="9.140625" style="1551"/>
    <col min="7179" max="7179" width="12.7109375" style="1551" bestFit="1" customWidth="1"/>
    <col min="7180" max="7180" width="13.140625" style="1551" customWidth="1"/>
    <col min="7181" max="7424" width="9.140625" style="1551"/>
    <col min="7425" max="7425" width="4.7109375" style="1551" customWidth="1"/>
    <col min="7426" max="7426" width="6.7109375" style="1551" customWidth="1"/>
    <col min="7427" max="7427" width="8.85546875" style="1551" customWidth="1"/>
    <col min="7428" max="7428" width="46.42578125" style="1551" customWidth="1"/>
    <col min="7429" max="7429" width="12.85546875" style="1551" customWidth="1"/>
    <col min="7430" max="7430" width="15.5703125" style="1551" customWidth="1"/>
    <col min="7431" max="7431" width="15.85546875" style="1551" customWidth="1"/>
    <col min="7432" max="7432" width="6.42578125" style="1551" customWidth="1"/>
    <col min="7433" max="7433" width="14.28515625" style="1551" bestFit="1" customWidth="1"/>
    <col min="7434" max="7434" width="9.140625" style="1551"/>
    <col min="7435" max="7435" width="12.7109375" style="1551" bestFit="1" customWidth="1"/>
    <col min="7436" max="7436" width="13.140625" style="1551" customWidth="1"/>
    <col min="7437" max="7680" width="9.140625" style="1551"/>
    <col min="7681" max="7681" width="4.7109375" style="1551" customWidth="1"/>
    <col min="7682" max="7682" width="6.7109375" style="1551" customWidth="1"/>
    <col min="7683" max="7683" width="8.85546875" style="1551" customWidth="1"/>
    <col min="7684" max="7684" width="46.42578125" style="1551" customWidth="1"/>
    <col min="7685" max="7685" width="12.85546875" style="1551" customWidth="1"/>
    <col min="7686" max="7686" width="15.5703125" style="1551" customWidth="1"/>
    <col min="7687" max="7687" width="15.85546875" style="1551" customWidth="1"/>
    <col min="7688" max="7688" width="6.42578125" style="1551" customWidth="1"/>
    <col min="7689" max="7689" width="14.28515625" style="1551" bestFit="1" customWidth="1"/>
    <col min="7690" max="7690" width="9.140625" style="1551"/>
    <col min="7691" max="7691" width="12.7109375" style="1551" bestFit="1" customWidth="1"/>
    <col min="7692" max="7692" width="13.140625" style="1551" customWidth="1"/>
    <col min="7693" max="7936" width="9.140625" style="1551"/>
    <col min="7937" max="7937" width="4.7109375" style="1551" customWidth="1"/>
    <col min="7938" max="7938" width="6.7109375" style="1551" customWidth="1"/>
    <col min="7939" max="7939" width="8.85546875" style="1551" customWidth="1"/>
    <col min="7940" max="7940" width="46.42578125" style="1551" customWidth="1"/>
    <col min="7941" max="7941" width="12.85546875" style="1551" customWidth="1"/>
    <col min="7942" max="7942" width="15.5703125" style="1551" customWidth="1"/>
    <col min="7943" max="7943" width="15.85546875" style="1551" customWidth="1"/>
    <col min="7944" max="7944" width="6.42578125" style="1551" customWidth="1"/>
    <col min="7945" max="7945" width="14.28515625" style="1551" bestFit="1" customWidth="1"/>
    <col min="7946" max="7946" width="9.140625" style="1551"/>
    <col min="7947" max="7947" width="12.7109375" style="1551" bestFit="1" customWidth="1"/>
    <col min="7948" max="7948" width="13.140625" style="1551" customWidth="1"/>
    <col min="7949" max="8192" width="9.140625" style="1551"/>
    <col min="8193" max="8193" width="4.7109375" style="1551" customWidth="1"/>
    <col min="8194" max="8194" width="6.7109375" style="1551" customWidth="1"/>
    <col min="8195" max="8195" width="8.85546875" style="1551" customWidth="1"/>
    <col min="8196" max="8196" width="46.42578125" style="1551" customWidth="1"/>
    <col min="8197" max="8197" width="12.85546875" style="1551" customWidth="1"/>
    <col min="8198" max="8198" width="15.5703125" style="1551" customWidth="1"/>
    <col min="8199" max="8199" width="15.85546875" style="1551" customWidth="1"/>
    <col min="8200" max="8200" width="6.42578125" style="1551" customWidth="1"/>
    <col min="8201" max="8201" width="14.28515625" style="1551" bestFit="1" customWidth="1"/>
    <col min="8202" max="8202" width="9.140625" style="1551"/>
    <col min="8203" max="8203" width="12.7109375" style="1551" bestFit="1" customWidth="1"/>
    <col min="8204" max="8204" width="13.140625" style="1551" customWidth="1"/>
    <col min="8205" max="8448" width="9.140625" style="1551"/>
    <col min="8449" max="8449" width="4.7109375" style="1551" customWidth="1"/>
    <col min="8450" max="8450" width="6.7109375" style="1551" customWidth="1"/>
    <col min="8451" max="8451" width="8.85546875" style="1551" customWidth="1"/>
    <col min="8452" max="8452" width="46.42578125" style="1551" customWidth="1"/>
    <col min="8453" max="8453" width="12.85546875" style="1551" customWidth="1"/>
    <col min="8454" max="8454" width="15.5703125" style="1551" customWidth="1"/>
    <col min="8455" max="8455" width="15.85546875" style="1551" customWidth="1"/>
    <col min="8456" max="8456" width="6.42578125" style="1551" customWidth="1"/>
    <col min="8457" max="8457" width="14.28515625" style="1551" bestFit="1" customWidth="1"/>
    <col min="8458" max="8458" width="9.140625" style="1551"/>
    <col min="8459" max="8459" width="12.7109375" style="1551" bestFit="1" customWidth="1"/>
    <col min="8460" max="8460" width="13.140625" style="1551" customWidth="1"/>
    <col min="8461" max="8704" width="9.140625" style="1551"/>
    <col min="8705" max="8705" width="4.7109375" style="1551" customWidth="1"/>
    <col min="8706" max="8706" width="6.7109375" style="1551" customWidth="1"/>
    <col min="8707" max="8707" width="8.85546875" style="1551" customWidth="1"/>
    <col min="8708" max="8708" width="46.42578125" style="1551" customWidth="1"/>
    <col min="8709" max="8709" width="12.85546875" style="1551" customWidth="1"/>
    <col min="8710" max="8710" width="15.5703125" style="1551" customWidth="1"/>
    <col min="8711" max="8711" width="15.85546875" style="1551" customWidth="1"/>
    <col min="8712" max="8712" width="6.42578125" style="1551" customWidth="1"/>
    <col min="8713" max="8713" width="14.28515625" style="1551" bestFit="1" customWidth="1"/>
    <col min="8714" max="8714" width="9.140625" style="1551"/>
    <col min="8715" max="8715" width="12.7109375" style="1551" bestFit="1" customWidth="1"/>
    <col min="8716" max="8716" width="13.140625" style="1551" customWidth="1"/>
    <col min="8717" max="8960" width="9.140625" style="1551"/>
    <col min="8961" max="8961" width="4.7109375" style="1551" customWidth="1"/>
    <col min="8962" max="8962" width="6.7109375" style="1551" customWidth="1"/>
    <col min="8963" max="8963" width="8.85546875" style="1551" customWidth="1"/>
    <col min="8964" max="8964" width="46.42578125" style="1551" customWidth="1"/>
    <col min="8965" max="8965" width="12.85546875" style="1551" customWidth="1"/>
    <col min="8966" max="8966" width="15.5703125" style="1551" customWidth="1"/>
    <col min="8967" max="8967" width="15.85546875" style="1551" customWidth="1"/>
    <col min="8968" max="8968" width="6.42578125" style="1551" customWidth="1"/>
    <col min="8969" max="8969" width="14.28515625" style="1551" bestFit="1" customWidth="1"/>
    <col min="8970" max="8970" width="9.140625" style="1551"/>
    <col min="8971" max="8971" width="12.7109375" style="1551" bestFit="1" customWidth="1"/>
    <col min="8972" max="8972" width="13.140625" style="1551" customWidth="1"/>
    <col min="8973" max="9216" width="9.140625" style="1551"/>
    <col min="9217" max="9217" width="4.7109375" style="1551" customWidth="1"/>
    <col min="9218" max="9218" width="6.7109375" style="1551" customWidth="1"/>
    <col min="9219" max="9219" width="8.85546875" style="1551" customWidth="1"/>
    <col min="9220" max="9220" width="46.42578125" style="1551" customWidth="1"/>
    <col min="9221" max="9221" width="12.85546875" style="1551" customWidth="1"/>
    <col min="9222" max="9222" width="15.5703125" style="1551" customWidth="1"/>
    <col min="9223" max="9223" width="15.85546875" style="1551" customWidth="1"/>
    <col min="9224" max="9224" width="6.42578125" style="1551" customWidth="1"/>
    <col min="9225" max="9225" width="14.28515625" style="1551" bestFit="1" customWidth="1"/>
    <col min="9226" max="9226" width="9.140625" style="1551"/>
    <col min="9227" max="9227" width="12.7109375" style="1551" bestFit="1" customWidth="1"/>
    <col min="9228" max="9228" width="13.140625" style="1551" customWidth="1"/>
    <col min="9229" max="9472" width="9.140625" style="1551"/>
    <col min="9473" max="9473" width="4.7109375" style="1551" customWidth="1"/>
    <col min="9474" max="9474" width="6.7109375" style="1551" customWidth="1"/>
    <col min="9475" max="9475" width="8.85546875" style="1551" customWidth="1"/>
    <col min="9476" max="9476" width="46.42578125" style="1551" customWidth="1"/>
    <col min="9477" max="9477" width="12.85546875" style="1551" customWidth="1"/>
    <col min="9478" max="9478" width="15.5703125" style="1551" customWidth="1"/>
    <col min="9479" max="9479" width="15.85546875" style="1551" customWidth="1"/>
    <col min="9480" max="9480" width="6.42578125" style="1551" customWidth="1"/>
    <col min="9481" max="9481" width="14.28515625" style="1551" bestFit="1" customWidth="1"/>
    <col min="9482" max="9482" width="9.140625" style="1551"/>
    <col min="9483" max="9483" width="12.7109375" style="1551" bestFit="1" customWidth="1"/>
    <col min="9484" max="9484" width="13.140625" style="1551" customWidth="1"/>
    <col min="9485" max="9728" width="9.140625" style="1551"/>
    <col min="9729" max="9729" width="4.7109375" style="1551" customWidth="1"/>
    <col min="9730" max="9730" width="6.7109375" style="1551" customWidth="1"/>
    <col min="9731" max="9731" width="8.85546875" style="1551" customWidth="1"/>
    <col min="9732" max="9732" width="46.42578125" style="1551" customWidth="1"/>
    <col min="9733" max="9733" width="12.85546875" style="1551" customWidth="1"/>
    <col min="9734" max="9734" width="15.5703125" style="1551" customWidth="1"/>
    <col min="9735" max="9735" width="15.85546875" style="1551" customWidth="1"/>
    <col min="9736" max="9736" width="6.42578125" style="1551" customWidth="1"/>
    <col min="9737" max="9737" width="14.28515625" style="1551" bestFit="1" customWidth="1"/>
    <col min="9738" max="9738" width="9.140625" style="1551"/>
    <col min="9739" max="9739" width="12.7109375" style="1551" bestFit="1" customWidth="1"/>
    <col min="9740" max="9740" width="13.140625" style="1551" customWidth="1"/>
    <col min="9741" max="9984" width="9.140625" style="1551"/>
    <col min="9985" max="9985" width="4.7109375" style="1551" customWidth="1"/>
    <col min="9986" max="9986" width="6.7109375" style="1551" customWidth="1"/>
    <col min="9987" max="9987" width="8.85546875" style="1551" customWidth="1"/>
    <col min="9988" max="9988" width="46.42578125" style="1551" customWidth="1"/>
    <col min="9989" max="9989" width="12.85546875" style="1551" customWidth="1"/>
    <col min="9990" max="9990" width="15.5703125" style="1551" customWidth="1"/>
    <col min="9991" max="9991" width="15.85546875" style="1551" customWidth="1"/>
    <col min="9992" max="9992" width="6.42578125" style="1551" customWidth="1"/>
    <col min="9993" max="9993" width="14.28515625" style="1551" bestFit="1" customWidth="1"/>
    <col min="9994" max="9994" width="9.140625" style="1551"/>
    <col min="9995" max="9995" width="12.7109375" style="1551" bestFit="1" customWidth="1"/>
    <col min="9996" max="9996" width="13.140625" style="1551" customWidth="1"/>
    <col min="9997" max="10240" width="9.140625" style="1551"/>
    <col min="10241" max="10241" width="4.7109375" style="1551" customWidth="1"/>
    <col min="10242" max="10242" width="6.7109375" style="1551" customWidth="1"/>
    <col min="10243" max="10243" width="8.85546875" style="1551" customWidth="1"/>
    <col min="10244" max="10244" width="46.42578125" style="1551" customWidth="1"/>
    <col min="10245" max="10245" width="12.85546875" style="1551" customWidth="1"/>
    <col min="10246" max="10246" width="15.5703125" style="1551" customWidth="1"/>
    <col min="10247" max="10247" width="15.85546875" style="1551" customWidth="1"/>
    <col min="10248" max="10248" width="6.42578125" style="1551" customWidth="1"/>
    <col min="10249" max="10249" width="14.28515625" style="1551" bestFit="1" customWidth="1"/>
    <col min="10250" max="10250" width="9.140625" style="1551"/>
    <col min="10251" max="10251" width="12.7109375" style="1551" bestFit="1" customWidth="1"/>
    <col min="10252" max="10252" width="13.140625" style="1551" customWidth="1"/>
    <col min="10253" max="10496" width="9.140625" style="1551"/>
    <col min="10497" max="10497" width="4.7109375" style="1551" customWidth="1"/>
    <col min="10498" max="10498" width="6.7109375" style="1551" customWidth="1"/>
    <col min="10499" max="10499" width="8.85546875" style="1551" customWidth="1"/>
    <col min="10500" max="10500" width="46.42578125" style="1551" customWidth="1"/>
    <col min="10501" max="10501" width="12.85546875" style="1551" customWidth="1"/>
    <col min="10502" max="10502" width="15.5703125" style="1551" customWidth="1"/>
    <col min="10503" max="10503" width="15.85546875" style="1551" customWidth="1"/>
    <col min="10504" max="10504" width="6.42578125" style="1551" customWidth="1"/>
    <col min="10505" max="10505" width="14.28515625" style="1551" bestFit="1" customWidth="1"/>
    <col min="10506" max="10506" width="9.140625" style="1551"/>
    <col min="10507" max="10507" width="12.7109375" style="1551" bestFit="1" customWidth="1"/>
    <col min="10508" max="10508" width="13.140625" style="1551" customWidth="1"/>
    <col min="10509" max="10752" width="9.140625" style="1551"/>
    <col min="10753" max="10753" width="4.7109375" style="1551" customWidth="1"/>
    <col min="10754" max="10754" width="6.7109375" style="1551" customWidth="1"/>
    <col min="10755" max="10755" width="8.85546875" style="1551" customWidth="1"/>
    <col min="10756" max="10756" width="46.42578125" style="1551" customWidth="1"/>
    <col min="10757" max="10757" width="12.85546875" style="1551" customWidth="1"/>
    <col min="10758" max="10758" width="15.5703125" style="1551" customWidth="1"/>
    <col min="10759" max="10759" width="15.85546875" style="1551" customWidth="1"/>
    <col min="10760" max="10760" width="6.42578125" style="1551" customWidth="1"/>
    <col min="10761" max="10761" width="14.28515625" style="1551" bestFit="1" customWidth="1"/>
    <col min="10762" max="10762" width="9.140625" style="1551"/>
    <col min="10763" max="10763" width="12.7109375" style="1551" bestFit="1" customWidth="1"/>
    <col min="10764" max="10764" width="13.140625" style="1551" customWidth="1"/>
    <col min="10765" max="11008" width="9.140625" style="1551"/>
    <col min="11009" max="11009" width="4.7109375" style="1551" customWidth="1"/>
    <col min="11010" max="11010" width="6.7109375" style="1551" customWidth="1"/>
    <col min="11011" max="11011" width="8.85546875" style="1551" customWidth="1"/>
    <col min="11012" max="11012" width="46.42578125" style="1551" customWidth="1"/>
    <col min="11013" max="11013" width="12.85546875" style="1551" customWidth="1"/>
    <col min="11014" max="11014" width="15.5703125" style="1551" customWidth="1"/>
    <col min="11015" max="11015" width="15.85546875" style="1551" customWidth="1"/>
    <col min="11016" max="11016" width="6.42578125" style="1551" customWidth="1"/>
    <col min="11017" max="11017" width="14.28515625" style="1551" bestFit="1" customWidth="1"/>
    <col min="11018" max="11018" width="9.140625" style="1551"/>
    <col min="11019" max="11019" width="12.7109375" style="1551" bestFit="1" customWidth="1"/>
    <col min="11020" max="11020" width="13.140625" style="1551" customWidth="1"/>
    <col min="11021" max="11264" width="9.140625" style="1551"/>
    <col min="11265" max="11265" width="4.7109375" style="1551" customWidth="1"/>
    <col min="11266" max="11266" width="6.7109375" style="1551" customWidth="1"/>
    <col min="11267" max="11267" width="8.85546875" style="1551" customWidth="1"/>
    <col min="11268" max="11268" width="46.42578125" style="1551" customWidth="1"/>
    <col min="11269" max="11269" width="12.85546875" style="1551" customWidth="1"/>
    <col min="11270" max="11270" width="15.5703125" style="1551" customWidth="1"/>
    <col min="11271" max="11271" width="15.85546875" style="1551" customWidth="1"/>
    <col min="11272" max="11272" width="6.42578125" style="1551" customWidth="1"/>
    <col min="11273" max="11273" width="14.28515625" style="1551" bestFit="1" customWidth="1"/>
    <col min="11274" max="11274" width="9.140625" style="1551"/>
    <col min="11275" max="11275" width="12.7109375" style="1551" bestFit="1" customWidth="1"/>
    <col min="11276" max="11276" width="13.140625" style="1551" customWidth="1"/>
    <col min="11277" max="11520" width="9.140625" style="1551"/>
    <col min="11521" max="11521" width="4.7109375" style="1551" customWidth="1"/>
    <col min="11522" max="11522" width="6.7109375" style="1551" customWidth="1"/>
    <col min="11523" max="11523" width="8.85546875" style="1551" customWidth="1"/>
    <col min="11524" max="11524" width="46.42578125" style="1551" customWidth="1"/>
    <col min="11525" max="11525" width="12.85546875" style="1551" customWidth="1"/>
    <col min="11526" max="11526" width="15.5703125" style="1551" customWidth="1"/>
    <col min="11527" max="11527" width="15.85546875" style="1551" customWidth="1"/>
    <col min="11528" max="11528" width="6.42578125" style="1551" customWidth="1"/>
    <col min="11529" max="11529" width="14.28515625" style="1551" bestFit="1" customWidth="1"/>
    <col min="11530" max="11530" width="9.140625" style="1551"/>
    <col min="11531" max="11531" width="12.7109375" style="1551" bestFit="1" customWidth="1"/>
    <col min="11532" max="11532" width="13.140625" style="1551" customWidth="1"/>
    <col min="11533" max="11776" width="9.140625" style="1551"/>
    <col min="11777" max="11777" width="4.7109375" style="1551" customWidth="1"/>
    <col min="11778" max="11778" width="6.7109375" style="1551" customWidth="1"/>
    <col min="11779" max="11779" width="8.85546875" style="1551" customWidth="1"/>
    <col min="11780" max="11780" width="46.42578125" style="1551" customWidth="1"/>
    <col min="11781" max="11781" width="12.85546875" style="1551" customWidth="1"/>
    <col min="11782" max="11782" width="15.5703125" style="1551" customWidth="1"/>
    <col min="11783" max="11783" width="15.85546875" style="1551" customWidth="1"/>
    <col min="11784" max="11784" width="6.42578125" style="1551" customWidth="1"/>
    <col min="11785" max="11785" width="14.28515625" style="1551" bestFit="1" customWidth="1"/>
    <col min="11786" max="11786" width="9.140625" style="1551"/>
    <col min="11787" max="11787" width="12.7109375" style="1551" bestFit="1" customWidth="1"/>
    <col min="11788" max="11788" width="13.140625" style="1551" customWidth="1"/>
    <col min="11789" max="12032" width="9.140625" style="1551"/>
    <col min="12033" max="12033" width="4.7109375" style="1551" customWidth="1"/>
    <col min="12034" max="12034" width="6.7109375" style="1551" customWidth="1"/>
    <col min="12035" max="12035" width="8.85546875" style="1551" customWidth="1"/>
    <col min="12036" max="12036" width="46.42578125" style="1551" customWidth="1"/>
    <col min="12037" max="12037" width="12.85546875" style="1551" customWidth="1"/>
    <col min="12038" max="12038" width="15.5703125" style="1551" customWidth="1"/>
    <col min="12039" max="12039" width="15.85546875" style="1551" customWidth="1"/>
    <col min="12040" max="12040" width="6.42578125" style="1551" customWidth="1"/>
    <col min="12041" max="12041" width="14.28515625" style="1551" bestFit="1" customWidth="1"/>
    <col min="12042" max="12042" width="9.140625" style="1551"/>
    <col min="12043" max="12043" width="12.7109375" style="1551" bestFit="1" customWidth="1"/>
    <col min="12044" max="12044" width="13.140625" style="1551" customWidth="1"/>
    <col min="12045" max="12288" width="9.140625" style="1551"/>
    <col min="12289" max="12289" width="4.7109375" style="1551" customWidth="1"/>
    <col min="12290" max="12290" width="6.7109375" style="1551" customWidth="1"/>
    <col min="12291" max="12291" width="8.85546875" style="1551" customWidth="1"/>
    <col min="12292" max="12292" width="46.42578125" style="1551" customWidth="1"/>
    <col min="12293" max="12293" width="12.85546875" style="1551" customWidth="1"/>
    <col min="12294" max="12294" width="15.5703125" style="1551" customWidth="1"/>
    <col min="12295" max="12295" width="15.85546875" style="1551" customWidth="1"/>
    <col min="12296" max="12296" width="6.42578125" style="1551" customWidth="1"/>
    <col min="12297" max="12297" width="14.28515625" style="1551" bestFit="1" customWidth="1"/>
    <col min="12298" max="12298" width="9.140625" style="1551"/>
    <col min="12299" max="12299" width="12.7109375" style="1551" bestFit="1" customWidth="1"/>
    <col min="12300" max="12300" width="13.140625" style="1551" customWidth="1"/>
    <col min="12301" max="12544" width="9.140625" style="1551"/>
    <col min="12545" max="12545" width="4.7109375" style="1551" customWidth="1"/>
    <col min="12546" max="12546" width="6.7109375" style="1551" customWidth="1"/>
    <col min="12547" max="12547" width="8.85546875" style="1551" customWidth="1"/>
    <col min="12548" max="12548" width="46.42578125" style="1551" customWidth="1"/>
    <col min="12549" max="12549" width="12.85546875" style="1551" customWidth="1"/>
    <col min="12550" max="12550" width="15.5703125" style="1551" customWidth="1"/>
    <col min="12551" max="12551" width="15.85546875" style="1551" customWidth="1"/>
    <col min="12552" max="12552" width="6.42578125" style="1551" customWidth="1"/>
    <col min="12553" max="12553" width="14.28515625" style="1551" bestFit="1" customWidth="1"/>
    <col min="12554" max="12554" width="9.140625" style="1551"/>
    <col min="12555" max="12555" width="12.7109375" style="1551" bestFit="1" customWidth="1"/>
    <col min="12556" max="12556" width="13.140625" style="1551" customWidth="1"/>
    <col min="12557" max="12800" width="9.140625" style="1551"/>
    <col min="12801" max="12801" width="4.7109375" style="1551" customWidth="1"/>
    <col min="12802" max="12802" width="6.7109375" style="1551" customWidth="1"/>
    <col min="12803" max="12803" width="8.85546875" style="1551" customWidth="1"/>
    <col min="12804" max="12804" width="46.42578125" style="1551" customWidth="1"/>
    <col min="12805" max="12805" width="12.85546875" style="1551" customWidth="1"/>
    <col min="12806" max="12806" width="15.5703125" style="1551" customWidth="1"/>
    <col min="12807" max="12807" width="15.85546875" style="1551" customWidth="1"/>
    <col min="12808" max="12808" width="6.42578125" style="1551" customWidth="1"/>
    <col min="12809" max="12809" width="14.28515625" style="1551" bestFit="1" customWidth="1"/>
    <col min="12810" max="12810" width="9.140625" style="1551"/>
    <col min="12811" max="12811" width="12.7109375" style="1551" bestFit="1" customWidth="1"/>
    <col min="12812" max="12812" width="13.140625" style="1551" customWidth="1"/>
    <col min="12813" max="13056" width="9.140625" style="1551"/>
    <col min="13057" max="13057" width="4.7109375" style="1551" customWidth="1"/>
    <col min="13058" max="13058" width="6.7109375" style="1551" customWidth="1"/>
    <col min="13059" max="13059" width="8.85546875" style="1551" customWidth="1"/>
    <col min="13060" max="13060" width="46.42578125" style="1551" customWidth="1"/>
    <col min="13061" max="13061" width="12.85546875" style="1551" customWidth="1"/>
    <col min="13062" max="13062" width="15.5703125" style="1551" customWidth="1"/>
    <col min="13063" max="13063" width="15.85546875" style="1551" customWidth="1"/>
    <col min="13064" max="13064" width="6.42578125" style="1551" customWidth="1"/>
    <col min="13065" max="13065" width="14.28515625" style="1551" bestFit="1" customWidth="1"/>
    <col min="13066" max="13066" width="9.140625" style="1551"/>
    <col min="13067" max="13067" width="12.7109375" style="1551" bestFit="1" customWidth="1"/>
    <col min="13068" max="13068" width="13.140625" style="1551" customWidth="1"/>
    <col min="13069" max="13312" width="9.140625" style="1551"/>
    <col min="13313" max="13313" width="4.7109375" style="1551" customWidth="1"/>
    <col min="13314" max="13314" width="6.7109375" style="1551" customWidth="1"/>
    <col min="13315" max="13315" width="8.85546875" style="1551" customWidth="1"/>
    <col min="13316" max="13316" width="46.42578125" style="1551" customWidth="1"/>
    <col min="13317" max="13317" width="12.85546875" style="1551" customWidth="1"/>
    <col min="13318" max="13318" width="15.5703125" style="1551" customWidth="1"/>
    <col min="13319" max="13319" width="15.85546875" style="1551" customWidth="1"/>
    <col min="13320" max="13320" width="6.42578125" style="1551" customWidth="1"/>
    <col min="13321" max="13321" width="14.28515625" style="1551" bestFit="1" customWidth="1"/>
    <col min="13322" max="13322" width="9.140625" style="1551"/>
    <col min="13323" max="13323" width="12.7109375" style="1551" bestFit="1" customWidth="1"/>
    <col min="13324" max="13324" width="13.140625" style="1551" customWidth="1"/>
    <col min="13325" max="13568" width="9.140625" style="1551"/>
    <col min="13569" max="13569" width="4.7109375" style="1551" customWidth="1"/>
    <col min="13570" max="13570" width="6.7109375" style="1551" customWidth="1"/>
    <col min="13571" max="13571" width="8.85546875" style="1551" customWidth="1"/>
    <col min="13572" max="13572" width="46.42578125" style="1551" customWidth="1"/>
    <col min="13573" max="13573" width="12.85546875" style="1551" customWidth="1"/>
    <col min="13574" max="13574" width="15.5703125" style="1551" customWidth="1"/>
    <col min="13575" max="13575" width="15.85546875" style="1551" customWidth="1"/>
    <col min="13576" max="13576" width="6.42578125" style="1551" customWidth="1"/>
    <col min="13577" max="13577" width="14.28515625" style="1551" bestFit="1" customWidth="1"/>
    <col min="13578" max="13578" width="9.140625" style="1551"/>
    <col min="13579" max="13579" width="12.7109375" style="1551" bestFit="1" customWidth="1"/>
    <col min="13580" max="13580" width="13.140625" style="1551" customWidth="1"/>
    <col min="13581" max="13824" width="9.140625" style="1551"/>
    <col min="13825" max="13825" width="4.7109375" style="1551" customWidth="1"/>
    <col min="13826" max="13826" width="6.7109375" style="1551" customWidth="1"/>
    <col min="13827" max="13827" width="8.85546875" style="1551" customWidth="1"/>
    <col min="13828" max="13828" width="46.42578125" style="1551" customWidth="1"/>
    <col min="13829" max="13829" width="12.85546875" style="1551" customWidth="1"/>
    <col min="13830" max="13830" width="15.5703125" style="1551" customWidth="1"/>
    <col min="13831" max="13831" width="15.85546875" style="1551" customWidth="1"/>
    <col min="13832" max="13832" width="6.42578125" style="1551" customWidth="1"/>
    <col min="13833" max="13833" width="14.28515625" style="1551" bestFit="1" customWidth="1"/>
    <col min="13834" max="13834" width="9.140625" style="1551"/>
    <col min="13835" max="13835" width="12.7109375" style="1551" bestFit="1" customWidth="1"/>
    <col min="13836" max="13836" width="13.140625" style="1551" customWidth="1"/>
    <col min="13837" max="14080" width="9.140625" style="1551"/>
    <col min="14081" max="14081" width="4.7109375" style="1551" customWidth="1"/>
    <col min="14082" max="14082" width="6.7109375" style="1551" customWidth="1"/>
    <col min="14083" max="14083" width="8.85546875" style="1551" customWidth="1"/>
    <col min="14084" max="14084" width="46.42578125" style="1551" customWidth="1"/>
    <col min="14085" max="14085" width="12.85546875" style="1551" customWidth="1"/>
    <col min="14086" max="14086" width="15.5703125" style="1551" customWidth="1"/>
    <col min="14087" max="14087" width="15.85546875" style="1551" customWidth="1"/>
    <col min="14088" max="14088" width="6.42578125" style="1551" customWidth="1"/>
    <col min="14089" max="14089" width="14.28515625" style="1551" bestFit="1" customWidth="1"/>
    <col min="14090" max="14090" width="9.140625" style="1551"/>
    <col min="14091" max="14091" width="12.7109375" style="1551" bestFit="1" customWidth="1"/>
    <col min="14092" max="14092" width="13.140625" style="1551" customWidth="1"/>
    <col min="14093" max="14336" width="9.140625" style="1551"/>
    <col min="14337" max="14337" width="4.7109375" style="1551" customWidth="1"/>
    <col min="14338" max="14338" width="6.7109375" style="1551" customWidth="1"/>
    <col min="14339" max="14339" width="8.85546875" style="1551" customWidth="1"/>
    <col min="14340" max="14340" width="46.42578125" style="1551" customWidth="1"/>
    <col min="14341" max="14341" width="12.85546875" style="1551" customWidth="1"/>
    <col min="14342" max="14342" width="15.5703125" style="1551" customWidth="1"/>
    <col min="14343" max="14343" width="15.85546875" style="1551" customWidth="1"/>
    <col min="14344" max="14344" width="6.42578125" style="1551" customWidth="1"/>
    <col min="14345" max="14345" width="14.28515625" style="1551" bestFit="1" customWidth="1"/>
    <col min="14346" max="14346" width="9.140625" style="1551"/>
    <col min="14347" max="14347" width="12.7109375" style="1551" bestFit="1" customWidth="1"/>
    <col min="14348" max="14348" width="13.140625" style="1551" customWidth="1"/>
    <col min="14349" max="14592" width="9.140625" style="1551"/>
    <col min="14593" max="14593" width="4.7109375" style="1551" customWidth="1"/>
    <col min="14594" max="14594" width="6.7109375" style="1551" customWidth="1"/>
    <col min="14595" max="14595" width="8.85546875" style="1551" customWidth="1"/>
    <col min="14596" max="14596" width="46.42578125" style="1551" customWidth="1"/>
    <col min="14597" max="14597" width="12.85546875" style="1551" customWidth="1"/>
    <col min="14598" max="14598" width="15.5703125" style="1551" customWidth="1"/>
    <col min="14599" max="14599" width="15.85546875" style="1551" customWidth="1"/>
    <col min="14600" max="14600" width="6.42578125" style="1551" customWidth="1"/>
    <col min="14601" max="14601" width="14.28515625" style="1551" bestFit="1" customWidth="1"/>
    <col min="14602" max="14602" width="9.140625" style="1551"/>
    <col min="14603" max="14603" width="12.7109375" style="1551" bestFit="1" customWidth="1"/>
    <col min="14604" max="14604" width="13.140625" style="1551" customWidth="1"/>
    <col min="14605" max="14848" width="9.140625" style="1551"/>
    <col min="14849" max="14849" width="4.7109375" style="1551" customWidth="1"/>
    <col min="14850" max="14850" width="6.7109375" style="1551" customWidth="1"/>
    <col min="14851" max="14851" width="8.85546875" style="1551" customWidth="1"/>
    <col min="14852" max="14852" width="46.42578125" style="1551" customWidth="1"/>
    <col min="14853" max="14853" width="12.85546875" style="1551" customWidth="1"/>
    <col min="14854" max="14854" width="15.5703125" style="1551" customWidth="1"/>
    <col min="14855" max="14855" width="15.85546875" style="1551" customWidth="1"/>
    <col min="14856" max="14856" width="6.42578125" style="1551" customWidth="1"/>
    <col min="14857" max="14857" width="14.28515625" style="1551" bestFit="1" customWidth="1"/>
    <col min="14858" max="14858" width="9.140625" style="1551"/>
    <col min="14859" max="14859" width="12.7109375" style="1551" bestFit="1" customWidth="1"/>
    <col min="14860" max="14860" width="13.140625" style="1551" customWidth="1"/>
    <col min="14861" max="15104" width="9.140625" style="1551"/>
    <col min="15105" max="15105" width="4.7109375" style="1551" customWidth="1"/>
    <col min="15106" max="15106" width="6.7109375" style="1551" customWidth="1"/>
    <col min="15107" max="15107" width="8.85546875" style="1551" customWidth="1"/>
    <col min="15108" max="15108" width="46.42578125" style="1551" customWidth="1"/>
    <col min="15109" max="15109" width="12.85546875" style="1551" customWidth="1"/>
    <col min="15110" max="15110" width="15.5703125" style="1551" customWidth="1"/>
    <col min="15111" max="15111" width="15.85546875" style="1551" customWidth="1"/>
    <col min="15112" max="15112" width="6.42578125" style="1551" customWidth="1"/>
    <col min="15113" max="15113" width="14.28515625" style="1551" bestFit="1" customWidth="1"/>
    <col min="15114" max="15114" width="9.140625" style="1551"/>
    <col min="15115" max="15115" width="12.7109375" style="1551" bestFit="1" customWidth="1"/>
    <col min="15116" max="15116" width="13.140625" style="1551" customWidth="1"/>
    <col min="15117" max="15360" width="9.140625" style="1551"/>
    <col min="15361" max="15361" width="4.7109375" style="1551" customWidth="1"/>
    <col min="15362" max="15362" width="6.7109375" style="1551" customWidth="1"/>
    <col min="15363" max="15363" width="8.85546875" style="1551" customWidth="1"/>
    <col min="15364" max="15364" width="46.42578125" style="1551" customWidth="1"/>
    <col min="15365" max="15365" width="12.85546875" style="1551" customWidth="1"/>
    <col min="15366" max="15366" width="15.5703125" style="1551" customWidth="1"/>
    <col min="15367" max="15367" width="15.85546875" style="1551" customWidth="1"/>
    <col min="15368" max="15368" width="6.42578125" style="1551" customWidth="1"/>
    <col min="15369" max="15369" width="14.28515625" style="1551" bestFit="1" customWidth="1"/>
    <col min="15370" max="15370" width="9.140625" style="1551"/>
    <col min="15371" max="15371" width="12.7109375" style="1551" bestFit="1" customWidth="1"/>
    <col min="15372" max="15372" width="13.140625" style="1551" customWidth="1"/>
    <col min="15373" max="15616" width="9.140625" style="1551"/>
    <col min="15617" max="15617" width="4.7109375" style="1551" customWidth="1"/>
    <col min="15618" max="15618" width="6.7109375" style="1551" customWidth="1"/>
    <col min="15619" max="15619" width="8.85546875" style="1551" customWidth="1"/>
    <col min="15620" max="15620" width="46.42578125" style="1551" customWidth="1"/>
    <col min="15621" max="15621" width="12.85546875" style="1551" customWidth="1"/>
    <col min="15622" max="15622" width="15.5703125" style="1551" customWidth="1"/>
    <col min="15623" max="15623" width="15.85546875" style="1551" customWidth="1"/>
    <col min="15624" max="15624" width="6.42578125" style="1551" customWidth="1"/>
    <col min="15625" max="15625" width="14.28515625" style="1551" bestFit="1" customWidth="1"/>
    <col min="15626" max="15626" width="9.140625" style="1551"/>
    <col min="15627" max="15627" width="12.7109375" style="1551" bestFit="1" customWidth="1"/>
    <col min="15628" max="15628" width="13.140625" style="1551" customWidth="1"/>
    <col min="15629" max="15872" width="9.140625" style="1551"/>
    <col min="15873" max="15873" width="4.7109375" style="1551" customWidth="1"/>
    <col min="15874" max="15874" width="6.7109375" style="1551" customWidth="1"/>
    <col min="15875" max="15875" width="8.85546875" style="1551" customWidth="1"/>
    <col min="15876" max="15876" width="46.42578125" style="1551" customWidth="1"/>
    <col min="15877" max="15877" width="12.85546875" style="1551" customWidth="1"/>
    <col min="15878" max="15878" width="15.5703125" style="1551" customWidth="1"/>
    <col min="15879" max="15879" width="15.85546875" style="1551" customWidth="1"/>
    <col min="15880" max="15880" width="6.42578125" style="1551" customWidth="1"/>
    <col min="15881" max="15881" width="14.28515625" style="1551" bestFit="1" customWidth="1"/>
    <col min="15882" max="15882" width="9.140625" style="1551"/>
    <col min="15883" max="15883" width="12.7109375" style="1551" bestFit="1" customWidth="1"/>
    <col min="15884" max="15884" width="13.140625" style="1551" customWidth="1"/>
    <col min="15885" max="16128" width="9.140625" style="1551"/>
    <col min="16129" max="16129" width="4.7109375" style="1551" customWidth="1"/>
    <col min="16130" max="16130" width="6.7109375" style="1551" customWidth="1"/>
    <col min="16131" max="16131" width="8.85546875" style="1551" customWidth="1"/>
    <col min="16132" max="16132" width="46.42578125" style="1551" customWidth="1"/>
    <col min="16133" max="16133" width="12.85546875" style="1551" customWidth="1"/>
    <col min="16134" max="16134" width="15.5703125" style="1551" customWidth="1"/>
    <col min="16135" max="16135" width="15.85546875" style="1551" customWidth="1"/>
    <col min="16136" max="16136" width="6.42578125" style="1551" customWidth="1"/>
    <col min="16137" max="16137" width="14.28515625" style="1551" bestFit="1" customWidth="1"/>
    <col min="16138" max="16138" width="9.140625" style="1551"/>
    <col min="16139" max="16139" width="12.7109375" style="1551" bestFit="1" customWidth="1"/>
    <col min="16140" max="16140" width="13.140625" style="1551" customWidth="1"/>
    <col min="16141" max="16384" width="9.140625" style="1551"/>
  </cols>
  <sheetData>
    <row r="1" spans="1:8" ht="19.5" customHeight="1" thickBot="1" x14ac:dyDescent="0.3">
      <c r="A1" s="1545" t="s">
        <v>1383</v>
      </c>
      <c r="B1" s="1546"/>
      <c r="C1" s="1547"/>
      <c r="D1" s="1548"/>
      <c r="E1" s="1549"/>
      <c r="F1" s="1548"/>
      <c r="G1" s="1550"/>
      <c r="H1" s="1545"/>
    </row>
    <row r="2" spans="1:8" ht="18" x14ac:dyDescent="0.25">
      <c r="A2" s="1552"/>
      <c r="B2" s="1553"/>
      <c r="C2" s="1553"/>
      <c r="D2" s="1553"/>
      <c r="E2" s="1553"/>
      <c r="F2" s="1553"/>
      <c r="G2" s="1553"/>
      <c r="H2" s="1554" t="s">
        <v>1384</v>
      </c>
    </row>
    <row r="3" spans="1:8" ht="18" x14ac:dyDescent="0.25">
      <c r="A3" s="1555" t="s">
        <v>336</v>
      </c>
      <c r="B3" s="1553"/>
      <c r="C3" s="2852" t="s">
        <v>2009</v>
      </c>
      <c r="D3" s="1553"/>
      <c r="E3" s="1553"/>
      <c r="F3" s="1553"/>
      <c r="G3" s="1553"/>
      <c r="H3" s="1554"/>
    </row>
    <row r="4" spans="1:8" ht="18" x14ac:dyDescent="0.25">
      <c r="A4" s="1552"/>
      <c r="B4" s="1553"/>
      <c r="C4" s="2852" t="s">
        <v>1450</v>
      </c>
      <c r="D4" s="1553"/>
      <c r="E4" s="1553"/>
      <c r="F4" s="1553"/>
      <c r="G4" s="1553"/>
      <c r="H4" s="1554"/>
    </row>
    <row r="5" spans="1:8" ht="18" x14ac:dyDescent="0.25">
      <c r="A5" s="1557" t="s">
        <v>1256</v>
      </c>
      <c r="B5" s="1553"/>
      <c r="C5" s="1553"/>
      <c r="D5" s="1553"/>
      <c r="E5" s="1553"/>
      <c r="F5" s="1553"/>
      <c r="G5" s="1553"/>
      <c r="H5" s="1554"/>
    </row>
    <row r="6" spans="1:8" ht="18" x14ac:dyDescent="0.25">
      <c r="A6" s="1557"/>
      <c r="B6" s="1553"/>
      <c r="C6" s="1553"/>
      <c r="D6" s="1553"/>
      <c r="E6" s="1553"/>
      <c r="F6" s="1553"/>
      <c r="G6" s="1553"/>
      <c r="H6" s="1554"/>
    </row>
    <row r="7" spans="1:8" ht="18" x14ac:dyDescent="0.25">
      <c r="A7" s="1557"/>
      <c r="B7" s="1553"/>
      <c r="C7" s="1553"/>
      <c r="D7" s="1553"/>
      <c r="E7" s="1553"/>
      <c r="F7" s="1553"/>
      <c r="G7" s="1553"/>
      <c r="H7" s="1554"/>
    </row>
    <row r="8" spans="1:8" ht="15" x14ac:dyDescent="0.25">
      <c r="A8" s="1632" t="s">
        <v>1385</v>
      </c>
      <c r="B8" s="1553"/>
      <c r="C8" s="1553"/>
      <c r="D8" s="1553"/>
    </row>
    <row r="9" spans="1:8" ht="15.75" thickBot="1" x14ac:dyDescent="0.3">
      <c r="A9" s="1633" t="s">
        <v>1386</v>
      </c>
      <c r="B9" s="1634"/>
      <c r="C9" s="1634"/>
      <c r="H9" s="1560" t="s">
        <v>148</v>
      </c>
    </row>
    <row r="10" spans="1:8" s="1635" customFormat="1" ht="25.5" thickTop="1" thickBot="1" x14ac:dyDescent="0.25">
      <c r="A10" s="1561" t="s">
        <v>149</v>
      </c>
      <c r="B10" s="1562" t="s">
        <v>688</v>
      </c>
      <c r="C10" s="1562" t="s">
        <v>345</v>
      </c>
      <c r="D10" s="1563" t="s">
        <v>151</v>
      </c>
      <c r="E10" s="1564" t="s">
        <v>569</v>
      </c>
      <c r="F10" s="1564" t="s">
        <v>570</v>
      </c>
      <c r="G10" s="1565" t="s">
        <v>797</v>
      </c>
      <c r="H10" s="1566" t="s">
        <v>798</v>
      </c>
    </row>
    <row r="11" spans="1:8" s="1635" customFormat="1" ht="13.5" thickTop="1" thickBot="1" x14ac:dyDescent="0.25">
      <c r="A11" s="1567">
        <v>1</v>
      </c>
      <c r="B11" s="1568">
        <v>2</v>
      </c>
      <c r="C11" s="1568">
        <v>3</v>
      </c>
      <c r="D11" s="1568">
        <v>4</v>
      </c>
      <c r="E11" s="1569">
        <v>5</v>
      </c>
      <c r="F11" s="1569">
        <v>6</v>
      </c>
      <c r="G11" s="1570">
        <v>7</v>
      </c>
      <c r="H11" s="1571" t="s">
        <v>54</v>
      </c>
    </row>
    <row r="12" spans="1:8" s="1637" customFormat="1" ht="15.75" hidden="1" thickTop="1" x14ac:dyDescent="0.2">
      <c r="A12" s="1577">
        <v>3636</v>
      </c>
      <c r="B12" s="1578">
        <v>5011</v>
      </c>
      <c r="C12" s="1636">
        <v>38100880</v>
      </c>
      <c r="D12" s="1579" t="s">
        <v>189</v>
      </c>
      <c r="E12" s="1580"/>
      <c r="F12" s="1580"/>
      <c r="G12" s="1580"/>
      <c r="H12" s="1581" t="e">
        <f>G12/F12*100</f>
        <v>#DIV/0!</v>
      </c>
    </row>
    <row r="13" spans="1:8" s="1637" customFormat="1" ht="15.75" thickTop="1" x14ac:dyDescent="0.2">
      <c r="A13" s="1577">
        <v>3299</v>
      </c>
      <c r="B13" s="1578">
        <v>5139</v>
      </c>
      <c r="C13" s="1629" t="s">
        <v>2106</v>
      </c>
      <c r="D13" s="1579" t="s">
        <v>249</v>
      </c>
      <c r="E13" s="1580">
        <v>0</v>
      </c>
      <c r="F13" s="1580">
        <v>6</v>
      </c>
      <c r="G13" s="1580">
        <v>5</v>
      </c>
      <c r="H13" s="1581">
        <v>0</v>
      </c>
    </row>
    <row r="14" spans="1:8" s="1637" customFormat="1" ht="15" x14ac:dyDescent="0.2">
      <c r="A14" s="1577">
        <v>3299</v>
      </c>
      <c r="B14" s="1578">
        <v>5139</v>
      </c>
      <c r="C14" s="1629" t="s">
        <v>2105</v>
      </c>
      <c r="D14" s="1579" t="s">
        <v>249</v>
      </c>
      <c r="E14" s="1580">
        <v>0</v>
      </c>
      <c r="F14" s="1580">
        <v>34</v>
      </c>
      <c r="G14" s="1580">
        <v>30</v>
      </c>
      <c r="H14" s="1581">
        <f>G14/F14*100</f>
        <v>88.235294117647058</v>
      </c>
    </row>
    <row r="15" spans="1:8" s="1637" customFormat="1" ht="15" x14ac:dyDescent="0.2">
      <c r="A15" s="1577">
        <v>3299</v>
      </c>
      <c r="B15" s="1578">
        <v>5164</v>
      </c>
      <c r="C15" s="1629" t="s">
        <v>2106</v>
      </c>
      <c r="D15" s="1579" t="s">
        <v>157</v>
      </c>
      <c r="E15" s="1580">
        <v>0</v>
      </c>
      <c r="F15" s="1580">
        <v>4</v>
      </c>
      <c r="G15" s="1580">
        <v>2</v>
      </c>
      <c r="H15" s="1581">
        <f>G15/F15*100</f>
        <v>50</v>
      </c>
    </row>
    <row r="16" spans="1:8" s="1637" customFormat="1" ht="15" x14ac:dyDescent="0.2">
      <c r="A16" s="1577">
        <v>3299</v>
      </c>
      <c r="B16" s="1578">
        <v>5164</v>
      </c>
      <c r="C16" s="1629" t="s">
        <v>2105</v>
      </c>
      <c r="D16" s="1579" t="s">
        <v>157</v>
      </c>
      <c r="E16" s="1580">
        <v>0</v>
      </c>
      <c r="F16" s="1580">
        <v>24</v>
      </c>
      <c r="G16" s="1580">
        <v>10</v>
      </c>
      <c r="H16" s="1581">
        <f>G16/F16*100</f>
        <v>41.666666666666671</v>
      </c>
    </row>
    <row r="17" spans="1:8" s="1637" customFormat="1" ht="15" x14ac:dyDescent="0.2">
      <c r="A17" s="1577">
        <v>3299</v>
      </c>
      <c r="B17" s="1578">
        <v>5169</v>
      </c>
      <c r="C17" s="1629" t="s">
        <v>2106</v>
      </c>
      <c r="D17" s="1579" t="s">
        <v>769</v>
      </c>
      <c r="E17" s="1580">
        <v>0</v>
      </c>
      <c r="F17" s="1580">
        <v>6</v>
      </c>
      <c r="G17" s="1580">
        <v>0</v>
      </c>
      <c r="H17" s="1581">
        <f>G17/F17*100</f>
        <v>0</v>
      </c>
    </row>
    <row r="18" spans="1:8" s="1637" customFormat="1" ht="15" hidden="1" x14ac:dyDescent="0.2">
      <c r="A18" s="1577">
        <v>3299</v>
      </c>
      <c r="B18" s="1578">
        <v>5021</v>
      </c>
      <c r="C18" s="1629">
        <v>38100882</v>
      </c>
      <c r="D18" s="1579" t="s">
        <v>356</v>
      </c>
      <c r="E18" s="1580"/>
      <c r="F18" s="1580"/>
      <c r="G18" s="1580"/>
      <c r="H18" s="1581">
        <v>0</v>
      </c>
    </row>
    <row r="19" spans="1:8" s="1637" customFormat="1" ht="15" x14ac:dyDescent="0.2">
      <c r="A19" s="1577">
        <v>3299</v>
      </c>
      <c r="B19" s="1578">
        <v>5169</v>
      </c>
      <c r="C19" s="1629" t="s">
        <v>2105</v>
      </c>
      <c r="D19" s="1579" t="s">
        <v>769</v>
      </c>
      <c r="E19" s="1580">
        <v>0</v>
      </c>
      <c r="F19" s="1580">
        <v>34</v>
      </c>
      <c r="G19" s="1580">
        <v>0</v>
      </c>
      <c r="H19" s="1581">
        <f>G19/F19*100</f>
        <v>0</v>
      </c>
    </row>
    <row r="20" spans="1:8" s="1637" customFormat="1" ht="30" hidden="1" x14ac:dyDescent="0.2">
      <c r="A20" s="1577">
        <v>3299</v>
      </c>
      <c r="B20" s="1578">
        <v>5031</v>
      </c>
      <c r="C20" s="1629">
        <v>38100880</v>
      </c>
      <c r="D20" s="1579" t="s">
        <v>1165</v>
      </c>
      <c r="E20" s="1580"/>
      <c r="F20" s="1580"/>
      <c r="G20" s="1580"/>
      <c r="H20" s="1581" t="e">
        <f>G20/F20*100</f>
        <v>#DIV/0!</v>
      </c>
    </row>
    <row r="21" spans="1:8" s="1637" customFormat="1" ht="30" hidden="1" x14ac:dyDescent="0.2">
      <c r="A21" s="1577">
        <v>3299</v>
      </c>
      <c r="B21" s="1578">
        <v>5031</v>
      </c>
      <c r="C21" s="1629">
        <v>38100882</v>
      </c>
      <c r="D21" s="1579" t="s">
        <v>1165</v>
      </c>
      <c r="E21" s="1580"/>
      <c r="F21" s="1580"/>
      <c r="G21" s="1580"/>
      <c r="H21" s="1581">
        <v>0</v>
      </c>
    </row>
    <row r="22" spans="1:8" s="1637" customFormat="1" ht="30" hidden="1" x14ac:dyDescent="0.2">
      <c r="A22" s="1577">
        <v>3299</v>
      </c>
      <c r="B22" s="1578">
        <v>5031</v>
      </c>
      <c r="C22" s="1629">
        <v>38500881</v>
      </c>
      <c r="D22" s="1579" t="s">
        <v>1165</v>
      </c>
      <c r="E22" s="1580"/>
      <c r="F22" s="1580"/>
      <c r="G22" s="1580"/>
      <c r="H22" s="1581" t="e">
        <f>G22/F22*100</f>
        <v>#DIV/0!</v>
      </c>
    </row>
    <row r="23" spans="1:8" s="1637" customFormat="1" ht="30" hidden="1" x14ac:dyDescent="0.2">
      <c r="A23" s="1577">
        <v>3299</v>
      </c>
      <c r="B23" s="1578">
        <v>5032</v>
      </c>
      <c r="C23" s="1629">
        <v>38100880</v>
      </c>
      <c r="D23" s="1579" t="s">
        <v>1058</v>
      </c>
      <c r="E23" s="1580"/>
      <c r="F23" s="1580"/>
      <c r="G23" s="1580"/>
      <c r="H23" s="1581" t="e">
        <f>G23/F23*100</f>
        <v>#DIV/0!</v>
      </c>
    </row>
    <row r="24" spans="1:8" s="1637" customFormat="1" ht="30" hidden="1" x14ac:dyDescent="0.2">
      <c r="A24" s="1577">
        <v>3299</v>
      </c>
      <c r="B24" s="1578">
        <v>5032</v>
      </c>
      <c r="C24" s="1629">
        <v>38100882</v>
      </c>
      <c r="D24" s="1579" t="s">
        <v>1058</v>
      </c>
      <c r="E24" s="1580"/>
      <c r="F24" s="1580"/>
      <c r="G24" s="1580"/>
      <c r="H24" s="1581">
        <v>0</v>
      </c>
    </row>
    <row r="25" spans="1:8" s="1637" customFormat="1" ht="30" hidden="1" x14ac:dyDescent="0.2">
      <c r="A25" s="1577">
        <v>3299</v>
      </c>
      <c r="B25" s="1578">
        <v>5032</v>
      </c>
      <c r="C25" s="1629">
        <v>38500881</v>
      </c>
      <c r="D25" s="1579" t="s">
        <v>1058</v>
      </c>
      <c r="E25" s="1580"/>
      <c r="F25" s="1580"/>
      <c r="G25" s="1580"/>
      <c r="H25" s="1581" t="e">
        <f>G25/F25*100</f>
        <v>#DIV/0!</v>
      </c>
    </row>
    <row r="26" spans="1:8" s="1637" customFormat="1" ht="15" hidden="1" x14ac:dyDescent="0.2">
      <c r="A26" s="1577">
        <v>3299</v>
      </c>
      <c r="B26" s="1578">
        <v>5136</v>
      </c>
      <c r="C26" s="1629">
        <v>38100880</v>
      </c>
      <c r="D26" s="1579" t="s">
        <v>552</v>
      </c>
      <c r="E26" s="1580"/>
      <c r="F26" s="1580"/>
      <c r="G26" s="1580"/>
      <c r="H26" s="1581" t="e">
        <f>G26/F26*100</f>
        <v>#DIV/0!</v>
      </c>
    </row>
    <row r="27" spans="1:8" s="1637" customFormat="1" ht="15" hidden="1" x14ac:dyDescent="0.2">
      <c r="A27" s="1577">
        <v>3299</v>
      </c>
      <c r="B27" s="1578">
        <v>5136</v>
      </c>
      <c r="C27" s="1629">
        <v>38500881</v>
      </c>
      <c r="D27" s="1579" t="s">
        <v>552</v>
      </c>
      <c r="E27" s="1580"/>
      <c r="F27" s="1580"/>
      <c r="G27" s="1580"/>
      <c r="H27" s="1581" t="e">
        <f>G27/F27*100</f>
        <v>#DIV/0!</v>
      </c>
    </row>
    <row r="28" spans="1:8" s="1637" customFormat="1" ht="15" hidden="1" x14ac:dyDescent="0.2">
      <c r="A28" s="1577">
        <v>3299</v>
      </c>
      <c r="B28" s="1578">
        <v>5139</v>
      </c>
      <c r="C28" s="1629">
        <v>38100880</v>
      </c>
      <c r="D28" s="1579" t="s">
        <v>249</v>
      </c>
      <c r="E28" s="1580"/>
      <c r="F28" s="1580"/>
      <c r="G28" s="1580"/>
      <c r="H28" s="1581" t="e">
        <f>G28/F28*100</f>
        <v>#DIV/0!</v>
      </c>
    </row>
    <row r="29" spans="1:8" s="1637" customFormat="1" ht="15" hidden="1" x14ac:dyDescent="0.2">
      <c r="A29" s="1577">
        <v>3299</v>
      </c>
      <c r="B29" s="1578">
        <v>5139</v>
      </c>
      <c r="C29" s="1629">
        <v>38100882</v>
      </c>
      <c r="D29" s="1579" t="s">
        <v>249</v>
      </c>
      <c r="E29" s="1580"/>
      <c r="F29" s="1580"/>
      <c r="G29" s="1580"/>
      <c r="H29" s="1581">
        <v>0</v>
      </c>
    </row>
    <row r="30" spans="1:8" s="1637" customFormat="1" ht="15" hidden="1" x14ac:dyDescent="0.2">
      <c r="A30" s="1577">
        <v>3299</v>
      </c>
      <c r="B30" s="1578">
        <v>5139</v>
      </c>
      <c r="C30" s="1629">
        <v>38500881</v>
      </c>
      <c r="D30" s="1579" t="s">
        <v>249</v>
      </c>
      <c r="E30" s="1580"/>
      <c r="F30" s="1580"/>
      <c r="G30" s="1580"/>
      <c r="H30" s="1581" t="e">
        <f>G30/F30*100</f>
        <v>#DIV/0!</v>
      </c>
    </row>
    <row r="31" spans="1:8" s="1637" customFormat="1" ht="15" hidden="1" x14ac:dyDescent="0.2">
      <c r="A31" s="1577">
        <v>3299</v>
      </c>
      <c r="B31" s="1578">
        <v>5162</v>
      </c>
      <c r="C31" s="1629">
        <v>38100880</v>
      </c>
      <c r="D31" s="1579" t="s">
        <v>780</v>
      </c>
      <c r="E31" s="1580"/>
      <c r="F31" s="1580"/>
      <c r="G31" s="1580"/>
      <c r="H31" s="1581" t="e">
        <f>G31/F31*100</f>
        <v>#DIV/0!</v>
      </c>
    </row>
    <row r="32" spans="1:8" s="1637" customFormat="1" ht="15" hidden="1" x14ac:dyDescent="0.2">
      <c r="A32" s="1577">
        <v>3299</v>
      </c>
      <c r="B32" s="1578">
        <v>5162</v>
      </c>
      <c r="C32" s="1629">
        <v>38100882</v>
      </c>
      <c r="D32" s="1579" t="s">
        <v>780</v>
      </c>
      <c r="E32" s="1580"/>
      <c r="F32" s="1580"/>
      <c r="G32" s="1580"/>
      <c r="H32" s="1581">
        <v>0</v>
      </c>
    </row>
    <row r="33" spans="1:8" s="1639" customFormat="1" ht="15" hidden="1" x14ac:dyDescent="0.2">
      <c r="A33" s="1577">
        <v>3299</v>
      </c>
      <c r="B33" s="1638">
        <v>5162</v>
      </c>
      <c r="C33" s="1629">
        <v>38500881</v>
      </c>
      <c r="D33" s="1579" t="s">
        <v>780</v>
      </c>
      <c r="E33" s="1580"/>
      <c r="F33" s="1580"/>
      <c r="G33" s="1580"/>
      <c r="H33" s="1581" t="e">
        <f>G33/F33*100</f>
        <v>#DIV/0!</v>
      </c>
    </row>
    <row r="34" spans="1:8" s="1639" customFormat="1" ht="15" hidden="1" x14ac:dyDescent="0.2">
      <c r="A34" s="1577">
        <v>3299</v>
      </c>
      <c r="B34" s="1638">
        <v>5163</v>
      </c>
      <c r="C34" s="1629">
        <v>38100880</v>
      </c>
      <c r="D34" s="1579" t="s">
        <v>807</v>
      </c>
      <c r="E34" s="1580"/>
      <c r="F34" s="1580"/>
      <c r="G34" s="1580"/>
      <c r="H34" s="1581">
        <v>0</v>
      </c>
    </row>
    <row r="35" spans="1:8" ht="17.25" hidden="1" customHeight="1" x14ac:dyDescent="0.2">
      <c r="A35" s="1577">
        <v>3299</v>
      </c>
      <c r="B35" s="1638">
        <v>5163</v>
      </c>
      <c r="C35" s="1629">
        <v>38100882</v>
      </c>
      <c r="D35" s="1579" t="s">
        <v>807</v>
      </c>
      <c r="E35" s="1580"/>
      <c r="F35" s="1580"/>
      <c r="G35" s="1580"/>
      <c r="H35" s="1581">
        <v>0</v>
      </c>
    </row>
    <row r="36" spans="1:8" ht="17.25" hidden="1" customHeight="1" x14ac:dyDescent="0.2">
      <c r="A36" s="1577">
        <v>3299</v>
      </c>
      <c r="B36" s="1638">
        <v>5163</v>
      </c>
      <c r="C36" s="1629">
        <v>38500881</v>
      </c>
      <c r="D36" s="1579" t="s">
        <v>807</v>
      </c>
      <c r="E36" s="1580"/>
      <c r="F36" s="1580"/>
      <c r="G36" s="1580"/>
      <c r="H36" s="1581" t="e">
        <f>G36/F36*100</f>
        <v>#DIV/0!</v>
      </c>
    </row>
    <row r="37" spans="1:8" ht="17.25" hidden="1" customHeight="1" x14ac:dyDescent="0.2">
      <c r="A37" s="1577">
        <v>3299</v>
      </c>
      <c r="B37" s="1638">
        <v>5164</v>
      </c>
      <c r="C37" s="1629">
        <v>38100880</v>
      </c>
      <c r="D37" s="1579" t="s">
        <v>157</v>
      </c>
      <c r="E37" s="1580"/>
      <c r="F37" s="1580"/>
      <c r="G37" s="1580"/>
      <c r="H37" s="1581" t="e">
        <f>G37/F37*100</f>
        <v>#DIV/0!</v>
      </c>
    </row>
    <row r="38" spans="1:8" ht="17.25" hidden="1" customHeight="1" x14ac:dyDescent="0.2">
      <c r="A38" s="1577">
        <v>3299</v>
      </c>
      <c r="B38" s="1638">
        <v>5164</v>
      </c>
      <c r="C38" s="1629">
        <v>38100882</v>
      </c>
      <c r="D38" s="1579" t="s">
        <v>157</v>
      </c>
      <c r="E38" s="1580"/>
      <c r="F38" s="1580"/>
      <c r="G38" s="1580"/>
      <c r="H38" s="1581">
        <v>0</v>
      </c>
    </row>
    <row r="39" spans="1:8" ht="17.25" hidden="1" customHeight="1" x14ac:dyDescent="0.2">
      <c r="A39" s="1577">
        <v>3299</v>
      </c>
      <c r="B39" s="1638">
        <v>5164</v>
      </c>
      <c r="C39" s="1629">
        <v>38500881</v>
      </c>
      <c r="D39" s="1579" t="s">
        <v>157</v>
      </c>
      <c r="E39" s="1580"/>
      <c r="F39" s="1580"/>
      <c r="G39" s="1580"/>
      <c r="H39" s="1581" t="e">
        <f>G39/F39*100</f>
        <v>#DIV/0!</v>
      </c>
    </row>
    <row r="40" spans="1:8" ht="17.25" hidden="1" customHeight="1" x14ac:dyDescent="0.2">
      <c r="A40" s="1577">
        <v>3299</v>
      </c>
      <c r="B40" s="1638">
        <v>5166</v>
      </c>
      <c r="C40" s="1629">
        <v>38100880</v>
      </c>
      <c r="D40" s="1579" t="s">
        <v>553</v>
      </c>
      <c r="E40" s="1580"/>
      <c r="F40" s="1580"/>
      <c r="G40" s="1580"/>
      <c r="H40" s="1581" t="e">
        <f>G40/F40*100</f>
        <v>#DIV/0!</v>
      </c>
    </row>
    <row r="41" spans="1:8" ht="17.25" hidden="1" customHeight="1" x14ac:dyDescent="0.2">
      <c r="A41" s="1577">
        <v>3299</v>
      </c>
      <c r="B41" s="1638">
        <v>5166</v>
      </c>
      <c r="C41" s="1629">
        <v>38100882</v>
      </c>
      <c r="D41" s="1579" t="s">
        <v>553</v>
      </c>
      <c r="E41" s="1580"/>
      <c r="F41" s="1580"/>
      <c r="G41" s="1580"/>
      <c r="H41" s="1581">
        <v>0</v>
      </c>
    </row>
    <row r="42" spans="1:8" ht="17.25" hidden="1" customHeight="1" x14ac:dyDescent="0.2">
      <c r="A42" s="1577">
        <v>3299</v>
      </c>
      <c r="B42" s="1638">
        <v>5166</v>
      </c>
      <c r="C42" s="1629">
        <v>38500881</v>
      </c>
      <c r="D42" s="1579" t="s">
        <v>553</v>
      </c>
      <c r="E42" s="1580"/>
      <c r="F42" s="1580"/>
      <c r="G42" s="1580"/>
      <c r="H42" s="1581" t="e">
        <f>G42/F42*100</f>
        <v>#DIV/0!</v>
      </c>
    </row>
    <row r="43" spans="1:8" ht="17.25" hidden="1" customHeight="1" x14ac:dyDescent="0.2">
      <c r="A43" s="1577">
        <v>3299</v>
      </c>
      <c r="B43" s="1638">
        <v>5167</v>
      </c>
      <c r="C43" s="1629">
        <v>38100880</v>
      </c>
      <c r="D43" s="1579" t="s">
        <v>277</v>
      </c>
      <c r="E43" s="1580"/>
      <c r="F43" s="1580"/>
      <c r="G43" s="1580"/>
      <c r="H43" s="1581" t="e">
        <f>G43/F43*100</f>
        <v>#DIV/0!</v>
      </c>
    </row>
    <row r="44" spans="1:8" ht="17.25" hidden="1" customHeight="1" x14ac:dyDescent="0.2">
      <c r="A44" s="1577">
        <v>3299</v>
      </c>
      <c r="B44" s="1638">
        <v>5167</v>
      </c>
      <c r="C44" s="1629">
        <v>38100882</v>
      </c>
      <c r="D44" s="1579" t="s">
        <v>277</v>
      </c>
      <c r="E44" s="1580"/>
      <c r="F44" s="1580"/>
      <c r="G44" s="1580"/>
      <c r="H44" s="1581">
        <v>0</v>
      </c>
    </row>
    <row r="45" spans="1:8" ht="17.25" hidden="1" customHeight="1" x14ac:dyDescent="0.2">
      <c r="A45" s="1577">
        <v>3299</v>
      </c>
      <c r="B45" s="1638">
        <v>5167</v>
      </c>
      <c r="C45" s="1629">
        <v>38500881</v>
      </c>
      <c r="D45" s="1579" t="s">
        <v>277</v>
      </c>
      <c r="E45" s="1580"/>
      <c r="F45" s="1580"/>
      <c r="G45" s="1580"/>
      <c r="H45" s="1581" t="e">
        <f>G45/F45*100</f>
        <v>#DIV/0!</v>
      </c>
    </row>
    <row r="46" spans="1:8" ht="17.25" hidden="1" customHeight="1" x14ac:dyDescent="0.2">
      <c r="A46" s="1577">
        <v>3299</v>
      </c>
      <c r="B46" s="1638">
        <v>5169</v>
      </c>
      <c r="C46" s="1629">
        <v>38100880</v>
      </c>
      <c r="D46" s="1579" t="s">
        <v>769</v>
      </c>
      <c r="E46" s="1580"/>
      <c r="F46" s="1580"/>
      <c r="G46" s="1580"/>
      <c r="H46" s="1581" t="e">
        <f>G46/F46*100</f>
        <v>#DIV/0!</v>
      </c>
    </row>
    <row r="47" spans="1:8" ht="17.25" hidden="1" customHeight="1" x14ac:dyDescent="0.2">
      <c r="A47" s="1577">
        <v>3299</v>
      </c>
      <c r="B47" s="1638">
        <v>5169</v>
      </c>
      <c r="C47" s="1629">
        <v>38100882</v>
      </c>
      <c r="D47" s="1579" t="s">
        <v>769</v>
      </c>
      <c r="E47" s="1580"/>
      <c r="F47" s="1580"/>
      <c r="G47" s="1580"/>
      <c r="H47" s="1581">
        <v>0</v>
      </c>
    </row>
    <row r="48" spans="1:8" ht="17.25" hidden="1" customHeight="1" x14ac:dyDescent="0.2">
      <c r="A48" s="1577">
        <v>3299</v>
      </c>
      <c r="B48" s="1638">
        <v>5169</v>
      </c>
      <c r="C48" s="1629">
        <v>38500881</v>
      </c>
      <c r="D48" s="1579" t="s">
        <v>769</v>
      </c>
      <c r="E48" s="1580"/>
      <c r="F48" s="1580"/>
      <c r="G48" s="1580"/>
      <c r="H48" s="1581" t="e">
        <f>G48/F48*100</f>
        <v>#DIV/0!</v>
      </c>
    </row>
    <row r="49" spans="1:9" ht="17.25" hidden="1" customHeight="1" x14ac:dyDescent="0.2">
      <c r="A49" s="1577">
        <v>3299</v>
      </c>
      <c r="B49" s="1638">
        <v>5173</v>
      </c>
      <c r="C49" s="1629">
        <v>38100880</v>
      </c>
      <c r="D49" s="1579" t="s">
        <v>1038</v>
      </c>
      <c r="E49" s="1580"/>
      <c r="F49" s="1580"/>
      <c r="G49" s="1580"/>
      <c r="H49" s="1581" t="e">
        <f>G49/F49*100</f>
        <v>#DIV/0!</v>
      </c>
    </row>
    <row r="50" spans="1:9" ht="17.25" hidden="1" customHeight="1" x14ac:dyDescent="0.2">
      <c r="A50" s="1577">
        <v>3299</v>
      </c>
      <c r="B50" s="1638">
        <v>5173</v>
      </c>
      <c r="C50" s="1629">
        <v>38100882</v>
      </c>
      <c r="D50" s="1579" t="s">
        <v>1038</v>
      </c>
      <c r="E50" s="1580"/>
      <c r="F50" s="1580"/>
      <c r="G50" s="1580"/>
      <c r="H50" s="1581">
        <v>0</v>
      </c>
    </row>
    <row r="51" spans="1:9" ht="17.25" hidden="1" customHeight="1" x14ac:dyDescent="0.2">
      <c r="A51" s="1577">
        <v>3299</v>
      </c>
      <c r="B51" s="1638">
        <v>5173</v>
      </c>
      <c r="C51" s="1629">
        <v>38500881</v>
      </c>
      <c r="D51" s="1579" t="s">
        <v>1038</v>
      </c>
      <c r="E51" s="1580"/>
      <c r="F51" s="1580"/>
      <c r="G51" s="1580"/>
      <c r="H51" s="1581" t="e">
        <f>G51/F51*100</f>
        <v>#DIV/0!</v>
      </c>
    </row>
    <row r="52" spans="1:9" ht="17.25" hidden="1" customHeight="1" x14ac:dyDescent="0.2">
      <c r="A52" s="1577">
        <v>3299</v>
      </c>
      <c r="B52" s="1638">
        <v>5175</v>
      </c>
      <c r="C52" s="1629">
        <v>38100880</v>
      </c>
      <c r="D52" s="1579" t="s">
        <v>605</v>
      </c>
      <c r="E52" s="1580"/>
      <c r="F52" s="1580"/>
      <c r="G52" s="1580"/>
      <c r="H52" s="1581" t="e">
        <f>G52/F52*100</f>
        <v>#DIV/0!</v>
      </c>
    </row>
    <row r="53" spans="1:9" ht="15" x14ac:dyDescent="0.2">
      <c r="A53" s="1577">
        <v>3299</v>
      </c>
      <c r="B53" s="1638">
        <v>5175</v>
      </c>
      <c r="C53" s="1629" t="s">
        <v>2106</v>
      </c>
      <c r="D53" s="1579" t="s">
        <v>605</v>
      </c>
      <c r="E53" s="1580">
        <v>0</v>
      </c>
      <c r="F53" s="1580">
        <v>4</v>
      </c>
      <c r="G53" s="1580">
        <v>2</v>
      </c>
      <c r="H53" s="1581">
        <v>0</v>
      </c>
    </row>
    <row r="54" spans="1:9" ht="15" x14ac:dyDescent="0.2">
      <c r="A54" s="1577">
        <v>3299</v>
      </c>
      <c r="B54" s="1638">
        <v>5175</v>
      </c>
      <c r="C54" s="1629" t="s">
        <v>2105</v>
      </c>
      <c r="D54" s="1579" t="s">
        <v>605</v>
      </c>
      <c r="E54" s="1580">
        <v>0</v>
      </c>
      <c r="F54" s="1580">
        <v>23</v>
      </c>
      <c r="G54" s="1580">
        <v>12</v>
      </c>
      <c r="H54" s="1581">
        <f>G54/F54*100</f>
        <v>52.173913043478258</v>
      </c>
    </row>
    <row r="55" spans="1:9" ht="15" hidden="1" x14ac:dyDescent="0.2">
      <c r="A55" s="1577">
        <v>3636</v>
      </c>
      <c r="B55" s="1578">
        <v>5176</v>
      </c>
      <c r="C55" s="1629">
        <v>38100880</v>
      </c>
      <c r="D55" s="1579" t="s">
        <v>1119</v>
      </c>
      <c r="E55" s="1580"/>
      <c r="F55" s="1580"/>
      <c r="G55" s="1580"/>
      <c r="H55" s="1581" t="e">
        <f>G55/F55*100</f>
        <v>#DIV/0!</v>
      </c>
    </row>
    <row r="56" spans="1:9" ht="15" hidden="1" x14ac:dyDescent="0.2">
      <c r="A56" s="1577">
        <v>3636</v>
      </c>
      <c r="B56" s="1578">
        <v>5176</v>
      </c>
      <c r="C56" s="1629">
        <v>38100881</v>
      </c>
      <c r="D56" s="1579" t="s">
        <v>1119</v>
      </c>
      <c r="E56" s="1580"/>
      <c r="F56" s="1580"/>
      <c r="G56" s="1580"/>
      <c r="H56" s="1581" t="e">
        <f>G56/F56*100</f>
        <v>#DIV/0!</v>
      </c>
    </row>
    <row r="57" spans="1:9" ht="15" hidden="1" x14ac:dyDescent="0.2">
      <c r="A57" s="1577">
        <v>3636</v>
      </c>
      <c r="B57" s="1578">
        <v>6111</v>
      </c>
      <c r="C57" s="1629">
        <v>38100880</v>
      </c>
      <c r="D57" s="1579" t="s">
        <v>812</v>
      </c>
      <c r="E57" s="1580"/>
      <c r="F57" s="1580"/>
      <c r="G57" s="1580"/>
      <c r="H57" s="1581" t="e">
        <f>G57/F57*100</f>
        <v>#DIV/0!</v>
      </c>
    </row>
    <row r="58" spans="1:9" ht="15" hidden="1" x14ac:dyDescent="0.2">
      <c r="A58" s="1577">
        <v>3636</v>
      </c>
      <c r="B58" s="1578">
        <v>6111</v>
      </c>
      <c r="C58" s="1629">
        <v>38100882</v>
      </c>
      <c r="D58" s="1579" t="s">
        <v>812</v>
      </c>
      <c r="E58" s="1580"/>
      <c r="F58" s="1580"/>
      <c r="G58" s="1580"/>
      <c r="H58" s="1581">
        <v>0</v>
      </c>
    </row>
    <row r="59" spans="1:9" s="1639" customFormat="1" ht="15" hidden="1" x14ac:dyDescent="0.2">
      <c r="A59" s="1577">
        <v>3636</v>
      </c>
      <c r="B59" s="1578">
        <v>6111</v>
      </c>
      <c r="C59" s="1629">
        <v>38500881</v>
      </c>
      <c r="D59" s="1579" t="s">
        <v>812</v>
      </c>
      <c r="E59" s="1580"/>
      <c r="F59" s="1580"/>
      <c r="G59" s="1580"/>
      <c r="H59" s="1581" t="e">
        <f>G59/F59*100</f>
        <v>#DIV/0!</v>
      </c>
    </row>
    <row r="60" spans="1:9" s="1639" customFormat="1" ht="15" hidden="1" x14ac:dyDescent="0.2">
      <c r="A60" s="1577">
        <v>6409</v>
      </c>
      <c r="B60" s="1578">
        <v>5909</v>
      </c>
      <c r="C60" s="1629">
        <v>0</v>
      </c>
      <c r="D60" s="1579"/>
      <c r="E60" s="1580"/>
      <c r="F60" s="1580"/>
      <c r="G60" s="1580"/>
      <c r="H60" s="1581"/>
    </row>
    <row r="61" spans="1:9" s="1639" customFormat="1" ht="15.75" thickBot="1" x14ac:dyDescent="0.25">
      <c r="A61" s="1577">
        <v>6330</v>
      </c>
      <c r="B61" s="1578">
        <v>5345</v>
      </c>
      <c r="C61" s="1629" t="s">
        <v>1760</v>
      </c>
      <c r="D61" s="1579" t="s">
        <v>693</v>
      </c>
      <c r="E61" s="1580">
        <v>0</v>
      </c>
      <c r="F61" s="1580">
        <v>0</v>
      </c>
      <c r="G61" s="1580">
        <v>69</v>
      </c>
      <c r="H61" s="1583">
        <v>0</v>
      </c>
    </row>
    <row r="62" spans="1:9" s="1641" customFormat="1" ht="16.5" thickTop="1" thickBot="1" x14ac:dyDescent="0.3">
      <c r="A62" s="3231" t="s">
        <v>690</v>
      </c>
      <c r="B62" s="3232"/>
      <c r="C62" s="3232"/>
      <c r="D62" s="3232"/>
      <c r="E62" s="1584">
        <f>SUM(E12:E61)</f>
        <v>0</v>
      </c>
      <c r="F62" s="1584">
        <f>SUM(F12:F61)</f>
        <v>135</v>
      </c>
      <c r="G62" s="1584">
        <f>SUM(G12:G61)</f>
        <v>130</v>
      </c>
      <c r="H62" s="1585">
        <f>G62/F62*100</f>
        <v>96.296296296296291</v>
      </c>
      <c r="I62" s="1640"/>
    </row>
    <row r="63" spans="1:9" ht="13.5" thickTop="1" x14ac:dyDescent="0.2">
      <c r="I63" s="1559"/>
    </row>
    <row r="64" spans="1:9" x14ac:dyDescent="0.2">
      <c r="I64" s="1559"/>
    </row>
    <row r="66" spans="1:12" ht="16.5" x14ac:dyDescent="0.25">
      <c r="A66" s="1605" t="s">
        <v>423</v>
      </c>
      <c r="B66" s="1606"/>
      <c r="C66" s="1607"/>
      <c r="D66" s="1608"/>
      <c r="E66" s="1609">
        <f>SUM(E67:E69)</f>
        <v>0</v>
      </c>
      <c r="F66" s="1609">
        <f>F67+F68+F69+F70</f>
        <v>135</v>
      </c>
      <c r="G66" s="1609">
        <f>G67+G68+G69+G70</f>
        <v>130</v>
      </c>
      <c r="H66" s="1610">
        <f>G66/F66*100</f>
        <v>96.296296296296291</v>
      </c>
      <c r="J66" s="1611">
        <f>J67+J68+J69</f>
        <v>0</v>
      </c>
      <c r="K66" s="1611">
        <f>K67+K68+K69</f>
        <v>134821.93</v>
      </c>
      <c r="L66" s="1611">
        <f>L67+L68+L69</f>
        <v>130591.59999999999</v>
      </c>
    </row>
    <row r="67" spans="1:12" ht="15" x14ac:dyDescent="0.2">
      <c r="A67" s="1612" t="s">
        <v>242</v>
      </c>
      <c r="B67" s="1613"/>
      <c r="C67" s="1614"/>
      <c r="D67" s="1615"/>
      <c r="E67" s="1616">
        <f>E13+E14+E15+E16+E17+E19+E53+E54</f>
        <v>0</v>
      </c>
      <c r="F67" s="1616">
        <f>F13+F14+F15+F16+F17+F19+F53+F54</f>
        <v>135</v>
      </c>
      <c r="G67" s="1616">
        <f>G13+G14+G15+G16+G17+G19+G53+G54</f>
        <v>61</v>
      </c>
      <c r="H67" s="1617">
        <f>G67/F67*100</f>
        <v>45.185185185185183</v>
      </c>
      <c r="J67" s="1618">
        <v>0</v>
      </c>
      <c r="K67" s="1618">
        <v>134821.93</v>
      </c>
      <c r="L67" s="1618">
        <v>60995.7</v>
      </c>
    </row>
    <row r="68" spans="1:12" ht="15" x14ac:dyDescent="0.2">
      <c r="A68" s="1612" t="s">
        <v>243</v>
      </c>
      <c r="B68" s="1619"/>
      <c r="C68" s="1614"/>
      <c r="D68" s="1620"/>
      <c r="E68" s="1616">
        <f>E57+E58+E59</f>
        <v>0</v>
      </c>
      <c r="F68" s="1616">
        <f>F57+F58+F59</f>
        <v>0</v>
      </c>
      <c r="G68" s="1616">
        <f>G57+G58+G59</f>
        <v>0</v>
      </c>
      <c r="H68" s="1617">
        <v>0</v>
      </c>
      <c r="J68" s="1618">
        <v>0</v>
      </c>
      <c r="K68" s="1618">
        <v>0</v>
      </c>
      <c r="L68" s="1618">
        <v>0</v>
      </c>
    </row>
    <row r="69" spans="1:12" ht="15" x14ac:dyDescent="0.2">
      <c r="A69" s="1612" t="s">
        <v>424</v>
      </c>
      <c r="B69" s="1619"/>
      <c r="C69" s="1614"/>
      <c r="D69" s="1620"/>
      <c r="E69" s="1616">
        <v>0</v>
      </c>
      <c r="F69" s="1616">
        <v>0</v>
      </c>
      <c r="G69" s="1616">
        <f>G61</f>
        <v>69</v>
      </c>
      <c r="H69" s="1617">
        <v>0</v>
      </c>
      <c r="J69" s="1618">
        <v>0</v>
      </c>
      <c r="K69" s="1618">
        <v>0</v>
      </c>
      <c r="L69" s="1618">
        <v>69595.899999999994</v>
      </c>
    </row>
    <row r="70" spans="1:12" ht="15" x14ac:dyDescent="0.2">
      <c r="A70" s="1612"/>
      <c r="B70" s="1619"/>
      <c r="C70" s="1614"/>
      <c r="D70" s="1620"/>
      <c r="E70" s="1616"/>
      <c r="F70" s="1616"/>
      <c r="G70" s="1616"/>
      <c r="H70" s="1621"/>
    </row>
    <row r="71" spans="1:12" ht="46.5" customHeight="1" thickBot="1" x14ac:dyDescent="0.4">
      <c r="A71" s="3222" t="s">
        <v>1385</v>
      </c>
      <c r="B71" s="3223"/>
      <c r="C71" s="3223"/>
      <c r="D71" s="3223"/>
      <c r="E71" s="1622">
        <f>SUM(E66)</f>
        <v>0</v>
      </c>
      <c r="F71" s="1622">
        <f>SUM(F66)</f>
        <v>135</v>
      </c>
      <c r="G71" s="1622">
        <f>SUM(G66)</f>
        <v>130</v>
      </c>
      <c r="H71" s="1623">
        <f>(G71/F71)*100</f>
        <v>96.296296296296291</v>
      </c>
    </row>
    <row r="72" spans="1:12" ht="13.5" thickTop="1" x14ac:dyDescent="0.2"/>
    <row r="191" spans="1:5" ht="13.5" thickBot="1" x14ac:dyDescent="0.25">
      <c r="A191" s="1642"/>
      <c r="B191" s="1642"/>
      <c r="C191" s="1642"/>
      <c r="D191" s="1643"/>
      <c r="E191" s="1644"/>
    </row>
    <row r="192" spans="1:5" ht="13.5" thickTop="1" x14ac:dyDescent="0.2">
      <c r="A192" s="1645"/>
      <c r="B192" s="1645"/>
      <c r="C192" s="1645"/>
      <c r="D192" s="1646"/>
      <c r="E192" s="1647"/>
    </row>
    <row r="193" spans="4:4" x14ac:dyDescent="0.2">
      <c r="D193" s="1551" t="e">
        <f>#REF!+#REF!</f>
        <v>#REF!</v>
      </c>
    </row>
  </sheetData>
  <mergeCells count="2">
    <mergeCell ref="A62:D62"/>
    <mergeCell ref="A71:D71"/>
  </mergeCells>
  <pageMargins left="0.70866141732283472" right="0.70866141732283472" top="0.78740157480314965" bottom="0.78740157480314965" header="0.31496062992125984" footer="0.31496062992125984"/>
  <pageSetup paperSize="9" scale="70" firstPageNumber="167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colBreaks count="1" manualBreakCount="1">
    <brk id="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81"/>
  <sheetViews>
    <sheetView view="pageBreakPreview" zoomScaleNormal="100" zoomScaleSheetLayoutView="100" workbookViewId="0">
      <selection activeCell="D474" sqref="D474"/>
    </sheetView>
  </sheetViews>
  <sheetFormatPr defaultRowHeight="12.75" x14ac:dyDescent="0.2"/>
  <cols>
    <col min="1" max="1" width="4.7109375" style="1558" customWidth="1"/>
    <col min="2" max="2" width="6.7109375" style="1558" customWidth="1"/>
    <col min="3" max="3" width="9.42578125" style="1558" customWidth="1"/>
    <col min="4" max="4" width="46.42578125" style="1551" customWidth="1"/>
    <col min="5" max="5" width="15.42578125" style="1559" customWidth="1"/>
    <col min="6" max="6" width="15.5703125" style="1559" customWidth="1"/>
    <col min="7" max="7" width="15.85546875" style="1559" customWidth="1"/>
    <col min="8" max="8" width="8.28515625" style="1551" customWidth="1"/>
    <col min="9" max="9" width="14.28515625" style="1551" bestFit="1" customWidth="1"/>
    <col min="10" max="10" width="9.140625" style="1551"/>
    <col min="11" max="11" width="12.7109375" style="1551" bestFit="1" customWidth="1"/>
    <col min="12" max="12" width="13.140625" style="1551" customWidth="1"/>
    <col min="13" max="256" width="9.140625" style="1551"/>
    <col min="257" max="257" width="4.7109375" style="1551" customWidth="1"/>
    <col min="258" max="258" width="6.7109375" style="1551" customWidth="1"/>
    <col min="259" max="259" width="8.85546875" style="1551" customWidth="1"/>
    <col min="260" max="260" width="46.42578125" style="1551" customWidth="1"/>
    <col min="261" max="261" width="12.85546875" style="1551" customWidth="1"/>
    <col min="262" max="262" width="15.5703125" style="1551" customWidth="1"/>
    <col min="263" max="263" width="15.85546875" style="1551" customWidth="1"/>
    <col min="264" max="264" width="6.42578125" style="1551" customWidth="1"/>
    <col min="265" max="265" width="14.28515625" style="1551" bestFit="1" customWidth="1"/>
    <col min="266" max="266" width="9.140625" style="1551"/>
    <col min="267" max="267" width="12.7109375" style="1551" bestFit="1" customWidth="1"/>
    <col min="268" max="268" width="13.140625" style="1551" customWidth="1"/>
    <col min="269" max="512" width="9.140625" style="1551"/>
    <col min="513" max="513" width="4.7109375" style="1551" customWidth="1"/>
    <col min="514" max="514" width="6.7109375" style="1551" customWidth="1"/>
    <col min="515" max="515" width="8.85546875" style="1551" customWidth="1"/>
    <col min="516" max="516" width="46.42578125" style="1551" customWidth="1"/>
    <col min="517" max="517" width="12.85546875" style="1551" customWidth="1"/>
    <col min="518" max="518" width="15.5703125" style="1551" customWidth="1"/>
    <col min="519" max="519" width="15.85546875" style="1551" customWidth="1"/>
    <col min="520" max="520" width="6.42578125" style="1551" customWidth="1"/>
    <col min="521" max="521" width="14.28515625" style="1551" bestFit="1" customWidth="1"/>
    <col min="522" max="522" width="9.140625" style="1551"/>
    <col min="523" max="523" width="12.7109375" style="1551" bestFit="1" customWidth="1"/>
    <col min="524" max="524" width="13.140625" style="1551" customWidth="1"/>
    <col min="525" max="768" width="9.140625" style="1551"/>
    <col min="769" max="769" width="4.7109375" style="1551" customWidth="1"/>
    <col min="770" max="770" width="6.7109375" style="1551" customWidth="1"/>
    <col min="771" max="771" width="8.85546875" style="1551" customWidth="1"/>
    <col min="772" max="772" width="46.42578125" style="1551" customWidth="1"/>
    <col min="773" max="773" width="12.85546875" style="1551" customWidth="1"/>
    <col min="774" max="774" width="15.5703125" style="1551" customWidth="1"/>
    <col min="775" max="775" width="15.85546875" style="1551" customWidth="1"/>
    <col min="776" max="776" width="6.42578125" style="1551" customWidth="1"/>
    <col min="777" max="777" width="14.28515625" style="1551" bestFit="1" customWidth="1"/>
    <col min="778" max="778" width="9.140625" style="1551"/>
    <col min="779" max="779" width="12.7109375" style="1551" bestFit="1" customWidth="1"/>
    <col min="780" max="780" width="13.140625" style="1551" customWidth="1"/>
    <col min="781" max="1024" width="9.140625" style="1551"/>
    <col min="1025" max="1025" width="4.7109375" style="1551" customWidth="1"/>
    <col min="1026" max="1026" width="6.7109375" style="1551" customWidth="1"/>
    <col min="1027" max="1027" width="8.85546875" style="1551" customWidth="1"/>
    <col min="1028" max="1028" width="46.42578125" style="1551" customWidth="1"/>
    <col min="1029" max="1029" width="12.85546875" style="1551" customWidth="1"/>
    <col min="1030" max="1030" width="15.5703125" style="1551" customWidth="1"/>
    <col min="1031" max="1031" width="15.85546875" style="1551" customWidth="1"/>
    <col min="1032" max="1032" width="6.42578125" style="1551" customWidth="1"/>
    <col min="1033" max="1033" width="14.28515625" style="1551" bestFit="1" customWidth="1"/>
    <col min="1034" max="1034" width="9.140625" style="1551"/>
    <col min="1035" max="1035" width="12.7109375" style="1551" bestFit="1" customWidth="1"/>
    <col min="1036" max="1036" width="13.140625" style="1551" customWidth="1"/>
    <col min="1037" max="1280" width="9.140625" style="1551"/>
    <col min="1281" max="1281" width="4.7109375" style="1551" customWidth="1"/>
    <col min="1282" max="1282" width="6.7109375" style="1551" customWidth="1"/>
    <col min="1283" max="1283" width="8.85546875" style="1551" customWidth="1"/>
    <col min="1284" max="1284" width="46.42578125" style="1551" customWidth="1"/>
    <col min="1285" max="1285" width="12.85546875" style="1551" customWidth="1"/>
    <col min="1286" max="1286" width="15.5703125" style="1551" customWidth="1"/>
    <col min="1287" max="1287" width="15.85546875" style="1551" customWidth="1"/>
    <col min="1288" max="1288" width="6.42578125" style="1551" customWidth="1"/>
    <col min="1289" max="1289" width="14.28515625" style="1551" bestFit="1" customWidth="1"/>
    <col min="1290" max="1290" width="9.140625" style="1551"/>
    <col min="1291" max="1291" width="12.7109375" style="1551" bestFit="1" customWidth="1"/>
    <col min="1292" max="1292" width="13.140625" style="1551" customWidth="1"/>
    <col min="1293" max="1536" width="9.140625" style="1551"/>
    <col min="1537" max="1537" width="4.7109375" style="1551" customWidth="1"/>
    <col min="1538" max="1538" width="6.7109375" style="1551" customWidth="1"/>
    <col min="1539" max="1539" width="8.85546875" style="1551" customWidth="1"/>
    <col min="1540" max="1540" width="46.42578125" style="1551" customWidth="1"/>
    <col min="1541" max="1541" width="12.85546875" style="1551" customWidth="1"/>
    <col min="1542" max="1542" width="15.5703125" style="1551" customWidth="1"/>
    <col min="1543" max="1543" width="15.85546875" style="1551" customWidth="1"/>
    <col min="1544" max="1544" width="6.42578125" style="1551" customWidth="1"/>
    <col min="1545" max="1545" width="14.28515625" style="1551" bestFit="1" customWidth="1"/>
    <col min="1546" max="1546" width="9.140625" style="1551"/>
    <col min="1547" max="1547" width="12.7109375" style="1551" bestFit="1" customWidth="1"/>
    <col min="1548" max="1548" width="13.140625" style="1551" customWidth="1"/>
    <col min="1549" max="1792" width="9.140625" style="1551"/>
    <col min="1793" max="1793" width="4.7109375" style="1551" customWidth="1"/>
    <col min="1794" max="1794" width="6.7109375" style="1551" customWidth="1"/>
    <col min="1795" max="1795" width="8.85546875" style="1551" customWidth="1"/>
    <col min="1796" max="1796" width="46.42578125" style="1551" customWidth="1"/>
    <col min="1797" max="1797" width="12.85546875" style="1551" customWidth="1"/>
    <col min="1798" max="1798" width="15.5703125" style="1551" customWidth="1"/>
    <col min="1799" max="1799" width="15.85546875" style="1551" customWidth="1"/>
    <col min="1800" max="1800" width="6.42578125" style="1551" customWidth="1"/>
    <col min="1801" max="1801" width="14.28515625" style="1551" bestFit="1" customWidth="1"/>
    <col min="1802" max="1802" width="9.140625" style="1551"/>
    <col min="1803" max="1803" width="12.7109375" style="1551" bestFit="1" customWidth="1"/>
    <col min="1804" max="1804" width="13.140625" style="1551" customWidth="1"/>
    <col min="1805" max="2048" width="9.140625" style="1551"/>
    <col min="2049" max="2049" width="4.7109375" style="1551" customWidth="1"/>
    <col min="2050" max="2050" width="6.7109375" style="1551" customWidth="1"/>
    <col min="2051" max="2051" width="8.85546875" style="1551" customWidth="1"/>
    <col min="2052" max="2052" width="46.42578125" style="1551" customWidth="1"/>
    <col min="2053" max="2053" width="12.85546875" style="1551" customWidth="1"/>
    <col min="2054" max="2054" width="15.5703125" style="1551" customWidth="1"/>
    <col min="2055" max="2055" width="15.85546875" style="1551" customWidth="1"/>
    <col min="2056" max="2056" width="6.42578125" style="1551" customWidth="1"/>
    <col min="2057" max="2057" width="14.28515625" style="1551" bestFit="1" customWidth="1"/>
    <col min="2058" max="2058" width="9.140625" style="1551"/>
    <col min="2059" max="2059" width="12.7109375" style="1551" bestFit="1" customWidth="1"/>
    <col min="2060" max="2060" width="13.140625" style="1551" customWidth="1"/>
    <col min="2061" max="2304" width="9.140625" style="1551"/>
    <col min="2305" max="2305" width="4.7109375" style="1551" customWidth="1"/>
    <col min="2306" max="2306" width="6.7109375" style="1551" customWidth="1"/>
    <col min="2307" max="2307" width="8.85546875" style="1551" customWidth="1"/>
    <col min="2308" max="2308" width="46.42578125" style="1551" customWidth="1"/>
    <col min="2309" max="2309" width="12.85546875" style="1551" customWidth="1"/>
    <col min="2310" max="2310" width="15.5703125" style="1551" customWidth="1"/>
    <col min="2311" max="2311" width="15.85546875" style="1551" customWidth="1"/>
    <col min="2312" max="2312" width="6.42578125" style="1551" customWidth="1"/>
    <col min="2313" max="2313" width="14.28515625" style="1551" bestFit="1" customWidth="1"/>
    <col min="2314" max="2314" width="9.140625" style="1551"/>
    <col min="2315" max="2315" width="12.7109375" style="1551" bestFit="1" customWidth="1"/>
    <col min="2316" max="2316" width="13.140625" style="1551" customWidth="1"/>
    <col min="2317" max="2560" width="9.140625" style="1551"/>
    <col min="2561" max="2561" width="4.7109375" style="1551" customWidth="1"/>
    <col min="2562" max="2562" width="6.7109375" style="1551" customWidth="1"/>
    <col min="2563" max="2563" width="8.85546875" style="1551" customWidth="1"/>
    <col min="2564" max="2564" width="46.42578125" style="1551" customWidth="1"/>
    <col min="2565" max="2565" width="12.85546875" style="1551" customWidth="1"/>
    <col min="2566" max="2566" width="15.5703125" style="1551" customWidth="1"/>
    <col min="2567" max="2567" width="15.85546875" style="1551" customWidth="1"/>
    <col min="2568" max="2568" width="6.42578125" style="1551" customWidth="1"/>
    <col min="2569" max="2569" width="14.28515625" style="1551" bestFit="1" customWidth="1"/>
    <col min="2570" max="2570" width="9.140625" style="1551"/>
    <col min="2571" max="2571" width="12.7109375" style="1551" bestFit="1" customWidth="1"/>
    <col min="2572" max="2572" width="13.140625" style="1551" customWidth="1"/>
    <col min="2573" max="2816" width="9.140625" style="1551"/>
    <col min="2817" max="2817" width="4.7109375" style="1551" customWidth="1"/>
    <col min="2818" max="2818" width="6.7109375" style="1551" customWidth="1"/>
    <col min="2819" max="2819" width="8.85546875" style="1551" customWidth="1"/>
    <col min="2820" max="2820" width="46.42578125" style="1551" customWidth="1"/>
    <col min="2821" max="2821" width="12.85546875" style="1551" customWidth="1"/>
    <col min="2822" max="2822" width="15.5703125" style="1551" customWidth="1"/>
    <col min="2823" max="2823" width="15.85546875" style="1551" customWidth="1"/>
    <col min="2824" max="2824" width="6.42578125" style="1551" customWidth="1"/>
    <col min="2825" max="2825" width="14.28515625" style="1551" bestFit="1" customWidth="1"/>
    <col min="2826" max="2826" width="9.140625" style="1551"/>
    <col min="2827" max="2827" width="12.7109375" style="1551" bestFit="1" customWidth="1"/>
    <col min="2828" max="2828" width="13.140625" style="1551" customWidth="1"/>
    <col min="2829" max="3072" width="9.140625" style="1551"/>
    <col min="3073" max="3073" width="4.7109375" style="1551" customWidth="1"/>
    <col min="3074" max="3074" width="6.7109375" style="1551" customWidth="1"/>
    <col min="3075" max="3075" width="8.85546875" style="1551" customWidth="1"/>
    <col min="3076" max="3076" width="46.42578125" style="1551" customWidth="1"/>
    <col min="3077" max="3077" width="12.85546875" style="1551" customWidth="1"/>
    <col min="3078" max="3078" width="15.5703125" style="1551" customWidth="1"/>
    <col min="3079" max="3079" width="15.85546875" style="1551" customWidth="1"/>
    <col min="3080" max="3080" width="6.42578125" style="1551" customWidth="1"/>
    <col min="3081" max="3081" width="14.28515625" style="1551" bestFit="1" customWidth="1"/>
    <col min="3082" max="3082" width="9.140625" style="1551"/>
    <col min="3083" max="3083" width="12.7109375" style="1551" bestFit="1" customWidth="1"/>
    <col min="3084" max="3084" width="13.140625" style="1551" customWidth="1"/>
    <col min="3085" max="3328" width="9.140625" style="1551"/>
    <col min="3329" max="3329" width="4.7109375" style="1551" customWidth="1"/>
    <col min="3330" max="3330" width="6.7109375" style="1551" customWidth="1"/>
    <col min="3331" max="3331" width="8.85546875" style="1551" customWidth="1"/>
    <col min="3332" max="3332" width="46.42578125" style="1551" customWidth="1"/>
    <col min="3333" max="3333" width="12.85546875" style="1551" customWidth="1"/>
    <col min="3334" max="3334" width="15.5703125" style="1551" customWidth="1"/>
    <col min="3335" max="3335" width="15.85546875" style="1551" customWidth="1"/>
    <col min="3336" max="3336" width="6.42578125" style="1551" customWidth="1"/>
    <col min="3337" max="3337" width="14.28515625" style="1551" bestFit="1" customWidth="1"/>
    <col min="3338" max="3338" width="9.140625" style="1551"/>
    <col min="3339" max="3339" width="12.7109375" style="1551" bestFit="1" customWidth="1"/>
    <col min="3340" max="3340" width="13.140625" style="1551" customWidth="1"/>
    <col min="3341" max="3584" width="9.140625" style="1551"/>
    <col min="3585" max="3585" width="4.7109375" style="1551" customWidth="1"/>
    <col min="3586" max="3586" width="6.7109375" style="1551" customWidth="1"/>
    <col min="3587" max="3587" width="8.85546875" style="1551" customWidth="1"/>
    <col min="3588" max="3588" width="46.42578125" style="1551" customWidth="1"/>
    <col min="3589" max="3589" width="12.85546875" style="1551" customWidth="1"/>
    <col min="3590" max="3590" width="15.5703125" style="1551" customWidth="1"/>
    <col min="3591" max="3591" width="15.85546875" style="1551" customWidth="1"/>
    <col min="3592" max="3592" width="6.42578125" style="1551" customWidth="1"/>
    <col min="3593" max="3593" width="14.28515625" style="1551" bestFit="1" customWidth="1"/>
    <col min="3594" max="3594" width="9.140625" style="1551"/>
    <col min="3595" max="3595" width="12.7109375" style="1551" bestFit="1" customWidth="1"/>
    <col min="3596" max="3596" width="13.140625" style="1551" customWidth="1"/>
    <col min="3597" max="3840" width="9.140625" style="1551"/>
    <col min="3841" max="3841" width="4.7109375" style="1551" customWidth="1"/>
    <col min="3842" max="3842" width="6.7109375" style="1551" customWidth="1"/>
    <col min="3843" max="3843" width="8.85546875" style="1551" customWidth="1"/>
    <col min="3844" max="3844" width="46.42578125" style="1551" customWidth="1"/>
    <col min="3845" max="3845" width="12.85546875" style="1551" customWidth="1"/>
    <col min="3846" max="3846" width="15.5703125" style="1551" customWidth="1"/>
    <col min="3847" max="3847" width="15.85546875" style="1551" customWidth="1"/>
    <col min="3848" max="3848" width="6.42578125" style="1551" customWidth="1"/>
    <col min="3849" max="3849" width="14.28515625" style="1551" bestFit="1" customWidth="1"/>
    <col min="3850" max="3850" width="9.140625" style="1551"/>
    <col min="3851" max="3851" width="12.7109375" style="1551" bestFit="1" customWidth="1"/>
    <col min="3852" max="3852" width="13.140625" style="1551" customWidth="1"/>
    <col min="3853" max="4096" width="9.140625" style="1551"/>
    <col min="4097" max="4097" width="4.7109375" style="1551" customWidth="1"/>
    <col min="4098" max="4098" width="6.7109375" style="1551" customWidth="1"/>
    <col min="4099" max="4099" width="8.85546875" style="1551" customWidth="1"/>
    <col min="4100" max="4100" width="46.42578125" style="1551" customWidth="1"/>
    <col min="4101" max="4101" width="12.85546875" style="1551" customWidth="1"/>
    <col min="4102" max="4102" width="15.5703125" style="1551" customWidth="1"/>
    <col min="4103" max="4103" width="15.85546875" style="1551" customWidth="1"/>
    <col min="4104" max="4104" width="6.42578125" style="1551" customWidth="1"/>
    <col min="4105" max="4105" width="14.28515625" style="1551" bestFit="1" customWidth="1"/>
    <col min="4106" max="4106" width="9.140625" style="1551"/>
    <col min="4107" max="4107" width="12.7109375" style="1551" bestFit="1" customWidth="1"/>
    <col min="4108" max="4108" width="13.140625" style="1551" customWidth="1"/>
    <col min="4109" max="4352" width="9.140625" style="1551"/>
    <col min="4353" max="4353" width="4.7109375" style="1551" customWidth="1"/>
    <col min="4354" max="4354" width="6.7109375" style="1551" customWidth="1"/>
    <col min="4355" max="4355" width="8.85546875" style="1551" customWidth="1"/>
    <col min="4356" max="4356" width="46.42578125" style="1551" customWidth="1"/>
    <col min="4357" max="4357" width="12.85546875" style="1551" customWidth="1"/>
    <col min="4358" max="4358" width="15.5703125" style="1551" customWidth="1"/>
    <col min="4359" max="4359" width="15.85546875" style="1551" customWidth="1"/>
    <col min="4360" max="4360" width="6.42578125" style="1551" customWidth="1"/>
    <col min="4361" max="4361" width="14.28515625" style="1551" bestFit="1" customWidth="1"/>
    <col min="4362" max="4362" width="9.140625" style="1551"/>
    <col min="4363" max="4363" width="12.7109375" style="1551" bestFit="1" customWidth="1"/>
    <col min="4364" max="4364" width="13.140625" style="1551" customWidth="1"/>
    <col min="4365" max="4608" width="9.140625" style="1551"/>
    <col min="4609" max="4609" width="4.7109375" style="1551" customWidth="1"/>
    <col min="4610" max="4610" width="6.7109375" style="1551" customWidth="1"/>
    <col min="4611" max="4611" width="8.85546875" style="1551" customWidth="1"/>
    <col min="4612" max="4612" width="46.42578125" style="1551" customWidth="1"/>
    <col min="4613" max="4613" width="12.85546875" style="1551" customWidth="1"/>
    <col min="4614" max="4614" width="15.5703125" style="1551" customWidth="1"/>
    <col min="4615" max="4615" width="15.85546875" style="1551" customWidth="1"/>
    <col min="4616" max="4616" width="6.42578125" style="1551" customWidth="1"/>
    <col min="4617" max="4617" width="14.28515625" style="1551" bestFit="1" customWidth="1"/>
    <col min="4618" max="4618" width="9.140625" style="1551"/>
    <col min="4619" max="4619" width="12.7109375" style="1551" bestFit="1" customWidth="1"/>
    <col min="4620" max="4620" width="13.140625" style="1551" customWidth="1"/>
    <col min="4621" max="4864" width="9.140625" style="1551"/>
    <col min="4865" max="4865" width="4.7109375" style="1551" customWidth="1"/>
    <col min="4866" max="4866" width="6.7109375" style="1551" customWidth="1"/>
    <col min="4867" max="4867" width="8.85546875" style="1551" customWidth="1"/>
    <col min="4868" max="4868" width="46.42578125" style="1551" customWidth="1"/>
    <col min="4869" max="4869" width="12.85546875" style="1551" customWidth="1"/>
    <col min="4870" max="4870" width="15.5703125" style="1551" customWidth="1"/>
    <col min="4871" max="4871" width="15.85546875" style="1551" customWidth="1"/>
    <col min="4872" max="4872" width="6.42578125" style="1551" customWidth="1"/>
    <col min="4873" max="4873" width="14.28515625" style="1551" bestFit="1" customWidth="1"/>
    <col min="4874" max="4874" width="9.140625" style="1551"/>
    <col min="4875" max="4875" width="12.7109375" style="1551" bestFit="1" customWidth="1"/>
    <col min="4876" max="4876" width="13.140625" style="1551" customWidth="1"/>
    <col min="4877" max="5120" width="9.140625" style="1551"/>
    <col min="5121" max="5121" width="4.7109375" style="1551" customWidth="1"/>
    <col min="5122" max="5122" width="6.7109375" style="1551" customWidth="1"/>
    <col min="5123" max="5123" width="8.85546875" style="1551" customWidth="1"/>
    <col min="5124" max="5124" width="46.42578125" style="1551" customWidth="1"/>
    <col min="5125" max="5125" width="12.85546875" style="1551" customWidth="1"/>
    <col min="5126" max="5126" width="15.5703125" style="1551" customWidth="1"/>
    <col min="5127" max="5127" width="15.85546875" style="1551" customWidth="1"/>
    <col min="5128" max="5128" width="6.42578125" style="1551" customWidth="1"/>
    <col min="5129" max="5129" width="14.28515625" style="1551" bestFit="1" customWidth="1"/>
    <col min="5130" max="5130" width="9.140625" style="1551"/>
    <col min="5131" max="5131" width="12.7109375" style="1551" bestFit="1" customWidth="1"/>
    <col min="5132" max="5132" width="13.140625" style="1551" customWidth="1"/>
    <col min="5133" max="5376" width="9.140625" style="1551"/>
    <col min="5377" max="5377" width="4.7109375" style="1551" customWidth="1"/>
    <col min="5378" max="5378" width="6.7109375" style="1551" customWidth="1"/>
    <col min="5379" max="5379" width="8.85546875" style="1551" customWidth="1"/>
    <col min="5380" max="5380" width="46.42578125" style="1551" customWidth="1"/>
    <col min="5381" max="5381" width="12.85546875" style="1551" customWidth="1"/>
    <col min="5382" max="5382" width="15.5703125" style="1551" customWidth="1"/>
    <col min="5383" max="5383" width="15.85546875" style="1551" customWidth="1"/>
    <col min="5384" max="5384" width="6.42578125" style="1551" customWidth="1"/>
    <col min="5385" max="5385" width="14.28515625" style="1551" bestFit="1" customWidth="1"/>
    <col min="5386" max="5386" width="9.140625" style="1551"/>
    <col min="5387" max="5387" width="12.7109375" style="1551" bestFit="1" customWidth="1"/>
    <col min="5388" max="5388" width="13.140625" style="1551" customWidth="1"/>
    <col min="5389" max="5632" width="9.140625" style="1551"/>
    <col min="5633" max="5633" width="4.7109375" style="1551" customWidth="1"/>
    <col min="5634" max="5634" width="6.7109375" style="1551" customWidth="1"/>
    <col min="5635" max="5635" width="8.85546875" style="1551" customWidth="1"/>
    <col min="5636" max="5636" width="46.42578125" style="1551" customWidth="1"/>
    <col min="5637" max="5637" width="12.85546875" style="1551" customWidth="1"/>
    <col min="5638" max="5638" width="15.5703125" style="1551" customWidth="1"/>
    <col min="5639" max="5639" width="15.85546875" style="1551" customWidth="1"/>
    <col min="5640" max="5640" width="6.42578125" style="1551" customWidth="1"/>
    <col min="5641" max="5641" width="14.28515625" style="1551" bestFit="1" customWidth="1"/>
    <col min="5642" max="5642" width="9.140625" style="1551"/>
    <col min="5643" max="5643" width="12.7109375" style="1551" bestFit="1" customWidth="1"/>
    <col min="5644" max="5644" width="13.140625" style="1551" customWidth="1"/>
    <col min="5645" max="5888" width="9.140625" style="1551"/>
    <col min="5889" max="5889" width="4.7109375" style="1551" customWidth="1"/>
    <col min="5890" max="5890" width="6.7109375" style="1551" customWidth="1"/>
    <col min="5891" max="5891" width="8.85546875" style="1551" customWidth="1"/>
    <col min="5892" max="5892" width="46.42578125" style="1551" customWidth="1"/>
    <col min="5893" max="5893" width="12.85546875" style="1551" customWidth="1"/>
    <col min="5894" max="5894" width="15.5703125" style="1551" customWidth="1"/>
    <col min="5895" max="5895" width="15.85546875" style="1551" customWidth="1"/>
    <col min="5896" max="5896" width="6.42578125" style="1551" customWidth="1"/>
    <col min="5897" max="5897" width="14.28515625" style="1551" bestFit="1" customWidth="1"/>
    <col min="5898" max="5898" width="9.140625" style="1551"/>
    <col min="5899" max="5899" width="12.7109375" style="1551" bestFit="1" customWidth="1"/>
    <col min="5900" max="5900" width="13.140625" style="1551" customWidth="1"/>
    <col min="5901" max="6144" width="9.140625" style="1551"/>
    <col min="6145" max="6145" width="4.7109375" style="1551" customWidth="1"/>
    <col min="6146" max="6146" width="6.7109375" style="1551" customWidth="1"/>
    <col min="6147" max="6147" width="8.85546875" style="1551" customWidth="1"/>
    <col min="6148" max="6148" width="46.42578125" style="1551" customWidth="1"/>
    <col min="6149" max="6149" width="12.85546875" style="1551" customWidth="1"/>
    <col min="6150" max="6150" width="15.5703125" style="1551" customWidth="1"/>
    <col min="6151" max="6151" width="15.85546875" style="1551" customWidth="1"/>
    <col min="6152" max="6152" width="6.42578125" style="1551" customWidth="1"/>
    <col min="6153" max="6153" width="14.28515625" style="1551" bestFit="1" customWidth="1"/>
    <col min="6154" max="6154" width="9.140625" style="1551"/>
    <col min="6155" max="6155" width="12.7109375" style="1551" bestFit="1" customWidth="1"/>
    <col min="6156" max="6156" width="13.140625" style="1551" customWidth="1"/>
    <col min="6157" max="6400" width="9.140625" style="1551"/>
    <col min="6401" max="6401" width="4.7109375" style="1551" customWidth="1"/>
    <col min="6402" max="6402" width="6.7109375" style="1551" customWidth="1"/>
    <col min="6403" max="6403" width="8.85546875" style="1551" customWidth="1"/>
    <col min="6404" max="6404" width="46.42578125" style="1551" customWidth="1"/>
    <col min="6405" max="6405" width="12.85546875" style="1551" customWidth="1"/>
    <col min="6406" max="6406" width="15.5703125" style="1551" customWidth="1"/>
    <col min="6407" max="6407" width="15.85546875" style="1551" customWidth="1"/>
    <col min="6408" max="6408" width="6.42578125" style="1551" customWidth="1"/>
    <col min="6409" max="6409" width="14.28515625" style="1551" bestFit="1" customWidth="1"/>
    <col min="6410" max="6410" width="9.140625" style="1551"/>
    <col min="6411" max="6411" width="12.7109375" style="1551" bestFit="1" customWidth="1"/>
    <col min="6412" max="6412" width="13.140625" style="1551" customWidth="1"/>
    <col min="6413" max="6656" width="9.140625" style="1551"/>
    <col min="6657" max="6657" width="4.7109375" style="1551" customWidth="1"/>
    <col min="6658" max="6658" width="6.7109375" style="1551" customWidth="1"/>
    <col min="6659" max="6659" width="8.85546875" style="1551" customWidth="1"/>
    <col min="6660" max="6660" width="46.42578125" style="1551" customWidth="1"/>
    <col min="6661" max="6661" width="12.85546875" style="1551" customWidth="1"/>
    <col min="6662" max="6662" width="15.5703125" style="1551" customWidth="1"/>
    <col min="6663" max="6663" width="15.85546875" style="1551" customWidth="1"/>
    <col min="6664" max="6664" width="6.42578125" style="1551" customWidth="1"/>
    <col min="6665" max="6665" width="14.28515625" style="1551" bestFit="1" customWidth="1"/>
    <col min="6666" max="6666" width="9.140625" style="1551"/>
    <col min="6667" max="6667" width="12.7109375" style="1551" bestFit="1" customWidth="1"/>
    <col min="6668" max="6668" width="13.140625" style="1551" customWidth="1"/>
    <col min="6669" max="6912" width="9.140625" style="1551"/>
    <col min="6913" max="6913" width="4.7109375" style="1551" customWidth="1"/>
    <col min="6914" max="6914" width="6.7109375" style="1551" customWidth="1"/>
    <col min="6915" max="6915" width="8.85546875" style="1551" customWidth="1"/>
    <col min="6916" max="6916" width="46.42578125" style="1551" customWidth="1"/>
    <col min="6917" max="6917" width="12.85546875" style="1551" customWidth="1"/>
    <col min="6918" max="6918" width="15.5703125" style="1551" customWidth="1"/>
    <col min="6919" max="6919" width="15.85546875" style="1551" customWidth="1"/>
    <col min="6920" max="6920" width="6.42578125" style="1551" customWidth="1"/>
    <col min="6921" max="6921" width="14.28515625" style="1551" bestFit="1" customWidth="1"/>
    <col min="6922" max="6922" width="9.140625" style="1551"/>
    <col min="6923" max="6923" width="12.7109375" style="1551" bestFit="1" customWidth="1"/>
    <col min="6924" max="6924" width="13.140625" style="1551" customWidth="1"/>
    <col min="6925" max="7168" width="9.140625" style="1551"/>
    <col min="7169" max="7169" width="4.7109375" style="1551" customWidth="1"/>
    <col min="7170" max="7170" width="6.7109375" style="1551" customWidth="1"/>
    <col min="7171" max="7171" width="8.85546875" style="1551" customWidth="1"/>
    <col min="7172" max="7172" width="46.42578125" style="1551" customWidth="1"/>
    <col min="7173" max="7173" width="12.85546875" style="1551" customWidth="1"/>
    <col min="7174" max="7174" width="15.5703125" style="1551" customWidth="1"/>
    <col min="7175" max="7175" width="15.85546875" style="1551" customWidth="1"/>
    <col min="7176" max="7176" width="6.42578125" style="1551" customWidth="1"/>
    <col min="7177" max="7177" width="14.28515625" style="1551" bestFit="1" customWidth="1"/>
    <col min="7178" max="7178" width="9.140625" style="1551"/>
    <col min="7179" max="7179" width="12.7109375" style="1551" bestFit="1" customWidth="1"/>
    <col min="7180" max="7180" width="13.140625" style="1551" customWidth="1"/>
    <col min="7181" max="7424" width="9.140625" style="1551"/>
    <col min="7425" max="7425" width="4.7109375" style="1551" customWidth="1"/>
    <col min="7426" max="7426" width="6.7109375" style="1551" customWidth="1"/>
    <col min="7427" max="7427" width="8.85546875" style="1551" customWidth="1"/>
    <col min="7428" max="7428" width="46.42578125" style="1551" customWidth="1"/>
    <col min="7429" max="7429" width="12.85546875" style="1551" customWidth="1"/>
    <col min="7430" max="7430" width="15.5703125" style="1551" customWidth="1"/>
    <col min="7431" max="7431" width="15.85546875" style="1551" customWidth="1"/>
    <col min="7432" max="7432" width="6.42578125" style="1551" customWidth="1"/>
    <col min="7433" max="7433" width="14.28515625" style="1551" bestFit="1" customWidth="1"/>
    <col min="7434" max="7434" width="9.140625" style="1551"/>
    <col min="7435" max="7435" width="12.7109375" style="1551" bestFit="1" customWidth="1"/>
    <col min="7436" max="7436" width="13.140625" style="1551" customWidth="1"/>
    <col min="7437" max="7680" width="9.140625" style="1551"/>
    <col min="7681" max="7681" width="4.7109375" style="1551" customWidth="1"/>
    <col min="7682" max="7682" width="6.7109375" style="1551" customWidth="1"/>
    <col min="7683" max="7683" width="8.85546875" style="1551" customWidth="1"/>
    <col min="7684" max="7684" width="46.42578125" style="1551" customWidth="1"/>
    <col min="7685" max="7685" width="12.85546875" style="1551" customWidth="1"/>
    <col min="7686" max="7686" width="15.5703125" style="1551" customWidth="1"/>
    <col min="7687" max="7687" width="15.85546875" style="1551" customWidth="1"/>
    <col min="7688" max="7688" width="6.42578125" style="1551" customWidth="1"/>
    <col min="7689" max="7689" width="14.28515625" style="1551" bestFit="1" customWidth="1"/>
    <col min="7690" max="7690" width="9.140625" style="1551"/>
    <col min="7691" max="7691" width="12.7109375" style="1551" bestFit="1" customWidth="1"/>
    <col min="7692" max="7692" width="13.140625" style="1551" customWidth="1"/>
    <col min="7693" max="7936" width="9.140625" style="1551"/>
    <col min="7937" max="7937" width="4.7109375" style="1551" customWidth="1"/>
    <col min="7938" max="7938" width="6.7109375" style="1551" customWidth="1"/>
    <col min="7939" max="7939" width="8.85546875" style="1551" customWidth="1"/>
    <col min="7940" max="7940" width="46.42578125" style="1551" customWidth="1"/>
    <col min="7941" max="7941" width="12.85546875" style="1551" customWidth="1"/>
    <col min="7942" max="7942" width="15.5703125" style="1551" customWidth="1"/>
    <col min="7943" max="7943" width="15.85546875" style="1551" customWidth="1"/>
    <col min="7944" max="7944" width="6.42578125" style="1551" customWidth="1"/>
    <col min="7945" max="7945" width="14.28515625" style="1551" bestFit="1" customWidth="1"/>
    <col min="7946" max="7946" width="9.140625" style="1551"/>
    <col min="7947" max="7947" width="12.7109375" style="1551" bestFit="1" customWidth="1"/>
    <col min="7948" max="7948" width="13.140625" style="1551" customWidth="1"/>
    <col min="7949" max="8192" width="9.140625" style="1551"/>
    <col min="8193" max="8193" width="4.7109375" style="1551" customWidth="1"/>
    <col min="8194" max="8194" width="6.7109375" style="1551" customWidth="1"/>
    <col min="8195" max="8195" width="8.85546875" style="1551" customWidth="1"/>
    <col min="8196" max="8196" width="46.42578125" style="1551" customWidth="1"/>
    <col min="8197" max="8197" width="12.85546875" style="1551" customWidth="1"/>
    <col min="8198" max="8198" width="15.5703125" style="1551" customWidth="1"/>
    <col min="8199" max="8199" width="15.85546875" style="1551" customWidth="1"/>
    <col min="8200" max="8200" width="6.42578125" style="1551" customWidth="1"/>
    <col min="8201" max="8201" width="14.28515625" style="1551" bestFit="1" customWidth="1"/>
    <col min="8202" max="8202" width="9.140625" style="1551"/>
    <col min="8203" max="8203" width="12.7109375" style="1551" bestFit="1" customWidth="1"/>
    <col min="8204" max="8204" width="13.140625" style="1551" customWidth="1"/>
    <col min="8205" max="8448" width="9.140625" style="1551"/>
    <col min="8449" max="8449" width="4.7109375" style="1551" customWidth="1"/>
    <col min="8450" max="8450" width="6.7109375" style="1551" customWidth="1"/>
    <col min="8451" max="8451" width="8.85546875" style="1551" customWidth="1"/>
    <col min="8452" max="8452" width="46.42578125" style="1551" customWidth="1"/>
    <col min="8453" max="8453" width="12.85546875" style="1551" customWidth="1"/>
    <col min="8454" max="8454" width="15.5703125" style="1551" customWidth="1"/>
    <col min="8455" max="8455" width="15.85546875" style="1551" customWidth="1"/>
    <col min="8456" max="8456" width="6.42578125" style="1551" customWidth="1"/>
    <col min="8457" max="8457" width="14.28515625" style="1551" bestFit="1" customWidth="1"/>
    <col min="8458" max="8458" width="9.140625" style="1551"/>
    <col min="8459" max="8459" width="12.7109375" style="1551" bestFit="1" customWidth="1"/>
    <col min="8460" max="8460" width="13.140625" style="1551" customWidth="1"/>
    <col min="8461" max="8704" width="9.140625" style="1551"/>
    <col min="8705" max="8705" width="4.7109375" style="1551" customWidth="1"/>
    <col min="8706" max="8706" width="6.7109375" style="1551" customWidth="1"/>
    <col min="8707" max="8707" width="8.85546875" style="1551" customWidth="1"/>
    <col min="8708" max="8708" width="46.42578125" style="1551" customWidth="1"/>
    <col min="8709" max="8709" width="12.85546875" style="1551" customWidth="1"/>
    <col min="8710" max="8710" width="15.5703125" style="1551" customWidth="1"/>
    <col min="8711" max="8711" width="15.85546875" style="1551" customWidth="1"/>
    <col min="8712" max="8712" width="6.42578125" style="1551" customWidth="1"/>
    <col min="8713" max="8713" width="14.28515625" style="1551" bestFit="1" customWidth="1"/>
    <col min="8714" max="8714" width="9.140625" style="1551"/>
    <col min="8715" max="8715" width="12.7109375" style="1551" bestFit="1" customWidth="1"/>
    <col min="8716" max="8716" width="13.140625" style="1551" customWidth="1"/>
    <col min="8717" max="8960" width="9.140625" style="1551"/>
    <col min="8961" max="8961" width="4.7109375" style="1551" customWidth="1"/>
    <col min="8962" max="8962" width="6.7109375" style="1551" customWidth="1"/>
    <col min="8963" max="8963" width="8.85546875" style="1551" customWidth="1"/>
    <col min="8964" max="8964" width="46.42578125" style="1551" customWidth="1"/>
    <col min="8965" max="8965" width="12.85546875" style="1551" customWidth="1"/>
    <col min="8966" max="8966" width="15.5703125" style="1551" customWidth="1"/>
    <col min="8967" max="8967" width="15.85546875" style="1551" customWidth="1"/>
    <col min="8968" max="8968" width="6.42578125" style="1551" customWidth="1"/>
    <col min="8969" max="8969" width="14.28515625" style="1551" bestFit="1" customWidth="1"/>
    <col min="8970" max="8970" width="9.140625" style="1551"/>
    <col min="8971" max="8971" width="12.7109375" style="1551" bestFit="1" customWidth="1"/>
    <col min="8972" max="8972" width="13.140625" style="1551" customWidth="1"/>
    <col min="8973" max="9216" width="9.140625" style="1551"/>
    <col min="9217" max="9217" width="4.7109375" style="1551" customWidth="1"/>
    <col min="9218" max="9218" width="6.7109375" style="1551" customWidth="1"/>
    <col min="9219" max="9219" width="8.85546875" style="1551" customWidth="1"/>
    <col min="9220" max="9220" width="46.42578125" style="1551" customWidth="1"/>
    <col min="9221" max="9221" width="12.85546875" style="1551" customWidth="1"/>
    <col min="9222" max="9222" width="15.5703125" style="1551" customWidth="1"/>
    <col min="9223" max="9223" width="15.85546875" style="1551" customWidth="1"/>
    <col min="9224" max="9224" width="6.42578125" style="1551" customWidth="1"/>
    <col min="9225" max="9225" width="14.28515625" style="1551" bestFit="1" customWidth="1"/>
    <col min="9226" max="9226" width="9.140625" style="1551"/>
    <col min="9227" max="9227" width="12.7109375" style="1551" bestFit="1" customWidth="1"/>
    <col min="9228" max="9228" width="13.140625" style="1551" customWidth="1"/>
    <col min="9229" max="9472" width="9.140625" style="1551"/>
    <col min="9473" max="9473" width="4.7109375" style="1551" customWidth="1"/>
    <col min="9474" max="9474" width="6.7109375" style="1551" customWidth="1"/>
    <col min="9475" max="9475" width="8.85546875" style="1551" customWidth="1"/>
    <col min="9476" max="9476" width="46.42578125" style="1551" customWidth="1"/>
    <col min="9477" max="9477" width="12.85546875" style="1551" customWidth="1"/>
    <col min="9478" max="9478" width="15.5703125" style="1551" customWidth="1"/>
    <col min="9479" max="9479" width="15.85546875" style="1551" customWidth="1"/>
    <col min="9480" max="9480" width="6.42578125" style="1551" customWidth="1"/>
    <col min="9481" max="9481" width="14.28515625" style="1551" bestFit="1" customWidth="1"/>
    <col min="9482" max="9482" width="9.140625" style="1551"/>
    <col min="9483" max="9483" width="12.7109375" style="1551" bestFit="1" customWidth="1"/>
    <col min="9484" max="9484" width="13.140625" style="1551" customWidth="1"/>
    <col min="9485" max="9728" width="9.140625" style="1551"/>
    <col min="9729" max="9729" width="4.7109375" style="1551" customWidth="1"/>
    <col min="9730" max="9730" width="6.7109375" style="1551" customWidth="1"/>
    <col min="9731" max="9731" width="8.85546875" style="1551" customWidth="1"/>
    <col min="9732" max="9732" width="46.42578125" style="1551" customWidth="1"/>
    <col min="9733" max="9733" width="12.85546875" style="1551" customWidth="1"/>
    <col min="9734" max="9734" width="15.5703125" style="1551" customWidth="1"/>
    <col min="9735" max="9735" width="15.85546875" style="1551" customWidth="1"/>
    <col min="9736" max="9736" width="6.42578125" style="1551" customWidth="1"/>
    <col min="9737" max="9737" width="14.28515625" style="1551" bestFit="1" customWidth="1"/>
    <col min="9738" max="9738" width="9.140625" style="1551"/>
    <col min="9739" max="9739" width="12.7109375" style="1551" bestFit="1" customWidth="1"/>
    <col min="9740" max="9740" width="13.140625" style="1551" customWidth="1"/>
    <col min="9741" max="9984" width="9.140625" style="1551"/>
    <col min="9985" max="9985" width="4.7109375" style="1551" customWidth="1"/>
    <col min="9986" max="9986" width="6.7109375" style="1551" customWidth="1"/>
    <col min="9987" max="9987" width="8.85546875" style="1551" customWidth="1"/>
    <col min="9988" max="9988" width="46.42578125" style="1551" customWidth="1"/>
    <col min="9989" max="9989" width="12.85546875" style="1551" customWidth="1"/>
    <col min="9990" max="9990" width="15.5703125" style="1551" customWidth="1"/>
    <col min="9991" max="9991" width="15.85546875" style="1551" customWidth="1"/>
    <col min="9992" max="9992" width="6.42578125" style="1551" customWidth="1"/>
    <col min="9993" max="9993" width="14.28515625" style="1551" bestFit="1" customWidth="1"/>
    <col min="9994" max="9994" width="9.140625" style="1551"/>
    <col min="9995" max="9995" width="12.7109375" style="1551" bestFit="1" customWidth="1"/>
    <col min="9996" max="9996" width="13.140625" style="1551" customWidth="1"/>
    <col min="9997" max="10240" width="9.140625" style="1551"/>
    <col min="10241" max="10241" width="4.7109375" style="1551" customWidth="1"/>
    <col min="10242" max="10242" width="6.7109375" style="1551" customWidth="1"/>
    <col min="10243" max="10243" width="8.85546875" style="1551" customWidth="1"/>
    <col min="10244" max="10244" width="46.42578125" style="1551" customWidth="1"/>
    <col min="10245" max="10245" width="12.85546875" style="1551" customWidth="1"/>
    <col min="10246" max="10246" width="15.5703125" style="1551" customWidth="1"/>
    <col min="10247" max="10247" width="15.85546875" style="1551" customWidth="1"/>
    <col min="10248" max="10248" width="6.42578125" style="1551" customWidth="1"/>
    <col min="10249" max="10249" width="14.28515625" style="1551" bestFit="1" customWidth="1"/>
    <col min="10250" max="10250" width="9.140625" style="1551"/>
    <col min="10251" max="10251" width="12.7109375" style="1551" bestFit="1" customWidth="1"/>
    <col min="10252" max="10252" width="13.140625" style="1551" customWidth="1"/>
    <col min="10253" max="10496" width="9.140625" style="1551"/>
    <col min="10497" max="10497" width="4.7109375" style="1551" customWidth="1"/>
    <col min="10498" max="10498" width="6.7109375" style="1551" customWidth="1"/>
    <col min="10499" max="10499" width="8.85546875" style="1551" customWidth="1"/>
    <col min="10500" max="10500" width="46.42578125" style="1551" customWidth="1"/>
    <col min="10501" max="10501" width="12.85546875" style="1551" customWidth="1"/>
    <col min="10502" max="10502" width="15.5703125" style="1551" customWidth="1"/>
    <col min="10503" max="10503" width="15.85546875" style="1551" customWidth="1"/>
    <col min="10504" max="10504" width="6.42578125" style="1551" customWidth="1"/>
    <col min="10505" max="10505" width="14.28515625" style="1551" bestFit="1" customWidth="1"/>
    <col min="10506" max="10506" width="9.140625" style="1551"/>
    <col min="10507" max="10507" width="12.7109375" style="1551" bestFit="1" customWidth="1"/>
    <col min="10508" max="10508" width="13.140625" style="1551" customWidth="1"/>
    <col min="10509" max="10752" width="9.140625" style="1551"/>
    <col min="10753" max="10753" width="4.7109375" style="1551" customWidth="1"/>
    <col min="10754" max="10754" width="6.7109375" style="1551" customWidth="1"/>
    <col min="10755" max="10755" width="8.85546875" style="1551" customWidth="1"/>
    <col min="10756" max="10756" width="46.42578125" style="1551" customWidth="1"/>
    <col min="10757" max="10757" width="12.85546875" style="1551" customWidth="1"/>
    <col min="10758" max="10758" width="15.5703125" style="1551" customWidth="1"/>
    <col min="10759" max="10759" width="15.85546875" style="1551" customWidth="1"/>
    <col min="10760" max="10760" width="6.42578125" style="1551" customWidth="1"/>
    <col min="10761" max="10761" width="14.28515625" style="1551" bestFit="1" customWidth="1"/>
    <col min="10762" max="10762" width="9.140625" style="1551"/>
    <col min="10763" max="10763" width="12.7109375" style="1551" bestFit="1" customWidth="1"/>
    <col min="10764" max="10764" width="13.140625" style="1551" customWidth="1"/>
    <col min="10765" max="11008" width="9.140625" style="1551"/>
    <col min="11009" max="11009" width="4.7109375" style="1551" customWidth="1"/>
    <col min="11010" max="11010" width="6.7109375" style="1551" customWidth="1"/>
    <col min="11011" max="11011" width="8.85546875" style="1551" customWidth="1"/>
    <col min="11012" max="11012" width="46.42578125" style="1551" customWidth="1"/>
    <col min="11013" max="11013" width="12.85546875" style="1551" customWidth="1"/>
    <col min="11014" max="11014" width="15.5703125" style="1551" customWidth="1"/>
    <col min="11015" max="11015" width="15.85546875" style="1551" customWidth="1"/>
    <col min="11016" max="11016" width="6.42578125" style="1551" customWidth="1"/>
    <col min="11017" max="11017" width="14.28515625" style="1551" bestFit="1" customWidth="1"/>
    <col min="11018" max="11018" width="9.140625" style="1551"/>
    <col min="11019" max="11019" width="12.7109375" style="1551" bestFit="1" customWidth="1"/>
    <col min="11020" max="11020" width="13.140625" style="1551" customWidth="1"/>
    <col min="11021" max="11264" width="9.140625" style="1551"/>
    <col min="11265" max="11265" width="4.7109375" style="1551" customWidth="1"/>
    <col min="11266" max="11266" width="6.7109375" style="1551" customWidth="1"/>
    <col min="11267" max="11267" width="8.85546875" style="1551" customWidth="1"/>
    <col min="11268" max="11268" width="46.42578125" style="1551" customWidth="1"/>
    <col min="11269" max="11269" width="12.85546875" style="1551" customWidth="1"/>
    <col min="11270" max="11270" width="15.5703125" style="1551" customWidth="1"/>
    <col min="11271" max="11271" width="15.85546875" style="1551" customWidth="1"/>
    <col min="11272" max="11272" width="6.42578125" style="1551" customWidth="1"/>
    <col min="11273" max="11273" width="14.28515625" style="1551" bestFit="1" customWidth="1"/>
    <col min="11274" max="11274" width="9.140625" style="1551"/>
    <col min="11275" max="11275" width="12.7109375" style="1551" bestFit="1" customWidth="1"/>
    <col min="11276" max="11276" width="13.140625" style="1551" customWidth="1"/>
    <col min="11277" max="11520" width="9.140625" style="1551"/>
    <col min="11521" max="11521" width="4.7109375" style="1551" customWidth="1"/>
    <col min="11522" max="11522" width="6.7109375" style="1551" customWidth="1"/>
    <col min="11523" max="11523" width="8.85546875" style="1551" customWidth="1"/>
    <col min="11524" max="11524" width="46.42578125" style="1551" customWidth="1"/>
    <col min="11525" max="11525" width="12.85546875" style="1551" customWidth="1"/>
    <col min="11526" max="11526" width="15.5703125" style="1551" customWidth="1"/>
    <col min="11527" max="11527" width="15.85546875" style="1551" customWidth="1"/>
    <col min="11528" max="11528" width="6.42578125" style="1551" customWidth="1"/>
    <col min="11529" max="11529" width="14.28515625" style="1551" bestFit="1" customWidth="1"/>
    <col min="11530" max="11530" width="9.140625" style="1551"/>
    <col min="11531" max="11531" width="12.7109375" style="1551" bestFit="1" customWidth="1"/>
    <col min="11532" max="11532" width="13.140625" style="1551" customWidth="1"/>
    <col min="11533" max="11776" width="9.140625" style="1551"/>
    <col min="11777" max="11777" width="4.7109375" style="1551" customWidth="1"/>
    <col min="11778" max="11778" width="6.7109375" style="1551" customWidth="1"/>
    <col min="11779" max="11779" width="8.85546875" style="1551" customWidth="1"/>
    <col min="11780" max="11780" width="46.42578125" style="1551" customWidth="1"/>
    <col min="11781" max="11781" width="12.85546875" style="1551" customWidth="1"/>
    <col min="11782" max="11782" width="15.5703125" style="1551" customWidth="1"/>
    <col min="11783" max="11783" width="15.85546875" style="1551" customWidth="1"/>
    <col min="11784" max="11784" width="6.42578125" style="1551" customWidth="1"/>
    <col min="11785" max="11785" width="14.28515625" style="1551" bestFit="1" customWidth="1"/>
    <col min="11786" max="11786" width="9.140625" style="1551"/>
    <col min="11787" max="11787" width="12.7109375" style="1551" bestFit="1" customWidth="1"/>
    <col min="11788" max="11788" width="13.140625" style="1551" customWidth="1"/>
    <col min="11789" max="12032" width="9.140625" style="1551"/>
    <col min="12033" max="12033" width="4.7109375" style="1551" customWidth="1"/>
    <col min="12034" max="12034" width="6.7109375" style="1551" customWidth="1"/>
    <col min="12035" max="12035" width="8.85546875" style="1551" customWidth="1"/>
    <col min="12036" max="12036" width="46.42578125" style="1551" customWidth="1"/>
    <col min="12037" max="12037" width="12.85546875" style="1551" customWidth="1"/>
    <col min="12038" max="12038" width="15.5703125" style="1551" customWidth="1"/>
    <col min="12039" max="12039" width="15.85546875" style="1551" customWidth="1"/>
    <col min="12040" max="12040" width="6.42578125" style="1551" customWidth="1"/>
    <col min="12041" max="12041" width="14.28515625" style="1551" bestFit="1" customWidth="1"/>
    <col min="12042" max="12042" width="9.140625" style="1551"/>
    <col min="12043" max="12043" width="12.7109375" style="1551" bestFit="1" customWidth="1"/>
    <col min="12044" max="12044" width="13.140625" style="1551" customWidth="1"/>
    <col min="12045" max="12288" width="9.140625" style="1551"/>
    <col min="12289" max="12289" width="4.7109375" style="1551" customWidth="1"/>
    <col min="12290" max="12290" width="6.7109375" style="1551" customWidth="1"/>
    <col min="12291" max="12291" width="8.85546875" style="1551" customWidth="1"/>
    <col min="12292" max="12292" width="46.42578125" style="1551" customWidth="1"/>
    <col min="12293" max="12293" width="12.85546875" style="1551" customWidth="1"/>
    <col min="12294" max="12294" width="15.5703125" style="1551" customWidth="1"/>
    <col min="12295" max="12295" width="15.85546875" style="1551" customWidth="1"/>
    <col min="12296" max="12296" width="6.42578125" style="1551" customWidth="1"/>
    <col min="12297" max="12297" width="14.28515625" style="1551" bestFit="1" customWidth="1"/>
    <col min="12298" max="12298" width="9.140625" style="1551"/>
    <col min="12299" max="12299" width="12.7109375" style="1551" bestFit="1" customWidth="1"/>
    <col min="12300" max="12300" width="13.140625" style="1551" customWidth="1"/>
    <col min="12301" max="12544" width="9.140625" style="1551"/>
    <col min="12545" max="12545" width="4.7109375" style="1551" customWidth="1"/>
    <col min="12546" max="12546" width="6.7109375" style="1551" customWidth="1"/>
    <col min="12547" max="12547" width="8.85546875" style="1551" customWidth="1"/>
    <col min="12548" max="12548" width="46.42578125" style="1551" customWidth="1"/>
    <col min="12549" max="12549" width="12.85546875" style="1551" customWidth="1"/>
    <col min="12550" max="12550" width="15.5703125" style="1551" customWidth="1"/>
    <col min="12551" max="12551" width="15.85546875" style="1551" customWidth="1"/>
    <col min="12552" max="12552" width="6.42578125" style="1551" customWidth="1"/>
    <col min="12553" max="12553" width="14.28515625" style="1551" bestFit="1" customWidth="1"/>
    <col min="12554" max="12554" width="9.140625" style="1551"/>
    <col min="12555" max="12555" width="12.7109375" style="1551" bestFit="1" customWidth="1"/>
    <col min="12556" max="12556" width="13.140625" style="1551" customWidth="1"/>
    <col min="12557" max="12800" width="9.140625" style="1551"/>
    <col min="12801" max="12801" width="4.7109375" style="1551" customWidth="1"/>
    <col min="12802" max="12802" width="6.7109375" style="1551" customWidth="1"/>
    <col min="12803" max="12803" width="8.85546875" style="1551" customWidth="1"/>
    <col min="12804" max="12804" width="46.42578125" style="1551" customWidth="1"/>
    <col min="12805" max="12805" width="12.85546875" style="1551" customWidth="1"/>
    <col min="12806" max="12806" width="15.5703125" style="1551" customWidth="1"/>
    <col min="12807" max="12807" width="15.85546875" style="1551" customWidth="1"/>
    <col min="12808" max="12808" width="6.42578125" style="1551" customWidth="1"/>
    <col min="12809" max="12809" width="14.28515625" style="1551" bestFit="1" customWidth="1"/>
    <col min="12810" max="12810" width="9.140625" style="1551"/>
    <col min="12811" max="12811" width="12.7109375" style="1551" bestFit="1" customWidth="1"/>
    <col min="12812" max="12812" width="13.140625" style="1551" customWidth="1"/>
    <col min="12813" max="13056" width="9.140625" style="1551"/>
    <col min="13057" max="13057" width="4.7109375" style="1551" customWidth="1"/>
    <col min="13058" max="13058" width="6.7109375" style="1551" customWidth="1"/>
    <col min="13059" max="13059" width="8.85546875" style="1551" customWidth="1"/>
    <col min="13060" max="13060" width="46.42578125" style="1551" customWidth="1"/>
    <col min="13061" max="13061" width="12.85546875" style="1551" customWidth="1"/>
    <col min="13062" max="13062" width="15.5703125" style="1551" customWidth="1"/>
    <col min="13063" max="13063" width="15.85546875" style="1551" customWidth="1"/>
    <col min="13064" max="13064" width="6.42578125" style="1551" customWidth="1"/>
    <col min="13065" max="13065" width="14.28515625" style="1551" bestFit="1" customWidth="1"/>
    <col min="13066" max="13066" width="9.140625" style="1551"/>
    <col min="13067" max="13067" width="12.7109375" style="1551" bestFit="1" customWidth="1"/>
    <col min="13068" max="13068" width="13.140625" style="1551" customWidth="1"/>
    <col min="13069" max="13312" width="9.140625" style="1551"/>
    <col min="13313" max="13313" width="4.7109375" style="1551" customWidth="1"/>
    <col min="13314" max="13314" width="6.7109375" style="1551" customWidth="1"/>
    <col min="13315" max="13315" width="8.85546875" style="1551" customWidth="1"/>
    <col min="13316" max="13316" width="46.42578125" style="1551" customWidth="1"/>
    <col min="13317" max="13317" width="12.85546875" style="1551" customWidth="1"/>
    <col min="13318" max="13318" width="15.5703125" style="1551" customWidth="1"/>
    <col min="13319" max="13319" width="15.85546875" style="1551" customWidth="1"/>
    <col min="13320" max="13320" width="6.42578125" style="1551" customWidth="1"/>
    <col min="13321" max="13321" width="14.28515625" style="1551" bestFit="1" customWidth="1"/>
    <col min="13322" max="13322" width="9.140625" style="1551"/>
    <col min="13323" max="13323" width="12.7109375" style="1551" bestFit="1" customWidth="1"/>
    <col min="13324" max="13324" width="13.140625" style="1551" customWidth="1"/>
    <col min="13325" max="13568" width="9.140625" style="1551"/>
    <col min="13569" max="13569" width="4.7109375" style="1551" customWidth="1"/>
    <col min="13570" max="13570" width="6.7109375" style="1551" customWidth="1"/>
    <col min="13571" max="13571" width="8.85546875" style="1551" customWidth="1"/>
    <col min="13572" max="13572" width="46.42578125" style="1551" customWidth="1"/>
    <col min="13573" max="13573" width="12.85546875" style="1551" customWidth="1"/>
    <col min="13574" max="13574" width="15.5703125" style="1551" customWidth="1"/>
    <col min="13575" max="13575" width="15.85546875" style="1551" customWidth="1"/>
    <col min="13576" max="13576" width="6.42578125" style="1551" customWidth="1"/>
    <col min="13577" max="13577" width="14.28515625" style="1551" bestFit="1" customWidth="1"/>
    <col min="13578" max="13578" width="9.140625" style="1551"/>
    <col min="13579" max="13579" width="12.7109375" style="1551" bestFit="1" customWidth="1"/>
    <col min="13580" max="13580" width="13.140625" style="1551" customWidth="1"/>
    <col min="13581" max="13824" width="9.140625" style="1551"/>
    <col min="13825" max="13825" width="4.7109375" style="1551" customWidth="1"/>
    <col min="13826" max="13826" width="6.7109375" style="1551" customWidth="1"/>
    <col min="13827" max="13827" width="8.85546875" style="1551" customWidth="1"/>
    <col min="13828" max="13828" width="46.42578125" style="1551" customWidth="1"/>
    <col min="13829" max="13829" width="12.85546875" style="1551" customWidth="1"/>
    <col min="13830" max="13830" width="15.5703125" style="1551" customWidth="1"/>
    <col min="13831" max="13831" width="15.85546875" style="1551" customWidth="1"/>
    <col min="13832" max="13832" width="6.42578125" style="1551" customWidth="1"/>
    <col min="13833" max="13833" width="14.28515625" style="1551" bestFit="1" customWidth="1"/>
    <col min="13834" max="13834" width="9.140625" style="1551"/>
    <col min="13835" max="13835" width="12.7109375" style="1551" bestFit="1" customWidth="1"/>
    <col min="13836" max="13836" width="13.140625" style="1551" customWidth="1"/>
    <col min="13837" max="14080" width="9.140625" style="1551"/>
    <col min="14081" max="14081" width="4.7109375" style="1551" customWidth="1"/>
    <col min="14082" max="14082" width="6.7109375" style="1551" customWidth="1"/>
    <col min="14083" max="14083" width="8.85546875" style="1551" customWidth="1"/>
    <col min="14084" max="14084" width="46.42578125" style="1551" customWidth="1"/>
    <col min="14085" max="14085" width="12.85546875" style="1551" customWidth="1"/>
    <col min="14086" max="14086" width="15.5703125" style="1551" customWidth="1"/>
    <col min="14087" max="14087" width="15.85546875" style="1551" customWidth="1"/>
    <col min="14088" max="14088" width="6.42578125" style="1551" customWidth="1"/>
    <col min="14089" max="14089" width="14.28515625" style="1551" bestFit="1" customWidth="1"/>
    <col min="14090" max="14090" width="9.140625" style="1551"/>
    <col min="14091" max="14091" width="12.7109375" style="1551" bestFit="1" customWidth="1"/>
    <col min="14092" max="14092" width="13.140625" style="1551" customWidth="1"/>
    <col min="14093" max="14336" width="9.140625" style="1551"/>
    <col min="14337" max="14337" width="4.7109375" style="1551" customWidth="1"/>
    <col min="14338" max="14338" width="6.7109375" style="1551" customWidth="1"/>
    <col min="14339" max="14339" width="8.85546875" style="1551" customWidth="1"/>
    <col min="14340" max="14340" width="46.42578125" style="1551" customWidth="1"/>
    <col min="14341" max="14341" width="12.85546875" style="1551" customWidth="1"/>
    <col min="14342" max="14342" width="15.5703125" style="1551" customWidth="1"/>
    <col min="14343" max="14343" width="15.85546875" style="1551" customWidth="1"/>
    <col min="14344" max="14344" width="6.42578125" style="1551" customWidth="1"/>
    <col min="14345" max="14345" width="14.28515625" style="1551" bestFit="1" customWidth="1"/>
    <col min="14346" max="14346" width="9.140625" style="1551"/>
    <col min="14347" max="14347" width="12.7109375" style="1551" bestFit="1" customWidth="1"/>
    <col min="14348" max="14348" width="13.140625" style="1551" customWidth="1"/>
    <col min="14349" max="14592" width="9.140625" style="1551"/>
    <col min="14593" max="14593" width="4.7109375" style="1551" customWidth="1"/>
    <col min="14594" max="14594" width="6.7109375" style="1551" customWidth="1"/>
    <col min="14595" max="14595" width="8.85546875" style="1551" customWidth="1"/>
    <col min="14596" max="14596" width="46.42578125" style="1551" customWidth="1"/>
    <col min="14597" max="14597" width="12.85546875" style="1551" customWidth="1"/>
    <col min="14598" max="14598" width="15.5703125" style="1551" customWidth="1"/>
    <col min="14599" max="14599" width="15.85546875" style="1551" customWidth="1"/>
    <col min="14600" max="14600" width="6.42578125" style="1551" customWidth="1"/>
    <col min="14601" max="14601" width="14.28515625" style="1551" bestFit="1" customWidth="1"/>
    <col min="14602" max="14602" width="9.140625" style="1551"/>
    <col min="14603" max="14603" width="12.7109375" style="1551" bestFit="1" customWidth="1"/>
    <col min="14604" max="14604" width="13.140625" style="1551" customWidth="1"/>
    <col min="14605" max="14848" width="9.140625" style="1551"/>
    <col min="14849" max="14849" width="4.7109375" style="1551" customWidth="1"/>
    <col min="14850" max="14850" width="6.7109375" style="1551" customWidth="1"/>
    <col min="14851" max="14851" width="8.85546875" style="1551" customWidth="1"/>
    <col min="14852" max="14852" width="46.42578125" style="1551" customWidth="1"/>
    <col min="14853" max="14853" width="12.85546875" style="1551" customWidth="1"/>
    <col min="14854" max="14854" width="15.5703125" style="1551" customWidth="1"/>
    <col min="14855" max="14855" width="15.85546875" style="1551" customWidth="1"/>
    <col min="14856" max="14856" width="6.42578125" style="1551" customWidth="1"/>
    <col min="14857" max="14857" width="14.28515625" style="1551" bestFit="1" customWidth="1"/>
    <col min="14858" max="14858" width="9.140625" style="1551"/>
    <col min="14859" max="14859" width="12.7109375" style="1551" bestFit="1" customWidth="1"/>
    <col min="14860" max="14860" width="13.140625" style="1551" customWidth="1"/>
    <col min="14861" max="15104" width="9.140625" style="1551"/>
    <col min="15105" max="15105" width="4.7109375" style="1551" customWidth="1"/>
    <col min="15106" max="15106" width="6.7109375" style="1551" customWidth="1"/>
    <col min="15107" max="15107" width="8.85546875" style="1551" customWidth="1"/>
    <col min="15108" max="15108" width="46.42578125" style="1551" customWidth="1"/>
    <col min="15109" max="15109" width="12.85546875" style="1551" customWidth="1"/>
    <col min="15110" max="15110" width="15.5703125" style="1551" customWidth="1"/>
    <col min="15111" max="15111" width="15.85546875" style="1551" customWidth="1"/>
    <col min="15112" max="15112" width="6.42578125" style="1551" customWidth="1"/>
    <col min="15113" max="15113" width="14.28515625" style="1551" bestFit="1" customWidth="1"/>
    <col min="15114" max="15114" width="9.140625" style="1551"/>
    <col min="15115" max="15115" width="12.7109375" style="1551" bestFit="1" customWidth="1"/>
    <col min="15116" max="15116" width="13.140625" style="1551" customWidth="1"/>
    <col min="15117" max="15360" width="9.140625" style="1551"/>
    <col min="15361" max="15361" width="4.7109375" style="1551" customWidth="1"/>
    <col min="15362" max="15362" width="6.7109375" style="1551" customWidth="1"/>
    <col min="15363" max="15363" width="8.85546875" style="1551" customWidth="1"/>
    <col min="15364" max="15364" width="46.42578125" style="1551" customWidth="1"/>
    <col min="15365" max="15365" width="12.85546875" style="1551" customWidth="1"/>
    <col min="15366" max="15366" width="15.5703125" style="1551" customWidth="1"/>
    <col min="15367" max="15367" width="15.85546875" style="1551" customWidth="1"/>
    <col min="15368" max="15368" width="6.42578125" style="1551" customWidth="1"/>
    <col min="15369" max="15369" width="14.28515625" style="1551" bestFit="1" customWidth="1"/>
    <col min="15370" max="15370" width="9.140625" style="1551"/>
    <col min="15371" max="15371" width="12.7109375" style="1551" bestFit="1" customWidth="1"/>
    <col min="15372" max="15372" width="13.140625" style="1551" customWidth="1"/>
    <col min="15373" max="15616" width="9.140625" style="1551"/>
    <col min="15617" max="15617" width="4.7109375" style="1551" customWidth="1"/>
    <col min="15618" max="15618" width="6.7109375" style="1551" customWidth="1"/>
    <col min="15619" max="15619" width="8.85546875" style="1551" customWidth="1"/>
    <col min="15620" max="15620" width="46.42578125" style="1551" customWidth="1"/>
    <col min="15621" max="15621" width="12.85546875" style="1551" customWidth="1"/>
    <col min="15622" max="15622" width="15.5703125" style="1551" customWidth="1"/>
    <col min="15623" max="15623" width="15.85546875" style="1551" customWidth="1"/>
    <col min="15624" max="15624" width="6.42578125" style="1551" customWidth="1"/>
    <col min="15625" max="15625" width="14.28515625" style="1551" bestFit="1" customWidth="1"/>
    <col min="15626" max="15626" width="9.140625" style="1551"/>
    <col min="15627" max="15627" width="12.7109375" style="1551" bestFit="1" customWidth="1"/>
    <col min="15628" max="15628" width="13.140625" style="1551" customWidth="1"/>
    <col min="15629" max="15872" width="9.140625" style="1551"/>
    <col min="15873" max="15873" width="4.7109375" style="1551" customWidth="1"/>
    <col min="15874" max="15874" width="6.7109375" style="1551" customWidth="1"/>
    <col min="15875" max="15875" width="8.85546875" style="1551" customWidth="1"/>
    <col min="15876" max="15876" width="46.42578125" style="1551" customWidth="1"/>
    <col min="15877" max="15877" width="12.85546875" style="1551" customWidth="1"/>
    <col min="15878" max="15878" width="15.5703125" style="1551" customWidth="1"/>
    <col min="15879" max="15879" width="15.85546875" style="1551" customWidth="1"/>
    <col min="15880" max="15880" width="6.42578125" style="1551" customWidth="1"/>
    <col min="15881" max="15881" width="14.28515625" style="1551" bestFit="1" customWidth="1"/>
    <col min="15882" max="15882" width="9.140625" style="1551"/>
    <col min="15883" max="15883" width="12.7109375" style="1551" bestFit="1" customWidth="1"/>
    <col min="15884" max="15884" width="13.140625" style="1551" customWidth="1"/>
    <col min="15885" max="16128" width="9.140625" style="1551"/>
    <col min="16129" max="16129" width="4.7109375" style="1551" customWidth="1"/>
    <col min="16130" max="16130" width="6.7109375" style="1551" customWidth="1"/>
    <col min="16131" max="16131" width="8.85546875" style="1551" customWidth="1"/>
    <col min="16132" max="16132" width="46.42578125" style="1551" customWidth="1"/>
    <col min="16133" max="16133" width="12.85546875" style="1551" customWidth="1"/>
    <col min="16134" max="16134" width="15.5703125" style="1551" customWidth="1"/>
    <col min="16135" max="16135" width="15.85546875" style="1551" customWidth="1"/>
    <col min="16136" max="16136" width="6.42578125" style="1551" customWidth="1"/>
    <col min="16137" max="16137" width="14.28515625" style="1551" bestFit="1" customWidth="1"/>
    <col min="16138" max="16138" width="9.140625" style="1551"/>
    <col min="16139" max="16139" width="12.7109375" style="1551" bestFit="1" customWidth="1"/>
    <col min="16140" max="16140" width="13.140625" style="1551" customWidth="1"/>
    <col min="16141" max="16384" width="9.140625" style="1551"/>
  </cols>
  <sheetData>
    <row r="1" spans="1:8" ht="19.5" customHeight="1" thickBot="1" x14ac:dyDescent="0.3">
      <c r="A1" s="1545" t="s">
        <v>1387</v>
      </c>
      <c r="B1" s="1546"/>
      <c r="C1" s="1547"/>
      <c r="D1" s="1548"/>
      <c r="E1" s="1549"/>
      <c r="F1" s="1548"/>
      <c r="G1" s="1550"/>
      <c r="H1" s="1545"/>
    </row>
    <row r="2" spans="1:8" ht="18" x14ac:dyDescent="0.25">
      <c r="A2" s="1552"/>
      <c r="B2" s="1553"/>
      <c r="C2" s="1553"/>
      <c r="D2" s="1553"/>
      <c r="E2" s="1553"/>
      <c r="F2" s="1553"/>
      <c r="G2" s="1553"/>
      <c r="H2" s="1554" t="s">
        <v>1388</v>
      </c>
    </row>
    <row r="3" spans="1:8" ht="18" x14ac:dyDescent="0.25">
      <c r="A3" s="1555" t="s">
        <v>336</v>
      </c>
      <c r="B3" s="1553"/>
      <c r="C3" s="2852" t="s">
        <v>2009</v>
      </c>
      <c r="D3" s="1553"/>
      <c r="E3" s="1553"/>
      <c r="F3" s="1553"/>
      <c r="G3" s="1553"/>
      <c r="H3" s="1554"/>
    </row>
    <row r="4" spans="1:8" ht="18" x14ac:dyDescent="0.25">
      <c r="A4" s="1552"/>
      <c r="B4" s="1553"/>
      <c r="C4" s="2852" t="s">
        <v>1450</v>
      </c>
      <c r="D4" s="1553"/>
      <c r="E4" s="1553"/>
      <c r="F4" s="1553"/>
      <c r="G4" s="1553"/>
      <c r="H4" s="1554"/>
    </row>
    <row r="5" spans="1:8" ht="18" x14ac:dyDescent="0.25">
      <c r="A5" s="1557" t="s">
        <v>1389</v>
      </c>
      <c r="B5" s="1553"/>
      <c r="C5" s="1553"/>
      <c r="D5" s="1553"/>
      <c r="E5" s="1553"/>
      <c r="F5" s="1553"/>
      <c r="G5" s="1553"/>
      <c r="H5" s="1554"/>
    </row>
    <row r="6" spans="1:8" ht="18" x14ac:dyDescent="0.25">
      <c r="A6" s="1557"/>
      <c r="B6" s="1553"/>
      <c r="C6" s="1553"/>
      <c r="D6" s="1553"/>
      <c r="E6" s="1553"/>
      <c r="F6" s="1553"/>
      <c r="G6" s="1553"/>
      <c r="H6" s="1554"/>
    </row>
    <row r="7" spans="1:8" ht="18" x14ac:dyDescent="0.25">
      <c r="A7" s="1557"/>
      <c r="B7" s="1553"/>
      <c r="C7" s="1553"/>
      <c r="D7" s="1553"/>
      <c r="E7" s="1553"/>
      <c r="F7" s="1553"/>
      <c r="G7" s="1553"/>
      <c r="H7" s="1554"/>
    </row>
    <row r="8" spans="1:8" ht="15" x14ac:dyDescent="0.25">
      <c r="A8" s="1632" t="s">
        <v>1390</v>
      </c>
      <c r="B8" s="1553"/>
      <c r="C8" s="1553"/>
      <c r="D8" s="1553"/>
    </row>
    <row r="9" spans="1:8" ht="15.75" thickBot="1" x14ac:dyDescent="0.3">
      <c r="A9" s="1633" t="s">
        <v>1386</v>
      </c>
      <c r="B9" s="1634"/>
      <c r="C9" s="1634"/>
      <c r="H9" s="1560" t="s">
        <v>148</v>
      </c>
    </row>
    <row r="10" spans="1:8" s="1635" customFormat="1" ht="25.5" thickTop="1" thickBot="1" x14ac:dyDescent="0.25">
      <c r="A10" s="1561" t="s">
        <v>149</v>
      </c>
      <c r="B10" s="1562" t="s">
        <v>688</v>
      </c>
      <c r="C10" s="1562" t="s">
        <v>345</v>
      </c>
      <c r="D10" s="1563" t="s">
        <v>151</v>
      </c>
      <c r="E10" s="1564" t="s">
        <v>569</v>
      </c>
      <c r="F10" s="1564" t="s">
        <v>570</v>
      </c>
      <c r="G10" s="1565" t="s">
        <v>797</v>
      </c>
      <c r="H10" s="1566" t="s">
        <v>798</v>
      </c>
    </row>
    <row r="11" spans="1:8" s="1635" customFormat="1" ht="13.5" thickTop="1" thickBot="1" x14ac:dyDescent="0.25">
      <c r="A11" s="1567">
        <v>1</v>
      </c>
      <c r="B11" s="1568">
        <v>2</v>
      </c>
      <c r="C11" s="1568">
        <v>3</v>
      </c>
      <c r="D11" s="1568">
        <v>4</v>
      </c>
      <c r="E11" s="1569">
        <v>5</v>
      </c>
      <c r="F11" s="1569">
        <v>6</v>
      </c>
      <c r="G11" s="1570">
        <v>7</v>
      </c>
      <c r="H11" s="1571" t="s">
        <v>54</v>
      </c>
    </row>
    <row r="12" spans="1:8" s="1637" customFormat="1" ht="15.75" hidden="1" thickTop="1" x14ac:dyDescent="0.2">
      <c r="A12" s="1577">
        <v>3299</v>
      </c>
      <c r="B12" s="1578">
        <v>5137</v>
      </c>
      <c r="C12" s="1636">
        <v>32133007</v>
      </c>
      <c r="D12" s="1579" t="s">
        <v>142</v>
      </c>
      <c r="E12" s="1580">
        <v>0</v>
      </c>
      <c r="F12" s="1580">
        <v>0</v>
      </c>
      <c r="G12" s="1580">
        <v>0</v>
      </c>
      <c r="H12" s="1581" t="e">
        <f>G12/F12*100</f>
        <v>#DIV/0!</v>
      </c>
    </row>
    <row r="13" spans="1:8" s="1637" customFormat="1" ht="15.75" hidden="1" thickTop="1" x14ac:dyDescent="0.2">
      <c r="A13" s="1577">
        <v>3299</v>
      </c>
      <c r="B13" s="1578">
        <v>5137</v>
      </c>
      <c r="C13" s="1636">
        <v>32533007</v>
      </c>
      <c r="D13" s="1579" t="s">
        <v>552</v>
      </c>
      <c r="E13" s="1580">
        <v>0</v>
      </c>
      <c r="F13" s="1580">
        <v>0</v>
      </c>
      <c r="G13" s="1580">
        <v>0</v>
      </c>
      <c r="H13" s="1581" t="e">
        <f>G13/F13*100</f>
        <v>#DIV/0!</v>
      </c>
    </row>
    <row r="14" spans="1:8" s="1637" customFormat="1" ht="15.75" hidden="1" thickTop="1" x14ac:dyDescent="0.2">
      <c r="A14" s="1577">
        <v>3299</v>
      </c>
      <c r="B14" s="1578">
        <v>5139</v>
      </c>
      <c r="C14" s="1636">
        <v>38100880</v>
      </c>
      <c r="D14" s="1579" t="s">
        <v>249</v>
      </c>
      <c r="E14" s="1580"/>
      <c r="F14" s="1580"/>
      <c r="G14" s="1580"/>
      <c r="H14" s="1581" t="e">
        <f>G14/F14*100</f>
        <v>#DIV/0!</v>
      </c>
    </row>
    <row r="15" spans="1:8" s="1637" customFormat="1" ht="15.75" hidden="1" thickTop="1" x14ac:dyDescent="0.2">
      <c r="A15" s="1577">
        <v>3299</v>
      </c>
      <c r="B15" s="1578">
        <v>5139</v>
      </c>
      <c r="C15" s="1636">
        <v>38100882</v>
      </c>
      <c r="D15" s="1579" t="s">
        <v>249</v>
      </c>
      <c r="E15" s="1580"/>
      <c r="F15" s="1580"/>
      <c r="G15" s="1580"/>
      <c r="H15" s="1581">
        <v>0</v>
      </c>
    </row>
    <row r="16" spans="1:8" s="1637" customFormat="1" ht="15.75" hidden="1" thickTop="1" x14ac:dyDescent="0.2">
      <c r="A16" s="1577">
        <v>3299</v>
      </c>
      <c r="B16" s="1578">
        <v>5139</v>
      </c>
      <c r="C16" s="1636">
        <v>38500881</v>
      </c>
      <c r="D16" s="1579" t="s">
        <v>249</v>
      </c>
      <c r="E16" s="1580"/>
      <c r="F16" s="1580"/>
      <c r="G16" s="1580"/>
      <c r="H16" s="1581" t="e">
        <f>G16/F16*100</f>
        <v>#DIV/0!</v>
      </c>
    </row>
    <row r="17" spans="1:8" s="1637" customFormat="1" ht="15.75" hidden="1" thickTop="1" x14ac:dyDescent="0.2">
      <c r="A17" s="1577">
        <v>3299</v>
      </c>
      <c r="B17" s="1578">
        <v>5162</v>
      </c>
      <c r="C17" s="1636">
        <v>38100880</v>
      </c>
      <c r="D17" s="1579" t="s">
        <v>780</v>
      </c>
      <c r="E17" s="1580"/>
      <c r="F17" s="1580"/>
      <c r="G17" s="1580"/>
      <c r="H17" s="1581" t="e">
        <f>G17/F17*100</f>
        <v>#DIV/0!</v>
      </c>
    </row>
    <row r="18" spans="1:8" s="1637" customFormat="1" ht="15.75" hidden="1" thickTop="1" x14ac:dyDescent="0.2">
      <c r="A18" s="1577">
        <v>3299</v>
      </c>
      <c r="B18" s="1578">
        <v>5162</v>
      </c>
      <c r="C18" s="1636">
        <v>38100882</v>
      </c>
      <c r="D18" s="1579" t="s">
        <v>780</v>
      </c>
      <c r="E18" s="1580"/>
      <c r="F18" s="1580"/>
      <c r="G18" s="1580"/>
      <c r="H18" s="1581">
        <v>0</v>
      </c>
    </row>
    <row r="19" spans="1:8" s="1639" customFormat="1" ht="15.75" hidden="1" thickTop="1" x14ac:dyDescent="0.2">
      <c r="A19" s="1577">
        <v>3299</v>
      </c>
      <c r="B19" s="1638">
        <v>5162</v>
      </c>
      <c r="C19" s="1636">
        <v>38500881</v>
      </c>
      <c r="D19" s="1579" t="s">
        <v>780</v>
      </c>
      <c r="E19" s="1580"/>
      <c r="F19" s="1580"/>
      <c r="G19" s="1580"/>
      <c r="H19" s="1581" t="e">
        <f>G19/F19*100</f>
        <v>#DIV/0!</v>
      </c>
    </row>
    <row r="20" spans="1:8" s="1639" customFormat="1" ht="15.75" hidden="1" thickTop="1" x14ac:dyDescent="0.2">
      <c r="A20" s="1577">
        <v>3299</v>
      </c>
      <c r="B20" s="1638">
        <v>5163</v>
      </c>
      <c r="C20" s="1636">
        <v>38100880</v>
      </c>
      <c r="D20" s="1579" t="s">
        <v>807</v>
      </c>
      <c r="E20" s="1580">
        <v>0</v>
      </c>
      <c r="F20" s="1580">
        <v>0</v>
      </c>
      <c r="G20" s="1580">
        <v>0</v>
      </c>
      <c r="H20" s="1581">
        <v>0</v>
      </c>
    </row>
    <row r="21" spans="1:8" ht="15.75" hidden="1" thickTop="1" x14ac:dyDescent="0.2">
      <c r="A21" s="1577">
        <v>3299</v>
      </c>
      <c r="B21" s="1638">
        <v>5163</v>
      </c>
      <c r="C21" s="1636">
        <v>38100882</v>
      </c>
      <c r="D21" s="1579" t="s">
        <v>807</v>
      </c>
      <c r="E21" s="1580"/>
      <c r="F21" s="1580"/>
      <c r="G21" s="1580"/>
      <c r="H21" s="1581">
        <v>0</v>
      </c>
    </row>
    <row r="22" spans="1:8" ht="15.75" hidden="1" thickTop="1" x14ac:dyDescent="0.2">
      <c r="A22" s="1577">
        <v>3299</v>
      </c>
      <c r="B22" s="1638">
        <v>5163</v>
      </c>
      <c r="C22" s="1636">
        <v>38500881</v>
      </c>
      <c r="D22" s="1579" t="s">
        <v>807</v>
      </c>
      <c r="E22" s="1580">
        <v>0</v>
      </c>
      <c r="F22" s="1580">
        <v>0</v>
      </c>
      <c r="G22" s="1580">
        <v>0</v>
      </c>
      <c r="H22" s="1581" t="e">
        <f t="shared" ref="H22:H38" si="0">G22/F22*100</f>
        <v>#DIV/0!</v>
      </c>
    </row>
    <row r="23" spans="1:8" ht="15.75" hidden="1" thickTop="1" x14ac:dyDescent="0.2">
      <c r="A23" s="1577">
        <v>3299</v>
      </c>
      <c r="B23" s="1638">
        <v>5164</v>
      </c>
      <c r="C23" s="1636">
        <v>32133007</v>
      </c>
      <c r="D23" s="1579" t="s">
        <v>157</v>
      </c>
      <c r="E23" s="1580"/>
      <c r="F23" s="1580"/>
      <c r="G23" s="1580"/>
      <c r="H23" s="1581" t="e">
        <f t="shared" si="0"/>
        <v>#DIV/0!</v>
      </c>
    </row>
    <row r="24" spans="1:8" ht="15.75" hidden="1" thickTop="1" x14ac:dyDescent="0.2">
      <c r="A24" s="1577">
        <v>3299</v>
      </c>
      <c r="B24" s="1638">
        <v>5164</v>
      </c>
      <c r="C24" s="1636">
        <v>32533007</v>
      </c>
      <c r="D24" s="1579" t="s">
        <v>157</v>
      </c>
      <c r="E24" s="1580"/>
      <c r="F24" s="1580"/>
      <c r="G24" s="1580"/>
      <c r="H24" s="1581" t="e">
        <f t="shared" si="0"/>
        <v>#DIV/0!</v>
      </c>
    </row>
    <row r="25" spans="1:8" ht="15.75" hidden="1" thickTop="1" x14ac:dyDescent="0.2">
      <c r="A25" s="1577">
        <v>3299</v>
      </c>
      <c r="B25" s="1638">
        <v>5164</v>
      </c>
      <c r="C25" s="1636">
        <v>38500881</v>
      </c>
      <c r="D25" s="1579" t="s">
        <v>157</v>
      </c>
      <c r="E25" s="1580"/>
      <c r="F25" s="1580"/>
      <c r="G25" s="1580"/>
      <c r="H25" s="1581" t="e">
        <f t="shared" si="0"/>
        <v>#DIV/0!</v>
      </c>
    </row>
    <row r="26" spans="1:8" ht="15.75" hidden="1" thickTop="1" x14ac:dyDescent="0.2">
      <c r="A26" s="1577">
        <v>3299</v>
      </c>
      <c r="B26" s="1638">
        <v>5166</v>
      </c>
      <c r="C26" s="1636">
        <v>38100880</v>
      </c>
      <c r="D26" s="1579" t="s">
        <v>553</v>
      </c>
      <c r="E26" s="1580"/>
      <c r="F26" s="1580"/>
      <c r="G26" s="1580"/>
      <c r="H26" s="1581" t="e">
        <f t="shared" si="0"/>
        <v>#DIV/0!</v>
      </c>
    </row>
    <row r="27" spans="1:8" ht="15.75" thickTop="1" x14ac:dyDescent="0.2">
      <c r="A27" s="1577">
        <v>3299</v>
      </c>
      <c r="B27" s="1638">
        <v>5166</v>
      </c>
      <c r="C27" s="1629" t="s">
        <v>2106</v>
      </c>
      <c r="D27" s="1579" t="s">
        <v>553</v>
      </c>
      <c r="E27" s="1580">
        <v>0</v>
      </c>
      <c r="F27" s="1580">
        <v>14</v>
      </c>
      <c r="G27" s="1580">
        <v>12</v>
      </c>
      <c r="H27" s="1581">
        <f t="shared" si="0"/>
        <v>85.714285714285708</v>
      </c>
    </row>
    <row r="28" spans="1:8" ht="15.75" thickBot="1" x14ac:dyDescent="0.25">
      <c r="A28" s="1577">
        <v>3299</v>
      </c>
      <c r="B28" s="1638">
        <v>5166</v>
      </c>
      <c r="C28" s="1629" t="s">
        <v>2105</v>
      </c>
      <c r="D28" s="1579" t="s">
        <v>553</v>
      </c>
      <c r="E28" s="1580">
        <v>0</v>
      </c>
      <c r="F28" s="1580">
        <v>77</v>
      </c>
      <c r="G28" s="1580">
        <v>71</v>
      </c>
      <c r="H28" s="1581">
        <f t="shared" si="0"/>
        <v>92.20779220779221</v>
      </c>
    </row>
    <row r="29" spans="1:8" ht="15.75" hidden="1" thickBot="1" x14ac:dyDescent="0.25">
      <c r="A29" s="1577">
        <v>3299</v>
      </c>
      <c r="B29" s="1638">
        <v>5167</v>
      </c>
      <c r="C29" s="1636">
        <v>38100880</v>
      </c>
      <c r="D29" s="1579" t="s">
        <v>277</v>
      </c>
      <c r="E29" s="1580"/>
      <c r="F29" s="1580"/>
      <c r="G29" s="1580"/>
      <c r="H29" s="1581" t="e">
        <f t="shared" si="0"/>
        <v>#DIV/0!</v>
      </c>
    </row>
    <row r="30" spans="1:8" ht="15.75" hidden="1" thickBot="1" x14ac:dyDescent="0.25">
      <c r="A30" s="1577">
        <v>3299</v>
      </c>
      <c r="B30" s="1638">
        <v>5167</v>
      </c>
      <c r="C30" s="1636">
        <v>38100882</v>
      </c>
      <c r="D30" s="1579" t="s">
        <v>277</v>
      </c>
      <c r="E30" s="1580"/>
      <c r="F30" s="1580"/>
      <c r="G30" s="1580"/>
      <c r="H30" s="1581" t="e">
        <f t="shared" si="0"/>
        <v>#DIV/0!</v>
      </c>
    </row>
    <row r="31" spans="1:8" ht="15.75" hidden="1" thickBot="1" x14ac:dyDescent="0.25">
      <c r="A31" s="1577">
        <v>3299</v>
      </c>
      <c r="B31" s="1638">
        <v>5167</v>
      </c>
      <c r="C31" s="1636">
        <v>38500881</v>
      </c>
      <c r="D31" s="1579" t="s">
        <v>277</v>
      </c>
      <c r="E31" s="1580"/>
      <c r="F31" s="1580"/>
      <c r="G31" s="1580"/>
      <c r="H31" s="1581" t="e">
        <f t="shared" si="0"/>
        <v>#DIV/0!</v>
      </c>
    </row>
    <row r="32" spans="1:8" ht="15.75" hidden="1" thickBot="1" x14ac:dyDescent="0.25">
      <c r="A32" s="1577">
        <v>3299</v>
      </c>
      <c r="B32" s="1638">
        <v>5169</v>
      </c>
      <c r="C32" s="1636">
        <v>38100880</v>
      </c>
      <c r="D32" s="1579" t="s">
        <v>769</v>
      </c>
      <c r="E32" s="1580"/>
      <c r="F32" s="1580"/>
      <c r="G32" s="1580"/>
      <c r="H32" s="1581" t="e">
        <f t="shared" si="0"/>
        <v>#DIV/0!</v>
      </c>
    </row>
    <row r="33" spans="1:9" ht="15.75" hidden="1" thickBot="1" x14ac:dyDescent="0.25">
      <c r="A33" s="1577">
        <v>3299</v>
      </c>
      <c r="B33" s="1638">
        <v>5169</v>
      </c>
      <c r="C33" s="1636">
        <v>38100882</v>
      </c>
      <c r="D33" s="1579" t="s">
        <v>769</v>
      </c>
      <c r="E33" s="1580"/>
      <c r="F33" s="1580"/>
      <c r="G33" s="1580"/>
      <c r="H33" s="1581" t="e">
        <f t="shared" si="0"/>
        <v>#DIV/0!</v>
      </c>
    </row>
    <row r="34" spans="1:9" ht="15.75" hidden="1" thickBot="1" x14ac:dyDescent="0.25">
      <c r="A34" s="1577">
        <v>3299</v>
      </c>
      <c r="B34" s="1638">
        <v>5169</v>
      </c>
      <c r="C34" s="1636">
        <v>38500881</v>
      </c>
      <c r="D34" s="1579" t="s">
        <v>769</v>
      </c>
      <c r="E34" s="1580"/>
      <c r="F34" s="1580"/>
      <c r="G34" s="1580"/>
      <c r="H34" s="1581" t="e">
        <f t="shared" si="0"/>
        <v>#DIV/0!</v>
      </c>
    </row>
    <row r="35" spans="1:9" ht="15.75" hidden="1" thickBot="1" x14ac:dyDescent="0.25">
      <c r="A35" s="1577">
        <v>3299</v>
      </c>
      <c r="B35" s="1638">
        <v>5173</v>
      </c>
      <c r="C35" s="1636">
        <v>38100880</v>
      </c>
      <c r="D35" s="1579" t="s">
        <v>1038</v>
      </c>
      <c r="E35" s="1580"/>
      <c r="F35" s="1580"/>
      <c r="G35" s="1580"/>
      <c r="H35" s="1581" t="e">
        <f t="shared" si="0"/>
        <v>#DIV/0!</v>
      </c>
    </row>
    <row r="36" spans="1:9" ht="15.75" hidden="1" thickBot="1" x14ac:dyDescent="0.25">
      <c r="A36" s="1577">
        <v>3299</v>
      </c>
      <c r="B36" s="1638">
        <v>5173</v>
      </c>
      <c r="C36" s="1636">
        <v>38100882</v>
      </c>
      <c r="D36" s="1579" t="s">
        <v>1038</v>
      </c>
      <c r="E36" s="1580"/>
      <c r="F36" s="1580"/>
      <c r="G36" s="1580"/>
      <c r="H36" s="1581" t="e">
        <f t="shared" si="0"/>
        <v>#DIV/0!</v>
      </c>
    </row>
    <row r="37" spans="1:9" ht="15.75" hidden="1" thickBot="1" x14ac:dyDescent="0.25">
      <c r="A37" s="1577">
        <v>3299</v>
      </c>
      <c r="B37" s="1638">
        <v>5173</v>
      </c>
      <c r="C37" s="1636">
        <v>38500881</v>
      </c>
      <c r="D37" s="1579" t="s">
        <v>1038</v>
      </c>
      <c r="E37" s="1580"/>
      <c r="F37" s="1580"/>
      <c r="G37" s="1580"/>
      <c r="H37" s="1581" t="e">
        <f t="shared" si="0"/>
        <v>#DIV/0!</v>
      </c>
    </row>
    <row r="38" spans="1:9" ht="15.75" hidden="1" thickBot="1" x14ac:dyDescent="0.25">
      <c r="A38" s="1577">
        <v>3299</v>
      </c>
      <c r="B38" s="1638">
        <v>5175</v>
      </c>
      <c r="C38" s="1636">
        <v>32133007</v>
      </c>
      <c r="D38" s="1579" t="s">
        <v>605</v>
      </c>
      <c r="E38" s="1580"/>
      <c r="F38" s="1580"/>
      <c r="G38" s="1580"/>
      <c r="H38" s="1581" t="e">
        <f t="shared" si="0"/>
        <v>#DIV/0!</v>
      </c>
    </row>
    <row r="39" spans="1:9" ht="15.75" hidden="1" thickBot="1" x14ac:dyDescent="0.25">
      <c r="A39" s="1577">
        <v>3299</v>
      </c>
      <c r="B39" s="1638">
        <v>5175</v>
      </c>
      <c r="C39" s="1636">
        <v>38100882</v>
      </c>
      <c r="D39" s="1579" t="s">
        <v>605</v>
      </c>
      <c r="E39" s="1580"/>
      <c r="F39" s="1580"/>
      <c r="G39" s="1580"/>
      <c r="H39" s="1581">
        <v>0</v>
      </c>
    </row>
    <row r="40" spans="1:9" ht="15.75" hidden="1" thickBot="1" x14ac:dyDescent="0.25">
      <c r="A40" s="1577">
        <v>3299</v>
      </c>
      <c r="B40" s="1638">
        <v>5175</v>
      </c>
      <c r="C40" s="1636">
        <v>32533007</v>
      </c>
      <c r="D40" s="1579" t="s">
        <v>605</v>
      </c>
      <c r="E40" s="1580"/>
      <c r="F40" s="1580"/>
      <c r="G40" s="1580"/>
      <c r="H40" s="1581" t="e">
        <f>G40/F40*100</f>
        <v>#DIV/0!</v>
      </c>
    </row>
    <row r="41" spans="1:9" ht="15.75" hidden="1" thickBot="1" x14ac:dyDescent="0.25">
      <c r="A41" s="1577">
        <v>3299</v>
      </c>
      <c r="B41" s="1578">
        <v>5176</v>
      </c>
      <c r="C41" s="1636">
        <v>38100880</v>
      </c>
      <c r="D41" s="1579" t="s">
        <v>1119</v>
      </c>
      <c r="E41" s="1580"/>
      <c r="F41" s="1580"/>
      <c r="G41" s="1580"/>
      <c r="H41" s="1581" t="e">
        <f>G41/F41*100</f>
        <v>#DIV/0!</v>
      </c>
    </row>
    <row r="42" spans="1:9" ht="15.75" hidden="1" thickBot="1" x14ac:dyDescent="0.25">
      <c r="A42" s="1577">
        <v>3299</v>
      </c>
      <c r="B42" s="1578">
        <v>5176</v>
      </c>
      <c r="C42" s="1636">
        <v>38100881</v>
      </c>
      <c r="D42" s="1579" t="s">
        <v>1119</v>
      </c>
      <c r="E42" s="1580"/>
      <c r="F42" s="1580"/>
      <c r="G42" s="1580"/>
      <c r="H42" s="1581" t="e">
        <f>G42/F42*100</f>
        <v>#DIV/0!</v>
      </c>
    </row>
    <row r="43" spans="1:9" ht="15.75" hidden="1" thickBot="1" x14ac:dyDescent="0.25">
      <c r="A43" s="1577">
        <v>3299</v>
      </c>
      <c r="B43" s="1578">
        <v>6111</v>
      </c>
      <c r="C43" s="1636">
        <v>38100880</v>
      </c>
      <c r="D43" s="1579" t="s">
        <v>812</v>
      </c>
      <c r="E43" s="1580"/>
      <c r="F43" s="1580"/>
      <c r="G43" s="1580"/>
      <c r="H43" s="1581" t="e">
        <f>G43/F43*100</f>
        <v>#DIV/0!</v>
      </c>
    </row>
    <row r="44" spans="1:9" ht="15.75" hidden="1" thickBot="1" x14ac:dyDescent="0.25">
      <c r="A44" s="1577">
        <v>3299</v>
      </c>
      <c r="B44" s="1578">
        <v>6111</v>
      </c>
      <c r="C44" s="1636">
        <v>38100882</v>
      </c>
      <c r="D44" s="1579" t="s">
        <v>812</v>
      </c>
      <c r="E44" s="1580"/>
      <c r="F44" s="1580"/>
      <c r="G44" s="1580"/>
      <c r="H44" s="1581">
        <v>0</v>
      </c>
    </row>
    <row r="45" spans="1:9" s="1639" customFormat="1" ht="15.75" hidden="1" thickBot="1" x14ac:dyDescent="0.25">
      <c r="A45" s="1577">
        <v>3299</v>
      </c>
      <c r="B45" s="1578">
        <v>6111</v>
      </c>
      <c r="C45" s="1636">
        <v>38500881</v>
      </c>
      <c r="D45" s="1579" t="s">
        <v>812</v>
      </c>
      <c r="E45" s="1580"/>
      <c r="F45" s="1580"/>
      <c r="G45" s="1580"/>
      <c r="H45" s="1581" t="e">
        <f>G45/F45*100</f>
        <v>#DIV/0!</v>
      </c>
    </row>
    <row r="46" spans="1:9" s="1639" customFormat="1" ht="15.75" hidden="1" thickBot="1" x14ac:dyDescent="0.25">
      <c r="A46" s="1577">
        <v>6409</v>
      </c>
      <c r="B46" s="1578">
        <v>5909</v>
      </c>
      <c r="C46" s="1636">
        <v>0</v>
      </c>
      <c r="D46" s="1579"/>
      <c r="E46" s="1580"/>
      <c r="F46" s="1580"/>
      <c r="G46" s="1580"/>
      <c r="H46" s="1581"/>
    </row>
    <row r="47" spans="1:9" s="1639" customFormat="1" ht="15.75" hidden="1" thickBot="1" x14ac:dyDescent="0.25">
      <c r="A47" s="1577">
        <v>6330</v>
      </c>
      <c r="B47" s="1578">
        <v>5345</v>
      </c>
      <c r="C47" s="1636">
        <v>0</v>
      </c>
      <c r="D47" s="1579" t="s">
        <v>693</v>
      </c>
      <c r="E47" s="1580"/>
      <c r="F47" s="1580"/>
      <c r="G47" s="1580"/>
      <c r="H47" s="1583">
        <v>0</v>
      </c>
    </row>
    <row r="48" spans="1:9" s="1641" customFormat="1" ht="16.5" thickTop="1" thickBot="1" x14ac:dyDescent="0.3">
      <c r="A48" s="3231" t="s">
        <v>690</v>
      </c>
      <c r="B48" s="3232"/>
      <c r="C48" s="3232"/>
      <c r="D48" s="3232"/>
      <c r="E48" s="1584">
        <f>SUM(E12:E47)</f>
        <v>0</v>
      </c>
      <c r="F48" s="1584">
        <f>SUM(F12:F47)</f>
        <v>91</v>
      </c>
      <c r="G48" s="1584">
        <f>SUM(G12:G47)</f>
        <v>83</v>
      </c>
      <c r="H48" s="1585">
        <f>G48/F48*100</f>
        <v>91.208791208791212</v>
      </c>
      <c r="I48" s="1640"/>
    </row>
    <row r="49" spans="1:12" ht="13.5" thickTop="1" x14ac:dyDescent="0.2">
      <c r="I49" s="1559"/>
    </row>
    <row r="50" spans="1:12" x14ac:dyDescent="0.2">
      <c r="I50" s="1559"/>
    </row>
    <row r="51" spans="1:12" x14ac:dyDescent="0.2">
      <c r="I51" s="1559"/>
    </row>
    <row r="52" spans="1:12" x14ac:dyDescent="0.2">
      <c r="I52" s="1559"/>
    </row>
    <row r="54" spans="1:12" ht="16.5" x14ac:dyDescent="0.25">
      <c r="A54" s="1605" t="s">
        <v>423</v>
      </c>
      <c r="B54" s="1606"/>
      <c r="C54" s="1607"/>
      <c r="D54" s="1608"/>
      <c r="E54" s="1609">
        <f>SUM(E55:E57)</f>
        <v>0</v>
      </c>
      <c r="F54" s="1609">
        <f>F55+F56+F57+F58</f>
        <v>91</v>
      </c>
      <c r="G54" s="1609">
        <f>G55+G56+G57+G58</f>
        <v>83</v>
      </c>
      <c r="H54" s="1610">
        <f>G54/F54*100</f>
        <v>91.208791208791212</v>
      </c>
      <c r="J54" s="1611">
        <f>J55+J56+J57</f>
        <v>0</v>
      </c>
      <c r="K54" s="1611">
        <f>K55+K56+K57</f>
        <v>90951.29</v>
      </c>
      <c r="L54" s="1611">
        <f>L55+L56+L57</f>
        <v>83490</v>
      </c>
    </row>
    <row r="55" spans="1:12" ht="15" x14ac:dyDescent="0.2">
      <c r="A55" s="1612" t="s">
        <v>242</v>
      </c>
      <c r="B55" s="1613"/>
      <c r="C55" s="1614"/>
      <c r="D55" s="1615"/>
      <c r="E55" s="1616">
        <f>E23+E24+E27+E28+E38+E40</f>
        <v>0</v>
      </c>
      <c r="F55" s="1616">
        <f>F23+F24+F27+F28+F38+F40</f>
        <v>91</v>
      </c>
      <c r="G55" s="1616">
        <f>G23+G24+G27+G28+G38+G40</f>
        <v>83</v>
      </c>
      <c r="H55" s="1617">
        <f>G55/F55*100</f>
        <v>91.208791208791212</v>
      </c>
      <c r="J55" s="1618">
        <v>0</v>
      </c>
      <c r="K55" s="1618">
        <v>90951.29</v>
      </c>
      <c r="L55" s="1618">
        <v>83490</v>
      </c>
    </row>
    <row r="56" spans="1:12" ht="15" x14ac:dyDescent="0.2">
      <c r="A56" s="1612" t="s">
        <v>243</v>
      </c>
      <c r="B56" s="1619"/>
      <c r="C56" s="1614"/>
      <c r="D56" s="1620"/>
      <c r="E56" s="1616">
        <v>0</v>
      </c>
      <c r="F56" s="1616">
        <v>0</v>
      </c>
      <c r="G56" s="1616">
        <v>0</v>
      </c>
      <c r="H56" s="1617">
        <v>0</v>
      </c>
      <c r="J56" s="1618">
        <v>0</v>
      </c>
      <c r="K56" s="1618">
        <v>0</v>
      </c>
      <c r="L56" s="1618">
        <v>0</v>
      </c>
    </row>
    <row r="57" spans="1:12" ht="15" x14ac:dyDescent="0.2">
      <c r="A57" s="1612" t="s">
        <v>424</v>
      </c>
      <c r="B57" s="1619"/>
      <c r="C57" s="1614"/>
      <c r="D57" s="1620"/>
      <c r="E57" s="1616">
        <f>E47</f>
        <v>0</v>
      </c>
      <c r="F57" s="1616">
        <f>F47</f>
        <v>0</v>
      </c>
      <c r="G57" s="1616">
        <f>G47</f>
        <v>0</v>
      </c>
      <c r="H57" s="1617">
        <v>0</v>
      </c>
      <c r="J57" s="1618">
        <v>0</v>
      </c>
      <c r="K57" s="1618">
        <v>0</v>
      </c>
      <c r="L57" s="1618">
        <v>0</v>
      </c>
    </row>
    <row r="58" spans="1:12" ht="15" x14ac:dyDescent="0.2">
      <c r="A58" s="1612"/>
      <c r="B58" s="1619"/>
      <c r="C58" s="1614"/>
      <c r="D58" s="1620"/>
      <c r="E58" s="1616"/>
      <c r="F58" s="1616"/>
      <c r="G58" s="1616"/>
      <c r="H58" s="1621"/>
    </row>
    <row r="59" spans="1:12" ht="46.5" customHeight="1" thickBot="1" x14ac:dyDescent="0.4">
      <c r="A59" s="3222" t="s">
        <v>1390</v>
      </c>
      <c r="B59" s="3223"/>
      <c r="C59" s="3223"/>
      <c r="D59" s="3223"/>
      <c r="E59" s="1622">
        <f>SUM(E54)</f>
        <v>0</v>
      </c>
      <c r="F59" s="1622">
        <f>SUM(F54)</f>
        <v>91</v>
      </c>
      <c r="G59" s="1622">
        <f>SUM(G54)</f>
        <v>83</v>
      </c>
      <c r="H59" s="1623">
        <f>(G59/F59)*100</f>
        <v>91.208791208791212</v>
      </c>
    </row>
    <row r="60" spans="1:12" ht="13.5" thickTop="1" x14ac:dyDescent="0.2"/>
    <row r="179" spans="1:5" ht="13.5" thickBot="1" x14ac:dyDescent="0.25">
      <c r="A179" s="1642"/>
      <c r="B179" s="1642"/>
      <c r="C179" s="1642"/>
      <c r="D179" s="1643"/>
      <c r="E179" s="1644"/>
    </row>
    <row r="180" spans="1:5" ht="13.5" thickTop="1" x14ac:dyDescent="0.2">
      <c r="A180" s="1645"/>
      <c r="B180" s="1645"/>
      <c r="C180" s="1645"/>
      <c r="D180" s="1646"/>
      <c r="E180" s="1647"/>
    </row>
    <row r="181" spans="1:5" x14ac:dyDescent="0.2">
      <c r="D181" s="1551" t="e">
        <f>#REF!+#REF!</f>
        <v>#REF!</v>
      </c>
    </row>
  </sheetData>
  <mergeCells count="2">
    <mergeCell ref="A48:D48"/>
    <mergeCell ref="A59:D59"/>
  </mergeCells>
  <pageMargins left="0.70866141732283472" right="0.70866141732283472" top="0.78740157480314965" bottom="0.78740157480314965" header="0.31496062992125984" footer="0.31496062992125984"/>
  <pageSetup paperSize="9" scale="70" firstPageNumber="168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colBreaks count="1" manualBreakCount="1">
    <brk id="9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14"/>
  <sheetViews>
    <sheetView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5.5703125" style="1551" customWidth="1"/>
    <col min="2" max="2" width="6.7109375" style="1551" customWidth="1"/>
    <col min="3" max="3" width="10.140625" style="1551" customWidth="1"/>
    <col min="4" max="4" width="47.85546875" style="1551" customWidth="1"/>
    <col min="5" max="5" width="15.42578125" style="1551" customWidth="1"/>
    <col min="6" max="6" width="15.5703125" style="1551" customWidth="1"/>
    <col min="7" max="7" width="15.85546875" style="1551" customWidth="1"/>
    <col min="8" max="8" width="8.7109375" style="1551" customWidth="1"/>
    <col min="9" max="9" width="9.140625" style="1551"/>
    <col min="10" max="11" width="16" style="1551" bestFit="1" customWidth="1"/>
    <col min="12" max="12" width="16.42578125" style="1551" customWidth="1"/>
    <col min="13" max="256" width="9.140625" style="1551"/>
    <col min="257" max="257" width="5.5703125" style="1551" customWidth="1"/>
    <col min="258" max="258" width="6.7109375" style="1551" customWidth="1"/>
    <col min="259" max="259" width="8.85546875" style="1551" customWidth="1"/>
    <col min="260" max="260" width="47.85546875" style="1551" customWidth="1"/>
    <col min="261" max="261" width="12.85546875" style="1551" customWidth="1"/>
    <col min="262" max="262" width="15.5703125" style="1551" customWidth="1"/>
    <col min="263" max="263" width="15.85546875" style="1551" customWidth="1"/>
    <col min="264" max="264" width="6.42578125" style="1551" customWidth="1"/>
    <col min="265" max="266" width="9.140625" style="1551"/>
    <col min="267" max="268" width="14.7109375" style="1551" bestFit="1" customWidth="1"/>
    <col min="269" max="512" width="9.140625" style="1551"/>
    <col min="513" max="513" width="5.5703125" style="1551" customWidth="1"/>
    <col min="514" max="514" width="6.7109375" style="1551" customWidth="1"/>
    <col min="515" max="515" width="8.85546875" style="1551" customWidth="1"/>
    <col min="516" max="516" width="47.85546875" style="1551" customWidth="1"/>
    <col min="517" max="517" width="12.85546875" style="1551" customWidth="1"/>
    <col min="518" max="518" width="15.5703125" style="1551" customWidth="1"/>
    <col min="519" max="519" width="15.85546875" style="1551" customWidth="1"/>
    <col min="520" max="520" width="6.42578125" style="1551" customWidth="1"/>
    <col min="521" max="522" width="9.140625" style="1551"/>
    <col min="523" max="524" width="14.7109375" style="1551" bestFit="1" customWidth="1"/>
    <col min="525" max="768" width="9.140625" style="1551"/>
    <col min="769" max="769" width="5.5703125" style="1551" customWidth="1"/>
    <col min="770" max="770" width="6.7109375" style="1551" customWidth="1"/>
    <col min="771" max="771" width="8.85546875" style="1551" customWidth="1"/>
    <col min="772" max="772" width="47.85546875" style="1551" customWidth="1"/>
    <col min="773" max="773" width="12.85546875" style="1551" customWidth="1"/>
    <col min="774" max="774" width="15.5703125" style="1551" customWidth="1"/>
    <col min="775" max="775" width="15.85546875" style="1551" customWidth="1"/>
    <col min="776" max="776" width="6.42578125" style="1551" customWidth="1"/>
    <col min="777" max="778" width="9.140625" style="1551"/>
    <col min="779" max="780" width="14.7109375" style="1551" bestFit="1" customWidth="1"/>
    <col min="781" max="1024" width="9.140625" style="1551"/>
    <col min="1025" max="1025" width="5.5703125" style="1551" customWidth="1"/>
    <col min="1026" max="1026" width="6.7109375" style="1551" customWidth="1"/>
    <col min="1027" max="1027" width="8.85546875" style="1551" customWidth="1"/>
    <col min="1028" max="1028" width="47.85546875" style="1551" customWidth="1"/>
    <col min="1029" max="1029" width="12.85546875" style="1551" customWidth="1"/>
    <col min="1030" max="1030" width="15.5703125" style="1551" customWidth="1"/>
    <col min="1031" max="1031" width="15.85546875" style="1551" customWidth="1"/>
    <col min="1032" max="1032" width="6.42578125" style="1551" customWidth="1"/>
    <col min="1033" max="1034" width="9.140625" style="1551"/>
    <col min="1035" max="1036" width="14.7109375" style="1551" bestFit="1" customWidth="1"/>
    <col min="1037" max="1280" width="9.140625" style="1551"/>
    <col min="1281" max="1281" width="5.5703125" style="1551" customWidth="1"/>
    <col min="1282" max="1282" width="6.7109375" style="1551" customWidth="1"/>
    <col min="1283" max="1283" width="8.85546875" style="1551" customWidth="1"/>
    <col min="1284" max="1284" width="47.85546875" style="1551" customWidth="1"/>
    <col min="1285" max="1285" width="12.85546875" style="1551" customWidth="1"/>
    <col min="1286" max="1286" width="15.5703125" style="1551" customWidth="1"/>
    <col min="1287" max="1287" width="15.85546875" style="1551" customWidth="1"/>
    <col min="1288" max="1288" width="6.42578125" style="1551" customWidth="1"/>
    <col min="1289" max="1290" width="9.140625" style="1551"/>
    <col min="1291" max="1292" width="14.7109375" style="1551" bestFit="1" customWidth="1"/>
    <col min="1293" max="1536" width="9.140625" style="1551"/>
    <col min="1537" max="1537" width="5.5703125" style="1551" customWidth="1"/>
    <col min="1538" max="1538" width="6.7109375" style="1551" customWidth="1"/>
    <col min="1539" max="1539" width="8.85546875" style="1551" customWidth="1"/>
    <col min="1540" max="1540" width="47.85546875" style="1551" customWidth="1"/>
    <col min="1541" max="1541" width="12.85546875" style="1551" customWidth="1"/>
    <col min="1542" max="1542" width="15.5703125" style="1551" customWidth="1"/>
    <col min="1543" max="1543" width="15.85546875" style="1551" customWidth="1"/>
    <col min="1544" max="1544" width="6.42578125" style="1551" customWidth="1"/>
    <col min="1545" max="1546" width="9.140625" style="1551"/>
    <col min="1547" max="1548" width="14.7109375" style="1551" bestFit="1" customWidth="1"/>
    <col min="1549" max="1792" width="9.140625" style="1551"/>
    <col min="1793" max="1793" width="5.5703125" style="1551" customWidth="1"/>
    <col min="1794" max="1794" width="6.7109375" style="1551" customWidth="1"/>
    <col min="1795" max="1795" width="8.85546875" style="1551" customWidth="1"/>
    <col min="1796" max="1796" width="47.85546875" style="1551" customWidth="1"/>
    <col min="1797" max="1797" width="12.85546875" style="1551" customWidth="1"/>
    <col min="1798" max="1798" width="15.5703125" style="1551" customWidth="1"/>
    <col min="1799" max="1799" width="15.85546875" style="1551" customWidth="1"/>
    <col min="1800" max="1800" width="6.42578125" style="1551" customWidth="1"/>
    <col min="1801" max="1802" width="9.140625" style="1551"/>
    <col min="1803" max="1804" width="14.7109375" style="1551" bestFit="1" customWidth="1"/>
    <col min="1805" max="2048" width="9.140625" style="1551"/>
    <col min="2049" max="2049" width="5.5703125" style="1551" customWidth="1"/>
    <col min="2050" max="2050" width="6.7109375" style="1551" customWidth="1"/>
    <col min="2051" max="2051" width="8.85546875" style="1551" customWidth="1"/>
    <col min="2052" max="2052" width="47.85546875" style="1551" customWidth="1"/>
    <col min="2053" max="2053" width="12.85546875" style="1551" customWidth="1"/>
    <col min="2054" max="2054" width="15.5703125" style="1551" customWidth="1"/>
    <col min="2055" max="2055" width="15.85546875" style="1551" customWidth="1"/>
    <col min="2056" max="2056" width="6.42578125" style="1551" customWidth="1"/>
    <col min="2057" max="2058" width="9.140625" style="1551"/>
    <col min="2059" max="2060" width="14.7109375" style="1551" bestFit="1" customWidth="1"/>
    <col min="2061" max="2304" width="9.140625" style="1551"/>
    <col min="2305" max="2305" width="5.5703125" style="1551" customWidth="1"/>
    <col min="2306" max="2306" width="6.7109375" style="1551" customWidth="1"/>
    <col min="2307" max="2307" width="8.85546875" style="1551" customWidth="1"/>
    <col min="2308" max="2308" width="47.85546875" style="1551" customWidth="1"/>
    <col min="2309" max="2309" width="12.85546875" style="1551" customWidth="1"/>
    <col min="2310" max="2310" width="15.5703125" style="1551" customWidth="1"/>
    <col min="2311" max="2311" width="15.85546875" style="1551" customWidth="1"/>
    <col min="2312" max="2312" width="6.42578125" style="1551" customWidth="1"/>
    <col min="2313" max="2314" width="9.140625" style="1551"/>
    <col min="2315" max="2316" width="14.7109375" style="1551" bestFit="1" customWidth="1"/>
    <col min="2317" max="2560" width="9.140625" style="1551"/>
    <col min="2561" max="2561" width="5.5703125" style="1551" customWidth="1"/>
    <col min="2562" max="2562" width="6.7109375" style="1551" customWidth="1"/>
    <col min="2563" max="2563" width="8.85546875" style="1551" customWidth="1"/>
    <col min="2564" max="2564" width="47.85546875" style="1551" customWidth="1"/>
    <col min="2565" max="2565" width="12.85546875" style="1551" customWidth="1"/>
    <col min="2566" max="2566" width="15.5703125" style="1551" customWidth="1"/>
    <col min="2567" max="2567" width="15.85546875" style="1551" customWidth="1"/>
    <col min="2568" max="2568" width="6.42578125" style="1551" customWidth="1"/>
    <col min="2569" max="2570" width="9.140625" style="1551"/>
    <col min="2571" max="2572" width="14.7109375" style="1551" bestFit="1" customWidth="1"/>
    <col min="2573" max="2816" width="9.140625" style="1551"/>
    <col min="2817" max="2817" width="5.5703125" style="1551" customWidth="1"/>
    <col min="2818" max="2818" width="6.7109375" style="1551" customWidth="1"/>
    <col min="2819" max="2819" width="8.85546875" style="1551" customWidth="1"/>
    <col min="2820" max="2820" width="47.85546875" style="1551" customWidth="1"/>
    <col min="2821" max="2821" width="12.85546875" style="1551" customWidth="1"/>
    <col min="2822" max="2822" width="15.5703125" style="1551" customWidth="1"/>
    <col min="2823" max="2823" width="15.85546875" style="1551" customWidth="1"/>
    <col min="2824" max="2824" width="6.42578125" style="1551" customWidth="1"/>
    <col min="2825" max="2826" width="9.140625" style="1551"/>
    <col min="2827" max="2828" width="14.7109375" style="1551" bestFit="1" customWidth="1"/>
    <col min="2829" max="3072" width="9.140625" style="1551"/>
    <col min="3073" max="3073" width="5.5703125" style="1551" customWidth="1"/>
    <col min="3074" max="3074" width="6.7109375" style="1551" customWidth="1"/>
    <col min="3075" max="3075" width="8.85546875" style="1551" customWidth="1"/>
    <col min="3076" max="3076" width="47.85546875" style="1551" customWidth="1"/>
    <col min="3077" max="3077" width="12.85546875" style="1551" customWidth="1"/>
    <col min="3078" max="3078" width="15.5703125" style="1551" customWidth="1"/>
    <col min="3079" max="3079" width="15.85546875" style="1551" customWidth="1"/>
    <col min="3080" max="3080" width="6.42578125" style="1551" customWidth="1"/>
    <col min="3081" max="3082" width="9.140625" style="1551"/>
    <col min="3083" max="3084" width="14.7109375" style="1551" bestFit="1" customWidth="1"/>
    <col min="3085" max="3328" width="9.140625" style="1551"/>
    <col min="3329" max="3329" width="5.5703125" style="1551" customWidth="1"/>
    <col min="3330" max="3330" width="6.7109375" style="1551" customWidth="1"/>
    <col min="3331" max="3331" width="8.85546875" style="1551" customWidth="1"/>
    <col min="3332" max="3332" width="47.85546875" style="1551" customWidth="1"/>
    <col min="3333" max="3333" width="12.85546875" style="1551" customWidth="1"/>
    <col min="3334" max="3334" width="15.5703125" style="1551" customWidth="1"/>
    <col min="3335" max="3335" width="15.85546875" style="1551" customWidth="1"/>
    <col min="3336" max="3336" width="6.42578125" style="1551" customWidth="1"/>
    <col min="3337" max="3338" width="9.140625" style="1551"/>
    <col min="3339" max="3340" width="14.7109375" style="1551" bestFit="1" customWidth="1"/>
    <col min="3341" max="3584" width="9.140625" style="1551"/>
    <col min="3585" max="3585" width="5.5703125" style="1551" customWidth="1"/>
    <col min="3586" max="3586" width="6.7109375" style="1551" customWidth="1"/>
    <col min="3587" max="3587" width="8.85546875" style="1551" customWidth="1"/>
    <col min="3588" max="3588" width="47.85546875" style="1551" customWidth="1"/>
    <col min="3589" max="3589" width="12.85546875" style="1551" customWidth="1"/>
    <col min="3590" max="3590" width="15.5703125" style="1551" customWidth="1"/>
    <col min="3591" max="3591" width="15.85546875" style="1551" customWidth="1"/>
    <col min="3592" max="3592" width="6.42578125" style="1551" customWidth="1"/>
    <col min="3593" max="3594" width="9.140625" style="1551"/>
    <col min="3595" max="3596" width="14.7109375" style="1551" bestFit="1" customWidth="1"/>
    <col min="3597" max="3840" width="9.140625" style="1551"/>
    <col min="3841" max="3841" width="5.5703125" style="1551" customWidth="1"/>
    <col min="3842" max="3842" width="6.7109375" style="1551" customWidth="1"/>
    <col min="3843" max="3843" width="8.85546875" style="1551" customWidth="1"/>
    <col min="3844" max="3844" width="47.85546875" style="1551" customWidth="1"/>
    <col min="3845" max="3845" width="12.85546875" style="1551" customWidth="1"/>
    <col min="3846" max="3846" width="15.5703125" style="1551" customWidth="1"/>
    <col min="3847" max="3847" width="15.85546875" style="1551" customWidth="1"/>
    <col min="3848" max="3848" width="6.42578125" style="1551" customWidth="1"/>
    <col min="3849" max="3850" width="9.140625" style="1551"/>
    <col min="3851" max="3852" width="14.7109375" style="1551" bestFit="1" customWidth="1"/>
    <col min="3853" max="4096" width="9.140625" style="1551"/>
    <col min="4097" max="4097" width="5.5703125" style="1551" customWidth="1"/>
    <col min="4098" max="4098" width="6.7109375" style="1551" customWidth="1"/>
    <col min="4099" max="4099" width="8.85546875" style="1551" customWidth="1"/>
    <col min="4100" max="4100" width="47.85546875" style="1551" customWidth="1"/>
    <col min="4101" max="4101" width="12.85546875" style="1551" customWidth="1"/>
    <col min="4102" max="4102" width="15.5703125" style="1551" customWidth="1"/>
    <col min="4103" max="4103" width="15.85546875" style="1551" customWidth="1"/>
    <col min="4104" max="4104" width="6.42578125" style="1551" customWidth="1"/>
    <col min="4105" max="4106" width="9.140625" style="1551"/>
    <col min="4107" max="4108" width="14.7109375" style="1551" bestFit="1" customWidth="1"/>
    <col min="4109" max="4352" width="9.140625" style="1551"/>
    <col min="4353" max="4353" width="5.5703125" style="1551" customWidth="1"/>
    <col min="4354" max="4354" width="6.7109375" style="1551" customWidth="1"/>
    <col min="4355" max="4355" width="8.85546875" style="1551" customWidth="1"/>
    <col min="4356" max="4356" width="47.85546875" style="1551" customWidth="1"/>
    <col min="4357" max="4357" width="12.85546875" style="1551" customWidth="1"/>
    <col min="4358" max="4358" width="15.5703125" style="1551" customWidth="1"/>
    <col min="4359" max="4359" width="15.85546875" style="1551" customWidth="1"/>
    <col min="4360" max="4360" width="6.42578125" style="1551" customWidth="1"/>
    <col min="4361" max="4362" width="9.140625" style="1551"/>
    <col min="4363" max="4364" width="14.7109375" style="1551" bestFit="1" customWidth="1"/>
    <col min="4365" max="4608" width="9.140625" style="1551"/>
    <col min="4609" max="4609" width="5.5703125" style="1551" customWidth="1"/>
    <col min="4610" max="4610" width="6.7109375" style="1551" customWidth="1"/>
    <col min="4611" max="4611" width="8.85546875" style="1551" customWidth="1"/>
    <col min="4612" max="4612" width="47.85546875" style="1551" customWidth="1"/>
    <col min="4613" max="4613" width="12.85546875" style="1551" customWidth="1"/>
    <col min="4614" max="4614" width="15.5703125" style="1551" customWidth="1"/>
    <col min="4615" max="4615" width="15.85546875" style="1551" customWidth="1"/>
    <col min="4616" max="4616" width="6.42578125" style="1551" customWidth="1"/>
    <col min="4617" max="4618" width="9.140625" style="1551"/>
    <col min="4619" max="4620" width="14.7109375" style="1551" bestFit="1" customWidth="1"/>
    <col min="4621" max="4864" width="9.140625" style="1551"/>
    <col min="4865" max="4865" width="5.5703125" style="1551" customWidth="1"/>
    <col min="4866" max="4866" width="6.7109375" style="1551" customWidth="1"/>
    <col min="4867" max="4867" width="8.85546875" style="1551" customWidth="1"/>
    <col min="4868" max="4868" width="47.85546875" style="1551" customWidth="1"/>
    <col min="4869" max="4869" width="12.85546875" style="1551" customWidth="1"/>
    <col min="4870" max="4870" width="15.5703125" style="1551" customWidth="1"/>
    <col min="4871" max="4871" width="15.85546875" style="1551" customWidth="1"/>
    <col min="4872" max="4872" width="6.42578125" style="1551" customWidth="1"/>
    <col min="4873" max="4874" width="9.140625" style="1551"/>
    <col min="4875" max="4876" width="14.7109375" style="1551" bestFit="1" customWidth="1"/>
    <col min="4877" max="5120" width="9.140625" style="1551"/>
    <col min="5121" max="5121" width="5.5703125" style="1551" customWidth="1"/>
    <col min="5122" max="5122" width="6.7109375" style="1551" customWidth="1"/>
    <col min="5123" max="5123" width="8.85546875" style="1551" customWidth="1"/>
    <col min="5124" max="5124" width="47.85546875" style="1551" customWidth="1"/>
    <col min="5125" max="5125" width="12.85546875" style="1551" customWidth="1"/>
    <col min="5126" max="5126" width="15.5703125" style="1551" customWidth="1"/>
    <col min="5127" max="5127" width="15.85546875" style="1551" customWidth="1"/>
    <col min="5128" max="5128" width="6.42578125" style="1551" customWidth="1"/>
    <col min="5129" max="5130" width="9.140625" style="1551"/>
    <col min="5131" max="5132" width="14.7109375" style="1551" bestFit="1" customWidth="1"/>
    <col min="5133" max="5376" width="9.140625" style="1551"/>
    <col min="5377" max="5377" width="5.5703125" style="1551" customWidth="1"/>
    <col min="5378" max="5378" width="6.7109375" style="1551" customWidth="1"/>
    <col min="5379" max="5379" width="8.85546875" style="1551" customWidth="1"/>
    <col min="5380" max="5380" width="47.85546875" style="1551" customWidth="1"/>
    <col min="5381" max="5381" width="12.85546875" style="1551" customWidth="1"/>
    <col min="5382" max="5382" width="15.5703125" style="1551" customWidth="1"/>
    <col min="5383" max="5383" width="15.85546875" style="1551" customWidth="1"/>
    <col min="5384" max="5384" width="6.42578125" style="1551" customWidth="1"/>
    <col min="5385" max="5386" width="9.140625" style="1551"/>
    <col min="5387" max="5388" width="14.7109375" style="1551" bestFit="1" customWidth="1"/>
    <col min="5389" max="5632" width="9.140625" style="1551"/>
    <col min="5633" max="5633" width="5.5703125" style="1551" customWidth="1"/>
    <col min="5634" max="5634" width="6.7109375" style="1551" customWidth="1"/>
    <col min="5635" max="5635" width="8.85546875" style="1551" customWidth="1"/>
    <col min="5636" max="5636" width="47.85546875" style="1551" customWidth="1"/>
    <col min="5637" max="5637" width="12.85546875" style="1551" customWidth="1"/>
    <col min="5638" max="5638" width="15.5703125" style="1551" customWidth="1"/>
    <col min="5639" max="5639" width="15.85546875" style="1551" customWidth="1"/>
    <col min="5640" max="5640" width="6.42578125" style="1551" customWidth="1"/>
    <col min="5641" max="5642" width="9.140625" style="1551"/>
    <col min="5643" max="5644" width="14.7109375" style="1551" bestFit="1" customWidth="1"/>
    <col min="5645" max="5888" width="9.140625" style="1551"/>
    <col min="5889" max="5889" width="5.5703125" style="1551" customWidth="1"/>
    <col min="5890" max="5890" width="6.7109375" style="1551" customWidth="1"/>
    <col min="5891" max="5891" width="8.85546875" style="1551" customWidth="1"/>
    <col min="5892" max="5892" width="47.85546875" style="1551" customWidth="1"/>
    <col min="5893" max="5893" width="12.85546875" style="1551" customWidth="1"/>
    <col min="5894" max="5894" width="15.5703125" style="1551" customWidth="1"/>
    <col min="5895" max="5895" width="15.85546875" style="1551" customWidth="1"/>
    <col min="5896" max="5896" width="6.42578125" style="1551" customWidth="1"/>
    <col min="5897" max="5898" width="9.140625" style="1551"/>
    <col min="5899" max="5900" width="14.7109375" style="1551" bestFit="1" customWidth="1"/>
    <col min="5901" max="6144" width="9.140625" style="1551"/>
    <col min="6145" max="6145" width="5.5703125" style="1551" customWidth="1"/>
    <col min="6146" max="6146" width="6.7109375" style="1551" customWidth="1"/>
    <col min="6147" max="6147" width="8.85546875" style="1551" customWidth="1"/>
    <col min="6148" max="6148" width="47.85546875" style="1551" customWidth="1"/>
    <col min="6149" max="6149" width="12.85546875" style="1551" customWidth="1"/>
    <col min="6150" max="6150" width="15.5703125" style="1551" customWidth="1"/>
    <col min="6151" max="6151" width="15.85546875" style="1551" customWidth="1"/>
    <col min="6152" max="6152" width="6.42578125" style="1551" customWidth="1"/>
    <col min="6153" max="6154" width="9.140625" style="1551"/>
    <col min="6155" max="6156" width="14.7109375" style="1551" bestFit="1" customWidth="1"/>
    <col min="6157" max="6400" width="9.140625" style="1551"/>
    <col min="6401" max="6401" width="5.5703125" style="1551" customWidth="1"/>
    <col min="6402" max="6402" width="6.7109375" style="1551" customWidth="1"/>
    <col min="6403" max="6403" width="8.85546875" style="1551" customWidth="1"/>
    <col min="6404" max="6404" width="47.85546875" style="1551" customWidth="1"/>
    <col min="6405" max="6405" width="12.85546875" style="1551" customWidth="1"/>
    <col min="6406" max="6406" width="15.5703125" style="1551" customWidth="1"/>
    <col min="6407" max="6407" width="15.85546875" style="1551" customWidth="1"/>
    <col min="6408" max="6408" width="6.42578125" style="1551" customWidth="1"/>
    <col min="6409" max="6410" width="9.140625" style="1551"/>
    <col min="6411" max="6412" width="14.7109375" style="1551" bestFit="1" customWidth="1"/>
    <col min="6413" max="6656" width="9.140625" style="1551"/>
    <col min="6657" max="6657" width="5.5703125" style="1551" customWidth="1"/>
    <col min="6658" max="6658" width="6.7109375" style="1551" customWidth="1"/>
    <col min="6659" max="6659" width="8.85546875" style="1551" customWidth="1"/>
    <col min="6660" max="6660" width="47.85546875" style="1551" customWidth="1"/>
    <col min="6661" max="6661" width="12.85546875" style="1551" customWidth="1"/>
    <col min="6662" max="6662" width="15.5703125" style="1551" customWidth="1"/>
    <col min="6663" max="6663" width="15.85546875" style="1551" customWidth="1"/>
    <col min="6664" max="6664" width="6.42578125" style="1551" customWidth="1"/>
    <col min="6665" max="6666" width="9.140625" style="1551"/>
    <col min="6667" max="6668" width="14.7109375" style="1551" bestFit="1" customWidth="1"/>
    <col min="6669" max="6912" width="9.140625" style="1551"/>
    <col min="6913" max="6913" width="5.5703125" style="1551" customWidth="1"/>
    <col min="6914" max="6914" width="6.7109375" style="1551" customWidth="1"/>
    <col min="6915" max="6915" width="8.85546875" style="1551" customWidth="1"/>
    <col min="6916" max="6916" width="47.85546875" style="1551" customWidth="1"/>
    <col min="6917" max="6917" width="12.85546875" style="1551" customWidth="1"/>
    <col min="6918" max="6918" width="15.5703125" style="1551" customWidth="1"/>
    <col min="6919" max="6919" width="15.85546875" style="1551" customWidth="1"/>
    <col min="6920" max="6920" width="6.42578125" style="1551" customWidth="1"/>
    <col min="6921" max="6922" width="9.140625" style="1551"/>
    <col min="6923" max="6924" width="14.7109375" style="1551" bestFit="1" customWidth="1"/>
    <col min="6925" max="7168" width="9.140625" style="1551"/>
    <col min="7169" max="7169" width="5.5703125" style="1551" customWidth="1"/>
    <col min="7170" max="7170" width="6.7109375" style="1551" customWidth="1"/>
    <col min="7171" max="7171" width="8.85546875" style="1551" customWidth="1"/>
    <col min="7172" max="7172" width="47.85546875" style="1551" customWidth="1"/>
    <col min="7173" max="7173" width="12.85546875" style="1551" customWidth="1"/>
    <col min="7174" max="7174" width="15.5703125" style="1551" customWidth="1"/>
    <col min="7175" max="7175" width="15.85546875" style="1551" customWidth="1"/>
    <col min="7176" max="7176" width="6.42578125" style="1551" customWidth="1"/>
    <col min="7177" max="7178" width="9.140625" style="1551"/>
    <col min="7179" max="7180" width="14.7109375" style="1551" bestFit="1" customWidth="1"/>
    <col min="7181" max="7424" width="9.140625" style="1551"/>
    <col min="7425" max="7425" width="5.5703125" style="1551" customWidth="1"/>
    <col min="7426" max="7426" width="6.7109375" style="1551" customWidth="1"/>
    <col min="7427" max="7427" width="8.85546875" style="1551" customWidth="1"/>
    <col min="7428" max="7428" width="47.85546875" style="1551" customWidth="1"/>
    <col min="7429" max="7429" width="12.85546875" style="1551" customWidth="1"/>
    <col min="7430" max="7430" width="15.5703125" style="1551" customWidth="1"/>
    <col min="7431" max="7431" width="15.85546875" style="1551" customWidth="1"/>
    <col min="7432" max="7432" width="6.42578125" style="1551" customWidth="1"/>
    <col min="7433" max="7434" width="9.140625" style="1551"/>
    <col min="7435" max="7436" width="14.7109375" style="1551" bestFit="1" customWidth="1"/>
    <col min="7437" max="7680" width="9.140625" style="1551"/>
    <col min="7681" max="7681" width="5.5703125" style="1551" customWidth="1"/>
    <col min="7682" max="7682" width="6.7109375" style="1551" customWidth="1"/>
    <col min="7683" max="7683" width="8.85546875" style="1551" customWidth="1"/>
    <col min="7684" max="7684" width="47.85546875" style="1551" customWidth="1"/>
    <col min="7685" max="7685" width="12.85546875" style="1551" customWidth="1"/>
    <col min="7686" max="7686" width="15.5703125" style="1551" customWidth="1"/>
    <col min="7687" max="7687" width="15.85546875" style="1551" customWidth="1"/>
    <col min="7688" max="7688" width="6.42578125" style="1551" customWidth="1"/>
    <col min="7689" max="7690" width="9.140625" style="1551"/>
    <col min="7691" max="7692" width="14.7109375" style="1551" bestFit="1" customWidth="1"/>
    <col min="7693" max="7936" width="9.140625" style="1551"/>
    <col min="7937" max="7937" width="5.5703125" style="1551" customWidth="1"/>
    <col min="7938" max="7938" width="6.7109375" style="1551" customWidth="1"/>
    <col min="7939" max="7939" width="8.85546875" style="1551" customWidth="1"/>
    <col min="7940" max="7940" width="47.85546875" style="1551" customWidth="1"/>
    <col min="7941" max="7941" width="12.85546875" style="1551" customWidth="1"/>
    <col min="7942" max="7942" width="15.5703125" style="1551" customWidth="1"/>
    <col min="7943" max="7943" width="15.85546875" style="1551" customWidth="1"/>
    <col min="7944" max="7944" width="6.42578125" style="1551" customWidth="1"/>
    <col min="7945" max="7946" width="9.140625" style="1551"/>
    <col min="7947" max="7948" width="14.7109375" style="1551" bestFit="1" customWidth="1"/>
    <col min="7949" max="8192" width="9.140625" style="1551"/>
    <col min="8193" max="8193" width="5.5703125" style="1551" customWidth="1"/>
    <col min="8194" max="8194" width="6.7109375" style="1551" customWidth="1"/>
    <col min="8195" max="8195" width="8.85546875" style="1551" customWidth="1"/>
    <col min="8196" max="8196" width="47.85546875" style="1551" customWidth="1"/>
    <col min="8197" max="8197" width="12.85546875" style="1551" customWidth="1"/>
    <col min="8198" max="8198" width="15.5703125" style="1551" customWidth="1"/>
    <col min="8199" max="8199" width="15.85546875" style="1551" customWidth="1"/>
    <col min="8200" max="8200" width="6.42578125" style="1551" customWidth="1"/>
    <col min="8201" max="8202" width="9.140625" style="1551"/>
    <col min="8203" max="8204" width="14.7109375" style="1551" bestFit="1" customWidth="1"/>
    <col min="8205" max="8448" width="9.140625" style="1551"/>
    <col min="8449" max="8449" width="5.5703125" style="1551" customWidth="1"/>
    <col min="8450" max="8450" width="6.7109375" style="1551" customWidth="1"/>
    <col min="8451" max="8451" width="8.85546875" style="1551" customWidth="1"/>
    <col min="8452" max="8452" width="47.85546875" style="1551" customWidth="1"/>
    <col min="8453" max="8453" width="12.85546875" style="1551" customWidth="1"/>
    <col min="8454" max="8454" width="15.5703125" style="1551" customWidth="1"/>
    <col min="8455" max="8455" width="15.85546875" style="1551" customWidth="1"/>
    <col min="8456" max="8456" width="6.42578125" style="1551" customWidth="1"/>
    <col min="8457" max="8458" width="9.140625" style="1551"/>
    <col min="8459" max="8460" width="14.7109375" style="1551" bestFit="1" customWidth="1"/>
    <col min="8461" max="8704" width="9.140625" style="1551"/>
    <col min="8705" max="8705" width="5.5703125" style="1551" customWidth="1"/>
    <col min="8706" max="8706" width="6.7109375" style="1551" customWidth="1"/>
    <col min="8707" max="8707" width="8.85546875" style="1551" customWidth="1"/>
    <col min="8708" max="8708" width="47.85546875" style="1551" customWidth="1"/>
    <col min="8709" max="8709" width="12.85546875" style="1551" customWidth="1"/>
    <col min="8710" max="8710" width="15.5703125" style="1551" customWidth="1"/>
    <col min="8711" max="8711" width="15.85546875" style="1551" customWidth="1"/>
    <col min="8712" max="8712" width="6.42578125" style="1551" customWidth="1"/>
    <col min="8713" max="8714" width="9.140625" style="1551"/>
    <col min="8715" max="8716" width="14.7109375" style="1551" bestFit="1" customWidth="1"/>
    <col min="8717" max="8960" width="9.140625" style="1551"/>
    <col min="8961" max="8961" width="5.5703125" style="1551" customWidth="1"/>
    <col min="8962" max="8962" width="6.7109375" style="1551" customWidth="1"/>
    <col min="8963" max="8963" width="8.85546875" style="1551" customWidth="1"/>
    <col min="8964" max="8964" width="47.85546875" style="1551" customWidth="1"/>
    <col min="8965" max="8965" width="12.85546875" style="1551" customWidth="1"/>
    <col min="8966" max="8966" width="15.5703125" style="1551" customWidth="1"/>
    <col min="8967" max="8967" width="15.85546875" style="1551" customWidth="1"/>
    <col min="8968" max="8968" width="6.42578125" style="1551" customWidth="1"/>
    <col min="8969" max="8970" width="9.140625" style="1551"/>
    <col min="8971" max="8972" width="14.7109375" style="1551" bestFit="1" customWidth="1"/>
    <col min="8973" max="9216" width="9.140625" style="1551"/>
    <col min="9217" max="9217" width="5.5703125" style="1551" customWidth="1"/>
    <col min="9218" max="9218" width="6.7109375" style="1551" customWidth="1"/>
    <col min="9219" max="9219" width="8.85546875" style="1551" customWidth="1"/>
    <col min="9220" max="9220" width="47.85546875" style="1551" customWidth="1"/>
    <col min="9221" max="9221" width="12.85546875" style="1551" customWidth="1"/>
    <col min="9222" max="9222" width="15.5703125" style="1551" customWidth="1"/>
    <col min="9223" max="9223" width="15.85546875" style="1551" customWidth="1"/>
    <col min="9224" max="9224" width="6.42578125" style="1551" customWidth="1"/>
    <col min="9225" max="9226" width="9.140625" style="1551"/>
    <col min="9227" max="9228" width="14.7109375" style="1551" bestFit="1" customWidth="1"/>
    <col min="9229" max="9472" width="9.140625" style="1551"/>
    <col min="9473" max="9473" width="5.5703125" style="1551" customWidth="1"/>
    <col min="9474" max="9474" width="6.7109375" style="1551" customWidth="1"/>
    <col min="9475" max="9475" width="8.85546875" style="1551" customWidth="1"/>
    <col min="9476" max="9476" width="47.85546875" style="1551" customWidth="1"/>
    <col min="9477" max="9477" width="12.85546875" style="1551" customWidth="1"/>
    <col min="9478" max="9478" width="15.5703125" style="1551" customWidth="1"/>
    <col min="9479" max="9479" width="15.85546875" style="1551" customWidth="1"/>
    <col min="9480" max="9480" width="6.42578125" style="1551" customWidth="1"/>
    <col min="9481" max="9482" width="9.140625" style="1551"/>
    <col min="9483" max="9484" width="14.7109375" style="1551" bestFit="1" customWidth="1"/>
    <col min="9485" max="9728" width="9.140625" style="1551"/>
    <col min="9729" max="9729" width="5.5703125" style="1551" customWidth="1"/>
    <col min="9730" max="9730" width="6.7109375" style="1551" customWidth="1"/>
    <col min="9731" max="9731" width="8.85546875" style="1551" customWidth="1"/>
    <col min="9732" max="9732" width="47.85546875" style="1551" customWidth="1"/>
    <col min="9733" max="9733" width="12.85546875" style="1551" customWidth="1"/>
    <col min="9734" max="9734" width="15.5703125" style="1551" customWidth="1"/>
    <col min="9735" max="9735" width="15.85546875" style="1551" customWidth="1"/>
    <col min="9736" max="9736" width="6.42578125" style="1551" customWidth="1"/>
    <col min="9737" max="9738" width="9.140625" style="1551"/>
    <col min="9739" max="9740" width="14.7109375" style="1551" bestFit="1" customWidth="1"/>
    <col min="9741" max="9984" width="9.140625" style="1551"/>
    <col min="9985" max="9985" width="5.5703125" style="1551" customWidth="1"/>
    <col min="9986" max="9986" width="6.7109375" style="1551" customWidth="1"/>
    <col min="9987" max="9987" width="8.85546875" style="1551" customWidth="1"/>
    <col min="9988" max="9988" width="47.85546875" style="1551" customWidth="1"/>
    <col min="9989" max="9989" width="12.85546875" style="1551" customWidth="1"/>
    <col min="9990" max="9990" width="15.5703125" style="1551" customWidth="1"/>
    <col min="9991" max="9991" width="15.85546875" style="1551" customWidth="1"/>
    <col min="9992" max="9992" width="6.42578125" style="1551" customWidth="1"/>
    <col min="9993" max="9994" width="9.140625" style="1551"/>
    <col min="9995" max="9996" width="14.7109375" style="1551" bestFit="1" customWidth="1"/>
    <col min="9997" max="10240" width="9.140625" style="1551"/>
    <col min="10241" max="10241" width="5.5703125" style="1551" customWidth="1"/>
    <col min="10242" max="10242" width="6.7109375" style="1551" customWidth="1"/>
    <col min="10243" max="10243" width="8.85546875" style="1551" customWidth="1"/>
    <col min="10244" max="10244" width="47.85546875" style="1551" customWidth="1"/>
    <col min="10245" max="10245" width="12.85546875" style="1551" customWidth="1"/>
    <col min="10246" max="10246" width="15.5703125" style="1551" customWidth="1"/>
    <col min="10247" max="10247" width="15.85546875" style="1551" customWidth="1"/>
    <col min="10248" max="10248" width="6.42578125" style="1551" customWidth="1"/>
    <col min="10249" max="10250" width="9.140625" style="1551"/>
    <col min="10251" max="10252" width="14.7109375" style="1551" bestFit="1" customWidth="1"/>
    <col min="10253" max="10496" width="9.140625" style="1551"/>
    <col min="10497" max="10497" width="5.5703125" style="1551" customWidth="1"/>
    <col min="10498" max="10498" width="6.7109375" style="1551" customWidth="1"/>
    <col min="10499" max="10499" width="8.85546875" style="1551" customWidth="1"/>
    <col min="10500" max="10500" width="47.85546875" style="1551" customWidth="1"/>
    <col min="10501" max="10501" width="12.85546875" style="1551" customWidth="1"/>
    <col min="10502" max="10502" width="15.5703125" style="1551" customWidth="1"/>
    <col min="10503" max="10503" width="15.85546875" style="1551" customWidth="1"/>
    <col min="10504" max="10504" width="6.42578125" style="1551" customWidth="1"/>
    <col min="10505" max="10506" width="9.140625" style="1551"/>
    <col min="10507" max="10508" width="14.7109375" style="1551" bestFit="1" customWidth="1"/>
    <col min="10509" max="10752" width="9.140625" style="1551"/>
    <col min="10753" max="10753" width="5.5703125" style="1551" customWidth="1"/>
    <col min="10754" max="10754" width="6.7109375" style="1551" customWidth="1"/>
    <col min="10755" max="10755" width="8.85546875" style="1551" customWidth="1"/>
    <col min="10756" max="10756" width="47.85546875" style="1551" customWidth="1"/>
    <col min="10757" max="10757" width="12.85546875" style="1551" customWidth="1"/>
    <col min="10758" max="10758" width="15.5703125" style="1551" customWidth="1"/>
    <col min="10759" max="10759" width="15.85546875" style="1551" customWidth="1"/>
    <col min="10760" max="10760" width="6.42578125" style="1551" customWidth="1"/>
    <col min="10761" max="10762" width="9.140625" style="1551"/>
    <col min="10763" max="10764" width="14.7109375" style="1551" bestFit="1" customWidth="1"/>
    <col min="10765" max="11008" width="9.140625" style="1551"/>
    <col min="11009" max="11009" width="5.5703125" style="1551" customWidth="1"/>
    <col min="11010" max="11010" width="6.7109375" style="1551" customWidth="1"/>
    <col min="11011" max="11011" width="8.85546875" style="1551" customWidth="1"/>
    <col min="11012" max="11012" width="47.85546875" style="1551" customWidth="1"/>
    <col min="11013" max="11013" width="12.85546875" style="1551" customWidth="1"/>
    <col min="11014" max="11014" width="15.5703125" style="1551" customWidth="1"/>
    <col min="11015" max="11015" width="15.85546875" style="1551" customWidth="1"/>
    <col min="11016" max="11016" width="6.42578125" style="1551" customWidth="1"/>
    <col min="11017" max="11018" width="9.140625" style="1551"/>
    <col min="11019" max="11020" width="14.7109375" style="1551" bestFit="1" customWidth="1"/>
    <col min="11021" max="11264" width="9.140625" style="1551"/>
    <col min="11265" max="11265" width="5.5703125" style="1551" customWidth="1"/>
    <col min="11266" max="11266" width="6.7109375" style="1551" customWidth="1"/>
    <col min="11267" max="11267" width="8.85546875" style="1551" customWidth="1"/>
    <col min="11268" max="11268" width="47.85546875" style="1551" customWidth="1"/>
    <col min="11269" max="11269" width="12.85546875" style="1551" customWidth="1"/>
    <col min="11270" max="11270" width="15.5703125" style="1551" customWidth="1"/>
    <col min="11271" max="11271" width="15.85546875" style="1551" customWidth="1"/>
    <col min="11272" max="11272" width="6.42578125" style="1551" customWidth="1"/>
    <col min="11273" max="11274" width="9.140625" style="1551"/>
    <col min="11275" max="11276" width="14.7109375" style="1551" bestFit="1" customWidth="1"/>
    <col min="11277" max="11520" width="9.140625" style="1551"/>
    <col min="11521" max="11521" width="5.5703125" style="1551" customWidth="1"/>
    <col min="11522" max="11522" width="6.7109375" style="1551" customWidth="1"/>
    <col min="11523" max="11523" width="8.85546875" style="1551" customWidth="1"/>
    <col min="11524" max="11524" width="47.85546875" style="1551" customWidth="1"/>
    <col min="11525" max="11525" width="12.85546875" style="1551" customWidth="1"/>
    <col min="11526" max="11526" width="15.5703125" style="1551" customWidth="1"/>
    <col min="11527" max="11527" width="15.85546875" style="1551" customWidth="1"/>
    <col min="11528" max="11528" width="6.42578125" style="1551" customWidth="1"/>
    <col min="11529" max="11530" width="9.140625" style="1551"/>
    <col min="11531" max="11532" width="14.7109375" style="1551" bestFit="1" customWidth="1"/>
    <col min="11533" max="11776" width="9.140625" style="1551"/>
    <col min="11777" max="11777" width="5.5703125" style="1551" customWidth="1"/>
    <col min="11778" max="11778" width="6.7109375" style="1551" customWidth="1"/>
    <col min="11779" max="11779" width="8.85546875" style="1551" customWidth="1"/>
    <col min="11780" max="11780" width="47.85546875" style="1551" customWidth="1"/>
    <col min="11781" max="11781" width="12.85546875" style="1551" customWidth="1"/>
    <col min="11782" max="11782" width="15.5703125" style="1551" customWidth="1"/>
    <col min="11783" max="11783" width="15.85546875" style="1551" customWidth="1"/>
    <col min="11784" max="11784" width="6.42578125" style="1551" customWidth="1"/>
    <col min="11785" max="11786" width="9.140625" style="1551"/>
    <col min="11787" max="11788" width="14.7109375" style="1551" bestFit="1" customWidth="1"/>
    <col min="11789" max="12032" width="9.140625" style="1551"/>
    <col min="12033" max="12033" width="5.5703125" style="1551" customWidth="1"/>
    <col min="12034" max="12034" width="6.7109375" style="1551" customWidth="1"/>
    <col min="12035" max="12035" width="8.85546875" style="1551" customWidth="1"/>
    <col min="12036" max="12036" width="47.85546875" style="1551" customWidth="1"/>
    <col min="12037" max="12037" width="12.85546875" style="1551" customWidth="1"/>
    <col min="12038" max="12038" width="15.5703125" style="1551" customWidth="1"/>
    <col min="12039" max="12039" width="15.85546875" style="1551" customWidth="1"/>
    <col min="12040" max="12040" width="6.42578125" style="1551" customWidth="1"/>
    <col min="12041" max="12042" width="9.140625" style="1551"/>
    <col min="12043" max="12044" width="14.7109375" style="1551" bestFit="1" customWidth="1"/>
    <col min="12045" max="12288" width="9.140625" style="1551"/>
    <col min="12289" max="12289" width="5.5703125" style="1551" customWidth="1"/>
    <col min="12290" max="12290" width="6.7109375" style="1551" customWidth="1"/>
    <col min="12291" max="12291" width="8.85546875" style="1551" customWidth="1"/>
    <col min="12292" max="12292" width="47.85546875" style="1551" customWidth="1"/>
    <col min="12293" max="12293" width="12.85546875" style="1551" customWidth="1"/>
    <col min="12294" max="12294" width="15.5703125" style="1551" customWidth="1"/>
    <col min="12295" max="12295" width="15.85546875" style="1551" customWidth="1"/>
    <col min="12296" max="12296" width="6.42578125" style="1551" customWidth="1"/>
    <col min="12297" max="12298" width="9.140625" style="1551"/>
    <col min="12299" max="12300" width="14.7109375" style="1551" bestFit="1" customWidth="1"/>
    <col min="12301" max="12544" width="9.140625" style="1551"/>
    <col min="12545" max="12545" width="5.5703125" style="1551" customWidth="1"/>
    <col min="12546" max="12546" width="6.7109375" style="1551" customWidth="1"/>
    <col min="12547" max="12547" width="8.85546875" style="1551" customWidth="1"/>
    <col min="12548" max="12548" width="47.85546875" style="1551" customWidth="1"/>
    <col min="12549" max="12549" width="12.85546875" style="1551" customWidth="1"/>
    <col min="12550" max="12550" width="15.5703125" style="1551" customWidth="1"/>
    <col min="12551" max="12551" width="15.85546875" style="1551" customWidth="1"/>
    <col min="12552" max="12552" width="6.42578125" style="1551" customWidth="1"/>
    <col min="12553" max="12554" width="9.140625" style="1551"/>
    <col min="12555" max="12556" width="14.7109375" style="1551" bestFit="1" customWidth="1"/>
    <col min="12557" max="12800" width="9.140625" style="1551"/>
    <col min="12801" max="12801" width="5.5703125" style="1551" customWidth="1"/>
    <col min="12802" max="12802" width="6.7109375" style="1551" customWidth="1"/>
    <col min="12803" max="12803" width="8.85546875" style="1551" customWidth="1"/>
    <col min="12804" max="12804" width="47.85546875" style="1551" customWidth="1"/>
    <col min="12805" max="12805" width="12.85546875" style="1551" customWidth="1"/>
    <col min="12806" max="12806" width="15.5703125" style="1551" customWidth="1"/>
    <col min="12807" max="12807" width="15.85546875" style="1551" customWidth="1"/>
    <col min="12808" max="12808" width="6.42578125" style="1551" customWidth="1"/>
    <col min="12809" max="12810" width="9.140625" style="1551"/>
    <col min="12811" max="12812" width="14.7109375" style="1551" bestFit="1" customWidth="1"/>
    <col min="12813" max="13056" width="9.140625" style="1551"/>
    <col min="13057" max="13057" width="5.5703125" style="1551" customWidth="1"/>
    <col min="13058" max="13058" width="6.7109375" style="1551" customWidth="1"/>
    <col min="13059" max="13059" width="8.85546875" style="1551" customWidth="1"/>
    <col min="13060" max="13060" width="47.85546875" style="1551" customWidth="1"/>
    <col min="13061" max="13061" width="12.85546875" style="1551" customWidth="1"/>
    <col min="13062" max="13062" width="15.5703125" style="1551" customWidth="1"/>
    <col min="13063" max="13063" width="15.85546875" style="1551" customWidth="1"/>
    <col min="13064" max="13064" width="6.42578125" style="1551" customWidth="1"/>
    <col min="13065" max="13066" width="9.140625" style="1551"/>
    <col min="13067" max="13068" width="14.7109375" style="1551" bestFit="1" customWidth="1"/>
    <col min="13069" max="13312" width="9.140625" style="1551"/>
    <col min="13313" max="13313" width="5.5703125" style="1551" customWidth="1"/>
    <col min="13314" max="13314" width="6.7109375" style="1551" customWidth="1"/>
    <col min="13315" max="13315" width="8.85546875" style="1551" customWidth="1"/>
    <col min="13316" max="13316" width="47.85546875" style="1551" customWidth="1"/>
    <col min="13317" max="13317" width="12.85546875" style="1551" customWidth="1"/>
    <col min="13318" max="13318" width="15.5703125" style="1551" customWidth="1"/>
    <col min="13319" max="13319" width="15.85546875" style="1551" customWidth="1"/>
    <col min="13320" max="13320" width="6.42578125" style="1551" customWidth="1"/>
    <col min="13321" max="13322" width="9.140625" style="1551"/>
    <col min="13323" max="13324" width="14.7109375" style="1551" bestFit="1" customWidth="1"/>
    <col min="13325" max="13568" width="9.140625" style="1551"/>
    <col min="13569" max="13569" width="5.5703125" style="1551" customWidth="1"/>
    <col min="13570" max="13570" width="6.7109375" style="1551" customWidth="1"/>
    <col min="13571" max="13571" width="8.85546875" style="1551" customWidth="1"/>
    <col min="13572" max="13572" width="47.85546875" style="1551" customWidth="1"/>
    <col min="13573" max="13573" width="12.85546875" style="1551" customWidth="1"/>
    <col min="13574" max="13574" width="15.5703125" style="1551" customWidth="1"/>
    <col min="13575" max="13575" width="15.85546875" style="1551" customWidth="1"/>
    <col min="13576" max="13576" width="6.42578125" style="1551" customWidth="1"/>
    <col min="13577" max="13578" width="9.140625" style="1551"/>
    <col min="13579" max="13580" width="14.7109375" style="1551" bestFit="1" customWidth="1"/>
    <col min="13581" max="13824" width="9.140625" style="1551"/>
    <col min="13825" max="13825" width="5.5703125" style="1551" customWidth="1"/>
    <col min="13826" max="13826" width="6.7109375" style="1551" customWidth="1"/>
    <col min="13827" max="13827" width="8.85546875" style="1551" customWidth="1"/>
    <col min="13828" max="13828" width="47.85546875" style="1551" customWidth="1"/>
    <col min="13829" max="13829" width="12.85546875" style="1551" customWidth="1"/>
    <col min="13830" max="13830" width="15.5703125" style="1551" customWidth="1"/>
    <col min="13831" max="13831" width="15.85546875" style="1551" customWidth="1"/>
    <col min="13832" max="13832" width="6.42578125" style="1551" customWidth="1"/>
    <col min="13833" max="13834" width="9.140625" style="1551"/>
    <col min="13835" max="13836" width="14.7109375" style="1551" bestFit="1" customWidth="1"/>
    <col min="13837" max="14080" width="9.140625" style="1551"/>
    <col min="14081" max="14081" width="5.5703125" style="1551" customWidth="1"/>
    <col min="14082" max="14082" width="6.7109375" style="1551" customWidth="1"/>
    <col min="14083" max="14083" width="8.85546875" style="1551" customWidth="1"/>
    <col min="14084" max="14084" width="47.85546875" style="1551" customWidth="1"/>
    <col min="14085" max="14085" width="12.85546875" style="1551" customWidth="1"/>
    <col min="14086" max="14086" width="15.5703125" style="1551" customWidth="1"/>
    <col min="14087" max="14087" width="15.85546875" style="1551" customWidth="1"/>
    <col min="14088" max="14088" width="6.42578125" style="1551" customWidth="1"/>
    <col min="14089" max="14090" width="9.140625" style="1551"/>
    <col min="14091" max="14092" width="14.7109375" style="1551" bestFit="1" customWidth="1"/>
    <col min="14093" max="14336" width="9.140625" style="1551"/>
    <col min="14337" max="14337" width="5.5703125" style="1551" customWidth="1"/>
    <col min="14338" max="14338" width="6.7109375" style="1551" customWidth="1"/>
    <col min="14339" max="14339" width="8.85546875" style="1551" customWidth="1"/>
    <col min="14340" max="14340" width="47.85546875" style="1551" customWidth="1"/>
    <col min="14341" max="14341" width="12.85546875" style="1551" customWidth="1"/>
    <col min="14342" max="14342" width="15.5703125" style="1551" customWidth="1"/>
    <col min="14343" max="14343" width="15.85546875" style="1551" customWidth="1"/>
    <col min="14344" max="14344" width="6.42578125" style="1551" customWidth="1"/>
    <col min="14345" max="14346" width="9.140625" style="1551"/>
    <col min="14347" max="14348" width="14.7109375" style="1551" bestFit="1" customWidth="1"/>
    <col min="14349" max="14592" width="9.140625" style="1551"/>
    <col min="14593" max="14593" width="5.5703125" style="1551" customWidth="1"/>
    <col min="14594" max="14594" width="6.7109375" style="1551" customWidth="1"/>
    <col min="14595" max="14595" width="8.85546875" style="1551" customWidth="1"/>
    <col min="14596" max="14596" width="47.85546875" style="1551" customWidth="1"/>
    <col min="14597" max="14597" width="12.85546875" style="1551" customWidth="1"/>
    <col min="14598" max="14598" width="15.5703125" style="1551" customWidth="1"/>
    <col min="14599" max="14599" width="15.85546875" style="1551" customWidth="1"/>
    <col min="14600" max="14600" width="6.42578125" style="1551" customWidth="1"/>
    <col min="14601" max="14602" width="9.140625" style="1551"/>
    <col min="14603" max="14604" width="14.7109375" style="1551" bestFit="1" customWidth="1"/>
    <col min="14605" max="14848" width="9.140625" style="1551"/>
    <col min="14849" max="14849" width="5.5703125" style="1551" customWidth="1"/>
    <col min="14850" max="14850" width="6.7109375" style="1551" customWidth="1"/>
    <col min="14851" max="14851" width="8.85546875" style="1551" customWidth="1"/>
    <col min="14852" max="14852" width="47.85546875" style="1551" customWidth="1"/>
    <col min="14853" max="14853" width="12.85546875" style="1551" customWidth="1"/>
    <col min="14854" max="14854" width="15.5703125" style="1551" customWidth="1"/>
    <col min="14855" max="14855" width="15.85546875" style="1551" customWidth="1"/>
    <col min="14856" max="14856" width="6.42578125" style="1551" customWidth="1"/>
    <col min="14857" max="14858" width="9.140625" style="1551"/>
    <col min="14859" max="14860" width="14.7109375" style="1551" bestFit="1" customWidth="1"/>
    <col min="14861" max="15104" width="9.140625" style="1551"/>
    <col min="15105" max="15105" width="5.5703125" style="1551" customWidth="1"/>
    <col min="15106" max="15106" width="6.7109375" style="1551" customWidth="1"/>
    <col min="15107" max="15107" width="8.85546875" style="1551" customWidth="1"/>
    <col min="15108" max="15108" width="47.85546875" style="1551" customWidth="1"/>
    <col min="15109" max="15109" width="12.85546875" style="1551" customWidth="1"/>
    <col min="15110" max="15110" width="15.5703125" style="1551" customWidth="1"/>
    <col min="15111" max="15111" width="15.85546875" style="1551" customWidth="1"/>
    <col min="15112" max="15112" width="6.42578125" style="1551" customWidth="1"/>
    <col min="15113" max="15114" width="9.140625" style="1551"/>
    <col min="15115" max="15116" width="14.7109375" style="1551" bestFit="1" customWidth="1"/>
    <col min="15117" max="15360" width="9.140625" style="1551"/>
    <col min="15361" max="15361" width="5.5703125" style="1551" customWidth="1"/>
    <col min="15362" max="15362" width="6.7109375" style="1551" customWidth="1"/>
    <col min="15363" max="15363" width="8.85546875" style="1551" customWidth="1"/>
    <col min="15364" max="15364" width="47.85546875" style="1551" customWidth="1"/>
    <col min="15365" max="15365" width="12.85546875" style="1551" customWidth="1"/>
    <col min="15366" max="15366" width="15.5703125" style="1551" customWidth="1"/>
    <col min="15367" max="15367" width="15.85546875" style="1551" customWidth="1"/>
    <col min="15368" max="15368" width="6.42578125" style="1551" customWidth="1"/>
    <col min="15369" max="15370" width="9.140625" style="1551"/>
    <col min="15371" max="15372" width="14.7109375" style="1551" bestFit="1" customWidth="1"/>
    <col min="15373" max="15616" width="9.140625" style="1551"/>
    <col min="15617" max="15617" width="5.5703125" style="1551" customWidth="1"/>
    <col min="15618" max="15618" width="6.7109375" style="1551" customWidth="1"/>
    <col min="15619" max="15619" width="8.85546875" style="1551" customWidth="1"/>
    <col min="15620" max="15620" width="47.85546875" style="1551" customWidth="1"/>
    <col min="15621" max="15621" width="12.85546875" style="1551" customWidth="1"/>
    <col min="15622" max="15622" width="15.5703125" style="1551" customWidth="1"/>
    <col min="15623" max="15623" width="15.85546875" style="1551" customWidth="1"/>
    <col min="15624" max="15624" width="6.42578125" style="1551" customWidth="1"/>
    <col min="15625" max="15626" width="9.140625" style="1551"/>
    <col min="15627" max="15628" width="14.7109375" style="1551" bestFit="1" customWidth="1"/>
    <col min="15629" max="15872" width="9.140625" style="1551"/>
    <col min="15873" max="15873" width="5.5703125" style="1551" customWidth="1"/>
    <col min="15874" max="15874" width="6.7109375" style="1551" customWidth="1"/>
    <col min="15875" max="15875" width="8.85546875" style="1551" customWidth="1"/>
    <col min="15876" max="15876" width="47.85546875" style="1551" customWidth="1"/>
    <col min="15877" max="15877" width="12.85546875" style="1551" customWidth="1"/>
    <col min="15878" max="15878" width="15.5703125" style="1551" customWidth="1"/>
    <col min="15879" max="15879" width="15.85546875" style="1551" customWidth="1"/>
    <col min="15880" max="15880" width="6.42578125" style="1551" customWidth="1"/>
    <col min="15881" max="15882" width="9.140625" style="1551"/>
    <col min="15883" max="15884" width="14.7109375" style="1551" bestFit="1" customWidth="1"/>
    <col min="15885" max="16128" width="9.140625" style="1551"/>
    <col min="16129" max="16129" width="5.5703125" style="1551" customWidth="1"/>
    <col min="16130" max="16130" width="6.7109375" style="1551" customWidth="1"/>
    <col min="16131" max="16131" width="8.85546875" style="1551" customWidth="1"/>
    <col min="16132" max="16132" width="47.85546875" style="1551" customWidth="1"/>
    <col min="16133" max="16133" width="12.85546875" style="1551" customWidth="1"/>
    <col min="16134" max="16134" width="15.5703125" style="1551" customWidth="1"/>
    <col min="16135" max="16135" width="15.85546875" style="1551" customWidth="1"/>
    <col min="16136" max="16136" width="6.42578125" style="1551" customWidth="1"/>
    <col min="16137" max="16138" width="9.140625" style="1551"/>
    <col min="16139" max="16140" width="14.7109375" style="1551" bestFit="1" customWidth="1"/>
    <col min="16141" max="16384" width="9.140625" style="1551"/>
  </cols>
  <sheetData>
    <row r="1" spans="1:8" ht="18.75" thickBot="1" x14ac:dyDescent="0.3">
      <c r="A1" s="1545" t="s">
        <v>1391</v>
      </c>
      <c r="B1" s="1546"/>
      <c r="C1" s="1547"/>
      <c r="D1" s="1548"/>
      <c r="E1" s="1549"/>
      <c r="F1" s="1548"/>
      <c r="G1" s="1550"/>
      <c r="H1" s="1545"/>
    </row>
    <row r="2" spans="1:8" ht="18" x14ac:dyDescent="0.25">
      <c r="A2" s="1552"/>
      <c r="B2" s="1553"/>
      <c r="C2" s="1553"/>
      <c r="D2" s="1553"/>
      <c r="E2" s="1553"/>
      <c r="F2" s="1553"/>
      <c r="G2" s="1553"/>
      <c r="H2" s="1554" t="s">
        <v>1392</v>
      </c>
    </row>
    <row r="3" spans="1:8" ht="18" x14ac:dyDescent="0.25">
      <c r="A3" s="1555" t="s">
        <v>336</v>
      </c>
      <c r="B3" s="1553"/>
      <c r="C3" s="2852" t="s">
        <v>2009</v>
      </c>
      <c r="D3" s="1553"/>
      <c r="E3" s="1553"/>
      <c r="F3" s="1553"/>
      <c r="G3" s="1553"/>
      <c r="H3" s="1554"/>
    </row>
    <row r="4" spans="1:8" ht="18" x14ac:dyDescent="0.25">
      <c r="A4" s="1552"/>
      <c r="B4" s="1553"/>
      <c r="C4" s="1708" t="s">
        <v>1450</v>
      </c>
      <c r="D4" s="1553"/>
      <c r="E4" s="1553"/>
      <c r="F4" s="1553"/>
      <c r="G4" s="1553"/>
      <c r="H4" s="1554"/>
    </row>
    <row r="5" spans="1:8" ht="18" x14ac:dyDescent="0.25">
      <c r="A5" s="1557" t="s">
        <v>1393</v>
      </c>
      <c r="B5" s="1553"/>
      <c r="C5" s="1553"/>
      <c r="D5" s="1553"/>
      <c r="E5" s="1553"/>
      <c r="F5" s="1553"/>
      <c r="G5" s="1553"/>
      <c r="H5" s="1554"/>
    </row>
    <row r="6" spans="1:8" x14ac:dyDescent="0.2">
      <c r="A6" s="1558"/>
      <c r="B6" s="1558"/>
      <c r="C6" s="1558"/>
      <c r="E6" s="1559"/>
      <c r="F6" s="1559"/>
      <c r="G6" s="1559"/>
    </row>
    <row r="7" spans="1:8" x14ac:dyDescent="0.2">
      <c r="A7" s="1558"/>
      <c r="B7" s="1558"/>
      <c r="C7" s="1558"/>
      <c r="E7" s="1559"/>
      <c r="F7" s="1559"/>
      <c r="G7" s="1559"/>
    </row>
    <row r="8" spans="1:8" ht="13.5" x14ac:dyDescent="0.25">
      <c r="A8" s="3233" t="s">
        <v>1394</v>
      </c>
      <c r="B8" s="3151"/>
      <c r="C8" s="3151"/>
      <c r="D8" s="3151"/>
      <c r="E8" s="3151"/>
      <c r="F8" s="3151"/>
      <c r="G8" s="3151"/>
      <c r="H8" s="3151"/>
    </row>
    <row r="9" spans="1:8" ht="15.75" thickBot="1" x14ac:dyDescent="0.3">
      <c r="A9" s="1544" t="s">
        <v>1395</v>
      </c>
      <c r="B9" s="1558"/>
      <c r="C9" s="1558"/>
      <c r="E9" s="1559"/>
      <c r="F9" s="1559"/>
      <c r="G9" s="1559"/>
      <c r="H9" s="1560" t="s">
        <v>148</v>
      </c>
    </row>
    <row r="10" spans="1:8" s="1635" customFormat="1" ht="25.5" thickTop="1" thickBot="1" x14ac:dyDescent="0.25">
      <c r="A10" s="1561" t="s">
        <v>149</v>
      </c>
      <c r="B10" s="1562" t="s">
        <v>688</v>
      </c>
      <c r="C10" s="1562" t="s">
        <v>345</v>
      </c>
      <c r="D10" s="1563" t="s">
        <v>151</v>
      </c>
      <c r="E10" s="1564" t="s">
        <v>569</v>
      </c>
      <c r="F10" s="1564" t="s">
        <v>570</v>
      </c>
      <c r="G10" s="1565" t="s">
        <v>797</v>
      </c>
      <c r="H10" s="1566" t="s">
        <v>798</v>
      </c>
    </row>
    <row r="11" spans="1:8" s="1635" customFormat="1" ht="13.5" thickTop="1" thickBot="1" x14ac:dyDescent="0.25">
      <c r="A11" s="1567">
        <v>1</v>
      </c>
      <c r="B11" s="1568">
        <v>2</v>
      </c>
      <c r="C11" s="1568">
        <v>3</v>
      </c>
      <c r="D11" s="1568">
        <v>4</v>
      </c>
      <c r="E11" s="1569">
        <v>5</v>
      </c>
      <c r="F11" s="1569">
        <v>6</v>
      </c>
      <c r="G11" s="1570">
        <v>7</v>
      </c>
      <c r="H11" s="1571" t="s">
        <v>54</v>
      </c>
    </row>
    <row r="12" spans="1:8" ht="15.75" thickTop="1" x14ac:dyDescent="0.2">
      <c r="A12" s="1577">
        <v>3636</v>
      </c>
      <c r="B12" s="1578">
        <v>5139</v>
      </c>
      <c r="C12" s="2850" t="s">
        <v>1760</v>
      </c>
      <c r="D12" s="1579" t="s">
        <v>566</v>
      </c>
      <c r="E12" s="1575">
        <v>0</v>
      </c>
      <c r="F12" s="1575">
        <v>28</v>
      </c>
      <c r="G12" s="1575">
        <v>0</v>
      </c>
      <c r="H12" s="1576">
        <f>G12/F12*100</f>
        <v>0</v>
      </c>
    </row>
    <row r="13" spans="1:8" ht="15" x14ac:dyDescent="0.2">
      <c r="A13" s="1577">
        <v>3636</v>
      </c>
      <c r="B13" s="1578">
        <v>5169</v>
      </c>
      <c r="C13" s="2850" t="s">
        <v>1760</v>
      </c>
      <c r="D13" s="1579" t="s">
        <v>769</v>
      </c>
      <c r="E13" s="1580">
        <v>0</v>
      </c>
      <c r="F13" s="1580">
        <v>2</v>
      </c>
      <c r="G13" s="1580">
        <v>0</v>
      </c>
      <c r="H13" s="1581">
        <f>G13/F13*100</f>
        <v>0</v>
      </c>
    </row>
    <row r="14" spans="1:8" ht="15" x14ac:dyDescent="0.2">
      <c r="A14" s="1577">
        <v>3636</v>
      </c>
      <c r="B14" s="1578">
        <v>5175</v>
      </c>
      <c r="C14" s="2850" t="s">
        <v>1760</v>
      </c>
      <c r="D14" s="1579" t="s">
        <v>605</v>
      </c>
      <c r="E14" s="1580">
        <v>0</v>
      </c>
      <c r="F14" s="1580">
        <v>10</v>
      </c>
      <c r="G14" s="1580">
        <v>0</v>
      </c>
      <c r="H14" s="1581">
        <v>0</v>
      </c>
    </row>
    <row r="15" spans="1:8" ht="15.75" hidden="1" thickBot="1" x14ac:dyDescent="0.25">
      <c r="A15" s="1577">
        <v>3636</v>
      </c>
      <c r="B15" s="1578">
        <v>5169</v>
      </c>
      <c r="C15" s="2850" t="s">
        <v>1760</v>
      </c>
      <c r="D15" s="1579" t="s">
        <v>693</v>
      </c>
      <c r="E15" s="1580">
        <v>0</v>
      </c>
      <c r="F15" s="1580">
        <v>0</v>
      </c>
      <c r="G15" s="1580">
        <v>0</v>
      </c>
      <c r="H15" s="1583">
        <v>0</v>
      </c>
    </row>
    <row r="16" spans="1:8" ht="15.75" hidden="1" thickBot="1" x14ac:dyDescent="0.25">
      <c r="A16" s="1577"/>
      <c r="B16" s="1578"/>
      <c r="C16" s="2850" t="s">
        <v>1760</v>
      </c>
      <c r="D16" s="1579"/>
      <c r="E16" s="1580"/>
      <c r="F16" s="1580"/>
      <c r="G16" s="1580"/>
      <c r="H16" s="1583"/>
    </row>
    <row r="17" spans="1:9" ht="15.75" thickBot="1" x14ac:dyDescent="0.25">
      <c r="A17" s="1577">
        <v>6330</v>
      </c>
      <c r="B17" s="1578">
        <v>5345</v>
      </c>
      <c r="C17" s="2850" t="s">
        <v>1760</v>
      </c>
      <c r="D17" s="1579" t="s">
        <v>693</v>
      </c>
      <c r="E17" s="1580">
        <v>0</v>
      </c>
      <c r="F17" s="1580">
        <v>0</v>
      </c>
      <c r="G17" s="1580">
        <v>276</v>
      </c>
      <c r="H17" s="1583">
        <v>0</v>
      </c>
    </row>
    <row r="18" spans="1:9" s="1641" customFormat="1" ht="16.5" thickTop="1" thickBot="1" x14ac:dyDescent="0.3">
      <c r="A18" s="3231" t="s">
        <v>690</v>
      </c>
      <c r="B18" s="3232"/>
      <c r="C18" s="3232"/>
      <c r="D18" s="3232"/>
      <c r="E18" s="1584">
        <f>SUM(E12:E17)</f>
        <v>0</v>
      </c>
      <c r="F18" s="1584">
        <f>SUM(F12:F17)</f>
        <v>40</v>
      </c>
      <c r="G18" s="1584">
        <f>SUM(G12:G17)</f>
        <v>276</v>
      </c>
      <c r="H18" s="1585">
        <v>0</v>
      </c>
      <c r="I18" s="1640"/>
    </row>
    <row r="19" spans="1:9" s="1641" customFormat="1" ht="15.75" thickTop="1" x14ac:dyDescent="0.25">
      <c r="A19" s="1624"/>
      <c r="B19" s="1624"/>
      <c r="C19" s="1624"/>
      <c r="D19" s="1624"/>
      <c r="E19" s="1625"/>
      <c r="F19" s="1625"/>
      <c r="G19" s="1625"/>
      <c r="H19" s="1626"/>
      <c r="I19" s="1640"/>
    </row>
    <row r="20" spans="1:9" x14ac:dyDescent="0.2">
      <c r="A20" s="1558"/>
      <c r="B20" s="1558"/>
      <c r="C20" s="1558"/>
      <c r="E20" s="1559"/>
      <c r="F20" s="1559"/>
      <c r="G20" s="1559"/>
    </row>
    <row r="21" spans="1:9" ht="27" customHeight="1" x14ac:dyDescent="0.25">
      <c r="A21" s="3233" t="s">
        <v>2125</v>
      </c>
      <c r="B21" s="3151"/>
      <c r="C21" s="3151"/>
      <c r="D21" s="3151"/>
      <c r="E21" s="3151"/>
      <c r="F21" s="3151"/>
      <c r="G21" s="3151"/>
      <c r="H21" s="3151"/>
    </row>
    <row r="22" spans="1:9" ht="15.75" thickBot="1" x14ac:dyDescent="0.3">
      <c r="A22" s="1544" t="s">
        <v>2124</v>
      </c>
      <c r="B22" s="1558"/>
      <c r="C22" s="1558"/>
      <c r="E22" s="1559"/>
      <c r="F22" s="1559"/>
      <c r="G22" s="1559"/>
      <c r="H22" s="1560" t="s">
        <v>148</v>
      </c>
    </row>
    <row r="23" spans="1:9" ht="25.5" thickTop="1" thickBot="1" x14ac:dyDescent="0.25">
      <c r="A23" s="1378" t="s">
        <v>149</v>
      </c>
      <c r="B23" s="1379" t="s">
        <v>688</v>
      </c>
      <c r="C23" s="1379" t="s">
        <v>345</v>
      </c>
      <c r="D23" s="1380" t="s">
        <v>151</v>
      </c>
      <c r="E23" s="1402" t="s">
        <v>569</v>
      </c>
      <c r="F23" s="1402" t="s">
        <v>570</v>
      </c>
      <c r="G23" s="1403" t="s">
        <v>797</v>
      </c>
      <c r="H23" s="1404" t="s">
        <v>798</v>
      </c>
    </row>
    <row r="24" spans="1:9" ht="14.25" thickTop="1" thickBot="1" x14ac:dyDescent="0.25">
      <c r="A24" s="1297">
        <v>1</v>
      </c>
      <c r="B24" s="1296">
        <v>2</v>
      </c>
      <c r="C24" s="1296">
        <v>3</v>
      </c>
      <c r="D24" s="1296">
        <v>4</v>
      </c>
      <c r="E24" s="1295">
        <v>5</v>
      </c>
      <c r="F24" s="1295">
        <v>6</v>
      </c>
      <c r="G24" s="1446">
        <v>7</v>
      </c>
      <c r="H24" s="1468" t="s">
        <v>54</v>
      </c>
    </row>
    <row r="25" spans="1:9" ht="15.75" hidden="1" thickTop="1" x14ac:dyDescent="0.2">
      <c r="A25" s="1572">
        <v>3636</v>
      </c>
      <c r="B25" s="1573">
        <v>5011</v>
      </c>
      <c r="C25" s="1582">
        <v>0</v>
      </c>
      <c r="D25" s="1574" t="s">
        <v>189</v>
      </c>
      <c r="E25" s="1575">
        <v>0</v>
      </c>
      <c r="F25" s="1575">
        <v>0</v>
      </c>
      <c r="G25" s="1575">
        <v>0</v>
      </c>
      <c r="H25" s="1576" t="e">
        <f t="shared" ref="H25:H55" si="0">G25/F25*100</f>
        <v>#DIV/0!</v>
      </c>
    </row>
    <row r="26" spans="1:9" ht="15.75" hidden="1" thickTop="1" x14ac:dyDescent="0.2">
      <c r="A26" s="1577">
        <v>3636</v>
      </c>
      <c r="B26" s="1578">
        <v>5011</v>
      </c>
      <c r="C26" s="1578">
        <v>38500881</v>
      </c>
      <c r="D26" s="1579" t="s">
        <v>189</v>
      </c>
      <c r="E26" s="1580">
        <v>0</v>
      </c>
      <c r="F26" s="1580">
        <v>0</v>
      </c>
      <c r="G26" s="1580">
        <v>0</v>
      </c>
      <c r="H26" s="1581" t="e">
        <f t="shared" si="0"/>
        <v>#DIV/0!</v>
      </c>
    </row>
    <row r="27" spans="1:9" ht="15.75" hidden="1" thickTop="1" x14ac:dyDescent="0.2">
      <c r="A27" s="1577">
        <v>6223</v>
      </c>
      <c r="B27" s="1578">
        <v>5021</v>
      </c>
      <c r="C27" s="1582">
        <v>0</v>
      </c>
      <c r="D27" s="1579" t="s">
        <v>356</v>
      </c>
      <c r="E27" s="1580">
        <v>0</v>
      </c>
      <c r="F27" s="1580">
        <v>0</v>
      </c>
      <c r="G27" s="1580">
        <v>0</v>
      </c>
      <c r="H27" s="1581" t="e">
        <f t="shared" si="0"/>
        <v>#DIV/0!</v>
      </c>
    </row>
    <row r="28" spans="1:9" ht="15.75" hidden="1" thickTop="1" x14ac:dyDescent="0.2">
      <c r="A28" s="1577">
        <v>3636</v>
      </c>
      <c r="B28" s="1578">
        <v>5021</v>
      </c>
      <c r="C28" s="1578">
        <v>38500881</v>
      </c>
      <c r="D28" s="1579" t="s">
        <v>356</v>
      </c>
      <c r="E28" s="1580">
        <v>0</v>
      </c>
      <c r="F28" s="1580">
        <v>0</v>
      </c>
      <c r="G28" s="1580">
        <v>0</v>
      </c>
      <c r="H28" s="1581" t="e">
        <f t="shared" si="0"/>
        <v>#DIV/0!</v>
      </c>
    </row>
    <row r="29" spans="1:9" ht="30.75" hidden="1" thickTop="1" x14ac:dyDescent="0.2">
      <c r="A29" s="1577">
        <v>3636</v>
      </c>
      <c r="B29" s="1578">
        <v>5031</v>
      </c>
      <c r="C29" s="1578">
        <v>38100880</v>
      </c>
      <c r="D29" s="1579" t="s">
        <v>1165</v>
      </c>
      <c r="E29" s="1580">
        <v>0</v>
      </c>
      <c r="F29" s="1580">
        <v>0</v>
      </c>
      <c r="G29" s="1580">
        <v>0</v>
      </c>
      <c r="H29" s="1581" t="e">
        <f t="shared" si="0"/>
        <v>#DIV/0!</v>
      </c>
    </row>
    <row r="30" spans="1:9" ht="30.75" hidden="1" thickTop="1" x14ac:dyDescent="0.2">
      <c r="A30" s="1577">
        <v>3636</v>
      </c>
      <c r="B30" s="1578">
        <v>5031</v>
      </c>
      <c r="C30" s="1578">
        <v>38500881</v>
      </c>
      <c r="D30" s="1579" t="s">
        <v>1165</v>
      </c>
      <c r="E30" s="1580">
        <v>0</v>
      </c>
      <c r="F30" s="1580">
        <v>0</v>
      </c>
      <c r="G30" s="1580">
        <v>0</v>
      </c>
      <c r="H30" s="1581" t="e">
        <f t="shared" si="0"/>
        <v>#DIV/0!</v>
      </c>
    </row>
    <row r="31" spans="1:9" ht="30.75" hidden="1" thickTop="1" x14ac:dyDescent="0.2">
      <c r="A31" s="1577">
        <v>3636</v>
      </c>
      <c r="B31" s="1578">
        <v>5032</v>
      </c>
      <c r="C31" s="1578">
        <v>38100880</v>
      </c>
      <c r="D31" s="1579" t="s">
        <v>1058</v>
      </c>
      <c r="E31" s="1580">
        <v>0</v>
      </c>
      <c r="F31" s="1580">
        <v>0</v>
      </c>
      <c r="G31" s="1580">
        <v>0</v>
      </c>
      <c r="H31" s="1581" t="e">
        <f t="shared" si="0"/>
        <v>#DIV/0!</v>
      </c>
    </row>
    <row r="32" spans="1:9" ht="30.75" hidden="1" thickTop="1" x14ac:dyDescent="0.2">
      <c r="A32" s="1577">
        <v>3636</v>
      </c>
      <c r="B32" s="1578">
        <v>5032</v>
      </c>
      <c r="C32" s="1578">
        <v>38500881</v>
      </c>
      <c r="D32" s="1579" t="s">
        <v>1058</v>
      </c>
      <c r="E32" s="1580">
        <v>0</v>
      </c>
      <c r="F32" s="1580">
        <v>0</v>
      </c>
      <c r="G32" s="1580">
        <v>0</v>
      </c>
      <c r="H32" s="1581" t="e">
        <f t="shared" si="0"/>
        <v>#DIV/0!</v>
      </c>
    </row>
    <row r="33" spans="1:8" ht="15.75" hidden="1" thickTop="1" x14ac:dyDescent="0.2">
      <c r="A33" s="1577">
        <v>3636</v>
      </c>
      <c r="B33" s="1578">
        <v>5139</v>
      </c>
      <c r="C33" s="1578">
        <v>38100880</v>
      </c>
      <c r="D33" s="1579" t="s">
        <v>249</v>
      </c>
      <c r="E33" s="1580">
        <v>0</v>
      </c>
      <c r="F33" s="1580">
        <v>0</v>
      </c>
      <c r="G33" s="1580">
        <v>0</v>
      </c>
      <c r="H33" s="1581" t="e">
        <f t="shared" si="0"/>
        <v>#DIV/0!</v>
      </c>
    </row>
    <row r="34" spans="1:8" ht="15.75" hidden="1" thickTop="1" x14ac:dyDescent="0.2">
      <c r="A34" s="1577">
        <v>3636</v>
      </c>
      <c r="B34" s="1578">
        <v>5139</v>
      </c>
      <c r="C34" s="1578">
        <v>38500881</v>
      </c>
      <c r="D34" s="1579" t="s">
        <v>249</v>
      </c>
      <c r="E34" s="1580">
        <v>0</v>
      </c>
      <c r="F34" s="1580">
        <v>0</v>
      </c>
      <c r="G34" s="1580">
        <v>0</v>
      </c>
      <c r="H34" s="1581" t="e">
        <f t="shared" si="0"/>
        <v>#DIV/0!</v>
      </c>
    </row>
    <row r="35" spans="1:8" ht="15.75" hidden="1" thickTop="1" x14ac:dyDescent="0.2">
      <c r="A35" s="1577">
        <v>3636</v>
      </c>
      <c r="B35" s="1578">
        <v>5162</v>
      </c>
      <c r="C35" s="1578">
        <v>38100880</v>
      </c>
      <c r="D35" s="1579" t="s">
        <v>780</v>
      </c>
      <c r="E35" s="1580">
        <v>0</v>
      </c>
      <c r="F35" s="1580">
        <v>0</v>
      </c>
      <c r="G35" s="1580">
        <v>0</v>
      </c>
      <c r="H35" s="1581" t="e">
        <f t="shared" si="0"/>
        <v>#DIV/0!</v>
      </c>
    </row>
    <row r="36" spans="1:8" ht="15.75" hidden="1" thickTop="1" x14ac:dyDescent="0.2">
      <c r="A36" s="1577">
        <v>3636</v>
      </c>
      <c r="B36" s="1578">
        <v>5162</v>
      </c>
      <c r="C36" s="1578">
        <v>38500881</v>
      </c>
      <c r="D36" s="1579" t="s">
        <v>780</v>
      </c>
      <c r="E36" s="1580">
        <v>0</v>
      </c>
      <c r="F36" s="1580">
        <v>0</v>
      </c>
      <c r="G36" s="1580">
        <v>0</v>
      </c>
      <c r="H36" s="1581" t="e">
        <f t="shared" si="0"/>
        <v>#DIV/0!</v>
      </c>
    </row>
    <row r="37" spans="1:8" ht="15.75" hidden="1" thickTop="1" x14ac:dyDescent="0.2">
      <c r="A37" s="1577">
        <v>3636</v>
      </c>
      <c r="B37" s="1578">
        <v>5164</v>
      </c>
      <c r="C37" s="1578">
        <v>38100880</v>
      </c>
      <c r="D37" s="1579" t="s">
        <v>157</v>
      </c>
      <c r="E37" s="1580">
        <v>0</v>
      </c>
      <c r="F37" s="1580">
        <v>0</v>
      </c>
      <c r="G37" s="1580">
        <v>0</v>
      </c>
      <c r="H37" s="1581" t="e">
        <f t="shared" si="0"/>
        <v>#DIV/0!</v>
      </c>
    </row>
    <row r="38" spans="1:8" ht="15.75" hidden="1" thickTop="1" x14ac:dyDescent="0.2">
      <c r="A38" s="1577">
        <v>3636</v>
      </c>
      <c r="B38" s="1578">
        <v>5164</v>
      </c>
      <c r="C38" s="1578">
        <v>38500881</v>
      </c>
      <c r="D38" s="1579" t="s">
        <v>157</v>
      </c>
      <c r="E38" s="1580">
        <v>0</v>
      </c>
      <c r="F38" s="1580">
        <v>0</v>
      </c>
      <c r="G38" s="1580">
        <v>0</v>
      </c>
      <c r="H38" s="1581" t="e">
        <f t="shared" si="0"/>
        <v>#DIV/0!</v>
      </c>
    </row>
    <row r="39" spans="1:8" ht="15.75" hidden="1" thickTop="1" x14ac:dyDescent="0.2">
      <c r="A39" s="1577">
        <v>6223</v>
      </c>
      <c r="B39" s="1578">
        <v>5166</v>
      </c>
      <c r="C39" s="2850">
        <v>41100880</v>
      </c>
      <c r="D39" s="1579" t="s">
        <v>553</v>
      </c>
      <c r="E39" s="1580"/>
      <c r="F39" s="1580"/>
      <c r="G39" s="1580"/>
      <c r="H39" s="1581" t="e">
        <f t="shared" si="0"/>
        <v>#DIV/0!</v>
      </c>
    </row>
    <row r="40" spans="1:8" ht="15.75" hidden="1" thickTop="1" x14ac:dyDescent="0.2">
      <c r="A40" s="1577">
        <v>6223</v>
      </c>
      <c r="B40" s="1578">
        <v>5166</v>
      </c>
      <c r="C40" s="1629">
        <v>41100882</v>
      </c>
      <c r="D40" s="1579" t="s">
        <v>553</v>
      </c>
      <c r="E40" s="1580"/>
      <c r="F40" s="1580"/>
      <c r="G40" s="1580"/>
      <c r="H40" s="1581" t="e">
        <f t="shared" si="0"/>
        <v>#DIV/0!</v>
      </c>
    </row>
    <row r="41" spans="1:8" ht="15.75" hidden="1" thickTop="1" x14ac:dyDescent="0.2">
      <c r="A41" s="1577">
        <v>6223</v>
      </c>
      <c r="B41" s="1578">
        <v>5166</v>
      </c>
      <c r="C41" s="1629">
        <v>41500881</v>
      </c>
      <c r="D41" s="1579" t="s">
        <v>553</v>
      </c>
      <c r="E41" s="1580"/>
      <c r="F41" s="1580"/>
      <c r="G41" s="1580"/>
      <c r="H41" s="1581" t="e">
        <f t="shared" si="0"/>
        <v>#DIV/0!</v>
      </c>
    </row>
    <row r="42" spans="1:8" ht="15.75" hidden="1" thickTop="1" x14ac:dyDescent="0.2">
      <c r="A42" s="1577">
        <v>6223</v>
      </c>
      <c r="B42" s="1578">
        <v>5166</v>
      </c>
      <c r="C42" s="1578">
        <v>41500881</v>
      </c>
      <c r="D42" s="1579" t="s">
        <v>553</v>
      </c>
      <c r="E42" s="1580">
        <v>0</v>
      </c>
      <c r="F42" s="1580"/>
      <c r="G42" s="1580">
        <v>0</v>
      </c>
      <c r="H42" s="1581" t="e">
        <f t="shared" si="0"/>
        <v>#DIV/0!</v>
      </c>
    </row>
    <row r="43" spans="1:8" ht="15.75" hidden="1" thickTop="1" x14ac:dyDescent="0.2">
      <c r="A43" s="1577">
        <v>3636</v>
      </c>
      <c r="B43" s="1578">
        <v>5167</v>
      </c>
      <c r="C43" s="1578">
        <v>38100880</v>
      </c>
      <c r="D43" s="1579" t="s">
        <v>810</v>
      </c>
      <c r="E43" s="1580">
        <v>0</v>
      </c>
      <c r="F43" s="1580"/>
      <c r="G43" s="1580"/>
      <c r="H43" s="1581" t="e">
        <f t="shared" si="0"/>
        <v>#DIV/0!</v>
      </c>
    </row>
    <row r="44" spans="1:8" ht="15.75" hidden="1" thickTop="1" x14ac:dyDescent="0.2">
      <c r="A44" s="1577">
        <v>3636</v>
      </c>
      <c r="B44" s="1578">
        <v>5167</v>
      </c>
      <c r="C44" s="1578">
        <v>38500881</v>
      </c>
      <c r="D44" s="1579" t="s">
        <v>810</v>
      </c>
      <c r="E44" s="1580">
        <v>0</v>
      </c>
      <c r="F44" s="1580"/>
      <c r="G44" s="1580"/>
      <c r="H44" s="1581" t="e">
        <f t="shared" si="0"/>
        <v>#DIV/0!</v>
      </c>
    </row>
    <row r="45" spans="1:8" ht="15.75" hidden="1" thickTop="1" x14ac:dyDescent="0.2">
      <c r="A45" s="1577">
        <v>3636</v>
      </c>
      <c r="B45" s="1578">
        <v>5169</v>
      </c>
      <c r="C45" s="1578">
        <v>38100880</v>
      </c>
      <c r="D45" s="1579" t="s">
        <v>769</v>
      </c>
      <c r="E45" s="1580">
        <v>0</v>
      </c>
      <c r="F45" s="1580"/>
      <c r="G45" s="1580"/>
      <c r="H45" s="1581" t="e">
        <f t="shared" si="0"/>
        <v>#DIV/0!</v>
      </c>
    </row>
    <row r="46" spans="1:8" ht="15.75" hidden="1" thickTop="1" x14ac:dyDescent="0.2">
      <c r="A46" s="1577">
        <v>3636</v>
      </c>
      <c r="B46" s="1578">
        <v>5169</v>
      </c>
      <c r="C46" s="1578">
        <v>38500881</v>
      </c>
      <c r="D46" s="1579" t="s">
        <v>769</v>
      </c>
      <c r="E46" s="1580">
        <v>0</v>
      </c>
      <c r="F46" s="1580"/>
      <c r="G46" s="1580"/>
      <c r="H46" s="1581" t="e">
        <f t="shared" si="0"/>
        <v>#DIV/0!</v>
      </c>
    </row>
    <row r="47" spans="1:8" ht="15.75" hidden="1" thickTop="1" x14ac:dyDescent="0.2">
      <c r="A47" s="1577">
        <v>6223</v>
      </c>
      <c r="B47" s="1578">
        <v>5173</v>
      </c>
      <c r="C47" s="1582">
        <v>0</v>
      </c>
      <c r="D47" s="1579" t="s">
        <v>1038</v>
      </c>
      <c r="E47" s="1580"/>
      <c r="F47" s="1580">
        <v>0</v>
      </c>
      <c r="G47" s="1580">
        <v>0</v>
      </c>
      <c r="H47" s="1581" t="e">
        <f t="shared" si="0"/>
        <v>#DIV/0!</v>
      </c>
    </row>
    <row r="48" spans="1:8" ht="15.75" hidden="1" thickTop="1" x14ac:dyDescent="0.2">
      <c r="A48" s="1577">
        <v>3636</v>
      </c>
      <c r="B48" s="1578">
        <v>5173</v>
      </c>
      <c r="C48" s="1578">
        <v>38500881</v>
      </c>
      <c r="D48" s="1579" t="s">
        <v>1038</v>
      </c>
      <c r="E48" s="1580">
        <v>0</v>
      </c>
      <c r="F48" s="1580"/>
      <c r="G48" s="1580"/>
      <c r="H48" s="1581" t="e">
        <f t="shared" si="0"/>
        <v>#DIV/0!</v>
      </c>
    </row>
    <row r="49" spans="1:11" ht="15.75" hidden="1" thickTop="1" x14ac:dyDescent="0.2">
      <c r="A49" s="1577">
        <v>3636</v>
      </c>
      <c r="B49" s="1578">
        <v>5175</v>
      </c>
      <c r="C49" s="1578">
        <v>38100880</v>
      </c>
      <c r="D49" s="1579" t="s">
        <v>605</v>
      </c>
      <c r="E49" s="1580">
        <v>0</v>
      </c>
      <c r="F49" s="1580"/>
      <c r="G49" s="1580"/>
      <c r="H49" s="1581" t="e">
        <f t="shared" si="0"/>
        <v>#DIV/0!</v>
      </c>
    </row>
    <row r="50" spans="1:11" ht="15.75" hidden="1" thickTop="1" x14ac:dyDescent="0.2">
      <c r="A50" s="1577">
        <v>3636</v>
      </c>
      <c r="B50" s="1578">
        <v>5175</v>
      </c>
      <c r="C50" s="1578">
        <v>38500881</v>
      </c>
      <c r="D50" s="1579" t="s">
        <v>605</v>
      </c>
      <c r="E50" s="1580">
        <v>0</v>
      </c>
      <c r="F50" s="1580"/>
      <c r="G50" s="1580"/>
      <c r="H50" s="1581" t="e">
        <f t="shared" si="0"/>
        <v>#DIV/0!</v>
      </c>
    </row>
    <row r="51" spans="1:11" ht="15.75" hidden="1" thickTop="1" x14ac:dyDescent="0.2">
      <c r="A51" s="1577">
        <v>3636</v>
      </c>
      <c r="B51" s="1578">
        <v>5176</v>
      </c>
      <c r="C51" s="1578">
        <v>38100880</v>
      </c>
      <c r="D51" s="1579" t="s">
        <v>1119</v>
      </c>
      <c r="E51" s="1580">
        <v>0</v>
      </c>
      <c r="F51" s="1580"/>
      <c r="G51" s="1580"/>
      <c r="H51" s="1581" t="e">
        <f t="shared" si="0"/>
        <v>#DIV/0!</v>
      </c>
    </row>
    <row r="52" spans="1:11" ht="15.75" hidden="1" thickTop="1" x14ac:dyDescent="0.2">
      <c r="A52" s="1577">
        <v>3636</v>
      </c>
      <c r="B52" s="1578">
        <v>5176</v>
      </c>
      <c r="C52" s="1578">
        <v>38500881</v>
      </c>
      <c r="D52" s="1579" t="s">
        <v>1119</v>
      </c>
      <c r="E52" s="1580">
        <v>0</v>
      </c>
      <c r="F52" s="1580"/>
      <c r="G52" s="1580"/>
      <c r="H52" s="1581" t="e">
        <f t="shared" si="0"/>
        <v>#DIV/0!</v>
      </c>
    </row>
    <row r="53" spans="1:11" ht="15.75" hidden="1" thickTop="1" x14ac:dyDescent="0.2">
      <c r="A53" s="1577">
        <v>3636</v>
      </c>
      <c r="B53" s="1578">
        <v>6901</v>
      </c>
      <c r="C53" s="1578">
        <v>38100880</v>
      </c>
      <c r="D53" s="1579" t="s">
        <v>391</v>
      </c>
      <c r="E53" s="1580">
        <v>0</v>
      </c>
      <c r="F53" s="1580">
        <v>0</v>
      </c>
      <c r="G53" s="1580">
        <v>0</v>
      </c>
      <c r="H53" s="1581" t="e">
        <f t="shared" si="0"/>
        <v>#DIV/0!</v>
      </c>
    </row>
    <row r="54" spans="1:11" ht="16.5" thickTop="1" thickBot="1" x14ac:dyDescent="0.25">
      <c r="A54" s="1577">
        <v>3636</v>
      </c>
      <c r="B54" s="1578">
        <v>5169</v>
      </c>
      <c r="C54" s="1629" t="s">
        <v>1760</v>
      </c>
      <c r="D54" s="1579" t="s">
        <v>769</v>
      </c>
      <c r="E54" s="1580">
        <v>0</v>
      </c>
      <c r="F54" s="1580">
        <v>60</v>
      </c>
      <c r="G54" s="1580">
        <v>60</v>
      </c>
      <c r="H54" s="1583">
        <f t="shared" si="0"/>
        <v>100</v>
      </c>
    </row>
    <row r="55" spans="1:11" ht="16.5" thickTop="1" thickBot="1" x14ac:dyDescent="0.3">
      <c r="A55" s="3219" t="s">
        <v>690</v>
      </c>
      <c r="B55" s="3220"/>
      <c r="C55" s="3220"/>
      <c r="D55" s="3220"/>
      <c r="E55" s="1387">
        <f>SUM(E25:E54)</f>
        <v>0</v>
      </c>
      <c r="F55" s="1387">
        <f>SUM(F25:F54)</f>
        <v>60</v>
      </c>
      <c r="G55" s="1387">
        <f>SUM(G25:G54)</f>
        <v>60</v>
      </c>
      <c r="H55" s="1391">
        <f t="shared" si="0"/>
        <v>100</v>
      </c>
    </row>
    <row r="56" spans="1:11" ht="13.5" thickTop="1" x14ac:dyDescent="0.2"/>
    <row r="57" spans="1:11" ht="13.5" x14ac:dyDescent="0.25">
      <c r="A57" s="3233" t="s">
        <v>1544</v>
      </c>
      <c r="B57" s="3151"/>
      <c r="C57" s="3151"/>
      <c r="D57" s="3151"/>
      <c r="E57" s="3151"/>
      <c r="F57" s="3151"/>
      <c r="G57" s="3151"/>
      <c r="H57" s="3151"/>
    </row>
    <row r="58" spans="1:11" ht="15.75" thickBot="1" x14ac:dyDescent="0.3">
      <c r="A58" s="1544" t="s">
        <v>1545</v>
      </c>
      <c r="B58" s="1558"/>
      <c r="C58" s="1558"/>
      <c r="E58" s="1559"/>
      <c r="F58" s="1559"/>
      <c r="G58" s="1559"/>
      <c r="H58" s="1560" t="s">
        <v>148</v>
      </c>
    </row>
    <row r="59" spans="1:11" ht="25.5" thickTop="1" thickBot="1" x14ac:dyDescent="0.25">
      <c r="A59" s="1378" t="s">
        <v>149</v>
      </c>
      <c r="B59" s="1379" t="s">
        <v>688</v>
      </c>
      <c r="C59" s="1379" t="s">
        <v>345</v>
      </c>
      <c r="D59" s="1380" t="s">
        <v>151</v>
      </c>
      <c r="E59" s="1402" t="s">
        <v>569</v>
      </c>
      <c r="F59" s="1402" t="s">
        <v>570</v>
      </c>
      <c r="G59" s="1403" t="s">
        <v>797</v>
      </c>
      <c r="H59" s="1404" t="s">
        <v>798</v>
      </c>
    </row>
    <row r="60" spans="1:11" ht="14.25" thickTop="1" thickBot="1" x14ac:dyDescent="0.25">
      <c r="A60" s="1297">
        <v>1</v>
      </c>
      <c r="B60" s="1296">
        <v>2</v>
      </c>
      <c r="C60" s="1296">
        <v>3</v>
      </c>
      <c r="D60" s="1296">
        <v>4</v>
      </c>
      <c r="E60" s="1295">
        <v>5</v>
      </c>
      <c r="F60" s="1295">
        <v>6</v>
      </c>
      <c r="G60" s="1446">
        <v>7</v>
      </c>
      <c r="H60" s="1468" t="s">
        <v>54</v>
      </c>
    </row>
    <row r="61" spans="1:11" ht="16.5" thickTop="1" thickBot="1" x14ac:dyDescent="0.25">
      <c r="A61" s="1577">
        <v>6330</v>
      </c>
      <c r="B61" s="1578">
        <v>5345</v>
      </c>
      <c r="C61" s="1629" t="s">
        <v>1760</v>
      </c>
      <c r="D61" s="1579" t="s">
        <v>693</v>
      </c>
      <c r="E61" s="1580">
        <v>0</v>
      </c>
      <c r="F61" s="1580">
        <v>0</v>
      </c>
      <c r="G61" s="1580">
        <v>113</v>
      </c>
      <c r="H61" s="1583">
        <v>0</v>
      </c>
    </row>
    <row r="62" spans="1:11" ht="16.5" thickTop="1" thickBot="1" x14ac:dyDescent="0.3">
      <c r="A62" s="3219" t="s">
        <v>690</v>
      </c>
      <c r="B62" s="3220"/>
      <c r="C62" s="3220"/>
      <c r="D62" s="3220"/>
      <c r="E62" s="1387">
        <f>SUM(E61:E61)</f>
        <v>0</v>
      </c>
      <c r="F62" s="1387">
        <f>SUM(F61:F61)</f>
        <v>0</v>
      </c>
      <c r="G62" s="1387">
        <f>SUM(G61:G61)</f>
        <v>113</v>
      </c>
      <c r="H62" s="1391">
        <v>0</v>
      </c>
    </row>
    <row r="63" spans="1:11" ht="13.5" thickTop="1" x14ac:dyDescent="0.2">
      <c r="K63" s="1646"/>
    </row>
    <row r="64" spans="1:11" ht="27" customHeight="1" x14ac:dyDescent="0.25">
      <c r="A64" s="3233" t="s">
        <v>1546</v>
      </c>
      <c r="B64" s="3151"/>
      <c r="C64" s="3151"/>
      <c r="D64" s="3151"/>
      <c r="E64" s="3151"/>
      <c r="F64" s="3151"/>
      <c r="G64" s="3151"/>
      <c r="H64" s="3151"/>
      <c r="K64" s="1646"/>
    </row>
    <row r="65" spans="1:8" ht="15.75" thickBot="1" x14ac:dyDescent="0.3">
      <c r="A65" s="1544" t="s">
        <v>1547</v>
      </c>
      <c r="B65" s="1558"/>
      <c r="C65" s="1558"/>
      <c r="E65" s="1559"/>
      <c r="F65" s="1559"/>
      <c r="G65" s="1559"/>
      <c r="H65" s="1560" t="s">
        <v>148</v>
      </c>
    </row>
    <row r="66" spans="1:8" ht="25.5" thickTop="1" thickBot="1" x14ac:dyDescent="0.25">
      <c r="A66" s="1378" t="s">
        <v>149</v>
      </c>
      <c r="B66" s="1379" t="s">
        <v>688</v>
      </c>
      <c r="C66" s="1379" t="s">
        <v>345</v>
      </c>
      <c r="D66" s="1380" t="s">
        <v>151</v>
      </c>
      <c r="E66" s="1402" t="s">
        <v>569</v>
      </c>
      <c r="F66" s="1402" t="s">
        <v>570</v>
      </c>
      <c r="G66" s="1403" t="s">
        <v>797</v>
      </c>
      <c r="H66" s="1404" t="s">
        <v>798</v>
      </c>
    </row>
    <row r="67" spans="1:8" ht="14.25" thickTop="1" thickBot="1" x14ac:dyDescent="0.25">
      <c r="A67" s="1297">
        <v>1</v>
      </c>
      <c r="B67" s="1296">
        <v>2</v>
      </c>
      <c r="C67" s="1296">
        <v>3</v>
      </c>
      <c r="D67" s="1296">
        <v>4</v>
      </c>
      <c r="E67" s="1295">
        <v>5</v>
      </c>
      <c r="F67" s="1295">
        <v>6</v>
      </c>
      <c r="G67" s="1446">
        <v>7</v>
      </c>
      <c r="H67" s="1468" t="s">
        <v>54</v>
      </c>
    </row>
    <row r="68" spans="1:8" ht="15.75" thickTop="1" x14ac:dyDescent="0.2">
      <c r="A68" s="1572">
        <v>3636</v>
      </c>
      <c r="B68" s="1573">
        <v>5011</v>
      </c>
      <c r="C68" s="2851" t="s">
        <v>2010</v>
      </c>
      <c r="D68" s="1574" t="s">
        <v>189</v>
      </c>
      <c r="E68" s="1575">
        <v>297</v>
      </c>
      <c r="F68" s="1575">
        <v>259</v>
      </c>
      <c r="G68" s="1575">
        <v>217</v>
      </c>
      <c r="H68" s="1576">
        <f t="shared" ref="H68:H75" si="1">G68/F68*100</f>
        <v>83.78378378378379</v>
      </c>
    </row>
    <row r="69" spans="1:8" ht="15" x14ac:dyDescent="0.2">
      <c r="A69" s="1577">
        <v>3636</v>
      </c>
      <c r="B69" s="1578">
        <v>5011</v>
      </c>
      <c r="C69" s="1629" t="s">
        <v>2013</v>
      </c>
      <c r="D69" s="1579" t="s">
        <v>189</v>
      </c>
      <c r="E69" s="1580">
        <v>803</v>
      </c>
      <c r="F69" s="1580">
        <v>701</v>
      </c>
      <c r="G69" s="1580">
        <v>586</v>
      </c>
      <c r="H69" s="1581">
        <f t="shared" si="1"/>
        <v>83.594864479315262</v>
      </c>
    </row>
    <row r="70" spans="1:8" ht="15" hidden="1" x14ac:dyDescent="0.2">
      <c r="A70" s="1577">
        <v>3636</v>
      </c>
      <c r="B70" s="1578">
        <v>5021</v>
      </c>
      <c r="C70" s="1629">
        <v>38100880</v>
      </c>
      <c r="D70" s="1579" t="s">
        <v>356</v>
      </c>
      <c r="E70" s="1580"/>
      <c r="F70" s="1580"/>
      <c r="G70" s="1580"/>
      <c r="H70" s="1581" t="e">
        <f t="shared" si="1"/>
        <v>#DIV/0!</v>
      </c>
    </row>
    <row r="71" spans="1:8" ht="15" hidden="1" x14ac:dyDescent="0.2">
      <c r="A71" s="1577">
        <v>3636</v>
      </c>
      <c r="B71" s="1578">
        <v>5021</v>
      </c>
      <c r="C71" s="1629">
        <v>38500881</v>
      </c>
      <c r="D71" s="1579" t="s">
        <v>356</v>
      </c>
      <c r="E71" s="1580"/>
      <c r="F71" s="1580"/>
      <c r="G71" s="1580"/>
      <c r="H71" s="1581" t="e">
        <f t="shared" si="1"/>
        <v>#DIV/0!</v>
      </c>
    </row>
    <row r="72" spans="1:8" ht="30" x14ac:dyDescent="0.2">
      <c r="A72" s="1577">
        <v>3636</v>
      </c>
      <c r="B72" s="1578">
        <v>5031</v>
      </c>
      <c r="C72" s="1629" t="s">
        <v>2010</v>
      </c>
      <c r="D72" s="1627" t="s">
        <v>1165</v>
      </c>
      <c r="E72" s="1580">
        <v>76</v>
      </c>
      <c r="F72" s="1580">
        <v>68</v>
      </c>
      <c r="G72" s="1580">
        <v>54</v>
      </c>
      <c r="H72" s="1581">
        <f t="shared" si="1"/>
        <v>79.411764705882348</v>
      </c>
    </row>
    <row r="73" spans="1:8" ht="30" x14ac:dyDescent="0.2">
      <c r="A73" s="1577">
        <v>3636</v>
      </c>
      <c r="B73" s="1578">
        <v>5031</v>
      </c>
      <c r="C73" s="1629" t="s">
        <v>2013</v>
      </c>
      <c r="D73" s="1627" t="s">
        <v>1165</v>
      </c>
      <c r="E73" s="1580">
        <v>204</v>
      </c>
      <c r="F73" s="1580">
        <v>182</v>
      </c>
      <c r="G73" s="1580">
        <v>147</v>
      </c>
      <c r="H73" s="1581">
        <f t="shared" si="1"/>
        <v>80.769230769230774</v>
      </c>
    </row>
    <row r="74" spans="1:8" ht="30" x14ac:dyDescent="0.2">
      <c r="A74" s="1577">
        <v>3636</v>
      </c>
      <c r="B74" s="1578">
        <v>5032</v>
      </c>
      <c r="C74" s="1629" t="s">
        <v>2010</v>
      </c>
      <c r="D74" s="1579" t="s">
        <v>1058</v>
      </c>
      <c r="E74" s="1580">
        <v>32</v>
      </c>
      <c r="F74" s="1580">
        <v>32</v>
      </c>
      <c r="G74" s="1580">
        <v>20</v>
      </c>
      <c r="H74" s="1581">
        <f t="shared" si="1"/>
        <v>62.5</v>
      </c>
    </row>
    <row r="75" spans="1:8" ht="30" x14ac:dyDescent="0.2">
      <c r="A75" s="1577">
        <v>3636</v>
      </c>
      <c r="B75" s="1578">
        <v>5032</v>
      </c>
      <c r="C75" s="1629" t="s">
        <v>2013</v>
      </c>
      <c r="D75" s="1579" t="s">
        <v>1058</v>
      </c>
      <c r="E75" s="1580">
        <v>88</v>
      </c>
      <c r="F75" s="1580">
        <v>88</v>
      </c>
      <c r="G75" s="1580">
        <v>53</v>
      </c>
      <c r="H75" s="1581">
        <f t="shared" si="1"/>
        <v>60.227272727272727</v>
      </c>
    </row>
    <row r="76" spans="1:8" ht="15" hidden="1" x14ac:dyDescent="0.2">
      <c r="A76" s="1577">
        <v>3636</v>
      </c>
      <c r="B76" s="1578">
        <v>5137</v>
      </c>
      <c r="C76" s="2850">
        <v>32133019</v>
      </c>
      <c r="D76" s="1579" t="s">
        <v>142</v>
      </c>
      <c r="E76" s="1580"/>
      <c r="F76" s="1580"/>
      <c r="G76" s="1580"/>
      <c r="H76" s="1581">
        <v>0</v>
      </c>
    </row>
    <row r="77" spans="1:8" ht="15" hidden="1" x14ac:dyDescent="0.2">
      <c r="A77" s="1577">
        <v>3636</v>
      </c>
      <c r="B77" s="1578">
        <v>5137</v>
      </c>
      <c r="C77" s="2850">
        <v>32533019</v>
      </c>
      <c r="D77" s="1579" t="s">
        <v>142</v>
      </c>
      <c r="E77" s="1580"/>
      <c r="F77" s="1580"/>
      <c r="G77" s="1580"/>
      <c r="H77" s="1581" t="e">
        <f>G77/F77*100</f>
        <v>#DIV/0!</v>
      </c>
    </row>
    <row r="78" spans="1:8" ht="15" x14ac:dyDescent="0.2">
      <c r="A78" s="1577">
        <v>3636</v>
      </c>
      <c r="B78" s="1578">
        <v>5139</v>
      </c>
      <c r="C78" s="1629" t="s">
        <v>2010</v>
      </c>
      <c r="D78" s="1579" t="s">
        <v>249</v>
      </c>
      <c r="E78" s="1580">
        <v>124</v>
      </c>
      <c r="F78" s="1580">
        <v>11</v>
      </c>
      <c r="G78" s="1580">
        <v>11</v>
      </c>
      <c r="H78" s="1581">
        <f>G78/F78*100</f>
        <v>100</v>
      </c>
    </row>
    <row r="79" spans="1:8" ht="15" x14ac:dyDescent="0.2">
      <c r="A79" s="1577">
        <v>3636</v>
      </c>
      <c r="B79" s="1578">
        <v>5139</v>
      </c>
      <c r="C79" s="1629" t="s">
        <v>2013</v>
      </c>
      <c r="D79" s="1579" t="s">
        <v>249</v>
      </c>
      <c r="E79" s="1580">
        <v>336</v>
      </c>
      <c r="F79" s="1580">
        <v>30</v>
      </c>
      <c r="G79" s="1580">
        <v>30</v>
      </c>
      <c r="H79" s="1581">
        <f>G79/F79*100</f>
        <v>100</v>
      </c>
    </row>
    <row r="80" spans="1:8" ht="15" x14ac:dyDescent="0.2">
      <c r="A80" s="1577">
        <v>3636</v>
      </c>
      <c r="B80" s="1578">
        <v>5162</v>
      </c>
      <c r="C80" s="1629" t="s">
        <v>2010</v>
      </c>
      <c r="D80" s="1579" t="s">
        <v>780</v>
      </c>
      <c r="E80" s="1580">
        <v>1</v>
      </c>
      <c r="F80" s="1580">
        <v>1</v>
      </c>
      <c r="G80" s="1580">
        <v>0</v>
      </c>
      <c r="H80" s="1581">
        <f>G80/F80*100</f>
        <v>0</v>
      </c>
    </row>
    <row r="81" spans="1:8" ht="15" x14ac:dyDescent="0.2">
      <c r="A81" s="1577">
        <v>3636</v>
      </c>
      <c r="B81" s="1578">
        <v>5162</v>
      </c>
      <c r="C81" s="1629" t="s">
        <v>2013</v>
      </c>
      <c r="D81" s="1579" t="s">
        <v>780</v>
      </c>
      <c r="E81" s="1580">
        <v>2</v>
      </c>
      <c r="F81" s="1580">
        <v>2</v>
      </c>
      <c r="G81" s="1580">
        <v>0</v>
      </c>
      <c r="H81" s="1581">
        <f>G81/F81*100</f>
        <v>0</v>
      </c>
    </row>
    <row r="82" spans="1:8" ht="15" x14ac:dyDescent="0.2">
      <c r="A82" s="1577">
        <v>3636</v>
      </c>
      <c r="B82" s="1578">
        <v>5164</v>
      </c>
      <c r="C82" s="1629" t="s">
        <v>2010</v>
      </c>
      <c r="D82" s="1579" t="s">
        <v>157</v>
      </c>
      <c r="E82" s="1580">
        <v>16</v>
      </c>
      <c r="F82" s="1580">
        <v>0</v>
      </c>
      <c r="G82" s="1580">
        <v>0</v>
      </c>
      <c r="H82" s="1581">
        <v>0</v>
      </c>
    </row>
    <row r="83" spans="1:8" ht="15" x14ac:dyDescent="0.2">
      <c r="A83" s="1577">
        <v>3636</v>
      </c>
      <c r="B83" s="1578">
        <v>5164</v>
      </c>
      <c r="C83" s="1629" t="s">
        <v>2013</v>
      </c>
      <c r="D83" s="1579" t="s">
        <v>157</v>
      </c>
      <c r="E83" s="1580">
        <v>44</v>
      </c>
      <c r="F83" s="1580">
        <v>0</v>
      </c>
      <c r="G83" s="1580">
        <v>0</v>
      </c>
      <c r="H83" s="1581">
        <v>0</v>
      </c>
    </row>
    <row r="84" spans="1:8" ht="15" x14ac:dyDescent="0.2">
      <c r="A84" s="1577">
        <v>3636</v>
      </c>
      <c r="B84" s="1578">
        <v>5166</v>
      </c>
      <c r="C84" s="1629" t="s">
        <v>2010</v>
      </c>
      <c r="D84" s="1579" t="s">
        <v>553</v>
      </c>
      <c r="E84" s="1580">
        <v>135</v>
      </c>
      <c r="F84" s="1580">
        <v>0</v>
      </c>
      <c r="G84" s="1580">
        <v>0</v>
      </c>
      <c r="H84" s="1581">
        <v>0</v>
      </c>
    </row>
    <row r="85" spans="1:8" ht="15" x14ac:dyDescent="0.2">
      <c r="A85" s="1577">
        <v>3636</v>
      </c>
      <c r="B85" s="1578">
        <v>5166</v>
      </c>
      <c r="C85" s="1629" t="s">
        <v>2013</v>
      </c>
      <c r="D85" s="1579" t="s">
        <v>553</v>
      </c>
      <c r="E85" s="1580">
        <v>365</v>
      </c>
      <c r="F85" s="1580">
        <v>0</v>
      </c>
      <c r="G85" s="1580">
        <v>0</v>
      </c>
      <c r="H85" s="1581">
        <v>0</v>
      </c>
    </row>
    <row r="86" spans="1:8" ht="15" x14ac:dyDescent="0.2">
      <c r="A86" s="1577">
        <v>3636</v>
      </c>
      <c r="B86" s="1578">
        <v>5167</v>
      </c>
      <c r="C86" s="1629" t="s">
        <v>2010</v>
      </c>
      <c r="D86" s="1579" t="s">
        <v>810</v>
      </c>
      <c r="E86" s="1580">
        <v>14</v>
      </c>
      <c r="F86" s="1580">
        <v>0</v>
      </c>
      <c r="G86" s="1580">
        <v>0</v>
      </c>
      <c r="H86" s="1581">
        <v>0</v>
      </c>
    </row>
    <row r="87" spans="1:8" ht="15" x14ac:dyDescent="0.2">
      <c r="A87" s="1577">
        <v>3636</v>
      </c>
      <c r="B87" s="1578">
        <v>5167</v>
      </c>
      <c r="C87" s="1629" t="s">
        <v>2013</v>
      </c>
      <c r="D87" s="1579" t="s">
        <v>810</v>
      </c>
      <c r="E87" s="1580">
        <v>37</v>
      </c>
      <c r="F87" s="1580">
        <v>0</v>
      </c>
      <c r="G87" s="1580">
        <v>0</v>
      </c>
      <c r="H87" s="1581">
        <v>0</v>
      </c>
    </row>
    <row r="88" spans="1:8" ht="15" x14ac:dyDescent="0.2">
      <c r="A88" s="1577">
        <v>3636</v>
      </c>
      <c r="B88" s="1578">
        <v>5169</v>
      </c>
      <c r="C88" s="1629" t="s">
        <v>2010</v>
      </c>
      <c r="D88" s="1579" t="s">
        <v>769</v>
      </c>
      <c r="E88" s="1580">
        <v>373</v>
      </c>
      <c r="F88" s="1580">
        <v>7</v>
      </c>
      <c r="G88" s="1580">
        <v>7</v>
      </c>
      <c r="H88" s="1581">
        <f t="shared" ref="H88:H93" si="2">G88/F88*100</f>
        <v>100</v>
      </c>
    </row>
    <row r="89" spans="1:8" ht="15" x14ac:dyDescent="0.2">
      <c r="A89" s="1577">
        <v>3636</v>
      </c>
      <c r="B89" s="1578">
        <v>5169</v>
      </c>
      <c r="C89" s="1629" t="s">
        <v>2013</v>
      </c>
      <c r="D89" s="1579" t="s">
        <v>769</v>
      </c>
      <c r="E89" s="1580">
        <v>1007</v>
      </c>
      <c r="F89" s="1580">
        <v>26</v>
      </c>
      <c r="G89" s="1580">
        <v>18</v>
      </c>
      <c r="H89" s="1581">
        <f t="shared" si="2"/>
        <v>69.230769230769226</v>
      </c>
    </row>
    <row r="90" spans="1:8" ht="15" x14ac:dyDescent="0.2">
      <c r="A90" s="1577">
        <v>3636</v>
      </c>
      <c r="B90" s="1578">
        <v>5173</v>
      </c>
      <c r="C90" s="1629" t="s">
        <v>2010</v>
      </c>
      <c r="D90" s="1579" t="s">
        <v>1038</v>
      </c>
      <c r="E90" s="1580">
        <v>11</v>
      </c>
      <c r="F90" s="1580">
        <v>4</v>
      </c>
      <c r="G90" s="1580">
        <v>1</v>
      </c>
      <c r="H90" s="1581">
        <f t="shared" si="2"/>
        <v>25</v>
      </c>
    </row>
    <row r="91" spans="1:8" ht="15" x14ac:dyDescent="0.2">
      <c r="A91" s="1577">
        <v>3636</v>
      </c>
      <c r="B91" s="1578">
        <v>5173</v>
      </c>
      <c r="C91" s="1629" t="s">
        <v>2013</v>
      </c>
      <c r="D91" s="1579" t="s">
        <v>1038</v>
      </c>
      <c r="E91" s="1580">
        <v>29</v>
      </c>
      <c r="F91" s="1580">
        <v>9</v>
      </c>
      <c r="G91" s="1580">
        <v>1</v>
      </c>
      <c r="H91" s="1581">
        <f t="shared" si="2"/>
        <v>11.111111111111111</v>
      </c>
    </row>
    <row r="92" spans="1:8" ht="15" x14ac:dyDescent="0.2">
      <c r="A92" s="1577">
        <v>3636</v>
      </c>
      <c r="B92" s="1578">
        <v>5175</v>
      </c>
      <c r="C92" s="1629" t="s">
        <v>2010</v>
      </c>
      <c r="D92" s="1579" t="s">
        <v>605</v>
      </c>
      <c r="E92" s="1580">
        <v>28</v>
      </c>
      <c r="F92" s="1580">
        <v>3</v>
      </c>
      <c r="G92" s="1580">
        <v>2</v>
      </c>
      <c r="H92" s="1581">
        <f t="shared" si="2"/>
        <v>66.666666666666657</v>
      </c>
    </row>
    <row r="93" spans="1:8" ht="15" x14ac:dyDescent="0.2">
      <c r="A93" s="1577">
        <v>3636</v>
      </c>
      <c r="B93" s="1578">
        <v>5175</v>
      </c>
      <c r="C93" s="1629" t="s">
        <v>2013</v>
      </c>
      <c r="D93" s="1579" t="s">
        <v>605</v>
      </c>
      <c r="E93" s="1580">
        <v>77</v>
      </c>
      <c r="F93" s="1580">
        <v>56</v>
      </c>
      <c r="G93" s="1580">
        <v>5</v>
      </c>
      <c r="H93" s="1581">
        <f t="shared" si="2"/>
        <v>8.9285714285714288</v>
      </c>
    </row>
    <row r="94" spans="1:8" ht="15" x14ac:dyDescent="0.2">
      <c r="A94" s="1577">
        <v>3636</v>
      </c>
      <c r="B94" s="1578">
        <v>5176</v>
      </c>
      <c r="C94" s="1629" t="s">
        <v>2010</v>
      </c>
      <c r="D94" s="1579" t="s">
        <v>1119</v>
      </c>
      <c r="E94" s="1580">
        <v>3</v>
      </c>
      <c r="F94" s="1580">
        <v>0</v>
      </c>
      <c r="G94" s="1580">
        <v>0</v>
      </c>
      <c r="H94" s="1581">
        <v>0</v>
      </c>
    </row>
    <row r="95" spans="1:8" ht="15" x14ac:dyDescent="0.2">
      <c r="A95" s="1577">
        <v>3636</v>
      </c>
      <c r="B95" s="1578">
        <v>5176</v>
      </c>
      <c r="C95" s="1629" t="s">
        <v>2013</v>
      </c>
      <c r="D95" s="1579" t="s">
        <v>1119</v>
      </c>
      <c r="E95" s="1580">
        <v>7</v>
      </c>
      <c r="F95" s="1580">
        <v>0</v>
      </c>
      <c r="G95" s="1580">
        <v>0</v>
      </c>
      <c r="H95" s="1581">
        <v>0</v>
      </c>
    </row>
    <row r="96" spans="1:8" ht="15" hidden="1" x14ac:dyDescent="0.2">
      <c r="A96" s="1577">
        <v>3299</v>
      </c>
      <c r="B96" s="1578">
        <v>5901</v>
      </c>
      <c r="C96" s="2850">
        <v>32533019</v>
      </c>
      <c r="D96" s="1579" t="s">
        <v>547</v>
      </c>
      <c r="E96" s="1580"/>
      <c r="F96" s="1580"/>
      <c r="G96" s="1580"/>
      <c r="H96" s="1581" t="e">
        <f>G96/F96*100</f>
        <v>#DIV/0!</v>
      </c>
    </row>
    <row r="97" spans="1:8" ht="15" hidden="1" x14ac:dyDescent="0.2">
      <c r="A97" s="1577">
        <v>3299</v>
      </c>
      <c r="B97" s="1578">
        <v>5323</v>
      </c>
      <c r="C97" s="2850">
        <v>32133019</v>
      </c>
      <c r="D97" s="1579" t="s">
        <v>203</v>
      </c>
      <c r="E97" s="1580"/>
      <c r="F97" s="1580"/>
      <c r="G97" s="1580"/>
      <c r="H97" s="1581" t="e">
        <f>G97/F97*100</f>
        <v>#DIV/0!</v>
      </c>
    </row>
    <row r="98" spans="1:8" ht="15" hidden="1" x14ac:dyDescent="0.2">
      <c r="A98" s="1577">
        <v>3636</v>
      </c>
      <c r="B98" s="1578">
        <v>5323</v>
      </c>
      <c r="C98" s="2850">
        <v>32533019</v>
      </c>
      <c r="D98" s="1579" t="s">
        <v>203</v>
      </c>
      <c r="E98" s="1580"/>
      <c r="F98" s="1580"/>
      <c r="G98" s="1580"/>
      <c r="H98" s="1581" t="e">
        <f>G98/F98*100</f>
        <v>#DIV/0!</v>
      </c>
    </row>
    <row r="99" spans="1:8" ht="15" hidden="1" x14ac:dyDescent="0.2">
      <c r="A99" s="1577">
        <v>3636</v>
      </c>
      <c r="B99" s="1578">
        <v>6901</v>
      </c>
      <c r="C99" s="2850">
        <v>32533926</v>
      </c>
      <c r="D99" s="1579" t="s">
        <v>391</v>
      </c>
      <c r="E99" s="1580"/>
      <c r="F99" s="1580"/>
      <c r="G99" s="1580"/>
      <c r="H99" s="1581" t="e">
        <f>G99/F99*100</f>
        <v>#DIV/0!</v>
      </c>
    </row>
    <row r="100" spans="1:8" ht="15.75" thickBot="1" x14ac:dyDescent="0.25">
      <c r="A100" s="1577">
        <v>6330</v>
      </c>
      <c r="B100" s="1578">
        <v>5345</v>
      </c>
      <c r="C100" s="2850" t="s">
        <v>1760</v>
      </c>
      <c r="D100" s="1579" t="s">
        <v>693</v>
      </c>
      <c r="E100" s="1580">
        <v>0</v>
      </c>
      <c r="F100" s="1580">
        <v>0</v>
      </c>
      <c r="G100" s="1580">
        <v>1227</v>
      </c>
      <c r="H100" s="1583">
        <v>0</v>
      </c>
    </row>
    <row r="101" spans="1:8" ht="16.5" thickTop="1" thickBot="1" x14ac:dyDescent="0.3">
      <c r="A101" s="3219" t="s">
        <v>690</v>
      </c>
      <c r="B101" s="3220"/>
      <c r="C101" s="3220"/>
      <c r="D101" s="3220"/>
      <c r="E101" s="1387">
        <f>SUM(E68:E99)</f>
        <v>4109</v>
      </c>
      <c r="F101" s="1387">
        <f>SUM(F68:F100)</f>
        <v>1479</v>
      </c>
      <c r="G101" s="1387">
        <f>SUM(G68:G100)</f>
        <v>2379</v>
      </c>
      <c r="H101" s="1391">
        <f>G101/F101*100</f>
        <v>160.85192697768761</v>
      </c>
    </row>
    <row r="102" spans="1:8" ht="13.5" thickTop="1" x14ac:dyDescent="0.2"/>
    <row r="103" spans="1:8" ht="27" customHeight="1" x14ac:dyDescent="0.25">
      <c r="A103" s="3233" t="s">
        <v>2123</v>
      </c>
      <c r="B103" s="3151"/>
      <c r="C103" s="3151"/>
      <c r="D103" s="3151"/>
      <c r="E103" s="3151"/>
      <c r="F103" s="3151"/>
      <c r="G103" s="3151"/>
      <c r="H103" s="3151"/>
    </row>
    <row r="104" spans="1:8" ht="15.75" thickBot="1" x14ac:dyDescent="0.3">
      <c r="A104" s="1544" t="s">
        <v>2122</v>
      </c>
      <c r="B104" s="1558"/>
      <c r="C104" s="1558"/>
      <c r="E104" s="1559"/>
      <c r="F104" s="1559"/>
      <c r="G104" s="1559"/>
      <c r="H104" s="1560" t="s">
        <v>148</v>
      </c>
    </row>
    <row r="105" spans="1:8" ht="25.5" thickTop="1" thickBot="1" x14ac:dyDescent="0.25">
      <c r="A105" s="1378" t="s">
        <v>149</v>
      </c>
      <c r="B105" s="1379" t="s">
        <v>688</v>
      </c>
      <c r="C105" s="1379" t="s">
        <v>345</v>
      </c>
      <c r="D105" s="1380" t="s">
        <v>151</v>
      </c>
      <c r="E105" s="1402" t="s">
        <v>569</v>
      </c>
      <c r="F105" s="1402" t="s">
        <v>570</v>
      </c>
      <c r="G105" s="1403" t="s">
        <v>797</v>
      </c>
      <c r="H105" s="1404" t="s">
        <v>798</v>
      </c>
    </row>
    <row r="106" spans="1:8" ht="14.25" thickTop="1" thickBot="1" x14ac:dyDescent="0.25">
      <c r="A106" s="1297">
        <v>1</v>
      </c>
      <c r="B106" s="1296">
        <v>2</v>
      </c>
      <c r="C106" s="1296">
        <v>3</v>
      </c>
      <c r="D106" s="1296">
        <v>4</v>
      </c>
      <c r="E106" s="1295">
        <v>5</v>
      </c>
      <c r="F106" s="1295">
        <v>6</v>
      </c>
      <c r="G106" s="1446">
        <v>7</v>
      </c>
      <c r="H106" s="1468" t="s">
        <v>54</v>
      </c>
    </row>
    <row r="107" spans="1:8" ht="15.75" thickTop="1" x14ac:dyDescent="0.2">
      <c r="A107" s="1572">
        <v>3636</v>
      </c>
      <c r="B107" s="1573">
        <v>5011</v>
      </c>
      <c r="C107" s="2851" t="s">
        <v>1235</v>
      </c>
      <c r="D107" s="1574" t="s">
        <v>189</v>
      </c>
      <c r="E107" s="1575">
        <v>0</v>
      </c>
      <c r="F107" s="1575">
        <v>250</v>
      </c>
      <c r="G107" s="1575">
        <v>157</v>
      </c>
      <c r="H107" s="1576">
        <f t="shared" ref="H107:H115" si="3">G107/F107*100</f>
        <v>62.8</v>
      </c>
    </row>
    <row r="108" spans="1:8" ht="15" x14ac:dyDescent="0.2">
      <c r="A108" s="1577">
        <v>3636</v>
      </c>
      <c r="B108" s="1578">
        <v>5011</v>
      </c>
      <c r="C108" s="1629" t="s">
        <v>1234</v>
      </c>
      <c r="D108" s="1579" t="s">
        <v>189</v>
      </c>
      <c r="E108" s="1580">
        <v>0</v>
      </c>
      <c r="F108" s="1580">
        <v>750</v>
      </c>
      <c r="G108" s="1580">
        <v>472</v>
      </c>
      <c r="H108" s="1581">
        <f t="shared" si="3"/>
        <v>62.93333333333333</v>
      </c>
    </row>
    <row r="109" spans="1:8" ht="30" x14ac:dyDescent="0.2">
      <c r="A109" s="1577">
        <v>3636</v>
      </c>
      <c r="B109" s="1578">
        <v>5031</v>
      </c>
      <c r="C109" s="1629" t="s">
        <v>1235</v>
      </c>
      <c r="D109" s="1579" t="s">
        <v>2121</v>
      </c>
      <c r="E109" s="1580">
        <v>0</v>
      </c>
      <c r="F109" s="1580">
        <v>63</v>
      </c>
      <c r="G109" s="1580">
        <v>36</v>
      </c>
      <c r="H109" s="1581">
        <f t="shared" si="3"/>
        <v>57.142857142857139</v>
      </c>
    </row>
    <row r="110" spans="1:8" ht="30" x14ac:dyDescent="0.2">
      <c r="A110" s="1577">
        <v>3636</v>
      </c>
      <c r="B110" s="1578">
        <v>5031</v>
      </c>
      <c r="C110" s="1629" t="s">
        <v>1234</v>
      </c>
      <c r="D110" s="1579" t="s">
        <v>2121</v>
      </c>
      <c r="E110" s="1580">
        <v>0</v>
      </c>
      <c r="F110" s="1580">
        <v>188</v>
      </c>
      <c r="G110" s="1580">
        <v>109</v>
      </c>
      <c r="H110" s="1581">
        <f t="shared" si="3"/>
        <v>57.978723404255319</v>
      </c>
    </row>
    <row r="111" spans="1:8" ht="30" x14ac:dyDescent="0.2">
      <c r="A111" s="1577">
        <v>3636</v>
      </c>
      <c r="B111" s="1578">
        <v>5032</v>
      </c>
      <c r="C111" s="1629" t="s">
        <v>1235</v>
      </c>
      <c r="D111" s="1579" t="s">
        <v>1058</v>
      </c>
      <c r="E111" s="1580">
        <v>0</v>
      </c>
      <c r="F111" s="1580">
        <v>23</v>
      </c>
      <c r="G111" s="1580">
        <v>13</v>
      </c>
      <c r="H111" s="1581">
        <f t="shared" si="3"/>
        <v>56.521739130434781</v>
      </c>
    </row>
    <row r="112" spans="1:8" ht="30" x14ac:dyDescent="0.2">
      <c r="A112" s="1577">
        <v>3636</v>
      </c>
      <c r="B112" s="1578">
        <v>5032</v>
      </c>
      <c r="C112" s="1629" t="s">
        <v>1234</v>
      </c>
      <c r="D112" s="1579" t="s">
        <v>1058</v>
      </c>
      <c r="E112" s="1580">
        <v>0</v>
      </c>
      <c r="F112" s="1580">
        <v>68</v>
      </c>
      <c r="G112" s="1580">
        <v>39</v>
      </c>
      <c r="H112" s="1581">
        <f t="shared" si="3"/>
        <v>57.352941176470587</v>
      </c>
    </row>
    <row r="113" spans="1:8" ht="15" x14ac:dyDescent="0.2">
      <c r="A113" s="1577">
        <v>3636</v>
      </c>
      <c r="B113" s="1578">
        <v>5139</v>
      </c>
      <c r="C113" s="1629" t="s">
        <v>1235</v>
      </c>
      <c r="D113" s="1627" t="s">
        <v>249</v>
      </c>
      <c r="E113" s="1580">
        <v>0</v>
      </c>
      <c r="F113" s="1580">
        <v>35</v>
      </c>
      <c r="G113" s="1580">
        <v>8</v>
      </c>
      <c r="H113" s="1581">
        <f t="shared" si="3"/>
        <v>22.857142857142858</v>
      </c>
    </row>
    <row r="114" spans="1:8" ht="15" x14ac:dyDescent="0.2">
      <c r="A114" s="1577">
        <v>3636</v>
      </c>
      <c r="B114" s="1578">
        <v>5139</v>
      </c>
      <c r="C114" s="1629" t="s">
        <v>1234</v>
      </c>
      <c r="D114" s="1627" t="s">
        <v>249</v>
      </c>
      <c r="E114" s="1580">
        <v>0</v>
      </c>
      <c r="F114" s="1580">
        <v>105</v>
      </c>
      <c r="G114" s="1580">
        <v>24</v>
      </c>
      <c r="H114" s="1581">
        <f t="shared" si="3"/>
        <v>22.857142857142858</v>
      </c>
    </row>
    <row r="115" spans="1:8" ht="15" x14ac:dyDescent="0.2">
      <c r="A115" s="1577">
        <v>3636</v>
      </c>
      <c r="B115" s="1578">
        <v>5162</v>
      </c>
      <c r="C115" s="1629" t="s">
        <v>1235</v>
      </c>
      <c r="D115" s="1579" t="s">
        <v>780</v>
      </c>
      <c r="E115" s="1580">
        <v>0</v>
      </c>
      <c r="F115" s="1580">
        <v>1</v>
      </c>
      <c r="G115" s="1580">
        <v>0</v>
      </c>
      <c r="H115" s="1581">
        <f t="shared" si="3"/>
        <v>0</v>
      </c>
    </row>
    <row r="116" spans="1:8" ht="15" x14ac:dyDescent="0.2">
      <c r="A116" s="1577">
        <v>3636</v>
      </c>
      <c r="B116" s="1578">
        <v>5162</v>
      </c>
      <c r="C116" s="1629" t="s">
        <v>1234</v>
      </c>
      <c r="D116" s="1579" t="s">
        <v>780</v>
      </c>
      <c r="E116" s="1580">
        <v>0</v>
      </c>
      <c r="F116" s="1580">
        <v>2</v>
      </c>
      <c r="G116" s="1580">
        <v>0</v>
      </c>
      <c r="H116" s="1581">
        <v>0</v>
      </c>
    </row>
    <row r="117" spans="1:8" ht="15" x14ac:dyDescent="0.2">
      <c r="A117" s="1577">
        <v>3636</v>
      </c>
      <c r="B117" s="1578">
        <v>5164</v>
      </c>
      <c r="C117" s="1629" t="s">
        <v>1235</v>
      </c>
      <c r="D117" s="1579" t="s">
        <v>157</v>
      </c>
      <c r="E117" s="1580">
        <v>0</v>
      </c>
      <c r="F117" s="1580">
        <v>12</v>
      </c>
      <c r="G117" s="1580">
        <v>0</v>
      </c>
      <c r="H117" s="1581">
        <f t="shared" ref="H117:H132" si="4">G117/F117*100</f>
        <v>0</v>
      </c>
    </row>
    <row r="118" spans="1:8" ht="15" x14ac:dyDescent="0.2">
      <c r="A118" s="1577">
        <v>3636</v>
      </c>
      <c r="B118" s="1578">
        <v>5164</v>
      </c>
      <c r="C118" s="1629" t="s">
        <v>1234</v>
      </c>
      <c r="D118" s="1579" t="s">
        <v>157</v>
      </c>
      <c r="E118" s="1580">
        <v>0</v>
      </c>
      <c r="F118" s="1580">
        <v>38</v>
      </c>
      <c r="G118" s="1580">
        <v>0</v>
      </c>
      <c r="H118" s="1581">
        <f t="shared" si="4"/>
        <v>0</v>
      </c>
    </row>
    <row r="119" spans="1:8" ht="15" x14ac:dyDescent="0.2">
      <c r="A119" s="1577">
        <v>3636</v>
      </c>
      <c r="B119" s="1578">
        <v>5166</v>
      </c>
      <c r="C119" s="1629" t="s">
        <v>1235</v>
      </c>
      <c r="D119" s="1579" t="s">
        <v>553</v>
      </c>
      <c r="E119" s="1580">
        <v>0</v>
      </c>
      <c r="F119" s="1580">
        <v>225</v>
      </c>
      <c r="G119" s="1580">
        <v>0</v>
      </c>
      <c r="H119" s="1581">
        <f t="shared" si="4"/>
        <v>0</v>
      </c>
    </row>
    <row r="120" spans="1:8" ht="15" x14ac:dyDescent="0.2">
      <c r="A120" s="1577">
        <v>3636</v>
      </c>
      <c r="B120" s="1578">
        <v>5166</v>
      </c>
      <c r="C120" s="1629" t="s">
        <v>1234</v>
      </c>
      <c r="D120" s="1579" t="s">
        <v>553</v>
      </c>
      <c r="E120" s="1580">
        <v>0</v>
      </c>
      <c r="F120" s="1580">
        <v>675</v>
      </c>
      <c r="G120" s="1580">
        <v>0</v>
      </c>
      <c r="H120" s="1581">
        <f t="shared" si="4"/>
        <v>0</v>
      </c>
    </row>
    <row r="121" spans="1:8" ht="15" x14ac:dyDescent="0.2">
      <c r="A121" s="1577">
        <v>3636</v>
      </c>
      <c r="B121" s="1578">
        <v>5167</v>
      </c>
      <c r="C121" s="1629" t="s">
        <v>1235</v>
      </c>
      <c r="D121" s="1579" t="s">
        <v>810</v>
      </c>
      <c r="E121" s="1580">
        <v>0</v>
      </c>
      <c r="F121" s="1580">
        <v>12</v>
      </c>
      <c r="G121" s="1580">
        <v>0</v>
      </c>
      <c r="H121" s="1581">
        <f t="shared" si="4"/>
        <v>0</v>
      </c>
    </row>
    <row r="122" spans="1:8" ht="15" x14ac:dyDescent="0.2">
      <c r="A122" s="1577">
        <v>3636</v>
      </c>
      <c r="B122" s="1578">
        <v>5167</v>
      </c>
      <c r="C122" s="1629" t="s">
        <v>1234</v>
      </c>
      <c r="D122" s="1579" t="s">
        <v>810</v>
      </c>
      <c r="E122" s="1580">
        <v>0</v>
      </c>
      <c r="F122" s="1580">
        <v>38</v>
      </c>
      <c r="G122" s="1580">
        <v>0</v>
      </c>
      <c r="H122" s="1581">
        <f t="shared" si="4"/>
        <v>0</v>
      </c>
    </row>
    <row r="123" spans="1:8" ht="15" x14ac:dyDescent="0.2">
      <c r="A123" s="1577">
        <v>3636</v>
      </c>
      <c r="B123" s="1578">
        <v>5169</v>
      </c>
      <c r="C123" s="1629" t="s">
        <v>1235</v>
      </c>
      <c r="D123" s="1579" t="s">
        <v>769</v>
      </c>
      <c r="E123" s="1580">
        <v>0</v>
      </c>
      <c r="F123" s="1580">
        <v>92</v>
      </c>
      <c r="G123" s="1580">
        <v>8</v>
      </c>
      <c r="H123" s="1581">
        <f t="shared" si="4"/>
        <v>8.695652173913043</v>
      </c>
    </row>
    <row r="124" spans="1:8" ht="15" x14ac:dyDescent="0.2">
      <c r="A124" s="1577">
        <v>3636</v>
      </c>
      <c r="B124" s="1578">
        <v>5169</v>
      </c>
      <c r="C124" s="1629" t="s">
        <v>1234</v>
      </c>
      <c r="D124" s="1579" t="s">
        <v>769</v>
      </c>
      <c r="E124" s="1580">
        <v>0</v>
      </c>
      <c r="F124" s="1580">
        <v>278</v>
      </c>
      <c r="G124" s="1580">
        <v>25</v>
      </c>
      <c r="H124" s="1581">
        <f t="shared" si="4"/>
        <v>8.9928057553956826</v>
      </c>
    </row>
    <row r="125" spans="1:8" ht="15" x14ac:dyDescent="0.2">
      <c r="A125" s="1577">
        <v>3636</v>
      </c>
      <c r="B125" s="1578">
        <v>5173</v>
      </c>
      <c r="C125" s="1629" t="s">
        <v>1235</v>
      </c>
      <c r="D125" s="1579" t="s">
        <v>1038</v>
      </c>
      <c r="E125" s="1580">
        <v>0</v>
      </c>
      <c r="F125" s="1580">
        <v>6</v>
      </c>
      <c r="G125" s="1580">
        <v>4</v>
      </c>
      <c r="H125" s="1581">
        <f t="shared" si="4"/>
        <v>66.666666666666657</v>
      </c>
    </row>
    <row r="126" spans="1:8" ht="15" x14ac:dyDescent="0.2">
      <c r="A126" s="1577">
        <v>3636</v>
      </c>
      <c r="B126" s="1578">
        <v>5173</v>
      </c>
      <c r="C126" s="1629" t="s">
        <v>1234</v>
      </c>
      <c r="D126" s="1579" t="s">
        <v>1038</v>
      </c>
      <c r="E126" s="1580">
        <v>0</v>
      </c>
      <c r="F126" s="1580">
        <v>19</v>
      </c>
      <c r="G126" s="1580">
        <v>13</v>
      </c>
      <c r="H126" s="1581">
        <f t="shared" si="4"/>
        <v>68.421052631578945</v>
      </c>
    </row>
    <row r="127" spans="1:8" ht="15" x14ac:dyDescent="0.2">
      <c r="A127" s="1577">
        <v>3636</v>
      </c>
      <c r="B127" s="1578">
        <v>5175</v>
      </c>
      <c r="C127" s="1629" t="s">
        <v>1235</v>
      </c>
      <c r="D127" s="1579" t="s">
        <v>605</v>
      </c>
      <c r="E127" s="1580">
        <v>0</v>
      </c>
      <c r="F127" s="1580">
        <v>25</v>
      </c>
      <c r="G127" s="1580">
        <v>1</v>
      </c>
      <c r="H127" s="1581">
        <f t="shared" si="4"/>
        <v>4</v>
      </c>
    </row>
    <row r="128" spans="1:8" ht="15" x14ac:dyDescent="0.2">
      <c r="A128" s="1577">
        <v>3636</v>
      </c>
      <c r="B128" s="1578">
        <v>5175</v>
      </c>
      <c r="C128" s="1629" t="s">
        <v>1234</v>
      </c>
      <c r="D128" s="1579" t="s">
        <v>605</v>
      </c>
      <c r="E128" s="1580">
        <v>0</v>
      </c>
      <c r="F128" s="1580">
        <v>75</v>
      </c>
      <c r="G128" s="1580">
        <v>2</v>
      </c>
      <c r="H128" s="1581">
        <f t="shared" si="4"/>
        <v>2.666666666666667</v>
      </c>
    </row>
    <row r="129" spans="1:8" ht="15" x14ac:dyDescent="0.2">
      <c r="A129" s="1577">
        <v>3636</v>
      </c>
      <c r="B129" s="1578">
        <v>5176</v>
      </c>
      <c r="C129" s="1629" t="s">
        <v>1235</v>
      </c>
      <c r="D129" s="1579" t="s">
        <v>1119</v>
      </c>
      <c r="E129" s="1580">
        <v>0</v>
      </c>
      <c r="F129" s="1580">
        <v>2</v>
      </c>
      <c r="G129" s="1580">
        <v>0</v>
      </c>
      <c r="H129" s="1581">
        <f t="shared" si="4"/>
        <v>0</v>
      </c>
    </row>
    <row r="130" spans="1:8" ht="15.75" thickBot="1" x14ac:dyDescent="0.25">
      <c r="A130" s="1577">
        <v>3636</v>
      </c>
      <c r="B130" s="1578">
        <v>5176</v>
      </c>
      <c r="C130" s="1629" t="s">
        <v>1234</v>
      </c>
      <c r="D130" s="1579" t="s">
        <v>1119</v>
      </c>
      <c r="E130" s="1580">
        <v>0</v>
      </c>
      <c r="F130" s="1580">
        <v>7</v>
      </c>
      <c r="G130" s="1580">
        <v>0</v>
      </c>
      <c r="H130" s="1581">
        <f t="shared" si="4"/>
        <v>0</v>
      </c>
    </row>
    <row r="131" spans="1:8" ht="15.75" hidden="1" thickBot="1" x14ac:dyDescent="0.25">
      <c r="A131" s="1577">
        <v>3636</v>
      </c>
      <c r="B131" s="1578">
        <v>6901</v>
      </c>
      <c r="C131" s="2850">
        <v>32533926</v>
      </c>
      <c r="D131" s="1579" t="s">
        <v>391</v>
      </c>
      <c r="E131" s="1580"/>
      <c r="F131" s="1580"/>
      <c r="G131" s="1580"/>
      <c r="H131" s="1581" t="e">
        <f t="shared" si="4"/>
        <v>#DIV/0!</v>
      </c>
    </row>
    <row r="132" spans="1:8" ht="15.75" hidden="1" thickBot="1" x14ac:dyDescent="0.25">
      <c r="A132" s="1577">
        <v>3636</v>
      </c>
      <c r="B132" s="1578">
        <v>5363</v>
      </c>
      <c r="C132" s="2850">
        <v>19</v>
      </c>
      <c r="D132" s="1579" t="s">
        <v>498</v>
      </c>
      <c r="E132" s="1580"/>
      <c r="F132" s="1580"/>
      <c r="G132" s="1580"/>
      <c r="H132" s="1581" t="e">
        <f t="shared" si="4"/>
        <v>#DIV/0!</v>
      </c>
    </row>
    <row r="133" spans="1:8" ht="15.75" hidden="1" thickBot="1" x14ac:dyDescent="0.25">
      <c r="A133" s="1577">
        <v>6330</v>
      </c>
      <c r="B133" s="1578">
        <v>5345</v>
      </c>
      <c r="C133" s="2850">
        <v>0</v>
      </c>
      <c r="D133" s="1579" t="s">
        <v>693</v>
      </c>
      <c r="E133" s="1580"/>
      <c r="F133" s="1580"/>
      <c r="G133" s="1580"/>
      <c r="H133" s="1583">
        <v>0</v>
      </c>
    </row>
    <row r="134" spans="1:8" ht="16.5" thickTop="1" thickBot="1" x14ac:dyDescent="0.3">
      <c r="A134" s="3219" t="s">
        <v>690</v>
      </c>
      <c r="B134" s="3220"/>
      <c r="C134" s="3220"/>
      <c r="D134" s="3220"/>
      <c r="E134" s="1387">
        <f>SUM(E107:E133)</f>
        <v>0</v>
      </c>
      <c r="F134" s="1387">
        <f>SUM(F107:F133)</f>
        <v>2989</v>
      </c>
      <c r="G134" s="1387">
        <f>SUM(G107:G133)</f>
        <v>911</v>
      </c>
      <c r="H134" s="1391">
        <f>G134/F134*100</f>
        <v>30.478420876547339</v>
      </c>
    </row>
    <row r="135" spans="1:8" ht="13.5" thickTop="1" x14ac:dyDescent="0.2"/>
    <row r="136" spans="1:8" ht="13.5" x14ac:dyDescent="0.25">
      <c r="A136" s="3233" t="s">
        <v>1724</v>
      </c>
      <c r="B136" s="3151"/>
      <c r="C136" s="3151"/>
      <c r="D136" s="3151"/>
      <c r="E136" s="3151"/>
      <c r="F136" s="3151"/>
      <c r="G136" s="3151"/>
      <c r="H136" s="3151"/>
    </row>
    <row r="137" spans="1:8" ht="15.75" thickBot="1" x14ac:dyDescent="0.3">
      <c r="A137" s="1544" t="s">
        <v>1725</v>
      </c>
      <c r="B137" s="1558"/>
      <c r="C137" s="1558"/>
      <c r="E137" s="1559"/>
      <c r="F137" s="1559"/>
      <c r="G137" s="1559"/>
      <c r="H137" s="1560" t="s">
        <v>148</v>
      </c>
    </row>
    <row r="138" spans="1:8" s="1635" customFormat="1" ht="25.5" thickTop="1" thickBot="1" x14ac:dyDescent="0.25">
      <c r="A138" s="1561" t="s">
        <v>149</v>
      </c>
      <c r="B138" s="1562" t="s">
        <v>688</v>
      </c>
      <c r="C138" s="1562" t="s">
        <v>345</v>
      </c>
      <c r="D138" s="1563" t="s">
        <v>151</v>
      </c>
      <c r="E138" s="1564" t="s">
        <v>569</v>
      </c>
      <c r="F138" s="1564" t="s">
        <v>570</v>
      </c>
      <c r="G138" s="1565" t="s">
        <v>797</v>
      </c>
      <c r="H138" s="1566" t="s">
        <v>798</v>
      </c>
    </row>
    <row r="139" spans="1:8" s="1635" customFormat="1" ht="13.5" thickTop="1" thickBot="1" x14ac:dyDescent="0.25">
      <c r="A139" s="1567">
        <v>1</v>
      </c>
      <c r="B139" s="1568">
        <v>2</v>
      </c>
      <c r="C139" s="1568">
        <v>3</v>
      </c>
      <c r="D139" s="1568">
        <v>4</v>
      </c>
      <c r="E139" s="1569">
        <v>5</v>
      </c>
      <c r="F139" s="1569">
        <v>6</v>
      </c>
      <c r="G139" s="1570">
        <v>7</v>
      </c>
      <c r="H139" s="1571" t="s">
        <v>54</v>
      </c>
    </row>
    <row r="140" spans="1:8" ht="16.5" hidden="1" thickTop="1" thickBot="1" x14ac:dyDescent="0.25">
      <c r="A140" s="1577">
        <v>3636</v>
      </c>
      <c r="B140" s="1578">
        <v>5164</v>
      </c>
      <c r="C140" s="1582">
        <v>0</v>
      </c>
      <c r="D140" s="1579" t="s">
        <v>157</v>
      </c>
      <c r="E140" s="1575">
        <v>0</v>
      </c>
      <c r="F140" s="1575">
        <v>0</v>
      </c>
      <c r="G140" s="1575">
        <v>0</v>
      </c>
      <c r="H140" s="1576" t="e">
        <f>G140/F140*100</f>
        <v>#DIV/0!</v>
      </c>
    </row>
    <row r="141" spans="1:8" ht="16.5" hidden="1" thickTop="1" thickBot="1" x14ac:dyDescent="0.25">
      <c r="A141" s="1577">
        <v>6223</v>
      </c>
      <c r="B141" s="1578">
        <v>5169</v>
      </c>
      <c r="C141" s="1582">
        <v>0</v>
      </c>
      <c r="D141" s="1579" t="s">
        <v>769</v>
      </c>
      <c r="E141" s="1580">
        <v>0</v>
      </c>
      <c r="F141" s="1580"/>
      <c r="G141" s="1580"/>
      <c r="H141" s="1581" t="e">
        <f>G141/F141*100</f>
        <v>#DIV/0!</v>
      </c>
    </row>
    <row r="142" spans="1:8" ht="16.5" hidden="1" thickTop="1" thickBot="1" x14ac:dyDescent="0.25">
      <c r="A142" s="1577">
        <v>6223</v>
      </c>
      <c r="B142" s="1578">
        <v>5175</v>
      </c>
      <c r="C142" s="1582">
        <v>0</v>
      </c>
      <c r="D142" s="1579" t="s">
        <v>605</v>
      </c>
      <c r="E142" s="1580">
        <v>0</v>
      </c>
      <c r="F142" s="1580"/>
      <c r="G142" s="1580"/>
      <c r="H142" s="1581">
        <v>0</v>
      </c>
    </row>
    <row r="143" spans="1:8" ht="45.75" thickTop="1" x14ac:dyDescent="0.2">
      <c r="A143" s="1577">
        <v>2125</v>
      </c>
      <c r="B143" s="1578">
        <v>5213</v>
      </c>
      <c r="C143" s="2850" t="s">
        <v>2010</v>
      </c>
      <c r="D143" s="1574" t="s">
        <v>935</v>
      </c>
      <c r="E143" s="1580">
        <v>1667</v>
      </c>
      <c r="F143" s="1580">
        <v>1498</v>
      </c>
      <c r="G143" s="1580">
        <v>1498</v>
      </c>
      <c r="H143" s="1581">
        <f>G143/F143*100</f>
        <v>100</v>
      </c>
    </row>
    <row r="144" spans="1:8" ht="45" x14ac:dyDescent="0.2">
      <c r="A144" s="1577">
        <v>2125</v>
      </c>
      <c r="B144" s="1578">
        <v>5213</v>
      </c>
      <c r="C144" s="2850" t="s">
        <v>2013</v>
      </c>
      <c r="D144" s="1579" t="s">
        <v>935</v>
      </c>
      <c r="E144" s="1580">
        <v>5000</v>
      </c>
      <c r="F144" s="1580">
        <v>4495</v>
      </c>
      <c r="G144" s="1580">
        <v>4495</v>
      </c>
      <c r="H144" s="1581">
        <f>G144/F144*100</f>
        <v>100</v>
      </c>
    </row>
    <row r="145" spans="1:9" ht="15.75" thickBot="1" x14ac:dyDescent="0.25">
      <c r="A145" s="1577">
        <v>6330</v>
      </c>
      <c r="B145" s="1578">
        <v>5345</v>
      </c>
      <c r="C145" s="2850" t="s">
        <v>1760</v>
      </c>
      <c r="D145" s="1579" t="s">
        <v>693</v>
      </c>
      <c r="E145" s="1580">
        <v>0</v>
      </c>
      <c r="F145" s="1580">
        <v>0</v>
      </c>
      <c r="G145" s="1580">
        <v>4791</v>
      </c>
      <c r="H145" s="1583">
        <v>0</v>
      </c>
    </row>
    <row r="146" spans="1:9" s="1641" customFormat="1" ht="16.5" thickTop="1" thickBot="1" x14ac:dyDescent="0.3">
      <c r="A146" s="3231" t="s">
        <v>690</v>
      </c>
      <c r="B146" s="3232"/>
      <c r="C146" s="3232"/>
      <c r="D146" s="3232"/>
      <c r="E146" s="1584">
        <f>SUM(E140:E145)</f>
        <v>6667</v>
      </c>
      <c r="F146" s="1584">
        <f>SUM(F140:F145)</f>
        <v>5993</v>
      </c>
      <c r="G146" s="1584">
        <f>SUM(G140:G145)</f>
        <v>10784</v>
      </c>
      <c r="H146" s="1585">
        <f>G146/F146*100</f>
        <v>179.94326714500249</v>
      </c>
      <c r="I146" s="1640"/>
    </row>
    <row r="147" spans="1:9" ht="13.5" thickTop="1" x14ac:dyDescent="0.2"/>
    <row r="149" spans="1:9" ht="15.75" thickBot="1" x14ac:dyDescent="0.3">
      <c r="A149" s="1544" t="s">
        <v>229</v>
      </c>
      <c r="B149" s="1558"/>
      <c r="C149" s="1558"/>
      <c r="D149" s="1558"/>
      <c r="F149" s="1559"/>
      <c r="G149" s="1559"/>
      <c r="H149" s="1560" t="s">
        <v>148</v>
      </c>
      <c r="I149" s="1631"/>
    </row>
    <row r="150" spans="1:9" ht="25.5" thickTop="1" thickBot="1" x14ac:dyDescent="0.25">
      <c r="A150" s="1561" t="s">
        <v>149</v>
      </c>
      <c r="B150" s="1562" t="s">
        <v>688</v>
      </c>
      <c r="C150" s="1562" t="s">
        <v>345</v>
      </c>
      <c r="D150" s="1563" t="s">
        <v>151</v>
      </c>
      <c r="E150" s="1564" t="s">
        <v>569</v>
      </c>
      <c r="F150" s="1564" t="s">
        <v>570</v>
      </c>
      <c r="G150" s="1565" t="s">
        <v>797</v>
      </c>
      <c r="H150" s="1566" t="s">
        <v>798</v>
      </c>
    </row>
    <row r="151" spans="1:9" ht="14.25" thickTop="1" thickBot="1" x14ac:dyDescent="0.25">
      <c r="A151" s="1567">
        <v>1</v>
      </c>
      <c r="B151" s="1568">
        <v>2</v>
      </c>
      <c r="C151" s="1568">
        <v>3</v>
      </c>
      <c r="D151" s="1568">
        <v>5</v>
      </c>
      <c r="E151" s="1569">
        <v>6</v>
      </c>
      <c r="F151" s="1569">
        <v>7</v>
      </c>
      <c r="G151" s="1570">
        <v>8</v>
      </c>
      <c r="H151" s="1586" t="s">
        <v>689</v>
      </c>
    </row>
    <row r="152" spans="1:9" s="1553" customFormat="1" ht="15.75" thickTop="1" x14ac:dyDescent="0.25">
      <c r="A152" s="1628">
        <v>2125</v>
      </c>
      <c r="B152" s="1599">
        <v>5169</v>
      </c>
      <c r="C152" s="2854" t="s">
        <v>1760</v>
      </c>
      <c r="D152" s="1600" t="s">
        <v>1037</v>
      </c>
      <c r="E152" s="1580">
        <v>500</v>
      </c>
      <c r="F152" s="1580">
        <v>500</v>
      </c>
      <c r="G152" s="1588">
        <v>0</v>
      </c>
      <c r="H152" s="1581">
        <f>G152/F152*100</f>
        <v>0</v>
      </c>
    </row>
    <row r="153" spans="1:9" s="1639" customFormat="1" ht="30" x14ac:dyDescent="0.2">
      <c r="A153" s="1592">
        <v>2125</v>
      </c>
      <c r="B153" s="1578">
        <v>5213</v>
      </c>
      <c r="C153" s="2849" t="s">
        <v>1760</v>
      </c>
      <c r="D153" s="1579" t="s">
        <v>2109</v>
      </c>
      <c r="E153" s="1580">
        <v>4500</v>
      </c>
      <c r="F153" s="1580">
        <v>2035</v>
      </c>
      <c r="G153" s="1588">
        <v>0</v>
      </c>
      <c r="H153" s="1581">
        <f>G153/F153*100</f>
        <v>0</v>
      </c>
    </row>
    <row r="154" spans="1:9" s="1553" customFormat="1" ht="15" x14ac:dyDescent="0.25">
      <c r="A154" s="1628">
        <v>3636</v>
      </c>
      <c r="B154" s="1599">
        <v>5011</v>
      </c>
      <c r="C154" s="2854" t="s">
        <v>1760</v>
      </c>
      <c r="D154" s="1600" t="s">
        <v>189</v>
      </c>
      <c r="E154" s="1580">
        <v>1615</v>
      </c>
      <c r="F154" s="1580">
        <v>1165</v>
      </c>
      <c r="G154" s="1588">
        <v>0</v>
      </c>
      <c r="H154" s="1581">
        <f>G154/F154*100</f>
        <v>0</v>
      </c>
    </row>
    <row r="155" spans="1:9" s="1553" customFormat="1" ht="15" x14ac:dyDescent="0.25">
      <c r="A155" s="1598">
        <v>6330</v>
      </c>
      <c r="B155" s="1599">
        <v>5345</v>
      </c>
      <c r="C155" s="2854" t="s">
        <v>1760</v>
      </c>
      <c r="D155" s="1600" t="s">
        <v>693</v>
      </c>
      <c r="E155" s="1580">
        <v>0</v>
      </c>
      <c r="F155" s="1580">
        <v>0</v>
      </c>
      <c r="G155" s="1588">
        <v>389</v>
      </c>
      <c r="H155" s="1581">
        <v>0</v>
      </c>
    </row>
    <row r="156" spans="1:9" s="1553" customFormat="1" ht="15.75" thickBot="1" x14ac:dyDescent="0.3">
      <c r="A156" s="1577">
        <v>6409</v>
      </c>
      <c r="B156" s="1578">
        <v>5909</v>
      </c>
      <c r="C156" s="2849" t="s">
        <v>1760</v>
      </c>
      <c r="D156" s="1604" t="s">
        <v>588</v>
      </c>
      <c r="E156" s="1580">
        <v>0</v>
      </c>
      <c r="F156" s="1580">
        <v>0</v>
      </c>
      <c r="G156" s="1580">
        <v>0</v>
      </c>
      <c r="H156" s="1581">
        <v>0</v>
      </c>
    </row>
    <row r="157" spans="1:9" ht="16.5" thickTop="1" thickBot="1" x14ac:dyDescent="0.3">
      <c r="A157" s="1589" t="s">
        <v>690</v>
      </c>
      <c r="B157" s="1590"/>
      <c r="C157" s="1590"/>
      <c r="D157" s="1591"/>
      <c r="E157" s="1584">
        <f>SUM(E152:E156)</f>
        <v>6615</v>
      </c>
      <c r="F157" s="1584">
        <f>SUM(F152:F156)</f>
        <v>3700</v>
      </c>
      <c r="G157" s="1584">
        <f>SUM(G152:G156)</f>
        <v>389</v>
      </c>
      <c r="H157" s="1585">
        <f>G157/F157*100</f>
        <v>10.513513513513512</v>
      </c>
    </row>
    <row r="158" spans="1:9" ht="13.5" thickTop="1" x14ac:dyDescent="0.2"/>
    <row r="159" spans="1:9" ht="13.5" x14ac:dyDescent="0.25">
      <c r="A159" s="3233" t="s">
        <v>2120</v>
      </c>
      <c r="B159" s="3151"/>
      <c r="C159" s="3151"/>
      <c r="D159" s="3151"/>
      <c r="E159" s="3151"/>
      <c r="F159" s="3151"/>
      <c r="G159" s="3151"/>
      <c r="H159" s="3151"/>
    </row>
    <row r="160" spans="1:9" ht="15.75" thickBot="1" x14ac:dyDescent="0.3">
      <c r="A160" s="1544" t="s">
        <v>2119</v>
      </c>
      <c r="B160" s="1558"/>
      <c r="C160" s="1558"/>
      <c r="E160" s="1559"/>
      <c r="F160" s="1559"/>
      <c r="G160" s="1559"/>
      <c r="H160" s="1560" t="s">
        <v>148</v>
      </c>
      <c r="I160" s="1631"/>
    </row>
    <row r="161" spans="1:9" ht="25.5" thickTop="1" thickBot="1" x14ac:dyDescent="0.25">
      <c r="A161" s="1561" t="s">
        <v>149</v>
      </c>
      <c r="B161" s="1562" t="s">
        <v>688</v>
      </c>
      <c r="C161" s="1562" t="s">
        <v>345</v>
      </c>
      <c r="D161" s="1563" t="s">
        <v>151</v>
      </c>
      <c r="E161" s="1564" t="s">
        <v>569</v>
      </c>
      <c r="F161" s="1564" t="s">
        <v>570</v>
      </c>
      <c r="G161" s="1565" t="s">
        <v>797</v>
      </c>
      <c r="H161" s="1566" t="s">
        <v>798</v>
      </c>
    </row>
    <row r="162" spans="1:9" ht="14.25" thickTop="1" thickBot="1" x14ac:dyDescent="0.25">
      <c r="A162" s="1567">
        <v>1</v>
      </c>
      <c r="B162" s="1568">
        <v>2</v>
      </c>
      <c r="C162" s="1568">
        <v>3</v>
      </c>
      <c r="D162" s="1568">
        <v>5</v>
      </c>
      <c r="E162" s="1569">
        <v>6</v>
      </c>
      <c r="F162" s="1569">
        <v>7</v>
      </c>
      <c r="G162" s="1570">
        <v>8</v>
      </c>
      <c r="H162" s="1586" t="s">
        <v>689</v>
      </c>
    </row>
    <row r="163" spans="1:9" s="1639" customFormat="1" ht="31.5" thickTop="1" thickBot="1" x14ac:dyDescent="0.25">
      <c r="A163" s="1592">
        <v>3636</v>
      </c>
      <c r="B163" s="1578">
        <v>5331</v>
      </c>
      <c r="C163" s="2849" t="s">
        <v>2115</v>
      </c>
      <c r="D163" s="1579" t="s">
        <v>2118</v>
      </c>
      <c r="E163" s="1580">
        <v>0</v>
      </c>
      <c r="F163" s="1580">
        <v>17</v>
      </c>
      <c r="G163" s="1588">
        <v>17</v>
      </c>
      <c r="H163" s="1581">
        <f>G163/F163*100</f>
        <v>100</v>
      </c>
    </row>
    <row r="164" spans="1:9" s="1639" customFormat="1" ht="30.75" hidden="1" thickBot="1" x14ac:dyDescent="0.25">
      <c r="A164" s="1592">
        <v>2125</v>
      </c>
      <c r="B164" s="1578">
        <v>5213</v>
      </c>
      <c r="C164" s="2849" t="s">
        <v>1760</v>
      </c>
      <c r="D164" s="1579" t="s">
        <v>2109</v>
      </c>
      <c r="E164" s="1580"/>
      <c r="F164" s="1580"/>
      <c r="G164" s="1588"/>
      <c r="H164" s="1581" t="e">
        <f>G164/F164*100</f>
        <v>#DIV/0!</v>
      </c>
    </row>
    <row r="165" spans="1:9" s="1553" customFormat="1" ht="15.75" hidden="1" thickBot="1" x14ac:dyDescent="0.3">
      <c r="A165" s="1628">
        <v>3636</v>
      </c>
      <c r="B165" s="1599">
        <v>5011</v>
      </c>
      <c r="C165" s="2854" t="s">
        <v>1760</v>
      </c>
      <c r="D165" s="1600" t="s">
        <v>189</v>
      </c>
      <c r="E165" s="1580"/>
      <c r="F165" s="1580"/>
      <c r="G165" s="1588"/>
      <c r="H165" s="1581" t="e">
        <f>G165/F165*100</f>
        <v>#DIV/0!</v>
      </c>
    </row>
    <row r="166" spans="1:9" s="1553" customFormat="1" ht="15.75" hidden="1" thickBot="1" x14ac:dyDescent="0.3">
      <c r="A166" s="1598">
        <v>6330</v>
      </c>
      <c r="B166" s="1599">
        <v>5345</v>
      </c>
      <c r="C166" s="2854" t="s">
        <v>1760</v>
      </c>
      <c r="D166" s="1600" t="s">
        <v>693</v>
      </c>
      <c r="E166" s="1580"/>
      <c r="F166" s="1580"/>
      <c r="G166" s="1588"/>
      <c r="H166" s="1581">
        <v>0</v>
      </c>
    </row>
    <row r="167" spans="1:9" s="1553" customFormat="1" ht="15.75" hidden="1" thickBot="1" x14ac:dyDescent="0.3">
      <c r="A167" s="1577">
        <v>6409</v>
      </c>
      <c r="B167" s="1578">
        <v>5909</v>
      </c>
      <c r="C167" s="2849" t="s">
        <v>1760</v>
      </c>
      <c r="D167" s="1604" t="s">
        <v>588</v>
      </c>
      <c r="E167" s="1580"/>
      <c r="F167" s="1580"/>
      <c r="G167" s="1580"/>
      <c r="H167" s="1581">
        <v>0</v>
      </c>
    </row>
    <row r="168" spans="1:9" ht="16.5" thickTop="1" thickBot="1" x14ac:dyDescent="0.3">
      <c r="A168" s="1589" t="s">
        <v>690</v>
      </c>
      <c r="B168" s="1590"/>
      <c r="C168" s="1590"/>
      <c r="D168" s="1591"/>
      <c r="E168" s="1584">
        <f>SUM(E163:E167)</f>
        <v>0</v>
      </c>
      <c r="F168" s="1584">
        <f>SUM(F163:F167)</f>
        <v>17</v>
      </c>
      <c r="G168" s="1584">
        <f>SUM(G163:G167)</f>
        <v>17</v>
      </c>
      <c r="H168" s="1585">
        <f>G168/F168*100</f>
        <v>100</v>
      </c>
    </row>
    <row r="169" spans="1:9" ht="13.5" thickTop="1" x14ac:dyDescent="0.2"/>
    <row r="170" spans="1:9" ht="13.5" x14ac:dyDescent="0.25">
      <c r="A170" s="3233" t="s">
        <v>2117</v>
      </c>
      <c r="B170" s="3151"/>
      <c r="C170" s="3151"/>
      <c r="D170" s="3151"/>
      <c r="E170" s="3151"/>
      <c r="F170" s="3151"/>
      <c r="G170" s="3151"/>
      <c r="H170" s="3151"/>
    </row>
    <row r="171" spans="1:9" ht="15.75" thickBot="1" x14ac:dyDescent="0.3">
      <c r="A171" s="1544" t="s">
        <v>2116</v>
      </c>
      <c r="B171" s="1558"/>
      <c r="C171" s="1558"/>
      <c r="E171" s="1559"/>
      <c r="F171" s="1559"/>
      <c r="G171" s="1559"/>
      <c r="H171" s="1560" t="s">
        <v>148</v>
      </c>
      <c r="I171" s="1631"/>
    </row>
    <row r="172" spans="1:9" ht="25.5" thickTop="1" thickBot="1" x14ac:dyDescent="0.25">
      <c r="A172" s="1561" t="s">
        <v>149</v>
      </c>
      <c r="B172" s="1562" t="s">
        <v>688</v>
      </c>
      <c r="C172" s="1562" t="s">
        <v>345</v>
      </c>
      <c r="D172" s="1563" t="s">
        <v>151</v>
      </c>
      <c r="E172" s="1564" t="s">
        <v>569</v>
      </c>
      <c r="F172" s="1564" t="s">
        <v>570</v>
      </c>
      <c r="G172" s="1565" t="s">
        <v>797</v>
      </c>
      <c r="H172" s="1566" t="s">
        <v>798</v>
      </c>
    </row>
    <row r="173" spans="1:9" ht="14.25" thickTop="1" thickBot="1" x14ac:dyDescent="0.25">
      <c r="A173" s="1567">
        <v>1</v>
      </c>
      <c r="B173" s="1568">
        <v>2</v>
      </c>
      <c r="C173" s="1568">
        <v>3</v>
      </c>
      <c r="D173" s="1568">
        <v>5</v>
      </c>
      <c r="E173" s="1569">
        <v>6</v>
      </c>
      <c r="F173" s="1569">
        <v>7</v>
      </c>
      <c r="G173" s="1570">
        <v>8</v>
      </c>
      <c r="H173" s="1586" t="s">
        <v>689</v>
      </c>
    </row>
    <row r="174" spans="1:9" s="1639" customFormat="1" ht="31.5" thickTop="1" thickBot="1" x14ac:dyDescent="0.25">
      <c r="A174" s="1592">
        <v>3636</v>
      </c>
      <c r="B174" s="1578">
        <v>5229</v>
      </c>
      <c r="C174" s="2849" t="s">
        <v>2115</v>
      </c>
      <c r="D174" s="1579" t="s">
        <v>2114</v>
      </c>
      <c r="E174" s="1580">
        <v>0</v>
      </c>
      <c r="F174" s="1580">
        <v>42</v>
      </c>
      <c r="G174" s="1588">
        <v>35</v>
      </c>
      <c r="H174" s="1581">
        <f>G174/F174*100</f>
        <v>83.333333333333343</v>
      </c>
    </row>
    <row r="175" spans="1:9" s="1639" customFormat="1" ht="30.75" hidden="1" thickBot="1" x14ac:dyDescent="0.25">
      <c r="A175" s="1592">
        <v>2125</v>
      </c>
      <c r="B175" s="1578">
        <v>5213</v>
      </c>
      <c r="C175" s="2849" t="s">
        <v>1760</v>
      </c>
      <c r="D175" s="1579" t="s">
        <v>2109</v>
      </c>
      <c r="E175" s="1580"/>
      <c r="F175" s="1580"/>
      <c r="G175" s="1588"/>
      <c r="H175" s="1581" t="e">
        <f>G175/F175*100</f>
        <v>#DIV/0!</v>
      </c>
    </row>
    <row r="176" spans="1:9" s="1553" customFormat="1" ht="15.75" hidden="1" thickBot="1" x14ac:dyDescent="0.3">
      <c r="A176" s="1628">
        <v>3636</v>
      </c>
      <c r="B176" s="1599">
        <v>5011</v>
      </c>
      <c r="C176" s="2854" t="s">
        <v>1760</v>
      </c>
      <c r="D176" s="1600" t="s">
        <v>189</v>
      </c>
      <c r="E176" s="1580"/>
      <c r="F176" s="1580"/>
      <c r="G176" s="1588"/>
      <c r="H176" s="1581" t="e">
        <f>G176/F176*100</f>
        <v>#DIV/0!</v>
      </c>
    </row>
    <row r="177" spans="1:9" s="1553" customFormat="1" ht="15.75" hidden="1" thickBot="1" x14ac:dyDescent="0.3">
      <c r="A177" s="1598">
        <v>6330</v>
      </c>
      <c r="B177" s="1599">
        <v>5345</v>
      </c>
      <c r="C177" s="2854" t="s">
        <v>1760</v>
      </c>
      <c r="D177" s="1600" t="s">
        <v>693</v>
      </c>
      <c r="E177" s="1580"/>
      <c r="F177" s="1580"/>
      <c r="G177" s="1588"/>
      <c r="H177" s="1581">
        <v>0</v>
      </c>
    </row>
    <row r="178" spans="1:9" s="1553" customFormat="1" ht="15.75" hidden="1" thickBot="1" x14ac:dyDescent="0.3">
      <c r="A178" s="1577">
        <v>6409</v>
      </c>
      <c r="B178" s="1578">
        <v>5909</v>
      </c>
      <c r="C178" s="2849" t="s">
        <v>1760</v>
      </c>
      <c r="D178" s="1604" t="s">
        <v>588</v>
      </c>
      <c r="E178" s="1580"/>
      <c r="F178" s="1580"/>
      <c r="G178" s="1580"/>
      <c r="H178" s="1581">
        <v>0</v>
      </c>
    </row>
    <row r="179" spans="1:9" ht="16.5" thickTop="1" thickBot="1" x14ac:dyDescent="0.3">
      <c r="A179" s="1589" t="s">
        <v>690</v>
      </c>
      <c r="B179" s="1590"/>
      <c r="C179" s="1590"/>
      <c r="D179" s="1591"/>
      <c r="E179" s="1584">
        <f>SUM(E174:E178)</f>
        <v>0</v>
      </c>
      <c r="F179" s="1584">
        <f>SUM(F174:F178)</f>
        <v>42</v>
      </c>
      <c r="G179" s="1584">
        <f>SUM(G174:G178)</f>
        <v>35</v>
      </c>
      <c r="H179" s="1585">
        <f>G179/F179*100</f>
        <v>83.333333333333343</v>
      </c>
    </row>
    <row r="180" spans="1:9" ht="13.5" thickTop="1" x14ac:dyDescent="0.2"/>
    <row r="181" spans="1:9" ht="13.5" x14ac:dyDescent="0.25">
      <c r="A181" s="3233" t="s">
        <v>2113</v>
      </c>
      <c r="B181" s="3151"/>
      <c r="C181" s="3151"/>
      <c r="D181" s="3151"/>
      <c r="E181" s="3151"/>
      <c r="F181" s="3151"/>
      <c r="G181" s="3151"/>
      <c r="H181" s="3151"/>
    </row>
    <row r="182" spans="1:9" ht="15.75" thickBot="1" x14ac:dyDescent="0.3">
      <c r="A182" s="1544" t="s">
        <v>2112</v>
      </c>
      <c r="B182" s="1558"/>
      <c r="C182" s="1558"/>
      <c r="E182" s="1559"/>
      <c r="F182" s="1559"/>
      <c r="G182" s="1559"/>
      <c r="H182" s="1560" t="s">
        <v>148</v>
      </c>
      <c r="I182" s="1631"/>
    </row>
    <row r="183" spans="1:9" ht="25.5" thickTop="1" thickBot="1" x14ac:dyDescent="0.25">
      <c r="A183" s="1561" t="s">
        <v>149</v>
      </c>
      <c r="B183" s="1562" t="s">
        <v>688</v>
      </c>
      <c r="C183" s="1562" t="s">
        <v>345</v>
      </c>
      <c r="D183" s="1563" t="s">
        <v>151</v>
      </c>
      <c r="E183" s="1564" t="s">
        <v>569</v>
      </c>
      <c r="F183" s="1564" t="s">
        <v>570</v>
      </c>
      <c r="G183" s="1565" t="s">
        <v>797</v>
      </c>
      <c r="H183" s="1566" t="s">
        <v>798</v>
      </c>
    </row>
    <row r="184" spans="1:9" ht="14.25" thickTop="1" thickBot="1" x14ac:dyDescent="0.25">
      <c r="A184" s="1567">
        <v>1</v>
      </c>
      <c r="B184" s="1568">
        <v>2</v>
      </c>
      <c r="C184" s="1568">
        <v>3</v>
      </c>
      <c r="D184" s="1568">
        <v>5</v>
      </c>
      <c r="E184" s="1569">
        <v>6</v>
      </c>
      <c r="F184" s="1569">
        <v>7</v>
      </c>
      <c r="G184" s="1570">
        <v>8</v>
      </c>
      <c r="H184" s="1586" t="s">
        <v>689</v>
      </c>
    </row>
    <row r="185" spans="1:9" s="1639" customFormat="1" ht="30.75" thickTop="1" x14ac:dyDescent="0.2">
      <c r="A185" s="1592">
        <v>2125</v>
      </c>
      <c r="B185" s="1578">
        <v>5213</v>
      </c>
      <c r="C185" s="2849" t="s">
        <v>2111</v>
      </c>
      <c r="D185" s="1579" t="s">
        <v>2109</v>
      </c>
      <c r="E185" s="1580">
        <v>0</v>
      </c>
      <c r="F185" s="1580">
        <v>2205</v>
      </c>
      <c r="G185" s="1588">
        <v>0</v>
      </c>
      <c r="H185" s="1581">
        <f>G185/F185*100</f>
        <v>0</v>
      </c>
    </row>
    <row r="186" spans="1:9" s="1639" customFormat="1" ht="30" hidden="1" x14ac:dyDescent="0.2">
      <c r="A186" s="1592">
        <v>2125</v>
      </c>
      <c r="B186" s="1578">
        <v>5213</v>
      </c>
      <c r="C186" s="2849" t="s">
        <v>1760</v>
      </c>
      <c r="D186" s="1579" t="s">
        <v>2109</v>
      </c>
      <c r="E186" s="1580"/>
      <c r="F186" s="1580"/>
      <c r="G186" s="1588"/>
      <c r="H186" s="1581" t="e">
        <f>G186/F186*100</f>
        <v>#DIV/0!</v>
      </c>
    </row>
    <row r="187" spans="1:9" s="1553" customFormat="1" ht="30" hidden="1" x14ac:dyDescent="0.2">
      <c r="A187" s="1592">
        <v>2125</v>
      </c>
      <c r="B187" s="1578">
        <v>5213</v>
      </c>
      <c r="C187" s="2854" t="s">
        <v>1760</v>
      </c>
      <c r="D187" s="1579" t="s">
        <v>2109</v>
      </c>
      <c r="E187" s="1580"/>
      <c r="F187" s="1580"/>
      <c r="G187" s="1588"/>
      <c r="H187" s="1581" t="e">
        <f>G187/F187*100</f>
        <v>#DIV/0!</v>
      </c>
    </row>
    <row r="188" spans="1:9" s="1553" customFormat="1" ht="30" hidden="1" x14ac:dyDescent="0.2">
      <c r="A188" s="1592">
        <v>2125</v>
      </c>
      <c r="B188" s="1578">
        <v>5213</v>
      </c>
      <c r="C188" s="2854" t="s">
        <v>1760</v>
      </c>
      <c r="D188" s="1579" t="s">
        <v>2109</v>
      </c>
      <c r="E188" s="1580"/>
      <c r="F188" s="1580"/>
      <c r="G188" s="1588"/>
      <c r="H188" s="1581">
        <v>0</v>
      </c>
    </row>
    <row r="189" spans="1:9" s="1553" customFormat="1" ht="30.75" thickBot="1" x14ac:dyDescent="0.25">
      <c r="A189" s="1592">
        <v>2125</v>
      </c>
      <c r="B189" s="1578">
        <v>5213</v>
      </c>
      <c r="C189" s="2849" t="s">
        <v>2110</v>
      </c>
      <c r="D189" s="1579" t="s">
        <v>2109</v>
      </c>
      <c r="E189" s="1580">
        <v>0</v>
      </c>
      <c r="F189" s="1580">
        <v>140</v>
      </c>
      <c r="G189" s="1580">
        <v>0</v>
      </c>
      <c r="H189" s="1581">
        <v>0</v>
      </c>
    </row>
    <row r="190" spans="1:9" ht="16.5" thickTop="1" thickBot="1" x14ac:dyDescent="0.3">
      <c r="A190" s="1589" t="s">
        <v>690</v>
      </c>
      <c r="B190" s="1590"/>
      <c r="C190" s="1590"/>
      <c r="D190" s="1591"/>
      <c r="E190" s="1584">
        <f>SUM(E185:E189)</f>
        <v>0</v>
      </c>
      <c r="F190" s="1584">
        <f>SUM(F185:F189)</f>
        <v>2345</v>
      </c>
      <c r="G190" s="1584">
        <f>SUM(G185:G189)</f>
        <v>0</v>
      </c>
      <c r="H190" s="1585">
        <f>G190/F190*100</f>
        <v>0</v>
      </c>
    </row>
    <row r="191" spans="1:9" ht="13.5" thickTop="1" x14ac:dyDescent="0.2"/>
    <row r="192" spans="1:9" ht="13.5" x14ac:dyDescent="0.25">
      <c r="A192" s="3233" t="s">
        <v>2108</v>
      </c>
      <c r="B192" s="3151"/>
      <c r="C192" s="3151"/>
      <c r="D192" s="3151"/>
      <c r="E192" s="3151"/>
      <c r="F192" s="3151"/>
      <c r="G192" s="3151"/>
      <c r="H192" s="3151"/>
    </row>
    <row r="193" spans="1:12" ht="15.75" thickBot="1" x14ac:dyDescent="0.3">
      <c r="A193" s="1544" t="s">
        <v>2107</v>
      </c>
      <c r="B193" s="1558"/>
      <c r="C193" s="1558"/>
      <c r="E193" s="1559"/>
      <c r="F193" s="1559"/>
      <c r="G193" s="1559"/>
      <c r="H193" s="1560" t="s">
        <v>148</v>
      </c>
    </row>
    <row r="194" spans="1:12" s="1635" customFormat="1" ht="25.5" thickTop="1" thickBot="1" x14ac:dyDescent="0.25">
      <c r="A194" s="1561" t="s">
        <v>149</v>
      </c>
      <c r="B194" s="1562" t="s">
        <v>688</v>
      </c>
      <c r="C194" s="1562" t="s">
        <v>345</v>
      </c>
      <c r="D194" s="1563" t="s">
        <v>151</v>
      </c>
      <c r="E194" s="1564" t="s">
        <v>569</v>
      </c>
      <c r="F194" s="1564" t="s">
        <v>570</v>
      </c>
      <c r="G194" s="1565" t="s">
        <v>797</v>
      </c>
      <c r="H194" s="1566" t="s">
        <v>798</v>
      </c>
    </row>
    <row r="195" spans="1:12" s="1635" customFormat="1" ht="13.5" thickTop="1" thickBot="1" x14ac:dyDescent="0.25">
      <c r="A195" s="1567">
        <v>1</v>
      </c>
      <c r="B195" s="1568">
        <v>2</v>
      </c>
      <c r="C195" s="1568">
        <v>3</v>
      </c>
      <c r="D195" s="1568">
        <v>4</v>
      </c>
      <c r="E195" s="1569">
        <v>5</v>
      </c>
      <c r="F195" s="1569">
        <v>6</v>
      </c>
      <c r="G195" s="1570">
        <v>7</v>
      </c>
      <c r="H195" s="1571" t="s">
        <v>54</v>
      </c>
    </row>
    <row r="196" spans="1:12" ht="15.75" thickTop="1" x14ac:dyDescent="0.2">
      <c r="A196" s="1577">
        <v>3636</v>
      </c>
      <c r="B196" s="1578">
        <v>5139</v>
      </c>
      <c r="C196" s="2850" t="s">
        <v>1770</v>
      </c>
      <c r="D196" s="1579" t="s">
        <v>566</v>
      </c>
      <c r="E196" s="1575">
        <v>0</v>
      </c>
      <c r="F196" s="1575">
        <v>1</v>
      </c>
      <c r="G196" s="1575">
        <v>1</v>
      </c>
      <c r="H196" s="1576">
        <f>G196/F196*100</f>
        <v>100</v>
      </c>
    </row>
    <row r="197" spans="1:12" ht="15" x14ac:dyDescent="0.2">
      <c r="A197" s="1577">
        <v>3636</v>
      </c>
      <c r="B197" s="1578">
        <v>5139</v>
      </c>
      <c r="C197" s="2850" t="s">
        <v>1771</v>
      </c>
      <c r="D197" s="1579" t="s">
        <v>566</v>
      </c>
      <c r="E197" s="1580">
        <v>0</v>
      </c>
      <c r="F197" s="1580">
        <v>0</v>
      </c>
      <c r="G197" s="1580">
        <v>0</v>
      </c>
      <c r="H197" s="1581">
        <v>0</v>
      </c>
    </row>
    <row r="198" spans="1:12" ht="15" x14ac:dyDescent="0.2">
      <c r="A198" s="1577">
        <v>3636</v>
      </c>
      <c r="B198" s="1578">
        <v>5139</v>
      </c>
      <c r="C198" s="2850" t="s">
        <v>1772</v>
      </c>
      <c r="D198" s="1579" t="s">
        <v>566</v>
      </c>
      <c r="E198" s="1580">
        <v>0</v>
      </c>
      <c r="F198" s="1580">
        <v>5</v>
      </c>
      <c r="G198" s="1580">
        <v>5</v>
      </c>
      <c r="H198" s="1581">
        <f>G198/F198*100</f>
        <v>100</v>
      </c>
    </row>
    <row r="199" spans="1:12" ht="15" x14ac:dyDescent="0.2">
      <c r="A199" s="1577">
        <v>3636</v>
      </c>
      <c r="B199" s="1578">
        <v>5175</v>
      </c>
      <c r="C199" s="2850" t="s">
        <v>1770</v>
      </c>
      <c r="D199" s="1579" t="s">
        <v>605</v>
      </c>
      <c r="E199" s="1580">
        <v>0</v>
      </c>
      <c r="F199" s="1580">
        <v>1</v>
      </c>
      <c r="G199" s="1580">
        <v>1</v>
      </c>
      <c r="H199" s="1581">
        <f>G199/F199*100</f>
        <v>100</v>
      </c>
    </row>
    <row r="200" spans="1:12" ht="15" x14ac:dyDescent="0.2">
      <c r="A200" s="1577">
        <v>3636</v>
      </c>
      <c r="B200" s="1578">
        <v>5175</v>
      </c>
      <c r="C200" s="2850" t="s">
        <v>1771</v>
      </c>
      <c r="D200" s="1579" t="s">
        <v>605</v>
      </c>
      <c r="E200" s="1580">
        <v>0</v>
      </c>
      <c r="F200" s="1580">
        <v>0</v>
      </c>
      <c r="G200" s="1580">
        <v>0</v>
      </c>
      <c r="H200" s="1581">
        <v>0</v>
      </c>
    </row>
    <row r="201" spans="1:12" ht="15.75" thickBot="1" x14ac:dyDescent="0.25">
      <c r="A201" s="1577">
        <v>3636</v>
      </c>
      <c r="B201" s="1578">
        <v>5175</v>
      </c>
      <c r="C201" s="2850" t="s">
        <v>1772</v>
      </c>
      <c r="D201" s="1579" t="s">
        <v>605</v>
      </c>
      <c r="E201" s="1580">
        <v>0</v>
      </c>
      <c r="F201" s="1580">
        <v>5</v>
      </c>
      <c r="G201" s="1580">
        <v>5</v>
      </c>
      <c r="H201" s="1581">
        <f>G201/F201*100</f>
        <v>100</v>
      </c>
    </row>
    <row r="202" spans="1:12" s="1641" customFormat="1" ht="16.5" thickTop="1" thickBot="1" x14ac:dyDescent="0.3">
      <c r="A202" s="3231" t="s">
        <v>690</v>
      </c>
      <c r="B202" s="3232"/>
      <c r="C202" s="3232"/>
      <c r="D202" s="3232"/>
      <c r="E202" s="1584">
        <f>SUM(E196:E201)</f>
        <v>0</v>
      </c>
      <c r="F202" s="1584">
        <f>SUM(F196:F201)</f>
        <v>12</v>
      </c>
      <c r="G202" s="1584">
        <f>SUM(G196:G201)</f>
        <v>12</v>
      </c>
      <c r="H202" s="1585">
        <f>G202/F202*100</f>
        <v>100</v>
      </c>
      <c r="I202" s="1640"/>
    </row>
    <row r="203" spans="1:12" ht="13.5" thickTop="1" x14ac:dyDescent="0.2"/>
    <row r="208" spans="1:12" ht="16.5" x14ac:dyDescent="0.25">
      <c r="A208" s="1605" t="s">
        <v>423</v>
      </c>
      <c r="B208" s="1606"/>
      <c r="C208" s="1607"/>
      <c r="D208" s="1608"/>
      <c r="E208" s="1609">
        <f>SUM(E209:E211)</f>
        <v>17391</v>
      </c>
      <c r="F208" s="1609">
        <f>F209+F210+F211+F212</f>
        <v>16677</v>
      </c>
      <c r="G208" s="1609">
        <f>G209+G210+G211+G212</f>
        <v>14976</v>
      </c>
      <c r="H208" s="1610">
        <v>61.717249327698809</v>
      </c>
      <c r="J208" s="1611">
        <f>J209+J210+J211</f>
        <v>17391000</v>
      </c>
      <c r="K208" s="1611">
        <f>K209+K210+K211</f>
        <v>16676400</v>
      </c>
      <c r="L208" s="1611">
        <f>L209+L210+L211</f>
        <v>14975987.859999999</v>
      </c>
    </row>
    <row r="209" spans="1:12" ht="15" x14ac:dyDescent="0.2">
      <c r="A209" s="1612" t="s">
        <v>242</v>
      </c>
      <c r="B209" s="1613"/>
      <c r="C209" s="1614"/>
      <c r="D209" s="1615"/>
      <c r="E209" s="1616">
        <f>E12+E13+E14+E54+E68+E69+E72+E73+E74+E75+E78+E79+E80+E81+E82+E83+E84+E85+E86+E87+E88+E89+E90+E91+E92+E93+E94+E95+E107+E108+E109+E110+E111+E112+E113+E114+E115+E116+E117+E118+E119+E120+E121+E122+E123+E124+E125+E126+E127+E128+E129+E130+E143+E144+E152+E153+E154+E156+E163+E174+E185+E189+E196+E197+E198+E199+E200+E201</f>
        <v>17391</v>
      </c>
      <c r="F209" s="1616">
        <f>F12+F13+F14+F54+F68+F69+F72+F73+F74+F75+F78+F79+F80+F81+F82+F83+F84+F85+F86+F87+F88+F89+F90+F91+F92+F93+F94+F95+F107+F108+F109+F110+F111+F112+F113+F114+F115+F116+F117+F118+F119+F120+F121+F122+F123+F124+F125+F126+F127+F128+F129+F130+F143+F144+F152+F153+F154+F156+F163+F174+F185+F189+F196+F197+F198+F199+F200+F201</f>
        <v>16677</v>
      </c>
      <c r="G209" s="1616">
        <f>G12+G13+G14+G54+G68+G69+G72+G73+G74+G75+G78+G79+G80+G81+G82+G83+G84+G85+G86+G87+G88+G89+G90+G91+G92+G93+G94+G95+G107+G108+G109+G110+G111+G112+G113+G114+G115+G116+G117+G118+G119+G120+G121+G122+G123+G124+G125+G126+G127+G128+G129+G130+G143+G144+G152+G153+G154+G156+G163+G174+G185+G189+G196+G197+G198+G199+G200+G201</f>
        <v>8180</v>
      </c>
      <c r="H209" s="1617">
        <v>61.717249327698809</v>
      </c>
      <c r="J209" s="1618">
        <v>17391000</v>
      </c>
      <c r="K209" s="1618">
        <v>16676400</v>
      </c>
      <c r="L209" s="1618">
        <v>8180205.5499999998</v>
      </c>
    </row>
    <row r="210" spans="1:12" ht="15" x14ac:dyDescent="0.2">
      <c r="A210" s="1612" t="s">
        <v>243</v>
      </c>
      <c r="B210" s="1619"/>
      <c r="C210" s="1614"/>
      <c r="D210" s="1620"/>
      <c r="E210" s="1616">
        <f>E43+E53</f>
        <v>0</v>
      </c>
      <c r="F210" s="1616">
        <v>0</v>
      </c>
      <c r="G210" s="1616">
        <v>0</v>
      </c>
      <c r="H210" s="1617">
        <v>0</v>
      </c>
      <c r="J210" s="1618">
        <v>0</v>
      </c>
      <c r="K210" s="1618">
        <v>0</v>
      </c>
      <c r="L210" s="1618">
        <v>0</v>
      </c>
    </row>
    <row r="211" spans="1:12" ht="15" x14ac:dyDescent="0.2">
      <c r="A211" s="1612" t="s">
        <v>424</v>
      </c>
      <c r="B211" s="1619"/>
      <c r="C211" s="1614"/>
      <c r="D211" s="1620"/>
      <c r="E211" s="1616">
        <f>E17+E100+E145+E155</f>
        <v>0</v>
      </c>
      <c r="F211" s="1616">
        <f>F17+F100+F145+F155</f>
        <v>0</v>
      </c>
      <c r="G211" s="1616">
        <f>G17+G100+G145+G155+G61</f>
        <v>6796</v>
      </c>
      <c r="H211" s="1617">
        <v>0</v>
      </c>
      <c r="J211" s="1618">
        <v>0</v>
      </c>
      <c r="K211" s="1618">
        <v>0</v>
      </c>
      <c r="L211" s="1618">
        <v>6795782.3099999996</v>
      </c>
    </row>
    <row r="212" spans="1:12" ht="16.5" customHeight="1" x14ac:dyDescent="0.2">
      <c r="A212" s="1612"/>
      <c r="B212" s="1619"/>
      <c r="C212" s="1614"/>
      <c r="D212" s="1620"/>
      <c r="E212" s="1616"/>
      <c r="F212" s="1616"/>
      <c r="G212" s="1616"/>
      <c r="H212" s="1621"/>
    </row>
    <row r="213" spans="1:12" ht="57.75" customHeight="1" thickBot="1" x14ac:dyDescent="0.4">
      <c r="A213" s="3222" t="s">
        <v>1397</v>
      </c>
      <c r="B213" s="3182"/>
      <c r="C213" s="3182"/>
      <c r="D213" s="3182"/>
      <c r="E213" s="1622">
        <f>SUM(E208)</f>
        <v>17391</v>
      </c>
      <c r="F213" s="1622">
        <f>SUM(F208)</f>
        <v>16677</v>
      </c>
      <c r="G213" s="1622">
        <f>SUM(G208)</f>
        <v>14976</v>
      </c>
      <c r="H213" s="1623">
        <f>G213/F213*100</f>
        <v>89.800323799244467</v>
      </c>
    </row>
    <row r="214" spans="1:12" ht="13.5" thickTop="1" x14ac:dyDescent="0.2"/>
  </sheetData>
  <mergeCells count="18">
    <mergeCell ref="A192:H192"/>
    <mergeCell ref="A202:D202"/>
    <mergeCell ref="A213:D213"/>
    <mergeCell ref="A64:H64"/>
    <mergeCell ref="A101:D101"/>
    <mergeCell ref="A103:H103"/>
    <mergeCell ref="A134:D134"/>
    <mergeCell ref="A136:H136"/>
    <mergeCell ref="A146:D146"/>
    <mergeCell ref="A159:H159"/>
    <mergeCell ref="A170:H170"/>
    <mergeCell ref="A181:H181"/>
    <mergeCell ref="A62:D62"/>
    <mergeCell ref="A8:H8"/>
    <mergeCell ref="A18:D18"/>
    <mergeCell ref="A21:H21"/>
    <mergeCell ref="A55:D55"/>
    <mergeCell ref="A57:H57"/>
  </mergeCells>
  <pageMargins left="0.70866141732283472" right="0.70866141732283472" top="0.78740157480314965" bottom="0.78740157480314965" header="0.31496062992125984" footer="0.31496062992125984"/>
  <pageSetup paperSize="9" scale="65" firstPageNumber="169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rowBreaks count="2" manualBreakCount="2">
    <brk id="101" max="7" man="1"/>
    <brk id="168" max="7" man="1"/>
  </rowBreaks>
  <colBreaks count="1" manualBreakCount="1">
    <brk id="8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2"/>
  </sheetPr>
  <dimension ref="A1:H35"/>
  <sheetViews>
    <sheetView showGridLines="0" topLeftCell="A13" workbookViewId="0">
      <selection activeCell="J25" sqref="J25"/>
    </sheetView>
  </sheetViews>
  <sheetFormatPr defaultRowHeight="12.75" x14ac:dyDescent="0.2"/>
  <cols>
    <col min="1" max="1" width="4.7109375" style="314" customWidth="1"/>
    <col min="2" max="2" width="6.7109375" style="314" customWidth="1"/>
    <col min="3" max="3" width="9" style="314" bestFit="1" customWidth="1"/>
    <col min="4" max="4" width="46.42578125" customWidth="1"/>
    <col min="5" max="5" width="13.85546875" style="323" customWidth="1"/>
    <col min="6" max="6" width="16.85546875" style="323" customWidth="1"/>
    <col min="7" max="7" width="13.85546875" style="323" customWidth="1"/>
    <col min="8" max="8" width="7" customWidth="1"/>
  </cols>
  <sheetData>
    <row r="1" spans="1:8" ht="18.75" thickBot="1" x14ac:dyDescent="0.3">
      <c r="A1" s="399" t="s">
        <v>323</v>
      </c>
      <c r="B1" s="400"/>
      <c r="C1" s="400"/>
      <c r="D1" s="400"/>
      <c r="E1" s="400"/>
      <c r="F1" s="307"/>
      <c r="G1" s="307"/>
    </row>
    <row r="2" spans="1:8" ht="18" x14ac:dyDescent="0.25">
      <c r="B2" s="307"/>
      <c r="C2" s="307"/>
      <c r="D2" s="307"/>
      <c r="E2" s="307"/>
      <c r="F2" s="307"/>
      <c r="G2" s="307"/>
      <c r="H2" s="322" t="s">
        <v>1096</v>
      </c>
    </row>
    <row r="3" spans="1:8" s="119" customFormat="1" ht="16.5" customHeight="1" x14ac:dyDescent="0.25">
      <c r="A3" s="67" t="s">
        <v>336</v>
      </c>
      <c r="B3" s="28"/>
      <c r="C3" s="141" t="s">
        <v>36</v>
      </c>
      <c r="D3" s="381"/>
      <c r="F3" s="391"/>
    </row>
    <row r="4" spans="1:8" s="119" customFormat="1" ht="12.75" customHeight="1" x14ac:dyDescent="0.25">
      <c r="A4" s="6"/>
      <c r="B4" s="28"/>
      <c r="C4" s="141" t="s">
        <v>37</v>
      </c>
      <c r="D4" s="381"/>
      <c r="F4" s="391"/>
    </row>
    <row r="5" spans="1:8" ht="18" x14ac:dyDescent="0.25">
      <c r="A5" s="349" t="s">
        <v>1095</v>
      </c>
      <c r="B5" s="307"/>
      <c r="C5" s="307"/>
      <c r="D5" s="307"/>
      <c r="E5" s="307"/>
      <c r="F5" s="307"/>
      <c r="G5" s="307"/>
      <c r="H5" s="322"/>
    </row>
    <row r="6" spans="1:8" ht="18" x14ac:dyDescent="0.25">
      <c r="A6" s="321" t="s">
        <v>322</v>
      </c>
      <c r="B6" s="307"/>
      <c r="C6" s="307"/>
      <c r="D6" s="307"/>
      <c r="E6" s="307"/>
      <c r="F6" s="307"/>
      <c r="G6" s="307"/>
      <c r="H6" s="322"/>
    </row>
    <row r="7" spans="1:8" ht="18" x14ac:dyDescent="0.25">
      <c r="A7" s="321"/>
      <c r="B7" s="307"/>
      <c r="C7" s="307"/>
      <c r="D7" s="307"/>
      <c r="E7" s="307"/>
      <c r="F7" s="307"/>
      <c r="G7" s="307"/>
      <c r="H7" s="322"/>
    </row>
    <row r="8" spans="1:8" ht="13.5" thickBot="1" x14ac:dyDescent="0.25">
      <c r="H8" s="340" t="s">
        <v>1101</v>
      </c>
    </row>
    <row r="9" spans="1:8" s="319" customFormat="1" ht="25.5" thickTop="1" thickBot="1" x14ac:dyDescent="0.25">
      <c r="A9" s="324" t="s">
        <v>149</v>
      </c>
      <c r="B9" s="325" t="s">
        <v>688</v>
      </c>
      <c r="C9" s="325" t="s">
        <v>345</v>
      </c>
      <c r="D9" s="326" t="s">
        <v>151</v>
      </c>
      <c r="E9" s="327" t="s">
        <v>569</v>
      </c>
      <c r="F9" s="327" t="s">
        <v>570</v>
      </c>
      <c r="G9" s="328" t="s">
        <v>797</v>
      </c>
      <c r="H9" s="329" t="s">
        <v>798</v>
      </c>
    </row>
    <row r="10" spans="1:8" s="351" customFormat="1" thickTop="1" thickBot="1" x14ac:dyDescent="0.25">
      <c r="A10" s="315">
        <v>1</v>
      </c>
      <c r="B10" s="316">
        <v>2</v>
      </c>
      <c r="C10" s="316">
        <v>3</v>
      </c>
      <c r="D10" s="316">
        <v>5</v>
      </c>
      <c r="E10" s="317">
        <v>6</v>
      </c>
      <c r="F10" s="317">
        <v>7</v>
      </c>
      <c r="G10" s="318">
        <v>8</v>
      </c>
      <c r="H10" s="320" t="s">
        <v>689</v>
      </c>
    </row>
    <row r="11" spans="1:8" s="307" customFormat="1" ht="15.75" thickTop="1" x14ac:dyDescent="0.25">
      <c r="A11" s="330">
        <v>3636</v>
      </c>
      <c r="B11" s="331">
        <v>5011</v>
      </c>
      <c r="C11" s="392">
        <v>6500801</v>
      </c>
      <c r="D11" s="379" t="s">
        <v>189</v>
      </c>
      <c r="E11" s="395"/>
      <c r="F11" s="395">
        <v>190</v>
      </c>
      <c r="G11" s="396">
        <v>164</v>
      </c>
      <c r="H11" s="416">
        <f>G11/F11*100</f>
        <v>86.31578947368422</v>
      </c>
    </row>
    <row r="12" spans="1:8" ht="15" x14ac:dyDescent="0.2">
      <c r="A12" s="343">
        <v>3636</v>
      </c>
      <c r="B12" s="341">
        <v>5019</v>
      </c>
      <c r="C12" s="382">
        <v>6500801</v>
      </c>
      <c r="D12" s="378" t="s">
        <v>1103</v>
      </c>
      <c r="E12" s="393"/>
      <c r="F12" s="393">
        <v>790</v>
      </c>
      <c r="G12" s="394">
        <v>749</v>
      </c>
      <c r="H12" s="397">
        <f t="shared" ref="H12:H23" si="0">G12/F12*100</f>
        <v>94.810126582278471</v>
      </c>
    </row>
    <row r="13" spans="1:8" ht="15" x14ac:dyDescent="0.2">
      <c r="A13" s="343">
        <v>3636</v>
      </c>
      <c r="B13" s="341">
        <v>5021</v>
      </c>
      <c r="C13" s="382">
        <v>6500801</v>
      </c>
      <c r="D13" s="378" t="s">
        <v>356</v>
      </c>
      <c r="E13" s="393"/>
      <c r="F13" s="393">
        <v>400</v>
      </c>
      <c r="G13" s="394">
        <v>367</v>
      </c>
      <c r="H13" s="397">
        <f t="shared" si="0"/>
        <v>91.75</v>
      </c>
    </row>
    <row r="14" spans="1:8" ht="30" x14ac:dyDescent="0.2">
      <c r="A14" s="343">
        <v>3636</v>
      </c>
      <c r="B14" s="341">
        <v>5031</v>
      </c>
      <c r="C14" s="382">
        <v>6500801</v>
      </c>
      <c r="D14" s="378" t="s">
        <v>1057</v>
      </c>
      <c r="E14" s="393"/>
      <c r="F14" s="393">
        <v>113</v>
      </c>
      <c r="G14" s="394">
        <v>43</v>
      </c>
      <c r="H14" s="397">
        <f t="shared" si="0"/>
        <v>38.053097345132741</v>
      </c>
    </row>
    <row r="15" spans="1:8" ht="30" x14ac:dyDescent="0.2">
      <c r="A15" s="343">
        <v>3636</v>
      </c>
      <c r="B15" s="341">
        <v>5032</v>
      </c>
      <c r="C15" s="382">
        <v>6500801</v>
      </c>
      <c r="D15" s="378" t="s">
        <v>1058</v>
      </c>
      <c r="E15" s="393"/>
      <c r="F15" s="393">
        <v>44</v>
      </c>
      <c r="G15" s="394">
        <v>15</v>
      </c>
      <c r="H15" s="397">
        <f t="shared" si="0"/>
        <v>34.090909090909086</v>
      </c>
    </row>
    <row r="16" spans="1:8" ht="30" x14ac:dyDescent="0.2">
      <c r="A16" s="343">
        <v>3636</v>
      </c>
      <c r="B16" s="341">
        <v>5039</v>
      </c>
      <c r="C16" s="382">
        <v>6500801</v>
      </c>
      <c r="D16" s="378" t="s">
        <v>1050</v>
      </c>
      <c r="E16" s="393"/>
      <c r="F16" s="393">
        <v>238</v>
      </c>
      <c r="G16" s="394">
        <v>0</v>
      </c>
      <c r="H16" s="397">
        <f t="shared" si="0"/>
        <v>0</v>
      </c>
    </row>
    <row r="17" spans="1:8" ht="15" x14ac:dyDescent="0.2">
      <c r="A17" s="343">
        <v>3636</v>
      </c>
      <c r="B17" s="341">
        <v>5139</v>
      </c>
      <c r="C17" s="382">
        <v>6500800</v>
      </c>
      <c r="D17" s="378" t="s">
        <v>692</v>
      </c>
      <c r="E17" s="393"/>
      <c r="F17" s="393">
        <v>30</v>
      </c>
      <c r="G17" s="394">
        <v>19</v>
      </c>
      <c r="H17" s="397">
        <f t="shared" si="0"/>
        <v>63.333333333333329</v>
      </c>
    </row>
    <row r="18" spans="1:8" ht="15" x14ac:dyDescent="0.2">
      <c r="A18" s="343">
        <v>3636</v>
      </c>
      <c r="B18" s="341">
        <v>5163</v>
      </c>
      <c r="C18" s="382">
        <v>6500800</v>
      </c>
      <c r="D18" s="378" t="s">
        <v>807</v>
      </c>
      <c r="E18" s="393"/>
      <c r="F18" s="393">
        <v>1</v>
      </c>
      <c r="G18" s="394">
        <v>1</v>
      </c>
      <c r="H18" s="397">
        <f t="shared" si="0"/>
        <v>100</v>
      </c>
    </row>
    <row r="19" spans="1:8" ht="15" x14ac:dyDescent="0.2">
      <c r="A19" s="343">
        <v>3636</v>
      </c>
      <c r="B19" s="341">
        <v>5164</v>
      </c>
      <c r="C19" s="382">
        <v>6500801</v>
      </c>
      <c r="D19" s="378" t="s">
        <v>157</v>
      </c>
      <c r="E19" s="393"/>
      <c r="F19" s="393">
        <v>25</v>
      </c>
      <c r="G19" s="394">
        <v>24</v>
      </c>
      <c r="H19" s="397">
        <f t="shared" si="0"/>
        <v>96</v>
      </c>
    </row>
    <row r="20" spans="1:8" ht="15" x14ac:dyDescent="0.2">
      <c r="A20" s="343">
        <v>3636</v>
      </c>
      <c r="B20" s="341">
        <v>5169</v>
      </c>
      <c r="C20" s="382">
        <v>6500801</v>
      </c>
      <c r="D20" s="378" t="s">
        <v>769</v>
      </c>
      <c r="E20" s="393"/>
      <c r="F20" s="393">
        <v>1403</v>
      </c>
      <c r="G20" s="394">
        <v>1170</v>
      </c>
      <c r="H20" s="397">
        <f t="shared" si="0"/>
        <v>83.392729864575912</v>
      </c>
    </row>
    <row r="21" spans="1:8" ht="15" x14ac:dyDescent="0.2">
      <c r="A21" s="343">
        <v>3636</v>
      </c>
      <c r="B21" s="341">
        <v>5169</v>
      </c>
      <c r="C21" s="382">
        <v>6500802</v>
      </c>
      <c r="D21" s="378" t="s">
        <v>769</v>
      </c>
      <c r="E21" s="393"/>
      <c r="F21" s="393">
        <v>453</v>
      </c>
      <c r="G21" s="394">
        <v>453</v>
      </c>
      <c r="H21" s="397">
        <f t="shared" si="0"/>
        <v>100</v>
      </c>
    </row>
    <row r="22" spans="1:8" ht="15" x14ac:dyDescent="0.2">
      <c r="A22" s="343">
        <v>3636</v>
      </c>
      <c r="B22" s="341">
        <v>5173</v>
      </c>
      <c r="C22" s="382">
        <v>6500800</v>
      </c>
      <c r="D22" s="378" t="s">
        <v>1038</v>
      </c>
      <c r="E22" s="393"/>
      <c r="F22" s="393">
        <v>3</v>
      </c>
      <c r="G22" s="394">
        <v>0</v>
      </c>
      <c r="H22" s="397">
        <f t="shared" si="0"/>
        <v>0</v>
      </c>
    </row>
    <row r="23" spans="1:8" ht="15" x14ac:dyDescent="0.2">
      <c r="A23" s="343">
        <v>3636</v>
      </c>
      <c r="B23" s="341">
        <v>5175</v>
      </c>
      <c r="C23" s="382">
        <v>6500800</v>
      </c>
      <c r="D23" s="378" t="s">
        <v>605</v>
      </c>
      <c r="E23" s="393"/>
      <c r="F23" s="393">
        <v>30</v>
      </c>
      <c r="G23" s="394">
        <v>22</v>
      </c>
      <c r="H23" s="397">
        <f t="shared" si="0"/>
        <v>73.333333333333329</v>
      </c>
    </row>
    <row r="24" spans="1:8" s="344" customFormat="1" ht="15.75" thickBot="1" x14ac:dyDescent="0.25">
      <c r="A24" s="343">
        <v>6330</v>
      </c>
      <c r="B24" s="341">
        <v>5345</v>
      </c>
      <c r="C24" s="341"/>
      <c r="D24" s="378" t="s">
        <v>693</v>
      </c>
      <c r="E24" s="393"/>
      <c r="F24" s="393"/>
      <c r="G24" s="394">
        <v>3602</v>
      </c>
      <c r="H24" s="398"/>
    </row>
    <row r="25" spans="1:8" s="69" customFormat="1" ht="16.5" thickTop="1" thickBot="1" x14ac:dyDescent="0.3">
      <c r="A25" s="3235" t="s">
        <v>690</v>
      </c>
      <c r="B25" s="3236"/>
      <c r="C25" s="3236"/>
      <c r="D25" s="3236"/>
      <c r="E25" s="332">
        <f>SUM(E11:E24)</f>
        <v>0</v>
      </c>
      <c r="F25" s="332">
        <f>SUM(F11:F24)</f>
        <v>3720</v>
      </c>
      <c r="G25" s="383">
        <f>SUM(G11:G24)</f>
        <v>6629</v>
      </c>
      <c r="H25" s="350">
        <f>G25/F25*100</f>
        <v>178.19892473118279</v>
      </c>
    </row>
    <row r="26" spans="1:8" s="336" customFormat="1" ht="15.75" thickTop="1" x14ac:dyDescent="0.25">
      <c r="A26" s="333" t="s">
        <v>691</v>
      </c>
      <c r="B26" s="334"/>
      <c r="C26" s="334"/>
      <c r="D26" s="335"/>
      <c r="E26" s="376"/>
      <c r="F26" s="376"/>
      <c r="G26" s="376">
        <f>SUM(G24)</f>
        <v>3602</v>
      </c>
      <c r="H26" s="366"/>
    </row>
    <row r="27" spans="1:8" s="336" customFormat="1" ht="15.75" thickBot="1" x14ac:dyDescent="0.3">
      <c r="A27" s="337" t="s">
        <v>695</v>
      </c>
      <c r="B27" s="338"/>
      <c r="C27" s="338"/>
      <c r="D27" s="339"/>
      <c r="E27" s="377">
        <f>E25-E26</f>
        <v>0</v>
      </c>
      <c r="F27" s="377">
        <f>F25-F26</f>
        <v>3720</v>
      </c>
      <c r="G27" s="377">
        <f>G25-G26</f>
        <v>3027</v>
      </c>
      <c r="H27" s="367">
        <f>G27/F27*100</f>
        <v>81.370967741935488</v>
      </c>
    </row>
    <row r="28" spans="1:8" s="336" customFormat="1" ht="15.75" thickTop="1" x14ac:dyDescent="0.25">
      <c r="A28" s="334"/>
      <c r="B28" s="334"/>
      <c r="C28" s="334"/>
      <c r="D28" s="334"/>
      <c r="E28" s="347"/>
      <c r="F28" s="347"/>
      <c r="G28" s="347"/>
      <c r="H28" s="342"/>
    </row>
    <row r="29" spans="1:8" s="388" customFormat="1" ht="16.5" x14ac:dyDescent="0.25">
      <c r="A29" s="384" t="s">
        <v>423</v>
      </c>
      <c r="B29" s="385"/>
      <c r="C29" s="386"/>
      <c r="D29" s="387"/>
      <c r="E29" s="99">
        <f>SUM(E30:E32)</f>
        <v>0</v>
      </c>
      <c r="F29" s="99">
        <f>F30+F31+F32+F33</f>
        <v>3720</v>
      </c>
      <c r="G29" s="99">
        <f>G30+G31+G32+G33</f>
        <v>6629</v>
      </c>
      <c r="H29" s="417">
        <f>G29/F29*100</f>
        <v>178.19892473118279</v>
      </c>
    </row>
    <row r="30" spans="1:8" s="66" customFormat="1" ht="15" x14ac:dyDescent="0.2">
      <c r="A30" s="256" t="s">
        <v>242</v>
      </c>
      <c r="B30" s="101"/>
      <c r="C30" s="168"/>
      <c r="D30" s="103"/>
      <c r="E30" s="258">
        <f>SUM(E11:E23)</f>
        <v>0</v>
      </c>
      <c r="F30" s="258">
        <f>SUM(F11:F23)</f>
        <v>3720</v>
      </c>
      <c r="G30" s="258">
        <f>SUM(G11:G23)</f>
        <v>3027</v>
      </c>
      <c r="H30" s="418">
        <f>G30/F30*100</f>
        <v>81.370967741935488</v>
      </c>
    </row>
    <row r="31" spans="1:8" s="66" customFormat="1" ht="15" x14ac:dyDescent="0.2">
      <c r="A31" s="256" t="s">
        <v>243</v>
      </c>
      <c r="B31" s="100"/>
      <c r="C31" s="168"/>
      <c r="D31" s="105"/>
      <c r="E31" s="258">
        <v>0</v>
      </c>
      <c r="F31" s="258">
        <v>0</v>
      </c>
      <c r="G31" s="258">
        <v>0</v>
      </c>
      <c r="H31" s="298">
        <v>0</v>
      </c>
    </row>
    <row r="32" spans="1:8" s="66" customFormat="1" ht="15" x14ac:dyDescent="0.2">
      <c r="A32" s="256" t="s">
        <v>424</v>
      </c>
      <c r="B32" s="100"/>
      <c r="C32" s="168"/>
      <c r="D32" s="105"/>
      <c r="E32" s="258">
        <f>SUM(E24)</f>
        <v>0</v>
      </c>
      <c r="F32" s="258">
        <f>SUM(F24)</f>
        <v>0</v>
      </c>
      <c r="G32" s="258">
        <f>SUM(G24)</f>
        <v>3602</v>
      </c>
      <c r="H32" s="298">
        <v>0</v>
      </c>
    </row>
    <row r="33" spans="1:8" s="66" customFormat="1" ht="15" x14ac:dyDescent="0.2">
      <c r="A33" s="256"/>
      <c r="B33" s="100"/>
      <c r="C33" s="168"/>
      <c r="D33" s="105"/>
      <c r="E33" s="258"/>
      <c r="F33" s="258"/>
      <c r="G33" s="258"/>
      <c r="H33" s="299"/>
    </row>
    <row r="34" spans="1:8" s="58" customFormat="1" ht="52.5" customHeight="1" thickBot="1" x14ac:dyDescent="0.4">
      <c r="A34" s="3095" t="s">
        <v>1094</v>
      </c>
      <c r="B34" s="3234"/>
      <c r="C34" s="3234"/>
      <c r="D34" s="3234"/>
      <c r="E34" s="44">
        <f>SUM(E29)</f>
        <v>0</v>
      </c>
      <c r="F34" s="44">
        <f>SUM(F29)</f>
        <v>3720</v>
      </c>
      <c r="G34" s="44">
        <f>SUM(G29)</f>
        <v>6629</v>
      </c>
      <c r="H34" s="362">
        <f>(G34/F34)*100</f>
        <v>178.19892473118279</v>
      </c>
    </row>
    <row r="35" spans="1:8" ht="13.5" thickTop="1" x14ac:dyDescent="0.2"/>
  </sheetData>
  <mergeCells count="2">
    <mergeCell ref="A34:D34"/>
    <mergeCell ref="A25:D25"/>
  </mergeCells>
  <phoneticPr fontId="35" type="noConversion"/>
  <pageMargins left="0.78740157480314965" right="0.78740157480314965" top="0.98425196850393704" bottom="0.98425196850393704" header="0.51181102362204722" footer="0.51181102362204722"/>
  <pageSetup paperSize="9" scale="70" firstPageNumber="136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257"/>
  <sheetViews>
    <sheetView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5.5703125" style="1551" customWidth="1"/>
    <col min="2" max="2" width="6.7109375" style="1551" customWidth="1"/>
    <col min="3" max="3" width="9.85546875" style="1551" customWidth="1"/>
    <col min="4" max="4" width="47.85546875" style="1551" customWidth="1"/>
    <col min="5" max="5" width="15.42578125" style="1551" customWidth="1"/>
    <col min="6" max="6" width="15.5703125" style="1551" customWidth="1"/>
    <col min="7" max="7" width="15.85546875" style="1551" customWidth="1"/>
    <col min="8" max="8" width="8.7109375" style="1551" customWidth="1"/>
    <col min="9" max="10" width="9.140625" style="1551"/>
    <col min="11" max="11" width="16" style="1551" bestFit="1" customWidth="1"/>
    <col min="12" max="12" width="17" style="1551" customWidth="1"/>
    <col min="13" max="256" width="9.140625" style="1551"/>
    <col min="257" max="257" width="5.5703125" style="1551" customWidth="1"/>
    <col min="258" max="258" width="6.7109375" style="1551" customWidth="1"/>
    <col min="259" max="259" width="8.85546875" style="1551" customWidth="1"/>
    <col min="260" max="260" width="47.85546875" style="1551" customWidth="1"/>
    <col min="261" max="261" width="12.85546875" style="1551" customWidth="1"/>
    <col min="262" max="262" width="15.5703125" style="1551" customWidth="1"/>
    <col min="263" max="263" width="15.85546875" style="1551" customWidth="1"/>
    <col min="264" max="264" width="6.42578125" style="1551" customWidth="1"/>
    <col min="265" max="266" width="9.140625" style="1551"/>
    <col min="267" max="268" width="14.7109375" style="1551" bestFit="1" customWidth="1"/>
    <col min="269" max="512" width="9.140625" style="1551"/>
    <col min="513" max="513" width="5.5703125" style="1551" customWidth="1"/>
    <col min="514" max="514" width="6.7109375" style="1551" customWidth="1"/>
    <col min="515" max="515" width="8.85546875" style="1551" customWidth="1"/>
    <col min="516" max="516" width="47.85546875" style="1551" customWidth="1"/>
    <col min="517" max="517" width="12.85546875" style="1551" customWidth="1"/>
    <col min="518" max="518" width="15.5703125" style="1551" customWidth="1"/>
    <col min="519" max="519" width="15.85546875" style="1551" customWidth="1"/>
    <col min="520" max="520" width="6.42578125" style="1551" customWidth="1"/>
    <col min="521" max="522" width="9.140625" style="1551"/>
    <col min="523" max="524" width="14.7109375" style="1551" bestFit="1" customWidth="1"/>
    <col min="525" max="768" width="9.140625" style="1551"/>
    <col min="769" max="769" width="5.5703125" style="1551" customWidth="1"/>
    <col min="770" max="770" width="6.7109375" style="1551" customWidth="1"/>
    <col min="771" max="771" width="8.85546875" style="1551" customWidth="1"/>
    <col min="772" max="772" width="47.85546875" style="1551" customWidth="1"/>
    <col min="773" max="773" width="12.85546875" style="1551" customWidth="1"/>
    <col min="774" max="774" width="15.5703125" style="1551" customWidth="1"/>
    <col min="775" max="775" width="15.85546875" style="1551" customWidth="1"/>
    <col min="776" max="776" width="6.42578125" style="1551" customWidth="1"/>
    <col min="777" max="778" width="9.140625" style="1551"/>
    <col min="779" max="780" width="14.7109375" style="1551" bestFit="1" customWidth="1"/>
    <col min="781" max="1024" width="9.140625" style="1551"/>
    <col min="1025" max="1025" width="5.5703125" style="1551" customWidth="1"/>
    <col min="1026" max="1026" width="6.7109375" style="1551" customWidth="1"/>
    <col min="1027" max="1027" width="8.85546875" style="1551" customWidth="1"/>
    <col min="1028" max="1028" width="47.85546875" style="1551" customWidth="1"/>
    <col min="1029" max="1029" width="12.85546875" style="1551" customWidth="1"/>
    <col min="1030" max="1030" width="15.5703125" style="1551" customWidth="1"/>
    <col min="1031" max="1031" width="15.85546875" style="1551" customWidth="1"/>
    <col min="1032" max="1032" width="6.42578125" style="1551" customWidth="1"/>
    <col min="1033" max="1034" width="9.140625" style="1551"/>
    <col min="1035" max="1036" width="14.7109375" style="1551" bestFit="1" customWidth="1"/>
    <col min="1037" max="1280" width="9.140625" style="1551"/>
    <col min="1281" max="1281" width="5.5703125" style="1551" customWidth="1"/>
    <col min="1282" max="1282" width="6.7109375" style="1551" customWidth="1"/>
    <col min="1283" max="1283" width="8.85546875" style="1551" customWidth="1"/>
    <col min="1284" max="1284" width="47.85546875" style="1551" customWidth="1"/>
    <col min="1285" max="1285" width="12.85546875" style="1551" customWidth="1"/>
    <col min="1286" max="1286" width="15.5703125" style="1551" customWidth="1"/>
    <col min="1287" max="1287" width="15.85546875" style="1551" customWidth="1"/>
    <col min="1288" max="1288" width="6.42578125" style="1551" customWidth="1"/>
    <col min="1289" max="1290" width="9.140625" style="1551"/>
    <col min="1291" max="1292" width="14.7109375" style="1551" bestFit="1" customWidth="1"/>
    <col min="1293" max="1536" width="9.140625" style="1551"/>
    <col min="1537" max="1537" width="5.5703125" style="1551" customWidth="1"/>
    <col min="1538" max="1538" width="6.7109375" style="1551" customWidth="1"/>
    <col min="1539" max="1539" width="8.85546875" style="1551" customWidth="1"/>
    <col min="1540" max="1540" width="47.85546875" style="1551" customWidth="1"/>
    <col min="1541" max="1541" width="12.85546875" style="1551" customWidth="1"/>
    <col min="1542" max="1542" width="15.5703125" style="1551" customWidth="1"/>
    <col min="1543" max="1543" width="15.85546875" style="1551" customWidth="1"/>
    <col min="1544" max="1544" width="6.42578125" style="1551" customWidth="1"/>
    <col min="1545" max="1546" width="9.140625" style="1551"/>
    <col min="1547" max="1548" width="14.7109375" style="1551" bestFit="1" customWidth="1"/>
    <col min="1549" max="1792" width="9.140625" style="1551"/>
    <col min="1793" max="1793" width="5.5703125" style="1551" customWidth="1"/>
    <col min="1794" max="1794" width="6.7109375" style="1551" customWidth="1"/>
    <col min="1795" max="1795" width="8.85546875" style="1551" customWidth="1"/>
    <col min="1796" max="1796" width="47.85546875" style="1551" customWidth="1"/>
    <col min="1797" max="1797" width="12.85546875" style="1551" customWidth="1"/>
    <col min="1798" max="1798" width="15.5703125" style="1551" customWidth="1"/>
    <col min="1799" max="1799" width="15.85546875" style="1551" customWidth="1"/>
    <col min="1800" max="1800" width="6.42578125" style="1551" customWidth="1"/>
    <col min="1801" max="1802" width="9.140625" style="1551"/>
    <col min="1803" max="1804" width="14.7109375" style="1551" bestFit="1" customWidth="1"/>
    <col min="1805" max="2048" width="9.140625" style="1551"/>
    <col min="2049" max="2049" width="5.5703125" style="1551" customWidth="1"/>
    <col min="2050" max="2050" width="6.7109375" style="1551" customWidth="1"/>
    <col min="2051" max="2051" width="8.85546875" style="1551" customWidth="1"/>
    <col min="2052" max="2052" width="47.85546875" style="1551" customWidth="1"/>
    <col min="2053" max="2053" width="12.85546875" style="1551" customWidth="1"/>
    <col min="2054" max="2054" width="15.5703125" style="1551" customWidth="1"/>
    <col min="2055" max="2055" width="15.85546875" style="1551" customWidth="1"/>
    <col min="2056" max="2056" width="6.42578125" style="1551" customWidth="1"/>
    <col min="2057" max="2058" width="9.140625" style="1551"/>
    <col min="2059" max="2060" width="14.7109375" style="1551" bestFit="1" customWidth="1"/>
    <col min="2061" max="2304" width="9.140625" style="1551"/>
    <col min="2305" max="2305" width="5.5703125" style="1551" customWidth="1"/>
    <col min="2306" max="2306" width="6.7109375" style="1551" customWidth="1"/>
    <col min="2307" max="2307" width="8.85546875" style="1551" customWidth="1"/>
    <col min="2308" max="2308" width="47.85546875" style="1551" customWidth="1"/>
    <col min="2309" max="2309" width="12.85546875" style="1551" customWidth="1"/>
    <col min="2310" max="2310" width="15.5703125" style="1551" customWidth="1"/>
    <col min="2311" max="2311" width="15.85546875" style="1551" customWidth="1"/>
    <col min="2312" max="2312" width="6.42578125" style="1551" customWidth="1"/>
    <col min="2313" max="2314" width="9.140625" style="1551"/>
    <col min="2315" max="2316" width="14.7109375" style="1551" bestFit="1" customWidth="1"/>
    <col min="2317" max="2560" width="9.140625" style="1551"/>
    <col min="2561" max="2561" width="5.5703125" style="1551" customWidth="1"/>
    <col min="2562" max="2562" width="6.7109375" style="1551" customWidth="1"/>
    <col min="2563" max="2563" width="8.85546875" style="1551" customWidth="1"/>
    <col min="2564" max="2564" width="47.85546875" style="1551" customWidth="1"/>
    <col min="2565" max="2565" width="12.85546875" style="1551" customWidth="1"/>
    <col min="2566" max="2566" width="15.5703125" style="1551" customWidth="1"/>
    <col min="2567" max="2567" width="15.85546875" style="1551" customWidth="1"/>
    <col min="2568" max="2568" width="6.42578125" style="1551" customWidth="1"/>
    <col min="2569" max="2570" width="9.140625" style="1551"/>
    <col min="2571" max="2572" width="14.7109375" style="1551" bestFit="1" customWidth="1"/>
    <col min="2573" max="2816" width="9.140625" style="1551"/>
    <col min="2817" max="2817" width="5.5703125" style="1551" customWidth="1"/>
    <col min="2818" max="2818" width="6.7109375" style="1551" customWidth="1"/>
    <col min="2819" max="2819" width="8.85546875" style="1551" customWidth="1"/>
    <col min="2820" max="2820" width="47.85546875" style="1551" customWidth="1"/>
    <col min="2821" max="2821" width="12.85546875" style="1551" customWidth="1"/>
    <col min="2822" max="2822" width="15.5703125" style="1551" customWidth="1"/>
    <col min="2823" max="2823" width="15.85546875" style="1551" customWidth="1"/>
    <col min="2824" max="2824" width="6.42578125" style="1551" customWidth="1"/>
    <col min="2825" max="2826" width="9.140625" style="1551"/>
    <col min="2827" max="2828" width="14.7109375" style="1551" bestFit="1" customWidth="1"/>
    <col min="2829" max="3072" width="9.140625" style="1551"/>
    <col min="3073" max="3073" width="5.5703125" style="1551" customWidth="1"/>
    <col min="3074" max="3074" width="6.7109375" style="1551" customWidth="1"/>
    <col min="3075" max="3075" width="8.85546875" style="1551" customWidth="1"/>
    <col min="3076" max="3076" width="47.85546875" style="1551" customWidth="1"/>
    <col min="3077" max="3077" width="12.85546875" style="1551" customWidth="1"/>
    <col min="3078" max="3078" width="15.5703125" style="1551" customWidth="1"/>
    <col min="3079" max="3079" width="15.85546875" style="1551" customWidth="1"/>
    <col min="3080" max="3080" width="6.42578125" style="1551" customWidth="1"/>
    <col min="3081" max="3082" width="9.140625" style="1551"/>
    <col min="3083" max="3084" width="14.7109375" style="1551" bestFit="1" customWidth="1"/>
    <col min="3085" max="3328" width="9.140625" style="1551"/>
    <col min="3329" max="3329" width="5.5703125" style="1551" customWidth="1"/>
    <col min="3330" max="3330" width="6.7109375" style="1551" customWidth="1"/>
    <col min="3331" max="3331" width="8.85546875" style="1551" customWidth="1"/>
    <col min="3332" max="3332" width="47.85546875" style="1551" customWidth="1"/>
    <col min="3333" max="3333" width="12.85546875" style="1551" customWidth="1"/>
    <col min="3334" max="3334" width="15.5703125" style="1551" customWidth="1"/>
    <col min="3335" max="3335" width="15.85546875" style="1551" customWidth="1"/>
    <col min="3336" max="3336" width="6.42578125" style="1551" customWidth="1"/>
    <col min="3337" max="3338" width="9.140625" style="1551"/>
    <col min="3339" max="3340" width="14.7109375" style="1551" bestFit="1" customWidth="1"/>
    <col min="3341" max="3584" width="9.140625" style="1551"/>
    <col min="3585" max="3585" width="5.5703125" style="1551" customWidth="1"/>
    <col min="3586" max="3586" width="6.7109375" style="1551" customWidth="1"/>
    <col min="3587" max="3587" width="8.85546875" style="1551" customWidth="1"/>
    <col min="3588" max="3588" width="47.85546875" style="1551" customWidth="1"/>
    <col min="3589" max="3589" width="12.85546875" style="1551" customWidth="1"/>
    <col min="3590" max="3590" width="15.5703125" style="1551" customWidth="1"/>
    <col min="3591" max="3591" width="15.85546875" style="1551" customWidth="1"/>
    <col min="3592" max="3592" width="6.42578125" style="1551" customWidth="1"/>
    <col min="3593" max="3594" width="9.140625" style="1551"/>
    <col min="3595" max="3596" width="14.7109375" style="1551" bestFit="1" customWidth="1"/>
    <col min="3597" max="3840" width="9.140625" style="1551"/>
    <col min="3841" max="3841" width="5.5703125" style="1551" customWidth="1"/>
    <col min="3842" max="3842" width="6.7109375" style="1551" customWidth="1"/>
    <col min="3843" max="3843" width="8.85546875" style="1551" customWidth="1"/>
    <col min="3844" max="3844" width="47.85546875" style="1551" customWidth="1"/>
    <col min="3845" max="3845" width="12.85546875" style="1551" customWidth="1"/>
    <col min="3846" max="3846" width="15.5703125" style="1551" customWidth="1"/>
    <col min="3847" max="3847" width="15.85546875" style="1551" customWidth="1"/>
    <col min="3848" max="3848" width="6.42578125" style="1551" customWidth="1"/>
    <col min="3849" max="3850" width="9.140625" style="1551"/>
    <col min="3851" max="3852" width="14.7109375" style="1551" bestFit="1" customWidth="1"/>
    <col min="3853" max="4096" width="9.140625" style="1551"/>
    <col min="4097" max="4097" width="5.5703125" style="1551" customWidth="1"/>
    <col min="4098" max="4098" width="6.7109375" style="1551" customWidth="1"/>
    <col min="4099" max="4099" width="8.85546875" style="1551" customWidth="1"/>
    <col min="4100" max="4100" width="47.85546875" style="1551" customWidth="1"/>
    <col min="4101" max="4101" width="12.85546875" style="1551" customWidth="1"/>
    <col min="4102" max="4102" width="15.5703125" style="1551" customWidth="1"/>
    <col min="4103" max="4103" width="15.85546875" style="1551" customWidth="1"/>
    <col min="4104" max="4104" width="6.42578125" style="1551" customWidth="1"/>
    <col min="4105" max="4106" width="9.140625" style="1551"/>
    <col min="4107" max="4108" width="14.7109375" style="1551" bestFit="1" customWidth="1"/>
    <col min="4109" max="4352" width="9.140625" style="1551"/>
    <col min="4353" max="4353" width="5.5703125" style="1551" customWidth="1"/>
    <col min="4354" max="4354" width="6.7109375" style="1551" customWidth="1"/>
    <col min="4355" max="4355" width="8.85546875" style="1551" customWidth="1"/>
    <col min="4356" max="4356" width="47.85546875" style="1551" customWidth="1"/>
    <col min="4357" max="4357" width="12.85546875" style="1551" customWidth="1"/>
    <col min="4358" max="4358" width="15.5703125" style="1551" customWidth="1"/>
    <col min="4359" max="4359" width="15.85546875" style="1551" customWidth="1"/>
    <col min="4360" max="4360" width="6.42578125" style="1551" customWidth="1"/>
    <col min="4361" max="4362" width="9.140625" style="1551"/>
    <col min="4363" max="4364" width="14.7109375" style="1551" bestFit="1" customWidth="1"/>
    <col min="4365" max="4608" width="9.140625" style="1551"/>
    <col min="4609" max="4609" width="5.5703125" style="1551" customWidth="1"/>
    <col min="4610" max="4610" width="6.7109375" style="1551" customWidth="1"/>
    <col min="4611" max="4611" width="8.85546875" style="1551" customWidth="1"/>
    <col min="4612" max="4612" width="47.85546875" style="1551" customWidth="1"/>
    <col min="4613" max="4613" width="12.85546875" style="1551" customWidth="1"/>
    <col min="4614" max="4614" width="15.5703125" style="1551" customWidth="1"/>
    <col min="4615" max="4615" width="15.85546875" style="1551" customWidth="1"/>
    <col min="4616" max="4616" width="6.42578125" style="1551" customWidth="1"/>
    <col min="4617" max="4618" width="9.140625" style="1551"/>
    <col min="4619" max="4620" width="14.7109375" style="1551" bestFit="1" customWidth="1"/>
    <col min="4621" max="4864" width="9.140625" style="1551"/>
    <col min="4865" max="4865" width="5.5703125" style="1551" customWidth="1"/>
    <col min="4866" max="4866" width="6.7109375" style="1551" customWidth="1"/>
    <col min="4867" max="4867" width="8.85546875" style="1551" customWidth="1"/>
    <col min="4868" max="4868" width="47.85546875" style="1551" customWidth="1"/>
    <col min="4869" max="4869" width="12.85546875" style="1551" customWidth="1"/>
    <col min="4870" max="4870" width="15.5703125" style="1551" customWidth="1"/>
    <col min="4871" max="4871" width="15.85546875" style="1551" customWidth="1"/>
    <col min="4872" max="4872" width="6.42578125" style="1551" customWidth="1"/>
    <col min="4873" max="4874" width="9.140625" style="1551"/>
    <col min="4875" max="4876" width="14.7109375" style="1551" bestFit="1" customWidth="1"/>
    <col min="4877" max="5120" width="9.140625" style="1551"/>
    <col min="5121" max="5121" width="5.5703125" style="1551" customWidth="1"/>
    <col min="5122" max="5122" width="6.7109375" style="1551" customWidth="1"/>
    <col min="5123" max="5123" width="8.85546875" style="1551" customWidth="1"/>
    <col min="5124" max="5124" width="47.85546875" style="1551" customWidth="1"/>
    <col min="5125" max="5125" width="12.85546875" style="1551" customWidth="1"/>
    <col min="5126" max="5126" width="15.5703125" style="1551" customWidth="1"/>
    <col min="5127" max="5127" width="15.85546875" style="1551" customWidth="1"/>
    <col min="5128" max="5128" width="6.42578125" style="1551" customWidth="1"/>
    <col min="5129" max="5130" width="9.140625" style="1551"/>
    <col min="5131" max="5132" width="14.7109375" style="1551" bestFit="1" customWidth="1"/>
    <col min="5133" max="5376" width="9.140625" style="1551"/>
    <col min="5377" max="5377" width="5.5703125" style="1551" customWidth="1"/>
    <col min="5378" max="5378" width="6.7109375" style="1551" customWidth="1"/>
    <col min="5379" max="5379" width="8.85546875" style="1551" customWidth="1"/>
    <col min="5380" max="5380" width="47.85546875" style="1551" customWidth="1"/>
    <col min="5381" max="5381" width="12.85546875" style="1551" customWidth="1"/>
    <col min="5382" max="5382" width="15.5703125" style="1551" customWidth="1"/>
    <col min="5383" max="5383" width="15.85546875" style="1551" customWidth="1"/>
    <col min="5384" max="5384" width="6.42578125" style="1551" customWidth="1"/>
    <col min="5385" max="5386" width="9.140625" style="1551"/>
    <col min="5387" max="5388" width="14.7109375" style="1551" bestFit="1" customWidth="1"/>
    <col min="5389" max="5632" width="9.140625" style="1551"/>
    <col min="5633" max="5633" width="5.5703125" style="1551" customWidth="1"/>
    <col min="5634" max="5634" width="6.7109375" style="1551" customWidth="1"/>
    <col min="5635" max="5635" width="8.85546875" style="1551" customWidth="1"/>
    <col min="5636" max="5636" width="47.85546875" style="1551" customWidth="1"/>
    <col min="5637" max="5637" width="12.85546875" style="1551" customWidth="1"/>
    <col min="5638" max="5638" width="15.5703125" style="1551" customWidth="1"/>
    <col min="5639" max="5639" width="15.85546875" style="1551" customWidth="1"/>
    <col min="5640" max="5640" width="6.42578125" style="1551" customWidth="1"/>
    <col min="5641" max="5642" width="9.140625" style="1551"/>
    <col min="5643" max="5644" width="14.7109375" style="1551" bestFit="1" customWidth="1"/>
    <col min="5645" max="5888" width="9.140625" style="1551"/>
    <col min="5889" max="5889" width="5.5703125" style="1551" customWidth="1"/>
    <col min="5890" max="5890" width="6.7109375" style="1551" customWidth="1"/>
    <col min="5891" max="5891" width="8.85546875" style="1551" customWidth="1"/>
    <col min="5892" max="5892" width="47.85546875" style="1551" customWidth="1"/>
    <col min="5893" max="5893" width="12.85546875" style="1551" customWidth="1"/>
    <col min="5894" max="5894" width="15.5703125" style="1551" customWidth="1"/>
    <col min="5895" max="5895" width="15.85546875" style="1551" customWidth="1"/>
    <col min="5896" max="5896" width="6.42578125" style="1551" customWidth="1"/>
    <col min="5897" max="5898" width="9.140625" style="1551"/>
    <col min="5899" max="5900" width="14.7109375" style="1551" bestFit="1" customWidth="1"/>
    <col min="5901" max="6144" width="9.140625" style="1551"/>
    <col min="6145" max="6145" width="5.5703125" style="1551" customWidth="1"/>
    <col min="6146" max="6146" width="6.7109375" style="1551" customWidth="1"/>
    <col min="6147" max="6147" width="8.85546875" style="1551" customWidth="1"/>
    <col min="6148" max="6148" width="47.85546875" style="1551" customWidth="1"/>
    <col min="6149" max="6149" width="12.85546875" style="1551" customWidth="1"/>
    <col min="6150" max="6150" width="15.5703125" style="1551" customWidth="1"/>
    <col min="6151" max="6151" width="15.85546875" style="1551" customWidth="1"/>
    <col min="6152" max="6152" width="6.42578125" style="1551" customWidth="1"/>
    <col min="6153" max="6154" width="9.140625" style="1551"/>
    <col min="6155" max="6156" width="14.7109375" style="1551" bestFit="1" customWidth="1"/>
    <col min="6157" max="6400" width="9.140625" style="1551"/>
    <col min="6401" max="6401" width="5.5703125" style="1551" customWidth="1"/>
    <col min="6402" max="6402" width="6.7109375" style="1551" customWidth="1"/>
    <col min="6403" max="6403" width="8.85546875" style="1551" customWidth="1"/>
    <col min="6404" max="6404" width="47.85546875" style="1551" customWidth="1"/>
    <col min="6405" max="6405" width="12.85546875" style="1551" customWidth="1"/>
    <col min="6406" max="6406" width="15.5703125" style="1551" customWidth="1"/>
    <col min="6407" max="6407" width="15.85546875" style="1551" customWidth="1"/>
    <col min="6408" max="6408" width="6.42578125" style="1551" customWidth="1"/>
    <col min="6409" max="6410" width="9.140625" style="1551"/>
    <col min="6411" max="6412" width="14.7109375" style="1551" bestFit="1" customWidth="1"/>
    <col min="6413" max="6656" width="9.140625" style="1551"/>
    <col min="6657" max="6657" width="5.5703125" style="1551" customWidth="1"/>
    <col min="6658" max="6658" width="6.7109375" style="1551" customWidth="1"/>
    <col min="6659" max="6659" width="8.85546875" style="1551" customWidth="1"/>
    <col min="6660" max="6660" width="47.85546875" style="1551" customWidth="1"/>
    <col min="6661" max="6661" width="12.85546875" style="1551" customWidth="1"/>
    <col min="6662" max="6662" width="15.5703125" style="1551" customWidth="1"/>
    <col min="6663" max="6663" width="15.85546875" style="1551" customWidth="1"/>
    <col min="6664" max="6664" width="6.42578125" style="1551" customWidth="1"/>
    <col min="6665" max="6666" width="9.140625" style="1551"/>
    <col min="6667" max="6668" width="14.7109375" style="1551" bestFit="1" customWidth="1"/>
    <col min="6669" max="6912" width="9.140625" style="1551"/>
    <col min="6913" max="6913" width="5.5703125" style="1551" customWidth="1"/>
    <col min="6914" max="6914" width="6.7109375" style="1551" customWidth="1"/>
    <col min="6915" max="6915" width="8.85546875" style="1551" customWidth="1"/>
    <col min="6916" max="6916" width="47.85546875" style="1551" customWidth="1"/>
    <col min="6917" max="6917" width="12.85546875" style="1551" customWidth="1"/>
    <col min="6918" max="6918" width="15.5703125" style="1551" customWidth="1"/>
    <col min="6919" max="6919" width="15.85546875" style="1551" customWidth="1"/>
    <col min="6920" max="6920" width="6.42578125" style="1551" customWidth="1"/>
    <col min="6921" max="6922" width="9.140625" style="1551"/>
    <col min="6923" max="6924" width="14.7109375" style="1551" bestFit="1" customWidth="1"/>
    <col min="6925" max="7168" width="9.140625" style="1551"/>
    <col min="7169" max="7169" width="5.5703125" style="1551" customWidth="1"/>
    <col min="7170" max="7170" width="6.7109375" style="1551" customWidth="1"/>
    <col min="7171" max="7171" width="8.85546875" style="1551" customWidth="1"/>
    <col min="7172" max="7172" width="47.85546875" style="1551" customWidth="1"/>
    <col min="7173" max="7173" width="12.85546875" style="1551" customWidth="1"/>
    <col min="7174" max="7174" width="15.5703125" style="1551" customWidth="1"/>
    <col min="7175" max="7175" width="15.85546875" style="1551" customWidth="1"/>
    <col min="7176" max="7176" width="6.42578125" style="1551" customWidth="1"/>
    <col min="7177" max="7178" width="9.140625" style="1551"/>
    <col min="7179" max="7180" width="14.7109375" style="1551" bestFit="1" customWidth="1"/>
    <col min="7181" max="7424" width="9.140625" style="1551"/>
    <col min="7425" max="7425" width="5.5703125" style="1551" customWidth="1"/>
    <col min="7426" max="7426" width="6.7109375" style="1551" customWidth="1"/>
    <col min="7427" max="7427" width="8.85546875" style="1551" customWidth="1"/>
    <col min="7428" max="7428" width="47.85546875" style="1551" customWidth="1"/>
    <col min="7429" max="7429" width="12.85546875" style="1551" customWidth="1"/>
    <col min="7430" max="7430" width="15.5703125" style="1551" customWidth="1"/>
    <col min="7431" max="7431" width="15.85546875" style="1551" customWidth="1"/>
    <col min="7432" max="7432" width="6.42578125" style="1551" customWidth="1"/>
    <col min="7433" max="7434" width="9.140625" style="1551"/>
    <col min="7435" max="7436" width="14.7109375" style="1551" bestFit="1" customWidth="1"/>
    <col min="7437" max="7680" width="9.140625" style="1551"/>
    <col min="7681" max="7681" width="5.5703125" style="1551" customWidth="1"/>
    <col min="7682" max="7682" width="6.7109375" style="1551" customWidth="1"/>
    <col min="7683" max="7683" width="8.85546875" style="1551" customWidth="1"/>
    <col min="7684" max="7684" width="47.85546875" style="1551" customWidth="1"/>
    <col min="7685" max="7685" width="12.85546875" style="1551" customWidth="1"/>
    <col min="7686" max="7686" width="15.5703125" style="1551" customWidth="1"/>
    <col min="7687" max="7687" width="15.85546875" style="1551" customWidth="1"/>
    <col min="7688" max="7688" width="6.42578125" style="1551" customWidth="1"/>
    <col min="7689" max="7690" width="9.140625" style="1551"/>
    <col min="7691" max="7692" width="14.7109375" style="1551" bestFit="1" customWidth="1"/>
    <col min="7693" max="7936" width="9.140625" style="1551"/>
    <col min="7937" max="7937" width="5.5703125" style="1551" customWidth="1"/>
    <col min="7938" max="7938" width="6.7109375" style="1551" customWidth="1"/>
    <col min="7939" max="7939" width="8.85546875" style="1551" customWidth="1"/>
    <col min="7940" max="7940" width="47.85546875" style="1551" customWidth="1"/>
    <col min="7941" max="7941" width="12.85546875" style="1551" customWidth="1"/>
    <col min="7942" max="7942" width="15.5703125" style="1551" customWidth="1"/>
    <col min="7943" max="7943" width="15.85546875" style="1551" customWidth="1"/>
    <col min="7944" max="7944" width="6.42578125" style="1551" customWidth="1"/>
    <col min="7945" max="7946" width="9.140625" style="1551"/>
    <col min="7947" max="7948" width="14.7109375" style="1551" bestFit="1" customWidth="1"/>
    <col min="7949" max="8192" width="9.140625" style="1551"/>
    <col min="8193" max="8193" width="5.5703125" style="1551" customWidth="1"/>
    <col min="8194" max="8194" width="6.7109375" style="1551" customWidth="1"/>
    <col min="8195" max="8195" width="8.85546875" style="1551" customWidth="1"/>
    <col min="8196" max="8196" width="47.85546875" style="1551" customWidth="1"/>
    <col min="8197" max="8197" width="12.85546875" style="1551" customWidth="1"/>
    <col min="8198" max="8198" width="15.5703125" style="1551" customWidth="1"/>
    <col min="8199" max="8199" width="15.85546875" style="1551" customWidth="1"/>
    <col min="8200" max="8200" width="6.42578125" style="1551" customWidth="1"/>
    <col min="8201" max="8202" width="9.140625" style="1551"/>
    <col min="8203" max="8204" width="14.7109375" style="1551" bestFit="1" customWidth="1"/>
    <col min="8205" max="8448" width="9.140625" style="1551"/>
    <col min="8449" max="8449" width="5.5703125" style="1551" customWidth="1"/>
    <col min="8450" max="8450" width="6.7109375" style="1551" customWidth="1"/>
    <col min="8451" max="8451" width="8.85546875" style="1551" customWidth="1"/>
    <col min="8452" max="8452" width="47.85546875" style="1551" customWidth="1"/>
    <col min="8453" max="8453" width="12.85546875" style="1551" customWidth="1"/>
    <col min="8454" max="8454" width="15.5703125" style="1551" customWidth="1"/>
    <col min="8455" max="8455" width="15.85546875" style="1551" customWidth="1"/>
    <col min="8456" max="8456" width="6.42578125" style="1551" customWidth="1"/>
    <col min="8457" max="8458" width="9.140625" style="1551"/>
    <col min="8459" max="8460" width="14.7109375" style="1551" bestFit="1" customWidth="1"/>
    <col min="8461" max="8704" width="9.140625" style="1551"/>
    <col min="8705" max="8705" width="5.5703125" style="1551" customWidth="1"/>
    <col min="8706" max="8706" width="6.7109375" style="1551" customWidth="1"/>
    <col min="8707" max="8707" width="8.85546875" style="1551" customWidth="1"/>
    <col min="8708" max="8708" width="47.85546875" style="1551" customWidth="1"/>
    <col min="8709" max="8709" width="12.85546875" style="1551" customWidth="1"/>
    <col min="8710" max="8710" width="15.5703125" style="1551" customWidth="1"/>
    <col min="8711" max="8711" width="15.85546875" style="1551" customWidth="1"/>
    <col min="8712" max="8712" width="6.42578125" style="1551" customWidth="1"/>
    <col min="8713" max="8714" width="9.140625" style="1551"/>
    <col min="8715" max="8716" width="14.7109375" style="1551" bestFit="1" customWidth="1"/>
    <col min="8717" max="8960" width="9.140625" style="1551"/>
    <col min="8961" max="8961" width="5.5703125" style="1551" customWidth="1"/>
    <col min="8962" max="8962" width="6.7109375" style="1551" customWidth="1"/>
    <col min="8963" max="8963" width="8.85546875" style="1551" customWidth="1"/>
    <col min="8964" max="8964" width="47.85546875" style="1551" customWidth="1"/>
    <col min="8965" max="8965" width="12.85546875" style="1551" customWidth="1"/>
    <col min="8966" max="8966" width="15.5703125" style="1551" customWidth="1"/>
    <col min="8967" max="8967" width="15.85546875" style="1551" customWidth="1"/>
    <col min="8968" max="8968" width="6.42578125" style="1551" customWidth="1"/>
    <col min="8969" max="8970" width="9.140625" style="1551"/>
    <col min="8971" max="8972" width="14.7109375" style="1551" bestFit="1" customWidth="1"/>
    <col min="8973" max="9216" width="9.140625" style="1551"/>
    <col min="9217" max="9217" width="5.5703125" style="1551" customWidth="1"/>
    <col min="9218" max="9218" width="6.7109375" style="1551" customWidth="1"/>
    <col min="9219" max="9219" width="8.85546875" style="1551" customWidth="1"/>
    <col min="9220" max="9220" width="47.85546875" style="1551" customWidth="1"/>
    <col min="9221" max="9221" width="12.85546875" style="1551" customWidth="1"/>
    <col min="9222" max="9222" width="15.5703125" style="1551" customWidth="1"/>
    <col min="9223" max="9223" width="15.85546875" style="1551" customWidth="1"/>
    <col min="9224" max="9224" width="6.42578125" style="1551" customWidth="1"/>
    <col min="9225" max="9226" width="9.140625" style="1551"/>
    <col min="9227" max="9228" width="14.7109375" style="1551" bestFit="1" customWidth="1"/>
    <col min="9229" max="9472" width="9.140625" style="1551"/>
    <col min="9473" max="9473" width="5.5703125" style="1551" customWidth="1"/>
    <col min="9474" max="9474" width="6.7109375" style="1551" customWidth="1"/>
    <col min="9475" max="9475" width="8.85546875" style="1551" customWidth="1"/>
    <col min="9476" max="9476" width="47.85546875" style="1551" customWidth="1"/>
    <col min="9477" max="9477" width="12.85546875" style="1551" customWidth="1"/>
    <col min="9478" max="9478" width="15.5703125" style="1551" customWidth="1"/>
    <col min="9479" max="9479" width="15.85546875" style="1551" customWidth="1"/>
    <col min="9480" max="9480" width="6.42578125" style="1551" customWidth="1"/>
    <col min="9481" max="9482" width="9.140625" style="1551"/>
    <col min="9483" max="9484" width="14.7109375" style="1551" bestFit="1" customWidth="1"/>
    <col min="9485" max="9728" width="9.140625" style="1551"/>
    <col min="9729" max="9729" width="5.5703125" style="1551" customWidth="1"/>
    <col min="9730" max="9730" width="6.7109375" style="1551" customWidth="1"/>
    <col min="9731" max="9731" width="8.85546875" style="1551" customWidth="1"/>
    <col min="9732" max="9732" width="47.85546875" style="1551" customWidth="1"/>
    <col min="9733" max="9733" width="12.85546875" style="1551" customWidth="1"/>
    <col min="9734" max="9734" width="15.5703125" style="1551" customWidth="1"/>
    <col min="9735" max="9735" width="15.85546875" style="1551" customWidth="1"/>
    <col min="9736" max="9736" width="6.42578125" style="1551" customWidth="1"/>
    <col min="9737" max="9738" width="9.140625" style="1551"/>
    <col min="9739" max="9740" width="14.7109375" style="1551" bestFit="1" customWidth="1"/>
    <col min="9741" max="9984" width="9.140625" style="1551"/>
    <col min="9985" max="9985" width="5.5703125" style="1551" customWidth="1"/>
    <col min="9986" max="9986" width="6.7109375" style="1551" customWidth="1"/>
    <col min="9987" max="9987" width="8.85546875" style="1551" customWidth="1"/>
    <col min="9988" max="9988" width="47.85546875" style="1551" customWidth="1"/>
    <col min="9989" max="9989" width="12.85546875" style="1551" customWidth="1"/>
    <col min="9990" max="9990" width="15.5703125" style="1551" customWidth="1"/>
    <col min="9991" max="9991" width="15.85546875" style="1551" customWidth="1"/>
    <col min="9992" max="9992" width="6.42578125" style="1551" customWidth="1"/>
    <col min="9993" max="9994" width="9.140625" style="1551"/>
    <col min="9995" max="9996" width="14.7109375" style="1551" bestFit="1" customWidth="1"/>
    <col min="9997" max="10240" width="9.140625" style="1551"/>
    <col min="10241" max="10241" width="5.5703125" style="1551" customWidth="1"/>
    <col min="10242" max="10242" width="6.7109375" style="1551" customWidth="1"/>
    <col min="10243" max="10243" width="8.85546875" style="1551" customWidth="1"/>
    <col min="10244" max="10244" width="47.85546875" style="1551" customWidth="1"/>
    <col min="10245" max="10245" width="12.85546875" style="1551" customWidth="1"/>
    <col min="10246" max="10246" width="15.5703125" style="1551" customWidth="1"/>
    <col min="10247" max="10247" width="15.85546875" style="1551" customWidth="1"/>
    <col min="10248" max="10248" width="6.42578125" style="1551" customWidth="1"/>
    <col min="10249" max="10250" width="9.140625" style="1551"/>
    <col min="10251" max="10252" width="14.7109375" style="1551" bestFit="1" customWidth="1"/>
    <col min="10253" max="10496" width="9.140625" style="1551"/>
    <col min="10497" max="10497" width="5.5703125" style="1551" customWidth="1"/>
    <col min="10498" max="10498" width="6.7109375" style="1551" customWidth="1"/>
    <col min="10499" max="10499" width="8.85546875" style="1551" customWidth="1"/>
    <col min="10500" max="10500" width="47.85546875" style="1551" customWidth="1"/>
    <col min="10501" max="10501" width="12.85546875" style="1551" customWidth="1"/>
    <col min="10502" max="10502" width="15.5703125" style="1551" customWidth="1"/>
    <col min="10503" max="10503" width="15.85546875" style="1551" customWidth="1"/>
    <col min="10504" max="10504" width="6.42578125" style="1551" customWidth="1"/>
    <col min="10505" max="10506" width="9.140625" style="1551"/>
    <col min="10507" max="10508" width="14.7109375" style="1551" bestFit="1" customWidth="1"/>
    <col min="10509" max="10752" width="9.140625" style="1551"/>
    <col min="10753" max="10753" width="5.5703125" style="1551" customWidth="1"/>
    <col min="10754" max="10754" width="6.7109375" style="1551" customWidth="1"/>
    <col min="10755" max="10755" width="8.85546875" style="1551" customWidth="1"/>
    <col min="10756" max="10756" width="47.85546875" style="1551" customWidth="1"/>
    <col min="10757" max="10757" width="12.85546875" style="1551" customWidth="1"/>
    <col min="10758" max="10758" width="15.5703125" style="1551" customWidth="1"/>
    <col min="10759" max="10759" width="15.85546875" style="1551" customWidth="1"/>
    <col min="10760" max="10760" width="6.42578125" style="1551" customWidth="1"/>
    <col min="10761" max="10762" width="9.140625" style="1551"/>
    <col min="10763" max="10764" width="14.7109375" style="1551" bestFit="1" customWidth="1"/>
    <col min="10765" max="11008" width="9.140625" style="1551"/>
    <col min="11009" max="11009" width="5.5703125" style="1551" customWidth="1"/>
    <col min="11010" max="11010" width="6.7109375" style="1551" customWidth="1"/>
    <col min="11011" max="11011" width="8.85546875" style="1551" customWidth="1"/>
    <col min="11012" max="11012" width="47.85546875" style="1551" customWidth="1"/>
    <col min="11013" max="11013" width="12.85546875" style="1551" customWidth="1"/>
    <col min="11014" max="11014" width="15.5703125" style="1551" customWidth="1"/>
    <col min="11015" max="11015" width="15.85546875" style="1551" customWidth="1"/>
    <col min="11016" max="11016" width="6.42578125" style="1551" customWidth="1"/>
    <col min="11017" max="11018" width="9.140625" style="1551"/>
    <col min="11019" max="11020" width="14.7109375" style="1551" bestFit="1" customWidth="1"/>
    <col min="11021" max="11264" width="9.140625" style="1551"/>
    <col min="11265" max="11265" width="5.5703125" style="1551" customWidth="1"/>
    <col min="11266" max="11266" width="6.7109375" style="1551" customWidth="1"/>
    <col min="11267" max="11267" width="8.85546875" style="1551" customWidth="1"/>
    <col min="11268" max="11268" width="47.85546875" style="1551" customWidth="1"/>
    <col min="11269" max="11269" width="12.85546875" style="1551" customWidth="1"/>
    <col min="11270" max="11270" width="15.5703125" style="1551" customWidth="1"/>
    <col min="11271" max="11271" width="15.85546875" style="1551" customWidth="1"/>
    <col min="11272" max="11272" width="6.42578125" style="1551" customWidth="1"/>
    <col min="11273" max="11274" width="9.140625" style="1551"/>
    <col min="11275" max="11276" width="14.7109375" style="1551" bestFit="1" customWidth="1"/>
    <col min="11277" max="11520" width="9.140625" style="1551"/>
    <col min="11521" max="11521" width="5.5703125" style="1551" customWidth="1"/>
    <col min="11522" max="11522" width="6.7109375" style="1551" customWidth="1"/>
    <col min="11523" max="11523" width="8.85546875" style="1551" customWidth="1"/>
    <col min="11524" max="11524" width="47.85546875" style="1551" customWidth="1"/>
    <col min="11525" max="11525" width="12.85546875" style="1551" customWidth="1"/>
    <col min="11526" max="11526" width="15.5703125" style="1551" customWidth="1"/>
    <col min="11527" max="11527" width="15.85546875" style="1551" customWidth="1"/>
    <col min="11528" max="11528" width="6.42578125" style="1551" customWidth="1"/>
    <col min="11529" max="11530" width="9.140625" style="1551"/>
    <col min="11531" max="11532" width="14.7109375" style="1551" bestFit="1" customWidth="1"/>
    <col min="11533" max="11776" width="9.140625" style="1551"/>
    <col min="11777" max="11777" width="5.5703125" style="1551" customWidth="1"/>
    <col min="11778" max="11778" width="6.7109375" style="1551" customWidth="1"/>
    <col min="11779" max="11779" width="8.85546875" style="1551" customWidth="1"/>
    <col min="11780" max="11780" width="47.85546875" style="1551" customWidth="1"/>
    <col min="11781" max="11781" width="12.85546875" style="1551" customWidth="1"/>
    <col min="11782" max="11782" width="15.5703125" style="1551" customWidth="1"/>
    <col min="11783" max="11783" width="15.85546875" style="1551" customWidth="1"/>
    <col min="11784" max="11784" width="6.42578125" style="1551" customWidth="1"/>
    <col min="11785" max="11786" width="9.140625" style="1551"/>
    <col min="11787" max="11788" width="14.7109375" style="1551" bestFit="1" customWidth="1"/>
    <col min="11789" max="12032" width="9.140625" style="1551"/>
    <col min="12033" max="12033" width="5.5703125" style="1551" customWidth="1"/>
    <col min="12034" max="12034" width="6.7109375" style="1551" customWidth="1"/>
    <col min="12035" max="12035" width="8.85546875" style="1551" customWidth="1"/>
    <col min="12036" max="12036" width="47.85546875" style="1551" customWidth="1"/>
    <col min="12037" max="12037" width="12.85546875" style="1551" customWidth="1"/>
    <col min="12038" max="12038" width="15.5703125" style="1551" customWidth="1"/>
    <col min="12039" max="12039" width="15.85546875" style="1551" customWidth="1"/>
    <col min="12040" max="12040" width="6.42578125" style="1551" customWidth="1"/>
    <col min="12041" max="12042" width="9.140625" style="1551"/>
    <col min="12043" max="12044" width="14.7109375" style="1551" bestFit="1" customWidth="1"/>
    <col min="12045" max="12288" width="9.140625" style="1551"/>
    <col min="12289" max="12289" width="5.5703125" style="1551" customWidth="1"/>
    <col min="12290" max="12290" width="6.7109375" style="1551" customWidth="1"/>
    <col min="12291" max="12291" width="8.85546875" style="1551" customWidth="1"/>
    <col min="12292" max="12292" width="47.85546875" style="1551" customWidth="1"/>
    <col min="12293" max="12293" width="12.85546875" style="1551" customWidth="1"/>
    <col min="12294" max="12294" width="15.5703125" style="1551" customWidth="1"/>
    <col min="12295" max="12295" width="15.85546875" style="1551" customWidth="1"/>
    <col min="12296" max="12296" width="6.42578125" style="1551" customWidth="1"/>
    <col min="12297" max="12298" width="9.140625" style="1551"/>
    <col min="12299" max="12300" width="14.7109375" style="1551" bestFit="1" customWidth="1"/>
    <col min="12301" max="12544" width="9.140625" style="1551"/>
    <col min="12545" max="12545" width="5.5703125" style="1551" customWidth="1"/>
    <col min="12546" max="12546" width="6.7109375" style="1551" customWidth="1"/>
    <col min="12547" max="12547" width="8.85546875" style="1551" customWidth="1"/>
    <col min="12548" max="12548" width="47.85546875" style="1551" customWidth="1"/>
    <col min="12549" max="12549" width="12.85546875" style="1551" customWidth="1"/>
    <col min="12550" max="12550" width="15.5703125" style="1551" customWidth="1"/>
    <col min="12551" max="12551" width="15.85546875" style="1551" customWidth="1"/>
    <col min="12552" max="12552" width="6.42578125" style="1551" customWidth="1"/>
    <col min="12553" max="12554" width="9.140625" style="1551"/>
    <col min="12555" max="12556" width="14.7109375" style="1551" bestFit="1" customWidth="1"/>
    <col min="12557" max="12800" width="9.140625" style="1551"/>
    <col min="12801" max="12801" width="5.5703125" style="1551" customWidth="1"/>
    <col min="12802" max="12802" width="6.7109375" style="1551" customWidth="1"/>
    <col min="12803" max="12803" width="8.85546875" style="1551" customWidth="1"/>
    <col min="12804" max="12804" width="47.85546875" style="1551" customWidth="1"/>
    <col min="12805" max="12805" width="12.85546875" style="1551" customWidth="1"/>
    <col min="12806" max="12806" width="15.5703125" style="1551" customWidth="1"/>
    <col min="12807" max="12807" width="15.85546875" style="1551" customWidth="1"/>
    <col min="12808" max="12808" width="6.42578125" style="1551" customWidth="1"/>
    <col min="12809" max="12810" width="9.140625" style="1551"/>
    <col min="12811" max="12812" width="14.7109375" style="1551" bestFit="1" customWidth="1"/>
    <col min="12813" max="13056" width="9.140625" style="1551"/>
    <col min="13057" max="13057" width="5.5703125" style="1551" customWidth="1"/>
    <col min="13058" max="13058" width="6.7109375" style="1551" customWidth="1"/>
    <col min="13059" max="13059" width="8.85546875" style="1551" customWidth="1"/>
    <col min="13060" max="13060" width="47.85546875" style="1551" customWidth="1"/>
    <col min="13061" max="13061" width="12.85546875" style="1551" customWidth="1"/>
    <col min="13062" max="13062" width="15.5703125" style="1551" customWidth="1"/>
    <col min="13063" max="13063" width="15.85546875" style="1551" customWidth="1"/>
    <col min="13064" max="13064" width="6.42578125" style="1551" customWidth="1"/>
    <col min="13065" max="13066" width="9.140625" style="1551"/>
    <col min="13067" max="13068" width="14.7109375" style="1551" bestFit="1" customWidth="1"/>
    <col min="13069" max="13312" width="9.140625" style="1551"/>
    <col min="13313" max="13313" width="5.5703125" style="1551" customWidth="1"/>
    <col min="13314" max="13314" width="6.7109375" style="1551" customWidth="1"/>
    <col min="13315" max="13315" width="8.85546875" style="1551" customWidth="1"/>
    <col min="13316" max="13316" width="47.85546875" style="1551" customWidth="1"/>
    <col min="13317" max="13317" width="12.85546875" style="1551" customWidth="1"/>
    <col min="13318" max="13318" width="15.5703125" style="1551" customWidth="1"/>
    <col min="13319" max="13319" width="15.85546875" style="1551" customWidth="1"/>
    <col min="13320" max="13320" width="6.42578125" style="1551" customWidth="1"/>
    <col min="13321" max="13322" width="9.140625" style="1551"/>
    <col min="13323" max="13324" width="14.7109375" style="1551" bestFit="1" customWidth="1"/>
    <col min="13325" max="13568" width="9.140625" style="1551"/>
    <col min="13569" max="13569" width="5.5703125" style="1551" customWidth="1"/>
    <col min="13570" max="13570" width="6.7109375" style="1551" customWidth="1"/>
    <col min="13571" max="13571" width="8.85546875" style="1551" customWidth="1"/>
    <col min="13572" max="13572" width="47.85546875" style="1551" customWidth="1"/>
    <col min="13573" max="13573" width="12.85546875" style="1551" customWidth="1"/>
    <col min="13574" max="13574" width="15.5703125" style="1551" customWidth="1"/>
    <col min="13575" max="13575" width="15.85546875" style="1551" customWidth="1"/>
    <col min="13576" max="13576" width="6.42578125" style="1551" customWidth="1"/>
    <col min="13577" max="13578" width="9.140625" style="1551"/>
    <col min="13579" max="13580" width="14.7109375" style="1551" bestFit="1" customWidth="1"/>
    <col min="13581" max="13824" width="9.140625" style="1551"/>
    <col min="13825" max="13825" width="5.5703125" style="1551" customWidth="1"/>
    <col min="13826" max="13826" width="6.7109375" style="1551" customWidth="1"/>
    <col min="13827" max="13827" width="8.85546875" style="1551" customWidth="1"/>
    <col min="13828" max="13828" width="47.85546875" style="1551" customWidth="1"/>
    <col min="13829" max="13829" width="12.85546875" style="1551" customWidth="1"/>
    <col min="13830" max="13830" width="15.5703125" style="1551" customWidth="1"/>
    <col min="13831" max="13831" width="15.85546875" style="1551" customWidth="1"/>
    <col min="13832" max="13832" width="6.42578125" style="1551" customWidth="1"/>
    <col min="13833" max="13834" width="9.140625" style="1551"/>
    <col min="13835" max="13836" width="14.7109375" style="1551" bestFit="1" customWidth="1"/>
    <col min="13837" max="14080" width="9.140625" style="1551"/>
    <col min="14081" max="14081" width="5.5703125" style="1551" customWidth="1"/>
    <col min="14082" max="14082" width="6.7109375" style="1551" customWidth="1"/>
    <col min="14083" max="14083" width="8.85546875" style="1551" customWidth="1"/>
    <col min="14084" max="14084" width="47.85546875" style="1551" customWidth="1"/>
    <col min="14085" max="14085" width="12.85546875" style="1551" customWidth="1"/>
    <col min="14086" max="14086" width="15.5703125" style="1551" customWidth="1"/>
    <col min="14087" max="14087" width="15.85546875" style="1551" customWidth="1"/>
    <col min="14088" max="14088" width="6.42578125" style="1551" customWidth="1"/>
    <col min="14089" max="14090" width="9.140625" style="1551"/>
    <col min="14091" max="14092" width="14.7109375" style="1551" bestFit="1" customWidth="1"/>
    <col min="14093" max="14336" width="9.140625" style="1551"/>
    <col min="14337" max="14337" width="5.5703125" style="1551" customWidth="1"/>
    <col min="14338" max="14338" width="6.7109375" style="1551" customWidth="1"/>
    <col min="14339" max="14339" width="8.85546875" style="1551" customWidth="1"/>
    <col min="14340" max="14340" width="47.85546875" style="1551" customWidth="1"/>
    <col min="14341" max="14341" width="12.85546875" style="1551" customWidth="1"/>
    <col min="14342" max="14342" width="15.5703125" style="1551" customWidth="1"/>
    <col min="14343" max="14343" width="15.85546875" style="1551" customWidth="1"/>
    <col min="14344" max="14344" width="6.42578125" style="1551" customWidth="1"/>
    <col min="14345" max="14346" width="9.140625" style="1551"/>
    <col min="14347" max="14348" width="14.7109375" style="1551" bestFit="1" customWidth="1"/>
    <col min="14349" max="14592" width="9.140625" style="1551"/>
    <col min="14593" max="14593" width="5.5703125" style="1551" customWidth="1"/>
    <col min="14594" max="14594" width="6.7109375" style="1551" customWidth="1"/>
    <col min="14595" max="14595" width="8.85546875" style="1551" customWidth="1"/>
    <col min="14596" max="14596" width="47.85546875" style="1551" customWidth="1"/>
    <col min="14597" max="14597" width="12.85546875" style="1551" customWidth="1"/>
    <col min="14598" max="14598" width="15.5703125" style="1551" customWidth="1"/>
    <col min="14599" max="14599" width="15.85546875" style="1551" customWidth="1"/>
    <col min="14600" max="14600" width="6.42578125" style="1551" customWidth="1"/>
    <col min="14601" max="14602" width="9.140625" style="1551"/>
    <col min="14603" max="14604" width="14.7109375" style="1551" bestFit="1" customWidth="1"/>
    <col min="14605" max="14848" width="9.140625" style="1551"/>
    <col min="14849" max="14849" width="5.5703125" style="1551" customWidth="1"/>
    <col min="14850" max="14850" width="6.7109375" style="1551" customWidth="1"/>
    <col min="14851" max="14851" width="8.85546875" style="1551" customWidth="1"/>
    <col min="14852" max="14852" width="47.85546875" style="1551" customWidth="1"/>
    <col min="14853" max="14853" width="12.85546875" style="1551" customWidth="1"/>
    <col min="14854" max="14854" width="15.5703125" style="1551" customWidth="1"/>
    <col min="14855" max="14855" width="15.85546875" style="1551" customWidth="1"/>
    <col min="14856" max="14856" width="6.42578125" style="1551" customWidth="1"/>
    <col min="14857" max="14858" width="9.140625" style="1551"/>
    <col min="14859" max="14860" width="14.7109375" style="1551" bestFit="1" customWidth="1"/>
    <col min="14861" max="15104" width="9.140625" style="1551"/>
    <col min="15105" max="15105" width="5.5703125" style="1551" customWidth="1"/>
    <col min="15106" max="15106" width="6.7109375" style="1551" customWidth="1"/>
    <col min="15107" max="15107" width="8.85546875" style="1551" customWidth="1"/>
    <col min="15108" max="15108" width="47.85546875" style="1551" customWidth="1"/>
    <col min="15109" max="15109" width="12.85546875" style="1551" customWidth="1"/>
    <col min="15110" max="15110" width="15.5703125" style="1551" customWidth="1"/>
    <col min="15111" max="15111" width="15.85546875" style="1551" customWidth="1"/>
    <col min="15112" max="15112" width="6.42578125" style="1551" customWidth="1"/>
    <col min="15113" max="15114" width="9.140625" style="1551"/>
    <col min="15115" max="15116" width="14.7109375" style="1551" bestFit="1" customWidth="1"/>
    <col min="15117" max="15360" width="9.140625" style="1551"/>
    <col min="15361" max="15361" width="5.5703125" style="1551" customWidth="1"/>
    <col min="15362" max="15362" width="6.7109375" style="1551" customWidth="1"/>
    <col min="15363" max="15363" width="8.85546875" style="1551" customWidth="1"/>
    <col min="15364" max="15364" width="47.85546875" style="1551" customWidth="1"/>
    <col min="15365" max="15365" width="12.85546875" style="1551" customWidth="1"/>
    <col min="15366" max="15366" width="15.5703125" style="1551" customWidth="1"/>
    <col min="15367" max="15367" width="15.85546875" style="1551" customWidth="1"/>
    <col min="15368" max="15368" width="6.42578125" style="1551" customWidth="1"/>
    <col min="15369" max="15370" width="9.140625" style="1551"/>
    <col min="15371" max="15372" width="14.7109375" style="1551" bestFit="1" customWidth="1"/>
    <col min="15373" max="15616" width="9.140625" style="1551"/>
    <col min="15617" max="15617" width="5.5703125" style="1551" customWidth="1"/>
    <col min="15618" max="15618" width="6.7109375" style="1551" customWidth="1"/>
    <col min="15619" max="15619" width="8.85546875" style="1551" customWidth="1"/>
    <col min="15620" max="15620" width="47.85546875" style="1551" customWidth="1"/>
    <col min="15621" max="15621" width="12.85546875" style="1551" customWidth="1"/>
    <col min="15622" max="15622" width="15.5703125" style="1551" customWidth="1"/>
    <col min="15623" max="15623" width="15.85546875" style="1551" customWidth="1"/>
    <col min="15624" max="15624" width="6.42578125" style="1551" customWidth="1"/>
    <col min="15625" max="15626" width="9.140625" style="1551"/>
    <col min="15627" max="15628" width="14.7109375" style="1551" bestFit="1" customWidth="1"/>
    <col min="15629" max="15872" width="9.140625" style="1551"/>
    <col min="15873" max="15873" width="5.5703125" style="1551" customWidth="1"/>
    <col min="15874" max="15874" width="6.7109375" style="1551" customWidth="1"/>
    <col min="15875" max="15875" width="8.85546875" style="1551" customWidth="1"/>
    <col min="15876" max="15876" width="47.85546875" style="1551" customWidth="1"/>
    <col min="15877" max="15877" width="12.85546875" style="1551" customWidth="1"/>
    <col min="15878" max="15878" width="15.5703125" style="1551" customWidth="1"/>
    <col min="15879" max="15879" width="15.85546875" style="1551" customWidth="1"/>
    <col min="15880" max="15880" width="6.42578125" style="1551" customWidth="1"/>
    <col min="15881" max="15882" width="9.140625" style="1551"/>
    <col min="15883" max="15884" width="14.7109375" style="1551" bestFit="1" customWidth="1"/>
    <col min="15885" max="16128" width="9.140625" style="1551"/>
    <col min="16129" max="16129" width="5.5703125" style="1551" customWidth="1"/>
    <col min="16130" max="16130" width="6.7109375" style="1551" customWidth="1"/>
    <col min="16131" max="16131" width="8.85546875" style="1551" customWidth="1"/>
    <col min="16132" max="16132" width="47.85546875" style="1551" customWidth="1"/>
    <col min="16133" max="16133" width="12.85546875" style="1551" customWidth="1"/>
    <col min="16134" max="16134" width="15.5703125" style="1551" customWidth="1"/>
    <col min="16135" max="16135" width="15.85546875" style="1551" customWidth="1"/>
    <col min="16136" max="16136" width="6.42578125" style="1551" customWidth="1"/>
    <col min="16137" max="16138" width="9.140625" style="1551"/>
    <col min="16139" max="16140" width="14.7109375" style="1551" bestFit="1" customWidth="1"/>
    <col min="16141" max="16384" width="9.140625" style="1551"/>
  </cols>
  <sheetData>
    <row r="1" spans="1:9" ht="18.75" thickBot="1" x14ac:dyDescent="0.3">
      <c r="A1" s="1545" t="s">
        <v>1548</v>
      </c>
      <c r="B1" s="1546"/>
      <c r="C1" s="1547"/>
      <c r="D1" s="1548"/>
      <c r="E1" s="1549"/>
      <c r="F1" s="1548"/>
      <c r="G1" s="1550"/>
      <c r="H1" s="1545"/>
    </row>
    <row r="2" spans="1:9" ht="18" x14ac:dyDescent="0.25">
      <c r="A2" s="1552"/>
      <c r="B2" s="1553"/>
      <c r="C2" s="1553"/>
      <c r="D2" s="1553"/>
      <c r="E2" s="1553"/>
      <c r="F2" s="1553"/>
      <c r="G2" s="1553"/>
      <c r="H2" s="1554" t="s">
        <v>1549</v>
      </c>
    </row>
    <row r="3" spans="1:9" ht="18" x14ac:dyDescent="0.25">
      <c r="A3" s="1555" t="s">
        <v>336</v>
      </c>
      <c r="B3" s="1553"/>
      <c r="C3" s="1556" t="s">
        <v>197</v>
      </c>
      <c r="D3" s="1553"/>
      <c r="E3" s="1553"/>
      <c r="F3" s="1553"/>
      <c r="G3" s="1553"/>
      <c r="H3" s="1554"/>
    </row>
    <row r="4" spans="1:9" ht="18" x14ac:dyDescent="0.25">
      <c r="A4" s="1552"/>
      <c r="B4" s="1553"/>
      <c r="C4" s="1708" t="s">
        <v>422</v>
      </c>
      <c r="D4" s="1553"/>
      <c r="E4" s="1553"/>
      <c r="F4" s="1553"/>
      <c r="G4" s="1553"/>
      <c r="H4" s="1554"/>
    </row>
    <row r="5" spans="1:9" ht="18" x14ac:dyDescent="0.25">
      <c r="A5" s="1557" t="s">
        <v>1550</v>
      </c>
      <c r="B5" s="1553"/>
      <c r="C5" s="1553"/>
      <c r="D5" s="1553"/>
      <c r="E5" s="1553"/>
      <c r="F5" s="1553"/>
      <c r="G5" s="1553"/>
      <c r="H5" s="1554"/>
    </row>
    <row r="6" spans="1:9" x14ac:dyDescent="0.2">
      <c r="A6" s="1558"/>
      <c r="B6" s="1558"/>
      <c r="C6" s="1558"/>
      <c r="E6" s="1559"/>
      <c r="F6" s="1559"/>
      <c r="G6" s="1559"/>
    </row>
    <row r="7" spans="1:9" x14ac:dyDescent="0.2">
      <c r="A7" s="1558"/>
      <c r="B7" s="1558"/>
      <c r="C7" s="1558"/>
      <c r="E7" s="1559"/>
      <c r="F7" s="1559"/>
      <c r="G7" s="1559"/>
    </row>
    <row r="8" spans="1:9" s="1641" customFormat="1" ht="15" x14ac:dyDescent="0.25">
      <c r="A8" s="1624"/>
      <c r="B8" s="1624"/>
      <c r="C8" s="1624"/>
      <c r="D8" s="1624"/>
      <c r="E8" s="1625"/>
      <c r="F8" s="1625"/>
      <c r="G8" s="1625"/>
      <c r="H8" s="1626"/>
      <c r="I8" s="1640"/>
    </row>
    <row r="9" spans="1:9" ht="13.5" customHeight="1" x14ac:dyDescent="0.25">
      <c r="A9" s="3233" t="s">
        <v>1434</v>
      </c>
      <c r="B9" s="3151"/>
      <c r="C9" s="3151"/>
      <c r="D9" s="3151"/>
      <c r="E9" s="3151"/>
      <c r="F9" s="3151"/>
      <c r="G9" s="3151"/>
      <c r="H9" s="3151"/>
    </row>
    <row r="10" spans="1:9" ht="15.75" thickBot="1" x14ac:dyDescent="0.3">
      <c r="A10" s="1544" t="s">
        <v>1359</v>
      </c>
      <c r="B10" s="1558"/>
      <c r="C10" s="1558"/>
      <c r="E10" s="1559"/>
      <c r="F10" s="1559"/>
      <c r="G10" s="1559"/>
      <c r="H10" s="1560" t="s">
        <v>148</v>
      </c>
    </row>
    <row r="11" spans="1:9" ht="25.5" thickTop="1" thickBot="1" x14ac:dyDescent="0.25">
      <c r="A11" s="1378" t="s">
        <v>149</v>
      </c>
      <c r="B11" s="1379" t="s">
        <v>688</v>
      </c>
      <c r="C11" s="1379" t="s">
        <v>345</v>
      </c>
      <c r="D11" s="1380" t="s">
        <v>151</v>
      </c>
      <c r="E11" s="1402" t="s">
        <v>569</v>
      </c>
      <c r="F11" s="1402" t="s">
        <v>570</v>
      </c>
      <c r="G11" s="1403" t="s">
        <v>797</v>
      </c>
      <c r="H11" s="1404" t="s">
        <v>798</v>
      </c>
    </row>
    <row r="12" spans="1:9" ht="14.25" thickTop="1" thickBot="1" x14ac:dyDescent="0.25">
      <c r="A12" s="1297">
        <v>1</v>
      </c>
      <c r="B12" s="1296">
        <v>2</v>
      </c>
      <c r="C12" s="1296">
        <v>3</v>
      </c>
      <c r="D12" s="1296">
        <v>4</v>
      </c>
      <c r="E12" s="1295">
        <v>5</v>
      </c>
      <c r="F12" s="1295">
        <v>6</v>
      </c>
      <c r="G12" s="1446">
        <v>7</v>
      </c>
      <c r="H12" s="1468" t="s">
        <v>54</v>
      </c>
    </row>
    <row r="13" spans="1:9" ht="15.75" hidden="1" thickTop="1" x14ac:dyDescent="0.2">
      <c r="A13" s="1572">
        <v>3636</v>
      </c>
      <c r="B13" s="1573">
        <v>5011</v>
      </c>
      <c r="C13" s="1582">
        <v>0</v>
      </c>
      <c r="D13" s="1574" t="s">
        <v>189</v>
      </c>
      <c r="E13" s="1575">
        <v>0</v>
      </c>
      <c r="F13" s="1575">
        <v>0</v>
      </c>
      <c r="G13" s="1575">
        <v>0</v>
      </c>
      <c r="H13" s="1576" t="e">
        <f t="shared" ref="H13:H20" si="0">G13/F13*100</f>
        <v>#DIV/0!</v>
      </c>
    </row>
    <row r="14" spans="1:9" ht="15.75" hidden="1" thickTop="1" x14ac:dyDescent="0.2">
      <c r="A14" s="1577">
        <v>3636</v>
      </c>
      <c r="B14" s="1578">
        <v>5011</v>
      </c>
      <c r="C14" s="1578">
        <v>38500881</v>
      </c>
      <c r="D14" s="1579" t="s">
        <v>189</v>
      </c>
      <c r="E14" s="1580">
        <v>0</v>
      </c>
      <c r="F14" s="1580">
        <v>0</v>
      </c>
      <c r="G14" s="1580">
        <v>0</v>
      </c>
      <c r="H14" s="1581" t="e">
        <f t="shared" si="0"/>
        <v>#DIV/0!</v>
      </c>
    </row>
    <row r="15" spans="1:9" ht="30.75" thickTop="1" x14ac:dyDescent="0.2">
      <c r="A15" s="1577">
        <v>3121</v>
      </c>
      <c r="B15" s="1578">
        <v>5336</v>
      </c>
      <c r="C15" s="2850" t="s">
        <v>1849</v>
      </c>
      <c r="D15" s="1579" t="s">
        <v>1131</v>
      </c>
      <c r="E15" s="1580">
        <v>0</v>
      </c>
      <c r="F15" s="1580">
        <f>7+59</f>
        <v>66</v>
      </c>
      <c r="G15" s="1580">
        <f>7+59</f>
        <v>66</v>
      </c>
      <c r="H15" s="1581">
        <f t="shared" si="0"/>
        <v>100</v>
      </c>
    </row>
    <row r="16" spans="1:9" ht="15" hidden="1" x14ac:dyDescent="0.2">
      <c r="A16" s="1577">
        <v>3636</v>
      </c>
      <c r="B16" s="1578">
        <v>5021</v>
      </c>
      <c r="C16" s="1629">
        <v>38500881</v>
      </c>
      <c r="D16" s="1579" t="s">
        <v>356</v>
      </c>
      <c r="E16" s="1580"/>
      <c r="F16" s="1580"/>
      <c r="G16" s="1580"/>
      <c r="H16" s="1581" t="e">
        <f t="shared" si="0"/>
        <v>#DIV/0!</v>
      </c>
    </row>
    <row r="17" spans="1:8" ht="30" hidden="1" x14ac:dyDescent="0.2">
      <c r="A17" s="1577">
        <v>3636</v>
      </c>
      <c r="B17" s="1578">
        <v>5031</v>
      </c>
      <c r="C17" s="1629">
        <v>38100880</v>
      </c>
      <c r="D17" s="1579" t="s">
        <v>1165</v>
      </c>
      <c r="E17" s="1580"/>
      <c r="F17" s="1580"/>
      <c r="G17" s="1580"/>
      <c r="H17" s="1581" t="e">
        <f t="shared" si="0"/>
        <v>#DIV/0!</v>
      </c>
    </row>
    <row r="18" spans="1:8" ht="30" hidden="1" x14ac:dyDescent="0.2">
      <c r="A18" s="1577">
        <v>3636</v>
      </c>
      <c r="B18" s="1578">
        <v>5031</v>
      </c>
      <c r="C18" s="1629">
        <v>38500881</v>
      </c>
      <c r="D18" s="1579" t="s">
        <v>1165</v>
      </c>
      <c r="E18" s="1580"/>
      <c r="F18" s="1580"/>
      <c r="G18" s="1580"/>
      <c r="H18" s="1581" t="e">
        <f t="shared" si="0"/>
        <v>#DIV/0!</v>
      </c>
    </row>
    <row r="19" spans="1:8" ht="30" hidden="1" x14ac:dyDescent="0.2">
      <c r="A19" s="1577">
        <v>3636</v>
      </c>
      <c r="B19" s="1578">
        <v>5032</v>
      </c>
      <c r="C19" s="1629">
        <v>38100880</v>
      </c>
      <c r="D19" s="1579" t="s">
        <v>1058</v>
      </c>
      <c r="E19" s="1580"/>
      <c r="F19" s="1580"/>
      <c r="G19" s="1580"/>
      <c r="H19" s="1581" t="e">
        <f t="shared" si="0"/>
        <v>#DIV/0!</v>
      </c>
    </row>
    <row r="20" spans="1:8" ht="30" hidden="1" x14ac:dyDescent="0.2">
      <c r="A20" s="1577">
        <v>3636</v>
      </c>
      <c r="B20" s="1578">
        <v>5032</v>
      </c>
      <c r="C20" s="1629">
        <v>38500881</v>
      </c>
      <c r="D20" s="1579" t="s">
        <v>1058</v>
      </c>
      <c r="E20" s="1580"/>
      <c r="F20" s="1580"/>
      <c r="G20" s="1580"/>
      <c r="H20" s="1581" t="e">
        <f t="shared" si="0"/>
        <v>#DIV/0!</v>
      </c>
    </row>
    <row r="21" spans="1:8" ht="15" hidden="1" x14ac:dyDescent="0.2">
      <c r="A21" s="1577">
        <v>3636</v>
      </c>
      <c r="B21" s="1578">
        <v>5139</v>
      </c>
      <c r="C21" s="1629">
        <v>38100880</v>
      </c>
      <c r="D21" s="1579" t="s">
        <v>249</v>
      </c>
      <c r="E21" s="1580"/>
      <c r="F21" s="1580"/>
      <c r="G21" s="1580"/>
      <c r="H21" s="1581">
        <v>0</v>
      </c>
    </row>
    <row r="22" spans="1:8" ht="15" hidden="1" x14ac:dyDescent="0.2">
      <c r="A22" s="1577">
        <v>3636</v>
      </c>
      <c r="B22" s="1578">
        <v>5139</v>
      </c>
      <c r="C22" s="1629">
        <v>38500881</v>
      </c>
      <c r="D22" s="1579" t="s">
        <v>249</v>
      </c>
      <c r="E22" s="1580"/>
      <c r="F22" s="1580"/>
      <c r="G22" s="1580"/>
      <c r="H22" s="1581" t="e">
        <f t="shared" ref="H22:H34" si="1">G22/F22*100</f>
        <v>#DIV/0!</v>
      </c>
    </row>
    <row r="23" spans="1:8" ht="15" hidden="1" x14ac:dyDescent="0.2">
      <c r="A23" s="1577">
        <v>3636</v>
      </c>
      <c r="B23" s="1578">
        <v>5162</v>
      </c>
      <c r="C23" s="1629">
        <v>38100880</v>
      </c>
      <c r="D23" s="1579" t="s">
        <v>780</v>
      </c>
      <c r="E23" s="1580"/>
      <c r="F23" s="1580"/>
      <c r="G23" s="1580"/>
      <c r="H23" s="1581" t="e">
        <f t="shared" si="1"/>
        <v>#DIV/0!</v>
      </c>
    </row>
    <row r="24" spans="1:8" ht="15" hidden="1" x14ac:dyDescent="0.2">
      <c r="A24" s="1577">
        <v>3636</v>
      </c>
      <c r="B24" s="1578">
        <v>5162</v>
      </c>
      <c r="C24" s="1629">
        <v>38500881</v>
      </c>
      <c r="D24" s="1579" t="s">
        <v>780</v>
      </c>
      <c r="E24" s="1580"/>
      <c r="F24" s="1580"/>
      <c r="G24" s="1580"/>
      <c r="H24" s="1581" t="e">
        <f t="shared" si="1"/>
        <v>#DIV/0!</v>
      </c>
    </row>
    <row r="25" spans="1:8" ht="15" hidden="1" x14ac:dyDescent="0.2">
      <c r="A25" s="1577">
        <v>3636</v>
      </c>
      <c r="B25" s="1578">
        <v>5164</v>
      </c>
      <c r="C25" s="1629">
        <v>38100880</v>
      </c>
      <c r="D25" s="1579" t="s">
        <v>157</v>
      </c>
      <c r="E25" s="1580"/>
      <c r="F25" s="1580"/>
      <c r="G25" s="1580"/>
      <c r="H25" s="1581" t="e">
        <f t="shared" si="1"/>
        <v>#DIV/0!</v>
      </c>
    </row>
    <row r="26" spans="1:8" ht="15" hidden="1" x14ac:dyDescent="0.2">
      <c r="A26" s="1577">
        <v>3636</v>
      </c>
      <c r="B26" s="1578">
        <v>5164</v>
      </c>
      <c r="C26" s="1629">
        <v>38500881</v>
      </c>
      <c r="D26" s="1579" t="s">
        <v>157</v>
      </c>
      <c r="E26" s="1580"/>
      <c r="F26" s="1580"/>
      <c r="G26" s="1580"/>
      <c r="H26" s="1581" t="e">
        <f t="shared" si="1"/>
        <v>#DIV/0!</v>
      </c>
    </row>
    <row r="27" spans="1:8" ht="30" x14ac:dyDescent="0.2">
      <c r="A27" s="1577">
        <v>3121</v>
      </c>
      <c r="B27" s="1578">
        <v>5336</v>
      </c>
      <c r="C27" s="2850" t="s">
        <v>1850</v>
      </c>
      <c r="D27" s="1579" t="s">
        <v>1131</v>
      </c>
      <c r="E27" s="1580">
        <v>0</v>
      </c>
      <c r="F27" s="1580">
        <f>39+337</f>
        <v>376</v>
      </c>
      <c r="G27" s="1580">
        <f>39+337</f>
        <v>376</v>
      </c>
      <c r="H27" s="1581">
        <f t="shared" si="1"/>
        <v>100</v>
      </c>
    </row>
    <row r="28" spans="1:8" ht="15" hidden="1" x14ac:dyDescent="0.2">
      <c r="A28" s="1577">
        <v>6223</v>
      </c>
      <c r="B28" s="1578">
        <v>5166</v>
      </c>
      <c r="C28" s="1578">
        <v>41100880</v>
      </c>
      <c r="D28" s="1579" t="s">
        <v>553</v>
      </c>
      <c r="E28" s="1580"/>
      <c r="F28" s="1580"/>
      <c r="G28" s="1580"/>
      <c r="H28" s="1581" t="e">
        <f t="shared" si="1"/>
        <v>#DIV/0!</v>
      </c>
    </row>
    <row r="29" spans="1:8" ht="15" hidden="1" x14ac:dyDescent="0.2">
      <c r="A29" s="1577">
        <v>6223</v>
      </c>
      <c r="B29" s="1578">
        <v>5166</v>
      </c>
      <c r="C29" s="1578">
        <v>41100882</v>
      </c>
      <c r="D29" s="1579" t="s">
        <v>553</v>
      </c>
      <c r="E29" s="1580"/>
      <c r="F29" s="1580"/>
      <c r="G29" s="1580"/>
      <c r="H29" s="1581" t="e">
        <f t="shared" si="1"/>
        <v>#DIV/0!</v>
      </c>
    </row>
    <row r="30" spans="1:8" ht="15" hidden="1" x14ac:dyDescent="0.2">
      <c r="A30" s="1577">
        <v>6223</v>
      </c>
      <c r="B30" s="1578">
        <v>5166</v>
      </c>
      <c r="C30" s="1578">
        <v>41500881</v>
      </c>
      <c r="D30" s="1579" t="s">
        <v>553</v>
      </c>
      <c r="E30" s="1580"/>
      <c r="F30" s="1580"/>
      <c r="G30" s="1580"/>
      <c r="H30" s="1581" t="e">
        <f t="shared" si="1"/>
        <v>#DIV/0!</v>
      </c>
    </row>
    <row r="31" spans="1:8" ht="15" hidden="1" x14ac:dyDescent="0.2">
      <c r="A31" s="1577">
        <v>3636</v>
      </c>
      <c r="B31" s="1578">
        <v>5167</v>
      </c>
      <c r="C31" s="1578">
        <v>38100880</v>
      </c>
      <c r="D31" s="1579" t="s">
        <v>810</v>
      </c>
      <c r="E31" s="1580"/>
      <c r="F31" s="1580"/>
      <c r="G31" s="1580"/>
      <c r="H31" s="1581" t="e">
        <f t="shared" si="1"/>
        <v>#DIV/0!</v>
      </c>
    </row>
    <row r="32" spans="1:8" ht="15" hidden="1" x14ac:dyDescent="0.2">
      <c r="A32" s="1577">
        <v>3636</v>
      </c>
      <c r="B32" s="1578">
        <v>5167</v>
      </c>
      <c r="C32" s="1578">
        <v>38500881</v>
      </c>
      <c r="D32" s="1579" t="s">
        <v>810</v>
      </c>
      <c r="E32" s="1580"/>
      <c r="F32" s="1580"/>
      <c r="G32" s="1580"/>
      <c r="H32" s="1581" t="e">
        <f t="shared" si="1"/>
        <v>#DIV/0!</v>
      </c>
    </row>
    <row r="33" spans="1:8" ht="15" hidden="1" x14ac:dyDescent="0.2">
      <c r="A33" s="1577">
        <v>3636</v>
      </c>
      <c r="B33" s="1578">
        <v>5169</v>
      </c>
      <c r="C33" s="1578">
        <v>38100880</v>
      </c>
      <c r="D33" s="1579" t="s">
        <v>769</v>
      </c>
      <c r="E33" s="1580"/>
      <c r="F33" s="1580"/>
      <c r="G33" s="1580"/>
      <c r="H33" s="1581" t="e">
        <f t="shared" si="1"/>
        <v>#DIV/0!</v>
      </c>
    </row>
    <row r="34" spans="1:8" ht="15" hidden="1" x14ac:dyDescent="0.2">
      <c r="A34" s="1577">
        <v>3636</v>
      </c>
      <c r="B34" s="1578">
        <v>5169</v>
      </c>
      <c r="C34" s="1578">
        <v>38500881</v>
      </c>
      <c r="D34" s="1579" t="s">
        <v>769</v>
      </c>
      <c r="E34" s="1580"/>
      <c r="F34" s="1580"/>
      <c r="G34" s="1580"/>
      <c r="H34" s="1581" t="e">
        <f t="shared" si="1"/>
        <v>#DIV/0!</v>
      </c>
    </row>
    <row r="35" spans="1:8" ht="15" hidden="1" x14ac:dyDescent="0.2">
      <c r="A35" s="1577">
        <v>6223</v>
      </c>
      <c r="B35" s="1578">
        <v>5173</v>
      </c>
      <c r="C35" s="1582">
        <v>0</v>
      </c>
      <c r="D35" s="1579" t="s">
        <v>1038</v>
      </c>
      <c r="E35" s="1580"/>
      <c r="F35" s="1580"/>
      <c r="G35" s="1580"/>
      <c r="H35" s="1581">
        <v>0</v>
      </c>
    </row>
    <row r="36" spans="1:8" ht="15" hidden="1" x14ac:dyDescent="0.2">
      <c r="A36" s="1577">
        <v>3636</v>
      </c>
      <c r="B36" s="1578">
        <v>5173</v>
      </c>
      <c r="C36" s="1578">
        <v>38500881</v>
      </c>
      <c r="D36" s="1579" t="s">
        <v>1038</v>
      </c>
      <c r="E36" s="1580">
        <v>0</v>
      </c>
      <c r="F36" s="1580"/>
      <c r="G36" s="1580"/>
      <c r="H36" s="1581" t="e">
        <f t="shared" ref="H36:H43" si="2">G36/F36*100</f>
        <v>#DIV/0!</v>
      </c>
    </row>
    <row r="37" spans="1:8" ht="15" hidden="1" x14ac:dyDescent="0.2">
      <c r="A37" s="1577">
        <v>3636</v>
      </c>
      <c r="B37" s="1578">
        <v>5175</v>
      </c>
      <c r="C37" s="1578">
        <v>38100880</v>
      </c>
      <c r="D37" s="1579" t="s">
        <v>605</v>
      </c>
      <c r="E37" s="1580">
        <v>0</v>
      </c>
      <c r="F37" s="1580"/>
      <c r="G37" s="1580"/>
      <c r="H37" s="1581" t="e">
        <f t="shared" si="2"/>
        <v>#DIV/0!</v>
      </c>
    </row>
    <row r="38" spans="1:8" ht="15" hidden="1" x14ac:dyDescent="0.2">
      <c r="A38" s="1577">
        <v>3636</v>
      </c>
      <c r="B38" s="1578">
        <v>5175</v>
      </c>
      <c r="C38" s="1578">
        <v>38500881</v>
      </c>
      <c r="D38" s="1579" t="s">
        <v>605</v>
      </c>
      <c r="E38" s="1580">
        <v>0</v>
      </c>
      <c r="F38" s="1580"/>
      <c r="G38" s="1580"/>
      <c r="H38" s="1581" t="e">
        <f t="shared" si="2"/>
        <v>#DIV/0!</v>
      </c>
    </row>
    <row r="39" spans="1:8" ht="15" hidden="1" x14ac:dyDescent="0.2">
      <c r="A39" s="1577">
        <v>3636</v>
      </c>
      <c r="B39" s="1578">
        <v>5176</v>
      </c>
      <c r="C39" s="1578">
        <v>38100880</v>
      </c>
      <c r="D39" s="1579" t="s">
        <v>1119</v>
      </c>
      <c r="E39" s="1580">
        <v>0</v>
      </c>
      <c r="F39" s="1580"/>
      <c r="G39" s="1580"/>
      <c r="H39" s="1581" t="e">
        <f t="shared" si="2"/>
        <v>#DIV/0!</v>
      </c>
    </row>
    <row r="40" spans="1:8" ht="30" x14ac:dyDescent="0.2">
      <c r="A40" s="1577">
        <v>3121</v>
      </c>
      <c r="B40" s="1578">
        <v>6356</v>
      </c>
      <c r="C40" s="1629" t="s">
        <v>2127</v>
      </c>
      <c r="D40" s="1579" t="s">
        <v>1552</v>
      </c>
      <c r="E40" s="1580">
        <v>0</v>
      </c>
      <c r="F40" s="1580">
        <v>7</v>
      </c>
      <c r="G40" s="1580">
        <v>7</v>
      </c>
      <c r="H40" s="1581">
        <f t="shared" si="2"/>
        <v>100</v>
      </c>
    </row>
    <row r="41" spans="1:8" ht="30.75" thickBot="1" x14ac:dyDescent="0.25">
      <c r="A41" s="1577">
        <v>3121</v>
      </c>
      <c r="B41" s="1578">
        <v>6356</v>
      </c>
      <c r="C41" s="1629" t="s">
        <v>2126</v>
      </c>
      <c r="D41" s="1579" t="s">
        <v>1552</v>
      </c>
      <c r="E41" s="1580">
        <v>0</v>
      </c>
      <c r="F41" s="1580">
        <v>39</v>
      </c>
      <c r="G41" s="1580">
        <v>39</v>
      </c>
      <c r="H41" s="1581">
        <f t="shared" si="2"/>
        <v>100</v>
      </c>
    </row>
    <row r="42" spans="1:8" ht="15.75" hidden="1" thickBot="1" x14ac:dyDescent="0.25">
      <c r="A42" s="1577">
        <v>3636</v>
      </c>
      <c r="B42" s="1578">
        <v>5363</v>
      </c>
      <c r="C42" s="1578">
        <v>38500881</v>
      </c>
      <c r="D42" s="1579" t="s">
        <v>498</v>
      </c>
      <c r="E42" s="1580">
        <v>0</v>
      </c>
      <c r="F42" s="1580">
        <v>0</v>
      </c>
      <c r="G42" s="1580">
        <v>0</v>
      </c>
      <c r="H42" s="1583" t="e">
        <f t="shared" si="2"/>
        <v>#DIV/0!</v>
      </c>
    </row>
    <row r="43" spans="1:8" ht="16.5" thickTop="1" thickBot="1" x14ac:dyDescent="0.3">
      <c r="A43" s="3219" t="s">
        <v>690</v>
      </c>
      <c r="B43" s="3220"/>
      <c r="C43" s="3220"/>
      <c r="D43" s="3220"/>
      <c r="E43" s="1387">
        <f>SUM(E13:E42)</f>
        <v>0</v>
      </c>
      <c r="F43" s="1387">
        <f>SUM(F13:F42)</f>
        <v>488</v>
      </c>
      <c r="G43" s="1387">
        <f>SUM(G13:G42)</f>
        <v>488</v>
      </c>
      <c r="H43" s="1391">
        <f t="shared" si="2"/>
        <v>100</v>
      </c>
    </row>
    <row r="44" spans="1:8" ht="18" customHeight="1" thickTop="1" x14ac:dyDescent="0.2"/>
    <row r="45" spans="1:8" ht="14.25" customHeight="1" x14ac:dyDescent="0.25">
      <c r="A45" s="3233" t="s">
        <v>1170</v>
      </c>
      <c r="B45" s="3151"/>
      <c r="C45" s="3151"/>
      <c r="D45" s="3151"/>
      <c r="E45" s="3151"/>
      <c r="F45" s="3151"/>
      <c r="G45" s="3151"/>
      <c r="H45" s="3151"/>
    </row>
    <row r="46" spans="1:8" ht="15.75" thickBot="1" x14ac:dyDescent="0.3">
      <c r="A46" s="1544" t="s">
        <v>1223</v>
      </c>
      <c r="B46" s="1558"/>
      <c r="C46" s="1558"/>
      <c r="E46" s="1559"/>
      <c r="F46" s="1559"/>
      <c r="G46" s="1559"/>
      <c r="H46" s="1560" t="s">
        <v>148</v>
      </c>
    </row>
    <row r="47" spans="1:8" ht="25.5" thickTop="1" thickBot="1" x14ac:dyDescent="0.25">
      <c r="A47" s="1378" t="s">
        <v>149</v>
      </c>
      <c r="B47" s="1379" t="s">
        <v>688</v>
      </c>
      <c r="C47" s="1379" t="s">
        <v>345</v>
      </c>
      <c r="D47" s="1380" t="s">
        <v>151</v>
      </c>
      <c r="E47" s="1402" t="s">
        <v>569</v>
      </c>
      <c r="F47" s="1402" t="s">
        <v>570</v>
      </c>
      <c r="G47" s="1403" t="s">
        <v>797</v>
      </c>
      <c r="H47" s="1404" t="s">
        <v>798</v>
      </c>
    </row>
    <row r="48" spans="1:8" ht="14.25" thickTop="1" thickBot="1" x14ac:dyDescent="0.25">
      <c r="A48" s="1297">
        <v>1</v>
      </c>
      <c r="B48" s="1296">
        <v>2</v>
      </c>
      <c r="C48" s="1296">
        <v>3</v>
      </c>
      <c r="D48" s="1296">
        <v>4</v>
      </c>
      <c r="E48" s="1295">
        <v>5</v>
      </c>
      <c r="F48" s="1295">
        <v>6</v>
      </c>
      <c r="G48" s="1446">
        <v>7</v>
      </c>
      <c r="H48" s="1468" t="s">
        <v>54</v>
      </c>
    </row>
    <row r="49" spans="1:8" ht="15.75" hidden="1" thickTop="1" x14ac:dyDescent="0.2">
      <c r="A49" s="1572">
        <v>3636</v>
      </c>
      <c r="B49" s="1573">
        <v>5011</v>
      </c>
      <c r="C49" s="1582">
        <v>0</v>
      </c>
      <c r="D49" s="1574" t="s">
        <v>189</v>
      </c>
      <c r="E49" s="1575">
        <v>0</v>
      </c>
      <c r="F49" s="1575">
        <v>0</v>
      </c>
      <c r="G49" s="1575">
        <v>0</v>
      </c>
      <c r="H49" s="1576" t="e">
        <f t="shared" ref="H49:H56" si="3">G49/F49*100</f>
        <v>#DIV/0!</v>
      </c>
    </row>
    <row r="50" spans="1:8" ht="15.75" hidden="1" thickTop="1" x14ac:dyDescent="0.2">
      <c r="A50" s="1577">
        <v>3636</v>
      </c>
      <c r="B50" s="1578">
        <v>5011</v>
      </c>
      <c r="C50" s="1578">
        <v>38500881</v>
      </c>
      <c r="D50" s="1579" t="s">
        <v>189</v>
      </c>
      <c r="E50" s="1580">
        <v>0</v>
      </c>
      <c r="F50" s="1580">
        <v>0</v>
      </c>
      <c r="G50" s="1580">
        <v>0</v>
      </c>
      <c r="H50" s="1581" t="e">
        <f t="shared" si="3"/>
        <v>#DIV/0!</v>
      </c>
    </row>
    <row r="51" spans="1:8" ht="30.75" thickTop="1" x14ac:dyDescent="0.2">
      <c r="A51" s="1577">
        <v>3121</v>
      </c>
      <c r="B51" s="1578">
        <v>5336</v>
      </c>
      <c r="C51" s="2850" t="s">
        <v>1849</v>
      </c>
      <c r="D51" s="1579" t="s">
        <v>1131</v>
      </c>
      <c r="E51" s="1580">
        <v>0</v>
      </c>
      <c r="F51" s="1580">
        <f>8+75</f>
        <v>83</v>
      </c>
      <c r="G51" s="1580">
        <f>8+75</f>
        <v>83</v>
      </c>
      <c r="H51" s="1581">
        <f t="shared" si="3"/>
        <v>100</v>
      </c>
    </row>
    <row r="52" spans="1:8" ht="15" hidden="1" x14ac:dyDescent="0.2">
      <c r="A52" s="1577">
        <v>3636</v>
      </c>
      <c r="B52" s="1578">
        <v>5021</v>
      </c>
      <c r="C52" s="1629">
        <v>38500881</v>
      </c>
      <c r="D52" s="1579" t="s">
        <v>356</v>
      </c>
      <c r="E52" s="1580"/>
      <c r="F52" s="1580"/>
      <c r="G52" s="1580"/>
      <c r="H52" s="1581" t="e">
        <f t="shared" si="3"/>
        <v>#DIV/0!</v>
      </c>
    </row>
    <row r="53" spans="1:8" ht="30" hidden="1" x14ac:dyDescent="0.2">
      <c r="A53" s="1577">
        <v>3636</v>
      </c>
      <c r="B53" s="1578">
        <v>5031</v>
      </c>
      <c r="C53" s="1629">
        <v>38100880</v>
      </c>
      <c r="D53" s="1579" t="s">
        <v>1165</v>
      </c>
      <c r="E53" s="1580"/>
      <c r="F53" s="1580"/>
      <c r="G53" s="1580"/>
      <c r="H53" s="1581" t="e">
        <f t="shared" si="3"/>
        <v>#DIV/0!</v>
      </c>
    </row>
    <row r="54" spans="1:8" ht="30" hidden="1" x14ac:dyDescent="0.2">
      <c r="A54" s="1577">
        <v>3636</v>
      </c>
      <c r="B54" s="1578">
        <v>5031</v>
      </c>
      <c r="C54" s="1629">
        <v>38500881</v>
      </c>
      <c r="D54" s="1579" t="s">
        <v>1165</v>
      </c>
      <c r="E54" s="1580"/>
      <c r="F54" s="1580"/>
      <c r="G54" s="1580"/>
      <c r="H54" s="1581" t="e">
        <f t="shared" si="3"/>
        <v>#DIV/0!</v>
      </c>
    </row>
    <row r="55" spans="1:8" ht="30" hidden="1" x14ac:dyDescent="0.2">
      <c r="A55" s="1577">
        <v>3636</v>
      </c>
      <c r="B55" s="1578">
        <v>5032</v>
      </c>
      <c r="C55" s="1629">
        <v>38100880</v>
      </c>
      <c r="D55" s="1579" t="s">
        <v>1058</v>
      </c>
      <c r="E55" s="1580"/>
      <c r="F55" s="1580"/>
      <c r="G55" s="1580"/>
      <c r="H55" s="1581" t="e">
        <f t="shared" si="3"/>
        <v>#DIV/0!</v>
      </c>
    </row>
    <row r="56" spans="1:8" ht="30" hidden="1" x14ac:dyDescent="0.2">
      <c r="A56" s="1577">
        <v>3636</v>
      </c>
      <c r="B56" s="1578">
        <v>5032</v>
      </c>
      <c r="C56" s="1629">
        <v>38500881</v>
      </c>
      <c r="D56" s="1579" t="s">
        <v>1058</v>
      </c>
      <c r="E56" s="1580"/>
      <c r="F56" s="1580"/>
      <c r="G56" s="1580"/>
      <c r="H56" s="1581" t="e">
        <f t="shared" si="3"/>
        <v>#DIV/0!</v>
      </c>
    </row>
    <row r="57" spans="1:8" ht="15" hidden="1" x14ac:dyDescent="0.2">
      <c r="A57" s="1577">
        <v>3636</v>
      </c>
      <c r="B57" s="1578">
        <v>5139</v>
      </c>
      <c r="C57" s="1629">
        <v>38100880</v>
      </c>
      <c r="D57" s="1579" t="s">
        <v>249</v>
      </c>
      <c r="E57" s="1580"/>
      <c r="F57" s="1580"/>
      <c r="G57" s="1580"/>
      <c r="H57" s="1581">
        <v>0</v>
      </c>
    </row>
    <row r="58" spans="1:8" ht="15" hidden="1" x14ac:dyDescent="0.2">
      <c r="A58" s="1577">
        <v>3636</v>
      </c>
      <c r="B58" s="1578">
        <v>5139</v>
      </c>
      <c r="C58" s="1629">
        <v>38500881</v>
      </c>
      <c r="D58" s="1579" t="s">
        <v>249</v>
      </c>
      <c r="E58" s="1580"/>
      <c r="F58" s="1580"/>
      <c r="G58" s="1580"/>
      <c r="H58" s="1581" t="e">
        <f t="shared" ref="H58:H70" si="4">G58/F58*100</f>
        <v>#DIV/0!</v>
      </c>
    </row>
    <row r="59" spans="1:8" ht="15" hidden="1" x14ac:dyDescent="0.2">
      <c r="A59" s="1577">
        <v>3636</v>
      </c>
      <c r="B59" s="1578">
        <v>5162</v>
      </c>
      <c r="C59" s="1629">
        <v>38100880</v>
      </c>
      <c r="D59" s="1579" t="s">
        <v>780</v>
      </c>
      <c r="E59" s="1580"/>
      <c r="F59" s="1580"/>
      <c r="G59" s="1580"/>
      <c r="H59" s="1581" t="e">
        <f t="shared" si="4"/>
        <v>#DIV/0!</v>
      </c>
    </row>
    <row r="60" spans="1:8" ht="15" hidden="1" x14ac:dyDescent="0.2">
      <c r="A60" s="1577">
        <v>3636</v>
      </c>
      <c r="B60" s="1578">
        <v>5162</v>
      </c>
      <c r="C60" s="1629">
        <v>38500881</v>
      </c>
      <c r="D60" s="1579" t="s">
        <v>780</v>
      </c>
      <c r="E60" s="1580"/>
      <c r="F60" s="1580"/>
      <c r="G60" s="1580"/>
      <c r="H60" s="1581" t="e">
        <f t="shared" si="4"/>
        <v>#DIV/0!</v>
      </c>
    </row>
    <row r="61" spans="1:8" ht="15" hidden="1" x14ac:dyDescent="0.2">
      <c r="A61" s="1577">
        <v>3636</v>
      </c>
      <c r="B61" s="1578">
        <v>5164</v>
      </c>
      <c r="C61" s="1629">
        <v>38100880</v>
      </c>
      <c r="D61" s="1579" t="s">
        <v>157</v>
      </c>
      <c r="E61" s="1580"/>
      <c r="F61" s="1580"/>
      <c r="G61" s="1580"/>
      <c r="H61" s="1581" t="e">
        <f t="shared" si="4"/>
        <v>#DIV/0!</v>
      </c>
    </row>
    <row r="62" spans="1:8" ht="15" hidden="1" x14ac:dyDescent="0.2">
      <c r="A62" s="1577">
        <v>3636</v>
      </c>
      <c r="B62" s="1578">
        <v>5164</v>
      </c>
      <c r="C62" s="1629">
        <v>38500881</v>
      </c>
      <c r="D62" s="1579" t="s">
        <v>157</v>
      </c>
      <c r="E62" s="1580"/>
      <c r="F62" s="1580"/>
      <c r="G62" s="1580"/>
      <c r="H62" s="1581" t="e">
        <f t="shared" si="4"/>
        <v>#DIV/0!</v>
      </c>
    </row>
    <row r="63" spans="1:8" ht="30.75" thickBot="1" x14ac:dyDescent="0.25">
      <c r="A63" s="1577">
        <v>3121</v>
      </c>
      <c r="B63" s="1578">
        <v>5336</v>
      </c>
      <c r="C63" s="2850" t="s">
        <v>1850</v>
      </c>
      <c r="D63" s="1579" t="s">
        <v>1131</v>
      </c>
      <c r="E63" s="1580">
        <v>0</v>
      </c>
      <c r="F63" s="1580">
        <f>46+425</f>
        <v>471</v>
      </c>
      <c r="G63" s="1580">
        <f>46+425</f>
        <v>471</v>
      </c>
      <c r="H63" s="1581">
        <f t="shared" si="4"/>
        <v>100</v>
      </c>
    </row>
    <row r="64" spans="1:8" ht="15.75" hidden="1" thickBot="1" x14ac:dyDescent="0.25">
      <c r="A64" s="1577">
        <v>6223</v>
      </c>
      <c r="B64" s="1578">
        <v>5166</v>
      </c>
      <c r="C64" s="1578">
        <v>41100880</v>
      </c>
      <c r="D64" s="1579" t="s">
        <v>553</v>
      </c>
      <c r="E64" s="1580"/>
      <c r="F64" s="1580"/>
      <c r="G64" s="1580"/>
      <c r="H64" s="1581" t="e">
        <f t="shared" si="4"/>
        <v>#DIV/0!</v>
      </c>
    </row>
    <row r="65" spans="1:8" ht="15.75" hidden="1" thickBot="1" x14ac:dyDescent="0.25">
      <c r="A65" s="1577">
        <v>6223</v>
      </c>
      <c r="B65" s="1578">
        <v>5166</v>
      </c>
      <c r="C65" s="1578">
        <v>41100882</v>
      </c>
      <c r="D65" s="1579" t="s">
        <v>553</v>
      </c>
      <c r="E65" s="1580"/>
      <c r="F65" s="1580"/>
      <c r="G65" s="1580"/>
      <c r="H65" s="1581" t="e">
        <f t="shared" si="4"/>
        <v>#DIV/0!</v>
      </c>
    </row>
    <row r="66" spans="1:8" ht="15.75" hidden="1" thickBot="1" x14ac:dyDescent="0.25">
      <c r="A66" s="1577">
        <v>6223</v>
      </c>
      <c r="B66" s="1578">
        <v>5166</v>
      </c>
      <c r="C66" s="1578">
        <v>41500881</v>
      </c>
      <c r="D66" s="1579" t="s">
        <v>553</v>
      </c>
      <c r="E66" s="1580"/>
      <c r="F66" s="1580"/>
      <c r="G66" s="1580"/>
      <c r="H66" s="1581" t="e">
        <f t="shared" si="4"/>
        <v>#DIV/0!</v>
      </c>
    </row>
    <row r="67" spans="1:8" ht="15.75" hidden="1" thickBot="1" x14ac:dyDescent="0.25">
      <c r="A67" s="1577">
        <v>3636</v>
      </c>
      <c r="B67" s="1578">
        <v>5167</v>
      </c>
      <c r="C67" s="1578">
        <v>38100880</v>
      </c>
      <c r="D67" s="1579" t="s">
        <v>810</v>
      </c>
      <c r="E67" s="1580"/>
      <c r="F67" s="1580"/>
      <c r="G67" s="1580"/>
      <c r="H67" s="1581" t="e">
        <f t="shared" si="4"/>
        <v>#DIV/0!</v>
      </c>
    </row>
    <row r="68" spans="1:8" ht="15.75" hidden="1" thickBot="1" x14ac:dyDescent="0.25">
      <c r="A68" s="1577">
        <v>3636</v>
      </c>
      <c r="B68" s="1578">
        <v>5167</v>
      </c>
      <c r="C68" s="1578">
        <v>38500881</v>
      </c>
      <c r="D68" s="1579" t="s">
        <v>810</v>
      </c>
      <c r="E68" s="1580"/>
      <c r="F68" s="1580"/>
      <c r="G68" s="1580"/>
      <c r="H68" s="1581" t="e">
        <f t="shared" si="4"/>
        <v>#DIV/0!</v>
      </c>
    </row>
    <row r="69" spans="1:8" ht="15.75" hidden="1" thickBot="1" x14ac:dyDescent="0.25">
      <c r="A69" s="1577">
        <v>3636</v>
      </c>
      <c r="B69" s="1578">
        <v>5169</v>
      </c>
      <c r="C69" s="1578">
        <v>38100880</v>
      </c>
      <c r="D69" s="1579" t="s">
        <v>769</v>
      </c>
      <c r="E69" s="1580"/>
      <c r="F69" s="1580"/>
      <c r="G69" s="1580"/>
      <c r="H69" s="1581" t="e">
        <f t="shared" si="4"/>
        <v>#DIV/0!</v>
      </c>
    </row>
    <row r="70" spans="1:8" ht="15.75" hidden="1" thickBot="1" x14ac:dyDescent="0.25">
      <c r="A70" s="1577">
        <v>3636</v>
      </c>
      <c r="B70" s="1578">
        <v>5169</v>
      </c>
      <c r="C70" s="1578">
        <v>38500881</v>
      </c>
      <c r="D70" s="1579" t="s">
        <v>769</v>
      </c>
      <c r="E70" s="1580"/>
      <c r="F70" s="1580"/>
      <c r="G70" s="1580"/>
      <c r="H70" s="1581" t="e">
        <f t="shared" si="4"/>
        <v>#DIV/0!</v>
      </c>
    </row>
    <row r="71" spans="1:8" ht="15.75" hidden="1" thickBot="1" x14ac:dyDescent="0.25">
      <c r="A71" s="1577">
        <v>6223</v>
      </c>
      <c r="B71" s="1578">
        <v>5173</v>
      </c>
      <c r="C71" s="1582">
        <v>0</v>
      </c>
      <c r="D71" s="1579" t="s">
        <v>1038</v>
      </c>
      <c r="E71" s="1580"/>
      <c r="F71" s="1580"/>
      <c r="G71" s="1580"/>
      <c r="H71" s="1581">
        <v>0</v>
      </c>
    </row>
    <row r="72" spans="1:8" ht="15.75" hidden="1" thickBot="1" x14ac:dyDescent="0.25">
      <c r="A72" s="1577">
        <v>3636</v>
      </c>
      <c r="B72" s="1578">
        <v>5173</v>
      </c>
      <c r="C72" s="1578">
        <v>38500881</v>
      </c>
      <c r="D72" s="1579" t="s">
        <v>1038</v>
      </c>
      <c r="E72" s="1580">
        <v>0</v>
      </c>
      <c r="F72" s="1580"/>
      <c r="G72" s="1580"/>
      <c r="H72" s="1581" t="e">
        <f t="shared" ref="H72:H79" si="5">G72/F72*100</f>
        <v>#DIV/0!</v>
      </c>
    </row>
    <row r="73" spans="1:8" ht="15.75" hidden="1" thickBot="1" x14ac:dyDescent="0.25">
      <c r="A73" s="1577">
        <v>3636</v>
      </c>
      <c r="B73" s="1578">
        <v>5175</v>
      </c>
      <c r="C73" s="1578">
        <v>38100880</v>
      </c>
      <c r="D73" s="1579" t="s">
        <v>605</v>
      </c>
      <c r="E73" s="1580">
        <v>0</v>
      </c>
      <c r="F73" s="1580"/>
      <c r="G73" s="1580"/>
      <c r="H73" s="1581" t="e">
        <f t="shared" si="5"/>
        <v>#DIV/0!</v>
      </c>
    </row>
    <row r="74" spans="1:8" ht="15.75" hidden="1" thickBot="1" x14ac:dyDescent="0.25">
      <c r="A74" s="1577">
        <v>3636</v>
      </c>
      <c r="B74" s="1578">
        <v>5175</v>
      </c>
      <c r="C74" s="1578">
        <v>38500881</v>
      </c>
      <c r="D74" s="1579" t="s">
        <v>605</v>
      </c>
      <c r="E74" s="1580">
        <v>0</v>
      </c>
      <c r="F74" s="1580"/>
      <c r="G74" s="1580"/>
      <c r="H74" s="1581" t="e">
        <f t="shared" si="5"/>
        <v>#DIV/0!</v>
      </c>
    </row>
    <row r="75" spans="1:8" ht="15.75" hidden="1" thickBot="1" x14ac:dyDescent="0.25">
      <c r="A75" s="1577">
        <v>3636</v>
      </c>
      <c r="B75" s="1578">
        <v>5176</v>
      </c>
      <c r="C75" s="1578">
        <v>38100880</v>
      </c>
      <c r="D75" s="1579" t="s">
        <v>1119</v>
      </c>
      <c r="E75" s="1580">
        <v>0</v>
      </c>
      <c r="F75" s="1580"/>
      <c r="G75" s="1580"/>
      <c r="H75" s="1581" t="e">
        <f t="shared" si="5"/>
        <v>#DIV/0!</v>
      </c>
    </row>
    <row r="76" spans="1:8" ht="15.75" hidden="1" thickBot="1" x14ac:dyDescent="0.25">
      <c r="A76" s="1577">
        <v>3636</v>
      </c>
      <c r="B76" s="1578">
        <v>5176</v>
      </c>
      <c r="C76" s="1578">
        <v>38500881</v>
      </c>
      <c r="D76" s="1579" t="s">
        <v>1119</v>
      </c>
      <c r="E76" s="1580">
        <v>0</v>
      </c>
      <c r="F76" s="1580"/>
      <c r="G76" s="1580"/>
      <c r="H76" s="1581" t="e">
        <f t="shared" si="5"/>
        <v>#DIV/0!</v>
      </c>
    </row>
    <row r="77" spans="1:8" ht="15.75" hidden="1" thickBot="1" x14ac:dyDescent="0.25">
      <c r="A77" s="1577">
        <v>3636</v>
      </c>
      <c r="B77" s="1578">
        <v>6901</v>
      </c>
      <c r="C77" s="1578">
        <v>38100880</v>
      </c>
      <c r="D77" s="1579" t="s">
        <v>391</v>
      </c>
      <c r="E77" s="1580">
        <v>0</v>
      </c>
      <c r="F77" s="1580">
        <v>0</v>
      </c>
      <c r="G77" s="1580">
        <v>0</v>
      </c>
      <c r="H77" s="1581" t="e">
        <f t="shared" si="5"/>
        <v>#DIV/0!</v>
      </c>
    </row>
    <row r="78" spans="1:8" ht="15.75" hidden="1" thickBot="1" x14ac:dyDescent="0.25">
      <c r="A78" s="1577">
        <v>3636</v>
      </c>
      <c r="B78" s="1578">
        <v>5363</v>
      </c>
      <c r="C78" s="1578">
        <v>38500881</v>
      </c>
      <c r="D78" s="1579" t="s">
        <v>498</v>
      </c>
      <c r="E78" s="1580">
        <v>0</v>
      </c>
      <c r="F78" s="1580">
        <v>0</v>
      </c>
      <c r="G78" s="1580">
        <v>0</v>
      </c>
      <c r="H78" s="1583" t="e">
        <f t="shared" si="5"/>
        <v>#DIV/0!</v>
      </c>
    </row>
    <row r="79" spans="1:8" ht="16.5" thickTop="1" thickBot="1" x14ac:dyDescent="0.3">
      <c r="A79" s="3219" t="s">
        <v>690</v>
      </c>
      <c r="B79" s="3220"/>
      <c r="C79" s="3220"/>
      <c r="D79" s="3220"/>
      <c r="E79" s="1387">
        <f>SUM(E49:E78)</f>
        <v>0</v>
      </c>
      <c r="F79" s="1387">
        <f>SUM(F49:F78)</f>
        <v>554</v>
      </c>
      <c r="G79" s="1387">
        <f>SUM(G49:G78)</f>
        <v>554</v>
      </c>
      <c r="H79" s="1391">
        <f t="shared" si="5"/>
        <v>100</v>
      </c>
    </row>
    <row r="80" spans="1:8" ht="20.25" customHeight="1" thickTop="1" x14ac:dyDescent="0.2"/>
    <row r="81" spans="1:8" ht="15.75" customHeight="1" x14ac:dyDescent="0.25">
      <c r="A81" s="3233" t="s">
        <v>1431</v>
      </c>
      <c r="B81" s="3151"/>
      <c r="C81" s="3151"/>
      <c r="D81" s="3151"/>
      <c r="E81" s="3151"/>
      <c r="F81" s="3151"/>
      <c r="G81" s="3151"/>
      <c r="H81" s="3151"/>
    </row>
    <row r="82" spans="1:8" ht="15.75" thickBot="1" x14ac:dyDescent="0.3">
      <c r="A82" s="1544" t="s">
        <v>1133</v>
      </c>
      <c r="B82" s="1558"/>
      <c r="C82" s="1558"/>
      <c r="E82" s="1559"/>
      <c r="F82" s="1559"/>
      <c r="G82" s="1559"/>
      <c r="H82" s="1560" t="s">
        <v>148</v>
      </c>
    </row>
    <row r="83" spans="1:8" ht="25.5" thickTop="1" thickBot="1" x14ac:dyDescent="0.25">
      <c r="A83" s="1378" t="s">
        <v>149</v>
      </c>
      <c r="B83" s="1379" t="s">
        <v>688</v>
      </c>
      <c r="C83" s="1379" t="s">
        <v>345</v>
      </c>
      <c r="D83" s="1380" t="s">
        <v>151</v>
      </c>
      <c r="E83" s="1402" t="s">
        <v>569</v>
      </c>
      <c r="F83" s="1402" t="s">
        <v>570</v>
      </c>
      <c r="G83" s="1403" t="s">
        <v>797</v>
      </c>
      <c r="H83" s="1404" t="s">
        <v>798</v>
      </c>
    </row>
    <row r="84" spans="1:8" ht="14.25" thickTop="1" thickBot="1" x14ac:dyDescent="0.25">
      <c r="A84" s="1297">
        <v>1</v>
      </c>
      <c r="B84" s="1296">
        <v>2</v>
      </c>
      <c r="C84" s="1296">
        <v>3</v>
      </c>
      <c r="D84" s="1296">
        <v>4</v>
      </c>
      <c r="E84" s="1295">
        <v>5</v>
      </c>
      <c r="F84" s="1295">
        <v>6</v>
      </c>
      <c r="G84" s="1446">
        <v>7</v>
      </c>
      <c r="H84" s="1468" t="s">
        <v>54</v>
      </c>
    </row>
    <row r="85" spans="1:8" ht="15.75" hidden="1" thickTop="1" x14ac:dyDescent="0.2">
      <c r="A85" s="1572">
        <v>3636</v>
      </c>
      <c r="B85" s="1573">
        <v>5011</v>
      </c>
      <c r="C85" s="1582">
        <v>0</v>
      </c>
      <c r="D85" s="1574" t="s">
        <v>189</v>
      </c>
      <c r="E85" s="1575">
        <v>0</v>
      </c>
      <c r="F85" s="1575">
        <v>0</v>
      </c>
      <c r="G85" s="1575">
        <v>0</v>
      </c>
      <c r="H85" s="1576" t="e">
        <f t="shared" ref="H85:H92" si="6">G85/F85*100</f>
        <v>#DIV/0!</v>
      </c>
    </row>
    <row r="86" spans="1:8" ht="15.75" hidden="1" thickTop="1" x14ac:dyDescent="0.2">
      <c r="A86" s="1577">
        <v>3636</v>
      </c>
      <c r="B86" s="1578">
        <v>5011</v>
      </c>
      <c r="C86" s="1578">
        <v>38500881</v>
      </c>
      <c r="D86" s="1579" t="s">
        <v>189</v>
      </c>
      <c r="E86" s="1580">
        <v>0</v>
      </c>
      <c r="F86" s="1580">
        <v>0</v>
      </c>
      <c r="G86" s="1580">
        <v>0</v>
      </c>
      <c r="H86" s="1581" t="e">
        <f t="shared" si="6"/>
        <v>#DIV/0!</v>
      </c>
    </row>
    <row r="87" spans="1:8" ht="30.75" thickTop="1" x14ac:dyDescent="0.2">
      <c r="A87" s="1577">
        <v>3121</v>
      </c>
      <c r="B87" s="1578">
        <v>5336</v>
      </c>
      <c r="C87" s="2850" t="s">
        <v>1849</v>
      </c>
      <c r="D87" s="1579" t="s">
        <v>1131</v>
      </c>
      <c r="E87" s="1580">
        <f>0</f>
        <v>0</v>
      </c>
      <c r="F87" s="1580">
        <f>7+53</f>
        <v>60</v>
      </c>
      <c r="G87" s="1580">
        <f>7+53</f>
        <v>60</v>
      </c>
      <c r="H87" s="1581">
        <f t="shared" si="6"/>
        <v>100</v>
      </c>
    </row>
    <row r="88" spans="1:8" ht="15" hidden="1" x14ac:dyDescent="0.2">
      <c r="A88" s="1577">
        <v>3636</v>
      </c>
      <c r="B88" s="1578">
        <v>5021</v>
      </c>
      <c r="C88" s="1629">
        <v>38500881</v>
      </c>
      <c r="D88" s="1579" t="s">
        <v>356</v>
      </c>
      <c r="E88" s="1580"/>
      <c r="F88" s="1580"/>
      <c r="G88" s="1580"/>
      <c r="H88" s="1581" t="e">
        <f t="shared" si="6"/>
        <v>#DIV/0!</v>
      </c>
    </row>
    <row r="89" spans="1:8" ht="30" hidden="1" x14ac:dyDescent="0.2">
      <c r="A89" s="1577">
        <v>3636</v>
      </c>
      <c r="B89" s="1578">
        <v>5031</v>
      </c>
      <c r="C89" s="1629">
        <v>38100880</v>
      </c>
      <c r="D89" s="1579" t="s">
        <v>1165</v>
      </c>
      <c r="E89" s="1580"/>
      <c r="F89" s="1580"/>
      <c r="G89" s="1580"/>
      <c r="H89" s="1581" t="e">
        <f t="shared" si="6"/>
        <v>#DIV/0!</v>
      </c>
    </row>
    <row r="90" spans="1:8" ht="30" hidden="1" x14ac:dyDescent="0.2">
      <c r="A90" s="1577">
        <v>3636</v>
      </c>
      <c r="B90" s="1578">
        <v>5031</v>
      </c>
      <c r="C90" s="1629">
        <v>38500881</v>
      </c>
      <c r="D90" s="1579" t="s">
        <v>1165</v>
      </c>
      <c r="E90" s="1580"/>
      <c r="F90" s="1580"/>
      <c r="G90" s="1580"/>
      <c r="H90" s="1581" t="e">
        <f t="shared" si="6"/>
        <v>#DIV/0!</v>
      </c>
    </row>
    <row r="91" spans="1:8" ht="30" hidden="1" x14ac:dyDescent="0.2">
      <c r="A91" s="1577">
        <v>3636</v>
      </c>
      <c r="B91" s="1578">
        <v>5032</v>
      </c>
      <c r="C91" s="1629">
        <v>38100880</v>
      </c>
      <c r="D91" s="1579" t="s">
        <v>1058</v>
      </c>
      <c r="E91" s="1580"/>
      <c r="F91" s="1580"/>
      <c r="G91" s="1580"/>
      <c r="H91" s="1581" t="e">
        <f t="shared" si="6"/>
        <v>#DIV/0!</v>
      </c>
    </row>
    <row r="92" spans="1:8" ht="30" hidden="1" x14ac:dyDescent="0.2">
      <c r="A92" s="1577">
        <v>3636</v>
      </c>
      <c r="B92" s="1578">
        <v>5032</v>
      </c>
      <c r="C92" s="1629">
        <v>38500881</v>
      </c>
      <c r="D92" s="1579" t="s">
        <v>1058</v>
      </c>
      <c r="E92" s="1580"/>
      <c r="F92" s="1580"/>
      <c r="G92" s="1580"/>
      <c r="H92" s="1581" t="e">
        <f t="shared" si="6"/>
        <v>#DIV/0!</v>
      </c>
    </row>
    <row r="93" spans="1:8" ht="15" hidden="1" x14ac:dyDescent="0.2">
      <c r="A93" s="1577">
        <v>3636</v>
      </c>
      <c r="B93" s="1578">
        <v>5139</v>
      </c>
      <c r="C93" s="1629">
        <v>38100880</v>
      </c>
      <c r="D93" s="1579" t="s">
        <v>249</v>
      </c>
      <c r="E93" s="1580"/>
      <c r="F93" s="1580"/>
      <c r="G93" s="1580"/>
      <c r="H93" s="1581">
        <v>0</v>
      </c>
    </row>
    <row r="94" spans="1:8" ht="15" hidden="1" x14ac:dyDescent="0.2">
      <c r="A94" s="1577">
        <v>3636</v>
      </c>
      <c r="B94" s="1578">
        <v>5139</v>
      </c>
      <c r="C94" s="1629">
        <v>38500881</v>
      </c>
      <c r="D94" s="1579" t="s">
        <v>249</v>
      </c>
      <c r="E94" s="1580"/>
      <c r="F94" s="1580"/>
      <c r="G94" s="1580"/>
      <c r="H94" s="1581" t="e">
        <f t="shared" ref="H94:H102" si="7">G94/F94*100</f>
        <v>#DIV/0!</v>
      </c>
    </row>
    <row r="95" spans="1:8" ht="15" hidden="1" x14ac:dyDescent="0.2">
      <c r="A95" s="1577">
        <v>3636</v>
      </c>
      <c r="B95" s="1578">
        <v>5162</v>
      </c>
      <c r="C95" s="1629">
        <v>38100880</v>
      </c>
      <c r="D95" s="1579" t="s">
        <v>780</v>
      </c>
      <c r="E95" s="1580"/>
      <c r="F95" s="1580"/>
      <c r="G95" s="1580"/>
      <c r="H95" s="1581" t="e">
        <f t="shared" si="7"/>
        <v>#DIV/0!</v>
      </c>
    </row>
    <row r="96" spans="1:8" ht="15" hidden="1" x14ac:dyDescent="0.2">
      <c r="A96" s="1577">
        <v>3636</v>
      </c>
      <c r="B96" s="1578">
        <v>5162</v>
      </c>
      <c r="C96" s="1629">
        <v>38500881</v>
      </c>
      <c r="D96" s="1579" t="s">
        <v>780</v>
      </c>
      <c r="E96" s="1580"/>
      <c r="F96" s="1580"/>
      <c r="G96" s="1580"/>
      <c r="H96" s="1581" t="e">
        <f t="shared" si="7"/>
        <v>#DIV/0!</v>
      </c>
    </row>
    <row r="97" spans="1:8" ht="15" hidden="1" x14ac:dyDescent="0.2">
      <c r="A97" s="1577">
        <v>3636</v>
      </c>
      <c r="B97" s="1578">
        <v>5164</v>
      </c>
      <c r="C97" s="1629">
        <v>38100880</v>
      </c>
      <c r="D97" s="1579" t="s">
        <v>157</v>
      </c>
      <c r="E97" s="1580"/>
      <c r="F97" s="1580"/>
      <c r="G97" s="1580"/>
      <c r="H97" s="1581" t="e">
        <f t="shared" si="7"/>
        <v>#DIV/0!</v>
      </c>
    </row>
    <row r="98" spans="1:8" ht="15" hidden="1" x14ac:dyDescent="0.2">
      <c r="A98" s="1577">
        <v>3636</v>
      </c>
      <c r="B98" s="1578">
        <v>5164</v>
      </c>
      <c r="C98" s="1629">
        <v>38500881</v>
      </c>
      <c r="D98" s="1579" t="s">
        <v>157</v>
      </c>
      <c r="E98" s="1580"/>
      <c r="F98" s="1580"/>
      <c r="G98" s="1580"/>
      <c r="H98" s="1581" t="e">
        <f t="shared" si="7"/>
        <v>#DIV/0!</v>
      </c>
    </row>
    <row r="99" spans="1:8" ht="30.75" thickBot="1" x14ac:dyDescent="0.25">
      <c r="A99" s="1577">
        <v>3121</v>
      </c>
      <c r="B99" s="1578">
        <v>5336</v>
      </c>
      <c r="C99" s="2850" t="s">
        <v>1850</v>
      </c>
      <c r="D99" s="1579" t="s">
        <v>1131</v>
      </c>
      <c r="E99" s="1580">
        <v>0</v>
      </c>
      <c r="F99" s="1580">
        <f>42+303</f>
        <v>345</v>
      </c>
      <c r="G99" s="1580">
        <f>42+303</f>
        <v>345</v>
      </c>
      <c r="H99" s="1581">
        <f t="shared" si="7"/>
        <v>100</v>
      </c>
    </row>
    <row r="100" spans="1:8" ht="30.75" hidden="1" thickBot="1" x14ac:dyDescent="0.25">
      <c r="A100" s="1577">
        <v>3121</v>
      </c>
      <c r="B100" s="1578">
        <v>6356</v>
      </c>
      <c r="C100" s="1629" t="s">
        <v>2127</v>
      </c>
      <c r="D100" s="1579" t="s">
        <v>1552</v>
      </c>
      <c r="E100" s="1580"/>
      <c r="F100" s="1580"/>
      <c r="G100" s="1580"/>
      <c r="H100" s="1581" t="e">
        <f t="shared" si="7"/>
        <v>#DIV/0!</v>
      </c>
    </row>
    <row r="101" spans="1:8" ht="30.75" hidden="1" thickBot="1" x14ac:dyDescent="0.25">
      <c r="A101" s="1577">
        <v>3121</v>
      </c>
      <c r="B101" s="1578">
        <v>6356</v>
      </c>
      <c r="C101" s="1629" t="s">
        <v>2126</v>
      </c>
      <c r="D101" s="1579" t="s">
        <v>1552</v>
      </c>
      <c r="E101" s="1580"/>
      <c r="F101" s="1580"/>
      <c r="G101" s="1580"/>
      <c r="H101" s="1581" t="e">
        <f t="shared" si="7"/>
        <v>#DIV/0!</v>
      </c>
    </row>
    <row r="102" spans="1:8" ht="16.5" thickTop="1" thickBot="1" x14ac:dyDescent="0.3">
      <c r="A102" s="3219" t="s">
        <v>690</v>
      </c>
      <c r="B102" s="3220"/>
      <c r="C102" s="3220"/>
      <c r="D102" s="3220"/>
      <c r="E102" s="1387">
        <f>SUM(E85:E101)</f>
        <v>0</v>
      </c>
      <c r="F102" s="1387">
        <f>SUM(F85:F101)</f>
        <v>405</v>
      </c>
      <c r="G102" s="1387">
        <f>SUM(G85:G101)</f>
        <v>405</v>
      </c>
      <c r="H102" s="1391">
        <f t="shared" si="7"/>
        <v>100</v>
      </c>
    </row>
    <row r="103" spans="1:8" ht="19.5" customHeight="1" thickTop="1" x14ac:dyDescent="0.2"/>
    <row r="104" spans="1:8" ht="15" customHeight="1" x14ac:dyDescent="0.25">
      <c r="A104" s="3233" t="s">
        <v>1360</v>
      </c>
      <c r="B104" s="3151"/>
      <c r="C104" s="3151"/>
      <c r="D104" s="3151"/>
      <c r="E104" s="3151"/>
      <c r="F104" s="3151"/>
      <c r="G104" s="3151"/>
      <c r="H104" s="3151"/>
    </row>
    <row r="105" spans="1:8" ht="15.75" thickBot="1" x14ac:dyDescent="0.3">
      <c r="A105" s="1544" t="s">
        <v>1134</v>
      </c>
      <c r="B105" s="1558"/>
      <c r="C105" s="1558"/>
      <c r="E105" s="1559"/>
      <c r="F105" s="1559"/>
      <c r="G105" s="1559"/>
      <c r="H105" s="1560" t="s">
        <v>148</v>
      </c>
    </row>
    <row r="106" spans="1:8" ht="25.5" thickTop="1" thickBot="1" x14ac:dyDescent="0.25">
      <c r="A106" s="1378" t="s">
        <v>149</v>
      </c>
      <c r="B106" s="1379" t="s">
        <v>688</v>
      </c>
      <c r="C106" s="1379" t="s">
        <v>345</v>
      </c>
      <c r="D106" s="1380" t="s">
        <v>151</v>
      </c>
      <c r="E106" s="1402" t="s">
        <v>569</v>
      </c>
      <c r="F106" s="1402" t="s">
        <v>570</v>
      </c>
      <c r="G106" s="1403" t="s">
        <v>797</v>
      </c>
      <c r="H106" s="1404" t="s">
        <v>798</v>
      </c>
    </row>
    <row r="107" spans="1:8" ht="14.25" thickTop="1" thickBot="1" x14ac:dyDescent="0.25">
      <c r="A107" s="1297">
        <v>1</v>
      </c>
      <c r="B107" s="1296">
        <v>2</v>
      </c>
      <c r="C107" s="1296">
        <v>3</v>
      </c>
      <c r="D107" s="1296">
        <v>4</v>
      </c>
      <c r="E107" s="1295">
        <v>5</v>
      </c>
      <c r="F107" s="1295">
        <v>6</v>
      </c>
      <c r="G107" s="1446">
        <v>7</v>
      </c>
      <c r="H107" s="1468" t="s">
        <v>54</v>
      </c>
    </row>
    <row r="108" spans="1:8" ht="15.75" hidden="1" thickTop="1" x14ac:dyDescent="0.2">
      <c r="A108" s="1572">
        <v>3636</v>
      </c>
      <c r="B108" s="1573">
        <v>5011</v>
      </c>
      <c r="C108" s="1582">
        <v>0</v>
      </c>
      <c r="D108" s="1574" t="s">
        <v>189</v>
      </c>
      <c r="E108" s="1575">
        <v>0</v>
      </c>
      <c r="F108" s="1575">
        <v>0</v>
      </c>
      <c r="G108" s="1575">
        <v>0</v>
      </c>
      <c r="H108" s="1576" t="e">
        <f t="shared" ref="H108:H115" si="8">G108/F108*100</f>
        <v>#DIV/0!</v>
      </c>
    </row>
    <row r="109" spans="1:8" ht="15.75" hidden="1" thickTop="1" x14ac:dyDescent="0.2">
      <c r="A109" s="1577">
        <v>3636</v>
      </c>
      <c r="B109" s="1578">
        <v>5011</v>
      </c>
      <c r="C109" s="1578">
        <v>38500881</v>
      </c>
      <c r="D109" s="1579" t="s">
        <v>189</v>
      </c>
      <c r="E109" s="1580">
        <v>0</v>
      </c>
      <c r="F109" s="1580">
        <v>0</v>
      </c>
      <c r="G109" s="1580">
        <v>0</v>
      </c>
      <c r="H109" s="1581" t="e">
        <f t="shared" si="8"/>
        <v>#DIV/0!</v>
      </c>
    </row>
    <row r="110" spans="1:8" ht="30.75" thickTop="1" x14ac:dyDescent="0.2">
      <c r="A110" s="1577">
        <v>3121</v>
      </c>
      <c r="B110" s="1578">
        <v>5336</v>
      </c>
      <c r="C110" s="2850" t="s">
        <v>1849</v>
      </c>
      <c r="D110" s="1579" t="s">
        <v>1131</v>
      </c>
      <c r="E110" s="1580">
        <v>0</v>
      </c>
      <c r="F110" s="1580">
        <f>10+82</f>
        <v>92</v>
      </c>
      <c r="G110" s="1580">
        <f>10+82</f>
        <v>92</v>
      </c>
      <c r="H110" s="1581">
        <f t="shared" si="8"/>
        <v>100</v>
      </c>
    </row>
    <row r="111" spans="1:8" ht="15" hidden="1" x14ac:dyDescent="0.2">
      <c r="A111" s="1577">
        <v>3636</v>
      </c>
      <c r="B111" s="1578">
        <v>5021</v>
      </c>
      <c r="C111" s="1629">
        <v>38500881</v>
      </c>
      <c r="D111" s="1579" t="s">
        <v>356</v>
      </c>
      <c r="E111" s="1580"/>
      <c r="F111" s="1580"/>
      <c r="G111" s="1580"/>
      <c r="H111" s="1581" t="e">
        <f t="shared" si="8"/>
        <v>#DIV/0!</v>
      </c>
    </row>
    <row r="112" spans="1:8" ht="30" hidden="1" x14ac:dyDescent="0.2">
      <c r="A112" s="1577">
        <v>3636</v>
      </c>
      <c r="B112" s="1578">
        <v>5031</v>
      </c>
      <c r="C112" s="1629">
        <v>38100880</v>
      </c>
      <c r="D112" s="1579" t="s">
        <v>1165</v>
      </c>
      <c r="E112" s="1580"/>
      <c r="F112" s="1580"/>
      <c r="G112" s="1580"/>
      <c r="H112" s="1581" t="e">
        <f t="shared" si="8"/>
        <v>#DIV/0!</v>
      </c>
    </row>
    <row r="113" spans="1:8" ht="30" hidden="1" x14ac:dyDescent="0.2">
      <c r="A113" s="1577">
        <v>3636</v>
      </c>
      <c r="B113" s="1578">
        <v>5031</v>
      </c>
      <c r="C113" s="1629">
        <v>38500881</v>
      </c>
      <c r="D113" s="1579" t="s">
        <v>1165</v>
      </c>
      <c r="E113" s="1580"/>
      <c r="F113" s="1580"/>
      <c r="G113" s="1580"/>
      <c r="H113" s="1581" t="e">
        <f t="shared" si="8"/>
        <v>#DIV/0!</v>
      </c>
    </row>
    <row r="114" spans="1:8" ht="30" hidden="1" x14ac:dyDescent="0.2">
      <c r="A114" s="1577">
        <v>3636</v>
      </c>
      <c r="B114" s="1578">
        <v>5032</v>
      </c>
      <c r="C114" s="1629">
        <v>38100880</v>
      </c>
      <c r="D114" s="1579" t="s">
        <v>1058</v>
      </c>
      <c r="E114" s="1580"/>
      <c r="F114" s="1580"/>
      <c r="G114" s="1580"/>
      <c r="H114" s="1581" t="e">
        <f t="shared" si="8"/>
        <v>#DIV/0!</v>
      </c>
    </row>
    <row r="115" spans="1:8" ht="30" hidden="1" x14ac:dyDescent="0.2">
      <c r="A115" s="1577">
        <v>3636</v>
      </c>
      <c r="B115" s="1578">
        <v>5032</v>
      </c>
      <c r="C115" s="1629">
        <v>38500881</v>
      </c>
      <c r="D115" s="1579" t="s">
        <v>1058</v>
      </c>
      <c r="E115" s="1580"/>
      <c r="F115" s="1580"/>
      <c r="G115" s="1580"/>
      <c r="H115" s="1581" t="e">
        <f t="shared" si="8"/>
        <v>#DIV/0!</v>
      </c>
    </row>
    <row r="116" spans="1:8" ht="15" hidden="1" x14ac:dyDescent="0.2">
      <c r="A116" s="1577">
        <v>3636</v>
      </c>
      <c r="B116" s="1578">
        <v>5139</v>
      </c>
      <c r="C116" s="1629">
        <v>38100880</v>
      </c>
      <c r="D116" s="1579" t="s">
        <v>249</v>
      </c>
      <c r="E116" s="1580"/>
      <c r="F116" s="1580"/>
      <c r="G116" s="1580"/>
      <c r="H116" s="1581">
        <v>0</v>
      </c>
    </row>
    <row r="117" spans="1:8" ht="15" hidden="1" x14ac:dyDescent="0.2">
      <c r="A117" s="1577">
        <v>3636</v>
      </c>
      <c r="B117" s="1578">
        <v>5139</v>
      </c>
      <c r="C117" s="1629">
        <v>38500881</v>
      </c>
      <c r="D117" s="1579" t="s">
        <v>249</v>
      </c>
      <c r="E117" s="1580"/>
      <c r="F117" s="1580"/>
      <c r="G117" s="1580"/>
      <c r="H117" s="1581" t="e">
        <f t="shared" ref="H117:H129" si="9">G117/F117*100</f>
        <v>#DIV/0!</v>
      </c>
    </row>
    <row r="118" spans="1:8" ht="15" hidden="1" x14ac:dyDescent="0.2">
      <c r="A118" s="1577">
        <v>3636</v>
      </c>
      <c r="B118" s="1578">
        <v>5162</v>
      </c>
      <c r="C118" s="1629">
        <v>38100880</v>
      </c>
      <c r="D118" s="1579" t="s">
        <v>780</v>
      </c>
      <c r="E118" s="1580"/>
      <c r="F118" s="1580"/>
      <c r="G118" s="1580"/>
      <c r="H118" s="1581" t="e">
        <f t="shared" si="9"/>
        <v>#DIV/0!</v>
      </c>
    </row>
    <row r="119" spans="1:8" ht="15" hidden="1" x14ac:dyDescent="0.2">
      <c r="A119" s="1577">
        <v>3636</v>
      </c>
      <c r="B119" s="1578">
        <v>5162</v>
      </c>
      <c r="C119" s="1629">
        <v>38500881</v>
      </c>
      <c r="D119" s="1579" t="s">
        <v>780</v>
      </c>
      <c r="E119" s="1580"/>
      <c r="F119" s="1580"/>
      <c r="G119" s="1580"/>
      <c r="H119" s="1581" t="e">
        <f t="shared" si="9"/>
        <v>#DIV/0!</v>
      </c>
    </row>
    <row r="120" spans="1:8" ht="15" hidden="1" x14ac:dyDescent="0.2">
      <c r="A120" s="1577">
        <v>3636</v>
      </c>
      <c r="B120" s="1578">
        <v>5164</v>
      </c>
      <c r="C120" s="1629">
        <v>38100880</v>
      </c>
      <c r="D120" s="1579" t="s">
        <v>157</v>
      </c>
      <c r="E120" s="1580"/>
      <c r="F120" s="1580"/>
      <c r="G120" s="1580"/>
      <c r="H120" s="1581" t="e">
        <f t="shared" si="9"/>
        <v>#DIV/0!</v>
      </c>
    </row>
    <row r="121" spans="1:8" ht="15" hidden="1" x14ac:dyDescent="0.2">
      <c r="A121" s="1577">
        <v>3636</v>
      </c>
      <c r="B121" s="1578">
        <v>5164</v>
      </c>
      <c r="C121" s="1629">
        <v>38500881</v>
      </c>
      <c r="D121" s="1579" t="s">
        <v>157</v>
      </c>
      <c r="E121" s="1580"/>
      <c r="F121" s="1580"/>
      <c r="G121" s="1580"/>
      <c r="H121" s="1581" t="e">
        <f t="shared" si="9"/>
        <v>#DIV/0!</v>
      </c>
    </row>
    <row r="122" spans="1:8" ht="30.75" thickBot="1" x14ac:dyDescent="0.25">
      <c r="A122" s="1577">
        <v>3121</v>
      </c>
      <c r="B122" s="1578">
        <v>5336</v>
      </c>
      <c r="C122" s="2850" t="s">
        <v>1850</v>
      </c>
      <c r="D122" s="1579" t="s">
        <v>1131</v>
      </c>
      <c r="E122" s="1580">
        <v>0</v>
      </c>
      <c r="F122" s="1580">
        <f>54+465</f>
        <v>519</v>
      </c>
      <c r="G122" s="1580">
        <f>54+465</f>
        <v>519</v>
      </c>
      <c r="H122" s="1581">
        <f t="shared" si="9"/>
        <v>100</v>
      </c>
    </row>
    <row r="123" spans="1:8" ht="15.75" hidden="1" thickBot="1" x14ac:dyDescent="0.25">
      <c r="A123" s="1577">
        <v>6223</v>
      </c>
      <c r="B123" s="1578">
        <v>5166</v>
      </c>
      <c r="C123" s="1629">
        <v>41100880</v>
      </c>
      <c r="D123" s="1579" t="s">
        <v>553</v>
      </c>
      <c r="E123" s="1580"/>
      <c r="F123" s="1580"/>
      <c r="G123" s="1580"/>
      <c r="H123" s="1581" t="e">
        <f t="shared" si="9"/>
        <v>#DIV/0!</v>
      </c>
    </row>
    <row r="124" spans="1:8" ht="15.75" hidden="1" thickBot="1" x14ac:dyDescent="0.25">
      <c r="A124" s="1577">
        <v>6223</v>
      </c>
      <c r="B124" s="1578">
        <v>5166</v>
      </c>
      <c r="C124" s="1629">
        <v>41100882</v>
      </c>
      <c r="D124" s="1579" t="s">
        <v>553</v>
      </c>
      <c r="E124" s="1580"/>
      <c r="F124" s="1580"/>
      <c r="G124" s="1580"/>
      <c r="H124" s="1581" t="e">
        <f t="shared" si="9"/>
        <v>#DIV/0!</v>
      </c>
    </row>
    <row r="125" spans="1:8" ht="15.75" hidden="1" thickBot="1" x14ac:dyDescent="0.25">
      <c r="A125" s="1577">
        <v>6223</v>
      </c>
      <c r="B125" s="1578">
        <v>5166</v>
      </c>
      <c r="C125" s="1629">
        <v>41500881</v>
      </c>
      <c r="D125" s="1579" t="s">
        <v>553</v>
      </c>
      <c r="E125" s="1580"/>
      <c r="F125" s="1580"/>
      <c r="G125" s="1580"/>
      <c r="H125" s="1581" t="e">
        <f t="shared" si="9"/>
        <v>#DIV/0!</v>
      </c>
    </row>
    <row r="126" spans="1:8" ht="15.75" hidden="1" thickBot="1" x14ac:dyDescent="0.25">
      <c r="A126" s="1577">
        <v>3636</v>
      </c>
      <c r="B126" s="1578">
        <v>5167</v>
      </c>
      <c r="C126" s="1629">
        <v>38100880</v>
      </c>
      <c r="D126" s="1579" t="s">
        <v>810</v>
      </c>
      <c r="E126" s="1580"/>
      <c r="F126" s="1580"/>
      <c r="G126" s="1580"/>
      <c r="H126" s="1581" t="e">
        <f t="shared" si="9"/>
        <v>#DIV/0!</v>
      </c>
    </row>
    <row r="127" spans="1:8" ht="15.75" hidden="1" thickBot="1" x14ac:dyDescent="0.25">
      <c r="A127" s="1577">
        <v>3636</v>
      </c>
      <c r="B127" s="1578">
        <v>5167</v>
      </c>
      <c r="C127" s="1629">
        <v>38500881</v>
      </c>
      <c r="D127" s="1579" t="s">
        <v>810</v>
      </c>
      <c r="E127" s="1580"/>
      <c r="F127" s="1580"/>
      <c r="G127" s="1580"/>
      <c r="H127" s="1581" t="e">
        <f t="shared" si="9"/>
        <v>#DIV/0!</v>
      </c>
    </row>
    <row r="128" spans="1:8" ht="15.75" hidden="1" thickBot="1" x14ac:dyDescent="0.25">
      <c r="A128" s="1577">
        <v>3636</v>
      </c>
      <c r="B128" s="1578">
        <v>5169</v>
      </c>
      <c r="C128" s="1629">
        <v>38100880</v>
      </c>
      <c r="D128" s="1579" t="s">
        <v>769</v>
      </c>
      <c r="E128" s="1580"/>
      <c r="F128" s="1580"/>
      <c r="G128" s="1580"/>
      <c r="H128" s="1581" t="e">
        <f t="shared" si="9"/>
        <v>#DIV/0!</v>
      </c>
    </row>
    <row r="129" spans="1:8" ht="15.75" hidden="1" thickBot="1" x14ac:dyDescent="0.25">
      <c r="A129" s="1577">
        <v>3636</v>
      </c>
      <c r="B129" s="1578">
        <v>5169</v>
      </c>
      <c r="C129" s="1629">
        <v>38500881</v>
      </c>
      <c r="D129" s="1579" t="s">
        <v>769</v>
      </c>
      <c r="E129" s="1580"/>
      <c r="F129" s="1580"/>
      <c r="G129" s="1580"/>
      <c r="H129" s="1581" t="e">
        <f t="shared" si="9"/>
        <v>#DIV/0!</v>
      </c>
    </row>
    <row r="130" spans="1:8" ht="15.75" hidden="1" thickBot="1" x14ac:dyDescent="0.25">
      <c r="A130" s="1577">
        <v>6223</v>
      </c>
      <c r="B130" s="1578">
        <v>5173</v>
      </c>
      <c r="C130" s="2850">
        <v>0</v>
      </c>
      <c r="D130" s="1579" t="s">
        <v>1038</v>
      </c>
      <c r="E130" s="1580"/>
      <c r="F130" s="1580"/>
      <c r="G130" s="1580"/>
      <c r="H130" s="1581">
        <v>0</v>
      </c>
    </row>
    <row r="131" spans="1:8" ht="15.75" hidden="1" thickBot="1" x14ac:dyDescent="0.25">
      <c r="A131" s="1577">
        <v>3636</v>
      </c>
      <c r="B131" s="1578">
        <v>5173</v>
      </c>
      <c r="C131" s="1629">
        <v>38500881</v>
      </c>
      <c r="D131" s="1579" t="s">
        <v>1038</v>
      </c>
      <c r="E131" s="1580"/>
      <c r="F131" s="1580"/>
      <c r="G131" s="1580"/>
      <c r="H131" s="1581" t="e">
        <f t="shared" ref="H131:H137" si="10">G131/F131*100</f>
        <v>#DIV/0!</v>
      </c>
    </row>
    <row r="132" spans="1:8" ht="15.75" hidden="1" thickBot="1" x14ac:dyDescent="0.25">
      <c r="A132" s="1577">
        <v>3636</v>
      </c>
      <c r="B132" s="1578">
        <v>5175</v>
      </c>
      <c r="C132" s="1629">
        <v>38100880</v>
      </c>
      <c r="D132" s="1579" t="s">
        <v>605</v>
      </c>
      <c r="E132" s="1580"/>
      <c r="F132" s="1580"/>
      <c r="G132" s="1580"/>
      <c r="H132" s="1581" t="e">
        <f t="shared" si="10"/>
        <v>#DIV/0!</v>
      </c>
    </row>
    <row r="133" spans="1:8" ht="15.75" hidden="1" thickBot="1" x14ac:dyDescent="0.25">
      <c r="A133" s="1577">
        <v>3636</v>
      </c>
      <c r="B133" s="1578">
        <v>5175</v>
      </c>
      <c r="C133" s="1629">
        <v>38500881</v>
      </c>
      <c r="D133" s="1579" t="s">
        <v>605</v>
      </c>
      <c r="E133" s="1580"/>
      <c r="F133" s="1580"/>
      <c r="G133" s="1580"/>
      <c r="H133" s="1581" t="e">
        <f t="shared" si="10"/>
        <v>#DIV/0!</v>
      </c>
    </row>
    <row r="134" spans="1:8" ht="15.75" hidden="1" thickBot="1" x14ac:dyDescent="0.25">
      <c r="A134" s="1577">
        <v>3636</v>
      </c>
      <c r="B134" s="1578">
        <v>5176</v>
      </c>
      <c r="C134" s="1629">
        <v>38100880</v>
      </c>
      <c r="D134" s="1579" t="s">
        <v>1119</v>
      </c>
      <c r="E134" s="1580"/>
      <c r="F134" s="1580"/>
      <c r="G134" s="1580"/>
      <c r="H134" s="1581" t="e">
        <f t="shared" si="10"/>
        <v>#DIV/0!</v>
      </c>
    </row>
    <row r="135" spans="1:8" ht="15.75" hidden="1" thickBot="1" x14ac:dyDescent="0.25">
      <c r="A135" s="1577">
        <v>3636</v>
      </c>
      <c r="B135" s="1578">
        <v>5176</v>
      </c>
      <c r="C135" s="1629">
        <v>38500881</v>
      </c>
      <c r="D135" s="1579" t="s">
        <v>1119</v>
      </c>
      <c r="E135" s="1580"/>
      <c r="F135" s="1580"/>
      <c r="G135" s="1580"/>
      <c r="H135" s="1581" t="e">
        <f t="shared" si="10"/>
        <v>#DIV/0!</v>
      </c>
    </row>
    <row r="136" spans="1:8" ht="30.75" hidden="1" thickBot="1" x14ac:dyDescent="0.25">
      <c r="A136" s="1577">
        <v>3121</v>
      </c>
      <c r="B136" s="1578">
        <v>6356</v>
      </c>
      <c r="C136" s="1629" t="s">
        <v>2127</v>
      </c>
      <c r="D136" s="1579" t="s">
        <v>1552</v>
      </c>
      <c r="E136" s="1580"/>
      <c r="F136" s="1580"/>
      <c r="G136" s="1580"/>
      <c r="H136" s="1581" t="e">
        <f t="shared" si="10"/>
        <v>#DIV/0!</v>
      </c>
    </row>
    <row r="137" spans="1:8" ht="30.75" hidden="1" thickBot="1" x14ac:dyDescent="0.25">
      <c r="A137" s="1577">
        <v>3121</v>
      </c>
      <c r="B137" s="1578">
        <v>6356</v>
      </c>
      <c r="C137" s="1629" t="s">
        <v>2126</v>
      </c>
      <c r="D137" s="1579" t="s">
        <v>1552</v>
      </c>
      <c r="E137" s="1580"/>
      <c r="F137" s="1580"/>
      <c r="G137" s="1580"/>
      <c r="H137" s="1583" t="e">
        <f t="shared" si="10"/>
        <v>#DIV/0!</v>
      </c>
    </row>
    <row r="138" spans="1:8" ht="16.5" thickTop="1" thickBot="1" x14ac:dyDescent="0.3">
      <c r="A138" s="3219" t="s">
        <v>690</v>
      </c>
      <c r="B138" s="3220"/>
      <c r="C138" s="3220"/>
      <c r="D138" s="3220"/>
      <c r="E138" s="1387">
        <f>SUM(E108:E137)</f>
        <v>0</v>
      </c>
      <c r="F138" s="1387">
        <f>SUM(F108:F137)</f>
        <v>611</v>
      </c>
      <c r="G138" s="1387">
        <f>SUM(G108:G137)</f>
        <v>611</v>
      </c>
      <c r="H138" s="1391">
        <v>0</v>
      </c>
    </row>
    <row r="139" spans="1:8" ht="21.75" customHeight="1" thickTop="1" x14ac:dyDescent="0.2"/>
    <row r="140" spans="1:8" ht="15.75" customHeight="1" x14ac:dyDescent="0.25">
      <c r="A140" s="3233" t="s">
        <v>578</v>
      </c>
      <c r="B140" s="3151"/>
      <c r="C140" s="3151"/>
      <c r="D140" s="3151"/>
      <c r="E140" s="3151"/>
      <c r="F140" s="3151"/>
      <c r="G140" s="3151"/>
      <c r="H140" s="3151"/>
    </row>
    <row r="141" spans="1:8" ht="15.75" thickBot="1" x14ac:dyDescent="0.3">
      <c r="A141" s="1544" t="s">
        <v>1551</v>
      </c>
      <c r="B141" s="1558"/>
      <c r="C141" s="1558"/>
      <c r="E141" s="1559"/>
      <c r="F141" s="1559"/>
      <c r="G141" s="1559"/>
      <c r="H141" s="1560" t="s">
        <v>148</v>
      </c>
    </row>
    <row r="142" spans="1:8" ht="25.5" thickTop="1" thickBot="1" x14ac:dyDescent="0.25">
      <c r="A142" s="1378" t="s">
        <v>149</v>
      </c>
      <c r="B142" s="1379" t="s">
        <v>688</v>
      </c>
      <c r="C142" s="1379" t="s">
        <v>345</v>
      </c>
      <c r="D142" s="1380" t="s">
        <v>151</v>
      </c>
      <c r="E142" s="1402" t="s">
        <v>569</v>
      </c>
      <c r="F142" s="1402" t="s">
        <v>570</v>
      </c>
      <c r="G142" s="1403" t="s">
        <v>797</v>
      </c>
      <c r="H142" s="1404" t="s">
        <v>798</v>
      </c>
    </row>
    <row r="143" spans="1:8" ht="14.25" thickTop="1" thickBot="1" x14ac:dyDescent="0.25">
      <c r="A143" s="1297">
        <v>1</v>
      </c>
      <c r="B143" s="1296">
        <v>2</v>
      </c>
      <c r="C143" s="1296">
        <v>3</v>
      </c>
      <c r="D143" s="1296">
        <v>4</v>
      </c>
      <c r="E143" s="1295">
        <v>5</v>
      </c>
      <c r="F143" s="1295">
        <v>6</v>
      </c>
      <c r="G143" s="1446">
        <v>7</v>
      </c>
      <c r="H143" s="1468" t="s">
        <v>54</v>
      </c>
    </row>
    <row r="144" spans="1:8" ht="15.75" hidden="1" thickTop="1" x14ac:dyDescent="0.2">
      <c r="A144" s="1572">
        <v>3636</v>
      </c>
      <c r="B144" s="1573">
        <v>5011</v>
      </c>
      <c r="C144" s="1582">
        <v>0</v>
      </c>
      <c r="D144" s="1574" t="s">
        <v>189</v>
      </c>
      <c r="E144" s="1575">
        <v>0</v>
      </c>
      <c r="F144" s="1575">
        <v>0</v>
      </c>
      <c r="G144" s="1575">
        <v>0</v>
      </c>
      <c r="H144" s="1576" t="e">
        <f t="shared" ref="H144:H151" si="11">G144/F144*100</f>
        <v>#DIV/0!</v>
      </c>
    </row>
    <row r="145" spans="1:8" ht="15.75" hidden="1" thickTop="1" x14ac:dyDescent="0.2">
      <c r="A145" s="1577">
        <v>3636</v>
      </c>
      <c r="B145" s="1578">
        <v>5011</v>
      </c>
      <c r="C145" s="1578">
        <v>38500881</v>
      </c>
      <c r="D145" s="1579" t="s">
        <v>189</v>
      </c>
      <c r="E145" s="1580">
        <v>0</v>
      </c>
      <c r="F145" s="1580">
        <v>0</v>
      </c>
      <c r="G145" s="1580">
        <v>0</v>
      </c>
      <c r="H145" s="1581" t="e">
        <f t="shared" si="11"/>
        <v>#DIV/0!</v>
      </c>
    </row>
    <row r="146" spans="1:8" ht="30.75" thickTop="1" x14ac:dyDescent="0.2">
      <c r="A146" s="1577">
        <v>3121</v>
      </c>
      <c r="B146" s="1578">
        <v>5336</v>
      </c>
      <c r="C146" s="2850" t="s">
        <v>1849</v>
      </c>
      <c r="D146" s="1579" t="s">
        <v>1131</v>
      </c>
      <c r="E146" s="1580">
        <v>0</v>
      </c>
      <c r="F146" s="1580">
        <f>13+60</f>
        <v>73</v>
      </c>
      <c r="G146" s="1580">
        <f>13+60</f>
        <v>73</v>
      </c>
      <c r="H146" s="1581">
        <f t="shared" si="11"/>
        <v>100</v>
      </c>
    </row>
    <row r="147" spans="1:8" ht="15" hidden="1" x14ac:dyDescent="0.2">
      <c r="A147" s="1577">
        <v>3636</v>
      </c>
      <c r="B147" s="1578">
        <v>5021</v>
      </c>
      <c r="C147" s="1629">
        <v>38500881</v>
      </c>
      <c r="D147" s="1579" t="s">
        <v>356</v>
      </c>
      <c r="E147" s="1580"/>
      <c r="F147" s="1580"/>
      <c r="G147" s="1580"/>
      <c r="H147" s="1581" t="e">
        <f t="shared" si="11"/>
        <v>#DIV/0!</v>
      </c>
    </row>
    <row r="148" spans="1:8" ht="30" hidden="1" x14ac:dyDescent="0.2">
      <c r="A148" s="1577">
        <v>3636</v>
      </c>
      <c r="B148" s="1578">
        <v>5031</v>
      </c>
      <c r="C148" s="1629">
        <v>38100880</v>
      </c>
      <c r="D148" s="1579" t="s">
        <v>1165</v>
      </c>
      <c r="E148" s="1580"/>
      <c r="F148" s="1580"/>
      <c r="G148" s="1580"/>
      <c r="H148" s="1581" t="e">
        <f t="shared" si="11"/>
        <v>#DIV/0!</v>
      </c>
    </row>
    <row r="149" spans="1:8" ht="30" hidden="1" x14ac:dyDescent="0.2">
      <c r="A149" s="1577">
        <v>3636</v>
      </c>
      <c r="B149" s="1578">
        <v>5031</v>
      </c>
      <c r="C149" s="1629">
        <v>38500881</v>
      </c>
      <c r="D149" s="1579" t="s">
        <v>1165</v>
      </c>
      <c r="E149" s="1580"/>
      <c r="F149" s="1580"/>
      <c r="G149" s="1580"/>
      <c r="H149" s="1581" t="e">
        <f t="shared" si="11"/>
        <v>#DIV/0!</v>
      </c>
    </row>
    <row r="150" spans="1:8" ht="30" hidden="1" x14ac:dyDescent="0.2">
      <c r="A150" s="1577">
        <v>3636</v>
      </c>
      <c r="B150" s="1578">
        <v>5032</v>
      </c>
      <c r="C150" s="1629">
        <v>38100880</v>
      </c>
      <c r="D150" s="1579" t="s">
        <v>1058</v>
      </c>
      <c r="E150" s="1580"/>
      <c r="F150" s="1580"/>
      <c r="G150" s="1580"/>
      <c r="H150" s="1581" t="e">
        <f t="shared" si="11"/>
        <v>#DIV/0!</v>
      </c>
    </row>
    <row r="151" spans="1:8" ht="30" hidden="1" x14ac:dyDescent="0.2">
      <c r="A151" s="1577">
        <v>3636</v>
      </c>
      <c r="B151" s="1578">
        <v>5032</v>
      </c>
      <c r="C151" s="1629">
        <v>38500881</v>
      </c>
      <c r="D151" s="1579" t="s">
        <v>1058</v>
      </c>
      <c r="E151" s="1580"/>
      <c r="F151" s="1580"/>
      <c r="G151" s="1580"/>
      <c r="H151" s="1581" t="e">
        <f t="shared" si="11"/>
        <v>#DIV/0!</v>
      </c>
    </row>
    <row r="152" spans="1:8" ht="15" hidden="1" x14ac:dyDescent="0.2">
      <c r="A152" s="1577">
        <v>3636</v>
      </c>
      <c r="B152" s="1578">
        <v>5139</v>
      </c>
      <c r="C152" s="1629">
        <v>38100880</v>
      </c>
      <c r="D152" s="1579" t="s">
        <v>249</v>
      </c>
      <c r="E152" s="1580"/>
      <c r="F152" s="1580"/>
      <c r="G152" s="1580"/>
      <c r="H152" s="1581">
        <v>0</v>
      </c>
    </row>
    <row r="153" spans="1:8" ht="15" hidden="1" x14ac:dyDescent="0.2">
      <c r="A153" s="1577">
        <v>3636</v>
      </c>
      <c r="B153" s="1578">
        <v>5139</v>
      </c>
      <c r="C153" s="1629">
        <v>38500881</v>
      </c>
      <c r="D153" s="1579" t="s">
        <v>249</v>
      </c>
      <c r="E153" s="1580"/>
      <c r="F153" s="1580"/>
      <c r="G153" s="1580"/>
      <c r="H153" s="1581" t="e">
        <f t="shared" ref="H153:H165" si="12">G153/F153*100</f>
        <v>#DIV/0!</v>
      </c>
    </row>
    <row r="154" spans="1:8" ht="15" hidden="1" x14ac:dyDescent="0.2">
      <c r="A154" s="1577">
        <v>3636</v>
      </c>
      <c r="B154" s="1578">
        <v>5162</v>
      </c>
      <c r="C154" s="1629">
        <v>38100880</v>
      </c>
      <c r="D154" s="1579" t="s">
        <v>780</v>
      </c>
      <c r="E154" s="1580"/>
      <c r="F154" s="1580"/>
      <c r="G154" s="1580"/>
      <c r="H154" s="1581" t="e">
        <f t="shared" si="12"/>
        <v>#DIV/0!</v>
      </c>
    </row>
    <row r="155" spans="1:8" ht="15" hidden="1" x14ac:dyDescent="0.2">
      <c r="A155" s="1577">
        <v>3636</v>
      </c>
      <c r="B155" s="1578">
        <v>5162</v>
      </c>
      <c r="C155" s="1629">
        <v>38500881</v>
      </c>
      <c r="D155" s="1579" t="s">
        <v>780</v>
      </c>
      <c r="E155" s="1580"/>
      <c r="F155" s="1580"/>
      <c r="G155" s="1580"/>
      <c r="H155" s="1581" t="e">
        <f t="shared" si="12"/>
        <v>#DIV/0!</v>
      </c>
    </row>
    <row r="156" spans="1:8" ht="15" hidden="1" x14ac:dyDescent="0.2">
      <c r="A156" s="1577">
        <v>3636</v>
      </c>
      <c r="B156" s="1578">
        <v>5164</v>
      </c>
      <c r="C156" s="1629">
        <v>38100880</v>
      </c>
      <c r="D156" s="1579" t="s">
        <v>157</v>
      </c>
      <c r="E156" s="1580"/>
      <c r="F156" s="1580"/>
      <c r="G156" s="1580"/>
      <c r="H156" s="1581" t="e">
        <f t="shared" si="12"/>
        <v>#DIV/0!</v>
      </c>
    </row>
    <row r="157" spans="1:8" ht="15" hidden="1" x14ac:dyDescent="0.2">
      <c r="A157" s="1577">
        <v>3636</v>
      </c>
      <c r="B157" s="1578">
        <v>5164</v>
      </c>
      <c r="C157" s="1629">
        <v>38500881</v>
      </c>
      <c r="D157" s="1579" t="s">
        <v>157</v>
      </c>
      <c r="E157" s="1580"/>
      <c r="F157" s="1580"/>
      <c r="G157" s="1580"/>
      <c r="H157" s="1581" t="e">
        <f t="shared" si="12"/>
        <v>#DIV/0!</v>
      </c>
    </row>
    <row r="158" spans="1:8" ht="30" x14ac:dyDescent="0.2">
      <c r="A158" s="1577">
        <v>3121</v>
      </c>
      <c r="B158" s="1578">
        <v>5336</v>
      </c>
      <c r="C158" s="2850" t="s">
        <v>1850</v>
      </c>
      <c r="D158" s="1579" t="s">
        <v>1131</v>
      </c>
      <c r="E158" s="1580">
        <v>0</v>
      </c>
      <c r="F158" s="1580">
        <f>43+339</f>
        <v>382</v>
      </c>
      <c r="G158" s="1580">
        <f>43+339</f>
        <v>382</v>
      </c>
      <c r="H158" s="1581">
        <f t="shared" si="12"/>
        <v>100</v>
      </c>
    </row>
    <row r="159" spans="1:8" ht="15" hidden="1" x14ac:dyDescent="0.2">
      <c r="A159" s="1577">
        <v>6223</v>
      </c>
      <c r="B159" s="1578">
        <v>5166</v>
      </c>
      <c r="C159" s="1629">
        <v>41100880</v>
      </c>
      <c r="D159" s="1579" t="s">
        <v>553</v>
      </c>
      <c r="E159" s="1580"/>
      <c r="F159" s="1580"/>
      <c r="G159" s="1580"/>
      <c r="H159" s="1581" t="e">
        <f t="shared" si="12"/>
        <v>#DIV/0!</v>
      </c>
    </row>
    <row r="160" spans="1:8" ht="15" hidden="1" x14ac:dyDescent="0.2">
      <c r="A160" s="1577">
        <v>6223</v>
      </c>
      <c r="B160" s="1578">
        <v>5166</v>
      </c>
      <c r="C160" s="1629">
        <v>41100882</v>
      </c>
      <c r="D160" s="1579" t="s">
        <v>553</v>
      </c>
      <c r="E160" s="1580"/>
      <c r="F160" s="1580"/>
      <c r="G160" s="1580"/>
      <c r="H160" s="1581" t="e">
        <f t="shared" si="12"/>
        <v>#DIV/0!</v>
      </c>
    </row>
    <row r="161" spans="1:8" ht="15" hidden="1" x14ac:dyDescent="0.2">
      <c r="A161" s="1577">
        <v>6223</v>
      </c>
      <c r="B161" s="1578">
        <v>5166</v>
      </c>
      <c r="C161" s="1629">
        <v>41500881</v>
      </c>
      <c r="D161" s="1579" t="s">
        <v>553</v>
      </c>
      <c r="E161" s="1580"/>
      <c r="F161" s="1580"/>
      <c r="G161" s="1580"/>
      <c r="H161" s="1581" t="e">
        <f t="shared" si="12"/>
        <v>#DIV/0!</v>
      </c>
    </row>
    <row r="162" spans="1:8" ht="15" hidden="1" x14ac:dyDescent="0.2">
      <c r="A162" s="1577">
        <v>3636</v>
      </c>
      <c r="B162" s="1578">
        <v>5167</v>
      </c>
      <c r="C162" s="1629">
        <v>38100880</v>
      </c>
      <c r="D162" s="1579" t="s">
        <v>810</v>
      </c>
      <c r="E162" s="1580"/>
      <c r="F162" s="1580"/>
      <c r="G162" s="1580"/>
      <c r="H162" s="1581" t="e">
        <f t="shared" si="12"/>
        <v>#DIV/0!</v>
      </c>
    </row>
    <row r="163" spans="1:8" ht="15" hidden="1" x14ac:dyDescent="0.2">
      <c r="A163" s="1577">
        <v>3636</v>
      </c>
      <c r="B163" s="1578">
        <v>5167</v>
      </c>
      <c r="C163" s="1629">
        <v>38500881</v>
      </c>
      <c r="D163" s="1579" t="s">
        <v>810</v>
      </c>
      <c r="E163" s="1580"/>
      <c r="F163" s="1580"/>
      <c r="G163" s="1580"/>
      <c r="H163" s="1581" t="e">
        <f t="shared" si="12"/>
        <v>#DIV/0!</v>
      </c>
    </row>
    <row r="164" spans="1:8" ht="15" hidden="1" x14ac:dyDescent="0.2">
      <c r="A164" s="1577">
        <v>3636</v>
      </c>
      <c r="B164" s="1578">
        <v>5169</v>
      </c>
      <c r="C164" s="1629">
        <v>38100880</v>
      </c>
      <c r="D164" s="1579" t="s">
        <v>769</v>
      </c>
      <c r="E164" s="1580"/>
      <c r="F164" s="1580"/>
      <c r="G164" s="1580"/>
      <c r="H164" s="1581" t="e">
        <f t="shared" si="12"/>
        <v>#DIV/0!</v>
      </c>
    </row>
    <row r="165" spans="1:8" ht="15" hidden="1" x14ac:dyDescent="0.2">
      <c r="A165" s="1577">
        <v>3636</v>
      </c>
      <c r="B165" s="1578">
        <v>5169</v>
      </c>
      <c r="C165" s="1629">
        <v>38500881</v>
      </c>
      <c r="D165" s="1579" t="s">
        <v>769</v>
      </c>
      <c r="E165" s="1580"/>
      <c r="F165" s="1580"/>
      <c r="G165" s="1580"/>
      <c r="H165" s="1581" t="e">
        <f t="shared" si="12"/>
        <v>#DIV/0!</v>
      </c>
    </row>
    <row r="166" spans="1:8" ht="15" hidden="1" x14ac:dyDescent="0.2">
      <c r="A166" s="1577">
        <v>6223</v>
      </c>
      <c r="B166" s="1578">
        <v>5173</v>
      </c>
      <c r="C166" s="2850">
        <v>0</v>
      </c>
      <c r="D166" s="1579" t="s">
        <v>1038</v>
      </c>
      <c r="E166" s="1580"/>
      <c r="F166" s="1580"/>
      <c r="G166" s="1580"/>
      <c r="H166" s="1581">
        <v>0</v>
      </c>
    </row>
    <row r="167" spans="1:8" ht="15" hidden="1" x14ac:dyDescent="0.2">
      <c r="A167" s="1577">
        <v>3636</v>
      </c>
      <c r="B167" s="1578">
        <v>5173</v>
      </c>
      <c r="C167" s="1629">
        <v>38500881</v>
      </c>
      <c r="D167" s="1579" t="s">
        <v>1038</v>
      </c>
      <c r="E167" s="1580"/>
      <c r="F167" s="1580"/>
      <c r="G167" s="1580"/>
      <c r="H167" s="1581" t="e">
        <f t="shared" ref="H167:H174" si="13">G167/F167*100</f>
        <v>#DIV/0!</v>
      </c>
    </row>
    <row r="168" spans="1:8" ht="15" hidden="1" x14ac:dyDescent="0.2">
      <c r="A168" s="1577">
        <v>3636</v>
      </c>
      <c r="B168" s="1578">
        <v>5175</v>
      </c>
      <c r="C168" s="1629">
        <v>38100880</v>
      </c>
      <c r="D168" s="1579" t="s">
        <v>605</v>
      </c>
      <c r="E168" s="1580"/>
      <c r="F168" s="1580"/>
      <c r="G168" s="1580"/>
      <c r="H168" s="1581" t="e">
        <f t="shared" si="13"/>
        <v>#DIV/0!</v>
      </c>
    </row>
    <row r="169" spans="1:8" ht="15" hidden="1" x14ac:dyDescent="0.2">
      <c r="A169" s="1577">
        <v>3636</v>
      </c>
      <c r="B169" s="1578">
        <v>5175</v>
      </c>
      <c r="C169" s="1629">
        <v>38500881</v>
      </c>
      <c r="D169" s="1579" t="s">
        <v>605</v>
      </c>
      <c r="E169" s="1580"/>
      <c r="F169" s="1580"/>
      <c r="G169" s="1580"/>
      <c r="H169" s="1581" t="e">
        <f t="shared" si="13"/>
        <v>#DIV/0!</v>
      </c>
    </row>
    <row r="170" spans="1:8" ht="15" hidden="1" x14ac:dyDescent="0.2">
      <c r="A170" s="1577">
        <v>3636</v>
      </c>
      <c r="B170" s="1578">
        <v>5176</v>
      </c>
      <c r="C170" s="1629">
        <v>38100880</v>
      </c>
      <c r="D170" s="1579" t="s">
        <v>1119</v>
      </c>
      <c r="E170" s="1580"/>
      <c r="F170" s="1580"/>
      <c r="G170" s="1580"/>
      <c r="H170" s="1581" t="e">
        <f t="shared" si="13"/>
        <v>#DIV/0!</v>
      </c>
    </row>
    <row r="171" spans="1:8" ht="15" hidden="1" x14ac:dyDescent="0.2">
      <c r="A171" s="1577">
        <v>3636</v>
      </c>
      <c r="B171" s="1578">
        <v>5176</v>
      </c>
      <c r="C171" s="1629">
        <v>38500881</v>
      </c>
      <c r="D171" s="1579" t="s">
        <v>1119</v>
      </c>
      <c r="E171" s="1580"/>
      <c r="F171" s="1580"/>
      <c r="G171" s="1580"/>
      <c r="H171" s="1581" t="e">
        <f t="shared" si="13"/>
        <v>#DIV/0!</v>
      </c>
    </row>
    <row r="172" spans="1:8" ht="30" x14ac:dyDescent="0.2">
      <c r="A172" s="1577">
        <v>3121</v>
      </c>
      <c r="B172" s="1578">
        <v>6356</v>
      </c>
      <c r="C172" s="1629" t="s">
        <v>2127</v>
      </c>
      <c r="D172" s="1579" t="s">
        <v>1552</v>
      </c>
      <c r="E172" s="1580">
        <v>0</v>
      </c>
      <c r="F172" s="1580">
        <v>8</v>
      </c>
      <c r="G172" s="1580">
        <v>8</v>
      </c>
      <c r="H172" s="1581">
        <f t="shared" si="13"/>
        <v>100</v>
      </c>
    </row>
    <row r="173" spans="1:8" ht="30.75" thickBot="1" x14ac:dyDescent="0.25">
      <c r="A173" s="1577">
        <v>3121</v>
      </c>
      <c r="B173" s="1578">
        <v>6356</v>
      </c>
      <c r="C173" s="1629" t="s">
        <v>2126</v>
      </c>
      <c r="D173" s="1579" t="s">
        <v>1552</v>
      </c>
      <c r="E173" s="1580">
        <v>0</v>
      </c>
      <c r="F173" s="1580">
        <v>43</v>
      </c>
      <c r="G173" s="1580">
        <v>42</v>
      </c>
      <c r="H173" s="1583">
        <f t="shared" si="13"/>
        <v>97.674418604651152</v>
      </c>
    </row>
    <row r="174" spans="1:8" ht="16.5" thickTop="1" thickBot="1" x14ac:dyDescent="0.3">
      <c r="A174" s="3219" t="s">
        <v>690</v>
      </c>
      <c r="B174" s="3220"/>
      <c r="C174" s="3220"/>
      <c r="D174" s="3220"/>
      <c r="E174" s="1387">
        <f>SUM(E144:E173)</f>
        <v>0</v>
      </c>
      <c r="F174" s="1387">
        <f>SUM(F144:F173)</f>
        <v>506</v>
      </c>
      <c r="G174" s="1387">
        <f>SUM(G144:G173)</f>
        <v>505</v>
      </c>
      <c r="H174" s="1391">
        <f t="shared" si="13"/>
        <v>99.802371541501984</v>
      </c>
    </row>
    <row r="175" spans="1:8" ht="26.25" customHeight="1" thickTop="1" x14ac:dyDescent="0.2"/>
    <row r="176" spans="1:8" ht="15.75" customHeight="1" x14ac:dyDescent="0.25">
      <c r="A176" s="3233" t="s">
        <v>1553</v>
      </c>
      <c r="B176" s="3151"/>
      <c r="C176" s="3151"/>
      <c r="D176" s="3151"/>
      <c r="E176" s="3151"/>
      <c r="F176" s="3151"/>
      <c r="G176" s="3151"/>
      <c r="H176" s="3151"/>
    </row>
    <row r="177" spans="1:8" ht="15.75" thickBot="1" x14ac:dyDescent="0.3">
      <c r="A177" s="1544" t="s">
        <v>1138</v>
      </c>
      <c r="B177" s="1558"/>
      <c r="C177" s="1558"/>
      <c r="E177" s="1559"/>
      <c r="F177" s="1559"/>
      <c r="G177" s="1559"/>
      <c r="H177" s="1560" t="s">
        <v>148</v>
      </c>
    </row>
    <row r="178" spans="1:8" ht="25.5" thickTop="1" thickBot="1" x14ac:dyDescent="0.25">
      <c r="A178" s="1378" t="s">
        <v>149</v>
      </c>
      <c r="B178" s="1379" t="s">
        <v>688</v>
      </c>
      <c r="C178" s="1379" t="s">
        <v>345</v>
      </c>
      <c r="D178" s="1380" t="s">
        <v>151</v>
      </c>
      <c r="E178" s="1402" t="s">
        <v>569</v>
      </c>
      <c r="F178" s="1402" t="s">
        <v>570</v>
      </c>
      <c r="G178" s="1403" t="s">
        <v>797</v>
      </c>
      <c r="H178" s="1404" t="s">
        <v>798</v>
      </c>
    </row>
    <row r="179" spans="1:8" ht="14.25" thickTop="1" thickBot="1" x14ac:dyDescent="0.25">
      <c r="A179" s="1297">
        <v>1</v>
      </c>
      <c r="B179" s="1296">
        <v>2</v>
      </c>
      <c r="C179" s="1296">
        <v>3</v>
      </c>
      <c r="D179" s="1296">
        <v>4</v>
      </c>
      <c r="E179" s="1295">
        <v>5</v>
      </c>
      <c r="F179" s="1295">
        <v>6</v>
      </c>
      <c r="G179" s="1446">
        <v>7</v>
      </c>
      <c r="H179" s="1468" t="s">
        <v>54</v>
      </c>
    </row>
    <row r="180" spans="1:8" ht="15.75" hidden="1" thickTop="1" x14ac:dyDescent="0.2">
      <c r="A180" s="1572">
        <v>3636</v>
      </c>
      <c r="B180" s="1573">
        <v>5011</v>
      </c>
      <c r="C180" s="1582">
        <v>0</v>
      </c>
      <c r="D180" s="1574" t="s">
        <v>189</v>
      </c>
      <c r="E180" s="1575">
        <v>0</v>
      </c>
      <c r="F180" s="1575">
        <v>0</v>
      </c>
      <c r="G180" s="1575">
        <v>0</v>
      </c>
      <c r="H180" s="1576" t="e">
        <f t="shared" ref="H180:H187" si="14">G180/F180*100</f>
        <v>#DIV/0!</v>
      </c>
    </row>
    <row r="181" spans="1:8" ht="15.75" hidden="1" thickTop="1" x14ac:dyDescent="0.2">
      <c r="A181" s="1577">
        <v>3636</v>
      </c>
      <c r="B181" s="1578">
        <v>5011</v>
      </c>
      <c r="C181" s="1578">
        <v>38500881</v>
      </c>
      <c r="D181" s="1579" t="s">
        <v>189</v>
      </c>
      <c r="E181" s="1580">
        <v>0</v>
      </c>
      <c r="F181" s="1580">
        <v>0</v>
      </c>
      <c r="G181" s="1580">
        <v>0</v>
      </c>
      <c r="H181" s="1581" t="e">
        <f t="shared" si="14"/>
        <v>#DIV/0!</v>
      </c>
    </row>
    <row r="182" spans="1:8" ht="30.75" thickTop="1" x14ac:dyDescent="0.2">
      <c r="A182" s="1577">
        <v>3122</v>
      </c>
      <c r="B182" s="1578">
        <v>5336</v>
      </c>
      <c r="C182" s="2850" t="s">
        <v>1849</v>
      </c>
      <c r="D182" s="1579" t="s">
        <v>1131</v>
      </c>
      <c r="E182" s="1580">
        <v>0</v>
      </c>
      <c r="F182" s="1580">
        <f>8+62</f>
        <v>70</v>
      </c>
      <c r="G182" s="1580">
        <f>7+62</f>
        <v>69</v>
      </c>
      <c r="H182" s="1581">
        <f t="shared" si="14"/>
        <v>98.571428571428584</v>
      </c>
    </row>
    <row r="183" spans="1:8" ht="15" hidden="1" x14ac:dyDescent="0.2">
      <c r="A183" s="1577">
        <v>3636</v>
      </c>
      <c r="B183" s="1578">
        <v>5021</v>
      </c>
      <c r="C183" s="1629">
        <v>38500881</v>
      </c>
      <c r="D183" s="1579" t="s">
        <v>356</v>
      </c>
      <c r="E183" s="1580"/>
      <c r="F183" s="1580"/>
      <c r="G183" s="1580"/>
      <c r="H183" s="1581" t="e">
        <f t="shared" si="14"/>
        <v>#DIV/0!</v>
      </c>
    </row>
    <row r="184" spans="1:8" ht="30" hidden="1" x14ac:dyDescent="0.2">
      <c r="A184" s="1577">
        <v>3636</v>
      </c>
      <c r="B184" s="1578">
        <v>5031</v>
      </c>
      <c r="C184" s="1629">
        <v>38100880</v>
      </c>
      <c r="D184" s="1579" t="s">
        <v>1165</v>
      </c>
      <c r="E184" s="1580"/>
      <c r="F184" s="1580"/>
      <c r="G184" s="1580"/>
      <c r="H184" s="1581" t="e">
        <f t="shared" si="14"/>
        <v>#DIV/0!</v>
      </c>
    </row>
    <row r="185" spans="1:8" ht="30" hidden="1" x14ac:dyDescent="0.2">
      <c r="A185" s="1577">
        <v>3636</v>
      </c>
      <c r="B185" s="1578">
        <v>5031</v>
      </c>
      <c r="C185" s="1629">
        <v>38500881</v>
      </c>
      <c r="D185" s="1579" t="s">
        <v>1165</v>
      </c>
      <c r="E185" s="1580"/>
      <c r="F185" s="1580"/>
      <c r="G185" s="1580"/>
      <c r="H185" s="1581" t="e">
        <f t="shared" si="14"/>
        <v>#DIV/0!</v>
      </c>
    </row>
    <row r="186" spans="1:8" ht="30" hidden="1" x14ac:dyDescent="0.2">
      <c r="A186" s="1577">
        <v>3636</v>
      </c>
      <c r="B186" s="1578">
        <v>5032</v>
      </c>
      <c r="C186" s="1629">
        <v>38100880</v>
      </c>
      <c r="D186" s="1579" t="s">
        <v>1058</v>
      </c>
      <c r="E186" s="1580"/>
      <c r="F186" s="1580"/>
      <c r="G186" s="1580"/>
      <c r="H186" s="1581" t="e">
        <f t="shared" si="14"/>
        <v>#DIV/0!</v>
      </c>
    </row>
    <row r="187" spans="1:8" ht="30" hidden="1" x14ac:dyDescent="0.2">
      <c r="A187" s="1577">
        <v>3636</v>
      </c>
      <c r="B187" s="1578">
        <v>5032</v>
      </c>
      <c r="C187" s="1629">
        <v>38500881</v>
      </c>
      <c r="D187" s="1579" t="s">
        <v>1058</v>
      </c>
      <c r="E187" s="1580"/>
      <c r="F187" s="1580"/>
      <c r="G187" s="1580"/>
      <c r="H187" s="1581" t="e">
        <f t="shared" si="14"/>
        <v>#DIV/0!</v>
      </c>
    </row>
    <row r="188" spans="1:8" ht="15" hidden="1" x14ac:dyDescent="0.2">
      <c r="A188" s="1577">
        <v>3636</v>
      </c>
      <c r="B188" s="1578">
        <v>5139</v>
      </c>
      <c r="C188" s="1629">
        <v>38100880</v>
      </c>
      <c r="D188" s="1579" t="s">
        <v>249</v>
      </c>
      <c r="E188" s="1580"/>
      <c r="F188" s="1580"/>
      <c r="G188" s="1580"/>
      <c r="H188" s="1581">
        <v>0</v>
      </c>
    </row>
    <row r="189" spans="1:8" ht="15" hidden="1" x14ac:dyDescent="0.2">
      <c r="A189" s="1577">
        <v>3636</v>
      </c>
      <c r="B189" s="1578">
        <v>5139</v>
      </c>
      <c r="C189" s="1629">
        <v>38500881</v>
      </c>
      <c r="D189" s="1579" t="s">
        <v>249</v>
      </c>
      <c r="E189" s="1580"/>
      <c r="F189" s="1580"/>
      <c r="G189" s="1580"/>
      <c r="H189" s="1581" t="e">
        <f t="shared" ref="H189:H201" si="15">G189/F189*100</f>
        <v>#DIV/0!</v>
      </c>
    </row>
    <row r="190" spans="1:8" ht="15" hidden="1" x14ac:dyDescent="0.2">
      <c r="A190" s="1577">
        <v>3636</v>
      </c>
      <c r="B190" s="1578">
        <v>5162</v>
      </c>
      <c r="C190" s="1629">
        <v>38100880</v>
      </c>
      <c r="D190" s="1579" t="s">
        <v>780</v>
      </c>
      <c r="E190" s="1580"/>
      <c r="F190" s="1580"/>
      <c r="G190" s="1580"/>
      <c r="H190" s="1581" t="e">
        <f t="shared" si="15"/>
        <v>#DIV/0!</v>
      </c>
    </row>
    <row r="191" spans="1:8" ht="15" hidden="1" x14ac:dyDescent="0.2">
      <c r="A191" s="1577">
        <v>3636</v>
      </c>
      <c r="B191" s="1578">
        <v>5162</v>
      </c>
      <c r="C191" s="1629">
        <v>38500881</v>
      </c>
      <c r="D191" s="1579" t="s">
        <v>780</v>
      </c>
      <c r="E191" s="1580"/>
      <c r="F191" s="1580"/>
      <c r="G191" s="1580"/>
      <c r="H191" s="1581" t="e">
        <f t="shared" si="15"/>
        <v>#DIV/0!</v>
      </c>
    </row>
    <row r="192" spans="1:8" ht="15" hidden="1" x14ac:dyDescent="0.2">
      <c r="A192" s="1577">
        <v>3636</v>
      </c>
      <c r="B192" s="1578">
        <v>5164</v>
      </c>
      <c r="C192" s="1629">
        <v>38100880</v>
      </c>
      <c r="D192" s="1579" t="s">
        <v>157</v>
      </c>
      <c r="E192" s="1580"/>
      <c r="F192" s="1580"/>
      <c r="G192" s="1580"/>
      <c r="H192" s="1581" t="e">
        <f t="shared" si="15"/>
        <v>#DIV/0!</v>
      </c>
    </row>
    <row r="193" spans="1:8" ht="15" hidden="1" x14ac:dyDescent="0.2">
      <c r="A193" s="1577">
        <v>3636</v>
      </c>
      <c r="B193" s="1578">
        <v>5164</v>
      </c>
      <c r="C193" s="1629">
        <v>38500881</v>
      </c>
      <c r="D193" s="1579" t="s">
        <v>157</v>
      </c>
      <c r="E193" s="1580"/>
      <c r="F193" s="1580"/>
      <c r="G193" s="1580"/>
      <c r="H193" s="1581" t="e">
        <f t="shared" si="15"/>
        <v>#DIV/0!</v>
      </c>
    </row>
    <row r="194" spans="1:8" ht="30.75" thickBot="1" x14ac:dyDescent="0.25">
      <c r="A194" s="1577">
        <v>3122</v>
      </c>
      <c r="B194" s="1578">
        <v>5336</v>
      </c>
      <c r="C194" s="2850" t="s">
        <v>1850</v>
      </c>
      <c r="D194" s="1579" t="s">
        <v>1131</v>
      </c>
      <c r="E194" s="1580">
        <v>0</v>
      </c>
      <c r="F194" s="1580">
        <f>46+354</f>
        <v>400</v>
      </c>
      <c r="G194" s="1580">
        <f>38+354</f>
        <v>392</v>
      </c>
      <c r="H194" s="1581">
        <f t="shared" si="15"/>
        <v>98</v>
      </c>
    </row>
    <row r="195" spans="1:8" ht="15.75" hidden="1" thickBot="1" x14ac:dyDescent="0.25">
      <c r="A195" s="1577">
        <v>3122</v>
      </c>
      <c r="B195" s="1578">
        <v>5166</v>
      </c>
      <c r="C195" s="1629">
        <v>41100880</v>
      </c>
      <c r="D195" s="1579" t="s">
        <v>553</v>
      </c>
      <c r="E195" s="1580"/>
      <c r="F195" s="1580"/>
      <c r="G195" s="1580"/>
      <c r="H195" s="1581" t="e">
        <f t="shared" si="15"/>
        <v>#DIV/0!</v>
      </c>
    </row>
    <row r="196" spans="1:8" ht="15.75" hidden="1" thickBot="1" x14ac:dyDescent="0.25">
      <c r="A196" s="1577">
        <v>3122</v>
      </c>
      <c r="B196" s="1578">
        <v>5166</v>
      </c>
      <c r="C196" s="1629">
        <v>41100882</v>
      </c>
      <c r="D196" s="1579" t="s">
        <v>553</v>
      </c>
      <c r="E196" s="1580"/>
      <c r="F196" s="1580"/>
      <c r="G196" s="1580"/>
      <c r="H196" s="1581" t="e">
        <f t="shared" si="15"/>
        <v>#DIV/0!</v>
      </c>
    </row>
    <row r="197" spans="1:8" ht="15.75" hidden="1" thickBot="1" x14ac:dyDescent="0.25">
      <c r="A197" s="1577">
        <v>3122</v>
      </c>
      <c r="B197" s="1578">
        <v>5166</v>
      </c>
      <c r="C197" s="1629">
        <v>41500881</v>
      </c>
      <c r="D197" s="1579" t="s">
        <v>553</v>
      </c>
      <c r="E197" s="1580"/>
      <c r="F197" s="1580"/>
      <c r="G197" s="1580"/>
      <c r="H197" s="1581" t="e">
        <f t="shared" si="15"/>
        <v>#DIV/0!</v>
      </c>
    </row>
    <row r="198" spans="1:8" ht="15.75" hidden="1" thickBot="1" x14ac:dyDescent="0.25">
      <c r="A198" s="1577">
        <v>3122</v>
      </c>
      <c r="B198" s="1578">
        <v>5167</v>
      </c>
      <c r="C198" s="1629">
        <v>38100880</v>
      </c>
      <c r="D198" s="1579" t="s">
        <v>810</v>
      </c>
      <c r="E198" s="1580"/>
      <c r="F198" s="1580"/>
      <c r="G198" s="1580"/>
      <c r="H198" s="1581" t="e">
        <f t="shared" si="15"/>
        <v>#DIV/0!</v>
      </c>
    </row>
    <row r="199" spans="1:8" ht="15.75" hidden="1" thickBot="1" x14ac:dyDescent="0.25">
      <c r="A199" s="1577">
        <v>3122</v>
      </c>
      <c r="B199" s="1578">
        <v>5167</v>
      </c>
      <c r="C199" s="1629">
        <v>38500881</v>
      </c>
      <c r="D199" s="1579" t="s">
        <v>810</v>
      </c>
      <c r="E199" s="1580"/>
      <c r="F199" s="1580"/>
      <c r="G199" s="1580"/>
      <c r="H199" s="1581" t="e">
        <f t="shared" si="15"/>
        <v>#DIV/0!</v>
      </c>
    </row>
    <row r="200" spans="1:8" ht="15.75" hidden="1" thickBot="1" x14ac:dyDescent="0.25">
      <c r="A200" s="1577">
        <v>3122</v>
      </c>
      <c r="B200" s="1578">
        <v>5169</v>
      </c>
      <c r="C200" s="1629">
        <v>38100880</v>
      </c>
      <c r="D200" s="1579" t="s">
        <v>769</v>
      </c>
      <c r="E200" s="1580"/>
      <c r="F200" s="1580"/>
      <c r="G200" s="1580"/>
      <c r="H200" s="1581" t="e">
        <f t="shared" si="15"/>
        <v>#DIV/0!</v>
      </c>
    </row>
    <row r="201" spans="1:8" ht="15.75" hidden="1" thickBot="1" x14ac:dyDescent="0.25">
      <c r="A201" s="1577">
        <v>3122</v>
      </c>
      <c r="B201" s="1578">
        <v>5169</v>
      </c>
      <c r="C201" s="1629">
        <v>38500881</v>
      </c>
      <c r="D201" s="1579" t="s">
        <v>769</v>
      </c>
      <c r="E201" s="1580"/>
      <c r="F201" s="1580"/>
      <c r="G201" s="1580"/>
      <c r="H201" s="1581" t="e">
        <f t="shared" si="15"/>
        <v>#DIV/0!</v>
      </c>
    </row>
    <row r="202" spans="1:8" ht="15.75" hidden="1" thickBot="1" x14ac:dyDescent="0.25">
      <c r="A202" s="1577">
        <v>3122</v>
      </c>
      <c r="B202" s="1578">
        <v>5173</v>
      </c>
      <c r="C202" s="2850">
        <v>0</v>
      </c>
      <c r="D202" s="1579" t="s">
        <v>1038</v>
      </c>
      <c r="E202" s="1580"/>
      <c r="F202" s="1580"/>
      <c r="G202" s="1580"/>
      <c r="H202" s="1581">
        <v>0</v>
      </c>
    </row>
    <row r="203" spans="1:8" ht="15.75" hidden="1" thickBot="1" x14ac:dyDescent="0.25">
      <c r="A203" s="1577">
        <v>3122</v>
      </c>
      <c r="B203" s="1578">
        <v>5173</v>
      </c>
      <c r="C203" s="1629">
        <v>38500881</v>
      </c>
      <c r="D203" s="1579" t="s">
        <v>1038</v>
      </c>
      <c r="E203" s="1580"/>
      <c r="F203" s="1580"/>
      <c r="G203" s="1580"/>
      <c r="H203" s="1581" t="e">
        <f t="shared" ref="H203:H210" si="16">G203/F203*100</f>
        <v>#DIV/0!</v>
      </c>
    </row>
    <row r="204" spans="1:8" ht="15.75" hidden="1" thickBot="1" x14ac:dyDescent="0.25">
      <c r="A204" s="1577">
        <v>3122</v>
      </c>
      <c r="B204" s="1578">
        <v>5175</v>
      </c>
      <c r="C204" s="1629">
        <v>38100880</v>
      </c>
      <c r="D204" s="1579" t="s">
        <v>605</v>
      </c>
      <c r="E204" s="1580"/>
      <c r="F204" s="1580"/>
      <c r="G204" s="1580"/>
      <c r="H204" s="1581" t="e">
        <f t="shared" si="16"/>
        <v>#DIV/0!</v>
      </c>
    </row>
    <row r="205" spans="1:8" ht="15.75" hidden="1" thickBot="1" x14ac:dyDescent="0.25">
      <c r="A205" s="1577">
        <v>3122</v>
      </c>
      <c r="B205" s="1578">
        <v>5175</v>
      </c>
      <c r="C205" s="1629">
        <v>38500881</v>
      </c>
      <c r="D205" s="1579" t="s">
        <v>605</v>
      </c>
      <c r="E205" s="1580"/>
      <c r="F205" s="1580"/>
      <c r="G205" s="1580"/>
      <c r="H205" s="1581" t="e">
        <f t="shared" si="16"/>
        <v>#DIV/0!</v>
      </c>
    </row>
    <row r="206" spans="1:8" ht="15.75" hidden="1" thickBot="1" x14ac:dyDescent="0.25">
      <c r="A206" s="1577">
        <v>3122</v>
      </c>
      <c r="B206" s="1578">
        <v>5176</v>
      </c>
      <c r="C206" s="1629">
        <v>38100880</v>
      </c>
      <c r="D206" s="1579" t="s">
        <v>1119</v>
      </c>
      <c r="E206" s="1580"/>
      <c r="F206" s="1580"/>
      <c r="G206" s="1580"/>
      <c r="H206" s="1581" t="e">
        <f t="shared" si="16"/>
        <v>#DIV/0!</v>
      </c>
    </row>
    <row r="207" spans="1:8" ht="15.75" hidden="1" thickBot="1" x14ac:dyDescent="0.25">
      <c r="A207" s="1577">
        <v>3122</v>
      </c>
      <c r="B207" s="1578">
        <v>5176</v>
      </c>
      <c r="C207" s="1629">
        <v>38500881</v>
      </c>
      <c r="D207" s="1579" t="s">
        <v>1119</v>
      </c>
      <c r="E207" s="1580"/>
      <c r="F207" s="1580"/>
      <c r="G207" s="1580"/>
      <c r="H207" s="1581" t="e">
        <f t="shared" si="16"/>
        <v>#DIV/0!</v>
      </c>
    </row>
    <row r="208" spans="1:8" ht="30.75" hidden="1" thickBot="1" x14ac:dyDescent="0.25">
      <c r="A208" s="1577">
        <v>3122</v>
      </c>
      <c r="B208" s="1578">
        <v>6356</v>
      </c>
      <c r="C208" s="1629" t="s">
        <v>2127</v>
      </c>
      <c r="D208" s="1579" t="s">
        <v>1552</v>
      </c>
      <c r="E208" s="1580"/>
      <c r="F208" s="1580"/>
      <c r="G208" s="1580"/>
      <c r="H208" s="1581" t="e">
        <f t="shared" si="16"/>
        <v>#DIV/0!</v>
      </c>
    </row>
    <row r="209" spans="1:8" ht="30.75" hidden="1" thickBot="1" x14ac:dyDescent="0.25">
      <c r="A209" s="1577">
        <v>3122</v>
      </c>
      <c r="B209" s="1578">
        <v>6356</v>
      </c>
      <c r="C209" s="1629" t="s">
        <v>2126</v>
      </c>
      <c r="D209" s="1579" t="s">
        <v>1552</v>
      </c>
      <c r="E209" s="1580"/>
      <c r="F209" s="1580"/>
      <c r="G209" s="1580"/>
      <c r="H209" s="1583" t="e">
        <f t="shared" si="16"/>
        <v>#DIV/0!</v>
      </c>
    </row>
    <row r="210" spans="1:8" ht="16.5" thickTop="1" thickBot="1" x14ac:dyDescent="0.3">
      <c r="A210" s="3219" t="s">
        <v>690</v>
      </c>
      <c r="B210" s="3220"/>
      <c r="C210" s="3220"/>
      <c r="D210" s="3220"/>
      <c r="E210" s="1387">
        <f>SUM(E180:E209)</f>
        <v>0</v>
      </c>
      <c r="F210" s="1387">
        <f>SUM(F180:F209)</f>
        <v>470</v>
      </c>
      <c r="G210" s="1387">
        <f>SUM(G180:G209)</f>
        <v>461</v>
      </c>
      <c r="H210" s="1391">
        <f t="shared" si="16"/>
        <v>98.085106382978722</v>
      </c>
    </row>
    <row r="211" spans="1:8" ht="21.75" customHeight="1" thickTop="1" x14ac:dyDescent="0.2"/>
    <row r="212" spans="1:8" ht="17.25" customHeight="1" x14ac:dyDescent="0.25">
      <c r="A212" s="3233" t="s">
        <v>1554</v>
      </c>
      <c r="B212" s="3151"/>
      <c r="C212" s="3151"/>
      <c r="D212" s="3151"/>
      <c r="E212" s="3151"/>
      <c r="F212" s="3151"/>
      <c r="G212" s="3151"/>
      <c r="H212" s="3151"/>
    </row>
    <row r="213" spans="1:8" ht="15.75" thickBot="1" x14ac:dyDescent="0.3">
      <c r="A213" s="1544" t="s">
        <v>1140</v>
      </c>
      <c r="B213" s="1558"/>
      <c r="C213" s="1558"/>
      <c r="E213" s="1559"/>
      <c r="F213" s="1559"/>
      <c r="G213" s="1559"/>
      <c r="H213" s="1560" t="s">
        <v>148</v>
      </c>
    </row>
    <row r="214" spans="1:8" ht="25.5" thickTop="1" thickBot="1" x14ac:dyDescent="0.25">
      <c r="A214" s="1378" t="s">
        <v>149</v>
      </c>
      <c r="B214" s="1379" t="s">
        <v>688</v>
      </c>
      <c r="C214" s="1379" t="s">
        <v>345</v>
      </c>
      <c r="D214" s="1380" t="s">
        <v>151</v>
      </c>
      <c r="E214" s="1402" t="s">
        <v>569</v>
      </c>
      <c r="F214" s="1402" t="s">
        <v>570</v>
      </c>
      <c r="G214" s="1403" t="s">
        <v>797</v>
      </c>
      <c r="H214" s="1404" t="s">
        <v>798</v>
      </c>
    </row>
    <row r="215" spans="1:8" ht="14.25" thickTop="1" thickBot="1" x14ac:dyDescent="0.25">
      <c r="A215" s="1297">
        <v>1</v>
      </c>
      <c r="B215" s="1296">
        <v>2</v>
      </c>
      <c r="C215" s="1296">
        <v>3</v>
      </c>
      <c r="D215" s="1296">
        <v>4</v>
      </c>
      <c r="E215" s="1295">
        <v>5</v>
      </c>
      <c r="F215" s="1295">
        <v>6</v>
      </c>
      <c r="G215" s="1446">
        <v>7</v>
      </c>
      <c r="H215" s="1468" t="s">
        <v>54</v>
      </c>
    </row>
    <row r="216" spans="1:8" ht="15.75" hidden="1" thickTop="1" x14ac:dyDescent="0.2">
      <c r="A216" s="1572">
        <v>3636</v>
      </c>
      <c r="B216" s="1573">
        <v>5011</v>
      </c>
      <c r="C216" s="1582">
        <v>0</v>
      </c>
      <c r="D216" s="1574" t="s">
        <v>189</v>
      </c>
      <c r="E216" s="1575">
        <v>0</v>
      </c>
      <c r="F216" s="1575">
        <v>0</v>
      </c>
      <c r="G216" s="1575">
        <v>0</v>
      </c>
      <c r="H216" s="1576" t="e">
        <f t="shared" ref="H216:H223" si="17">G216/F216*100</f>
        <v>#DIV/0!</v>
      </c>
    </row>
    <row r="217" spans="1:8" ht="15.75" hidden="1" thickTop="1" x14ac:dyDescent="0.2">
      <c r="A217" s="1577">
        <v>3636</v>
      </c>
      <c r="B217" s="1578">
        <v>5011</v>
      </c>
      <c r="C217" s="1578">
        <v>38500881</v>
      </c>
      <c r="D217" s="1579" t="s">
        <v>189</v>
      </c>
      <c r="E217" s="1580">
        <v>0</v>
      </c>
      <c r="F217" s="1580">
        <v>0</v>
      </c>
      <c r="G217" s="1580">
        <v>0</v>
      </c>
      <c r="H217" s="1581" t="e">
        <f t="shared" si="17"/>
        <v>#DIV/0!</v>
      </c>
    </row>
    <row r="218" spans="1:8" ht="30.75" thickTop="1" x14ac:dyDescent="0.2">
      <c r="A218" s="1577">
        <v>3122</v>
      </c>
      <c r="B218" s="1578">
        <v>5336</v>
      </c>
      <c r="C218" s="2850" t="s">
        <v>1849</v>
      </c>
      <c r="D218" s="1579" t="s">
        <v>1131</v>
      </c>
      <c r="E218" s="1580">
        <v>0</v>
      </c>
      <c r="F218" s="1580">
        <f>9+61</f>
        <v>70</v>
      </c>
      <c r="G218" s="1580">
        <f>9+61</f>
        <v>70</v>
      </c>
      <c r="H218" s="1581">
        <f t="shared" si="17"/>
        <v>100</v>
      </c>
    </row>
    <row r="219" spans="1:8" ht="15" hidden="1" x14ac:dyDescent="0.2">
      <c r="A219" s="1577">
        <v>3636</v>
      </c>
      <c r="B219" s="1578">
        <v>5021</v>
      </c>
      <c r="C219" s="1629">
        <v>38500881</v>
      </c>
      <c r="D219" s="1579" t="s">
        <v>356</v>
      </c>
      <c r="E219" s="1580"/>
      <c r="F219" s="1580"/>
      <c r="G219" s="1580"/>
      <c r="H219" s="1581" t="e">
        <f t="shared" si="17"/>
        <v>#DIV/0!</v>
      </c>
    </row>
    <row r="220" spans="1:8" ht="30" hidden="1" x14ac:dyDescent="0.2">
      <c r="A220" s="1577">
        <v>3636</v>
      </c>
      <c r="B220" s="1578">
        <v>5031</v>
      </c>
      <c r="C220" s="1629">
        <v>38100880</v>
      </c>
      <c r="D220" s="1579" t="s">
        <v>1165</v>
      </c>
      <c r="E220" s="1580"/>
      <c r="F220" s="1580"/>
      <c r="G220" s="1580"/>
      <c r="H220" s="1581" t="e">
        <f t="shared" si="17"/>
        <v>#DIV/0!</v>
      </c>
    </row>
    <row r="221" spans="1:8" ht="30" hidden="1" x14ac:dyDescent="0.2">
      <c r="A221" s="1577">
        <v>3636</v>
      </c>
      <c r="B221" s="1578">
        <v>5031</v>
      </c>
      <c r="C221" s="1629">
        <v>38500881</v>
      </c>
      <c r="D221" s="1579" t="s">
        <v>1165</v>
      </c>
      <c r="E221" s="1580"/>
      <c r="F221" s="1580"/>
      <c r="G221" s="1580"/>
      <c r="H221" s="1581" t="e">
        <f t="shared" si="17"/>
        <v>#DIV/0!</v>
      </c>
    </row>
    <row r="222" spans="1:8" ht="30" hidden="1" x14ac:dyDescent="0.2">
      <c r="A222" s="1577">
        <v>3636</v>
      </c>
      <c r="B222" s="1578">
        <v>5032</v>
      </c>
      <c r="C222" s="1629">
        <v>38100880</v>
      </c>
      <c r="D222" s="1579" t="s">
        <v>1058</v>
      </c>
      <c r="E222" s="1580"/>
      <c r="F222" s="1580"/>
      <c r="G222" s="1580"/>
      <c r="H222" s="1581" t="e">
        <f t="shared" si="17"/>
        <v>#DIV/0!</v>
      </c>
    </row>
    <row r="223" spans="1:8" ht="30" hidden="1" x14ac:dyDescent="0.2">
      <c r="A223" s="1577">
        <v>3636</v>
      </c>
      <c r="B223" s="1578">
        <v>5032</v>
      </c>
      <c r="C223" s="1629">
        <v>38500881</v>
      </c>
      <c r="D223" s="1579" t="s">
        <v>1058</v>
      </c>
      <c r="E223" s="1580"/>
      <c r="F223" s="1580"/>
      <c r="G223" s="1580"/>
      <c r="H223" s="1581" t="e">
        <f t="shared" si="17"/>
        <v>#DIV/0!</v>
      </c>
    </row>
    <row r="224" spans="1:8" ht="15" hidden="1" x14ac:dyDescent="0.2">
      <c r="A224" s="1577">
        <v>3636</v>
      </c>
      <c r="B224" s="1578">
        <v>5139</v>
      </c>
      <c r="C224" s="1629">
        <v>38100880</v>
      </c>
      <c r="D224" s="1579" t="s">
        <v>249</v>
      </c>
      <c r="E224" s="1580"/>
      <c r="F224" s="1580"/>
      <c r="G224" s="1580"/>
      <c r="H224" s="1581">
        <v>0</v>
      </c>
    </row>
    <row r="225" spans="1:8" ht="15" hidden="1" x14ac:dyDescent="0.2">
      <c r="A225" s="1577">
        <v>3636</v>
      </c>
      <c r="B225" s="1578">
        <v>5139</v>
      </c>
      <c r="C225" s="1629">
        <v>38500881</v>
      </c>
      <c r="D225" s="1579" t="s">
        <v>249</v>
      </c>
      <c r="E225" s="1580"/>
      <c r="F225" s="1580"/>
      <c r="G225" s="1580"/>
      <c r="H225" s="1581" t="e">
        <f t="shared" ref="H225:H237" si="18">G225/F225*100</f>
        <v>#DIV/0!</v>
      </c>
    </row>
    <row r="226" spans="1:8" ht="15" hidden="1" x14ac:dyDescent="0.2">
      <c r="A226" s="1577">
        <v>3636</v>
      </c>
      <c r="B226" s="1578">
        <v>5162</v>
      </c>
      <c r="C226" s="1629">
        <v>38100880</v>
      </c>
      <c r="D226" s="1579" t="s">
        <v>780</v>
      </c>
      <c r="E226" s="1580"/>
      <c r="F226" s="1580"/>
      <c r="G226" s="1580"/>
      <c r="H226" s="1581" t="e">
        <f t="shared" si="18"/>
        <v>#DIV/0!</v>
      </c>
    </row>
    <row r="227" spans="1:8" ht="15" hidden="1" x14ac:dyDescent="0.2">
      <c r="A227" s="1577">
        <v>3636</v>
      </c>
      <c r="B227" s="1578">
        <v>5162</v>
      </c>
      <c r="C227" s="1629">
        <v>38500881</v>
      </c>
      <c r="D227" s="1579" t="s">
        <v>780</v>
      </c>
      <c r="E227" s="1580"/>
      <c r="F227" s="1580"/>
      <c r="G227" s="1580"/>
      <c r="H227" s="1581" t="e">
        <f t="shared" si="18"/>
        <v>#DIV/0!</v>
      </c>
    </row>
    <row r="228" spans="1:8" ht="15" hidden="1" x14ac:dyDescent="0.2">
      <c r="A228" s="1577">
        <v>3636</v>
      </c>
      <c r="B228" s="1578">
        <v>5164</v>
      </c>
      <c r="C228" s="1629">
        <v>38100880</v>
      </c>
      <c r="D228" s="1579" t="s">
        <v>157</v>
      </c>
      <c r="E228" s="1580"/>
      <c r="F228" s="1580"/>
      <c r="G228" s="1580"/>
      <c r="H228" s="1581" t="e">
        <f t="shared" si="18"/>
        <v>#DIV/0!</v>
      </c>
    </row>
    <row r="229" spans="1:8" ht="15" hidden="1" x14ac:dyDescent="0.2">
      <c r="A229" s="1577">
        <v>3636</v>
      </c>
      <c r="B229" s="1578">
        <v>5164</v>
      </c>
      <c r="C229" s="1629">
        <v>38500881</v>
      </c>
      <c r="D229" s="1579" t="s">
        <v>157</v>
      </c>
      <c r="E229" s="1580"/>
      <c r="F229" s="1580"/>
      <c r="G229" s="1580"/>
      <c r="H229" s="1581" t="e">
        <f t="shared" si="18"/>
        <v>#DIV/0!</v>
      </c>
    </row>
    <row r="230" spans="1:8" ht="30.75" thickBot="1" x14ac:dyDescent="0.25">
      <c r="A230" s="1577">
        <v>3122</v>
      </c>
      <c r="B230" s="1578">
        <v>5336</v>
      </c>
      <c r="C230" s="2850" t="s">
        <v>1850</v>
      </c>
      <c r="D230" s="1579" t="s">
        <v>1131</v>
      </c>
      <c r="E230" s="1580">
        <v>0</v>
      </c>
      <c r="F230" s="1580">
        <f>51+343</f>
        <v>394</v>
      </c>
      <c r="G230" s="1580">
        <f>50+343</f>
        <v>393</v>
      </c>
      <c r="H230" s="1581">
        <f t="shared" si="18"/>
        <v>99.746192893401016</v>
      </c>
    </row>
    <row r="231" spans="1:8" ht="15.75" hidden="1" thickBot="1" x14ac:dyDescent="0.25">
      <c r="A231" s="1577">
        <v>3122</v>
      </c>
      <c r="B231" s="1578">
        <v>5166</v>
      </c>
      <c r="C231" s="1629">
        <v>41100880</v>
      </c>
      <c r="D231" s="1579" t="s">
        <v>553</v>
      </c>
      <c r="E231" s="1580"/>
      <c r="F231" s="1580"/>
      <c r="G231" s="1580"/>
      <c r="H231" s="1581" t="e">
        <f t="shared" si="18"/>
        <v>#DIV/0!</v>
      </c>
    </row>
    <row r="232" spans="1:8" ht="15.75" hidden="1" thickBot="1" x14ac:dyDescent="0.25">
      <c r="A232" s="1577">
        <v>3122</v>
      </c>
      <c r="B232" s="1578">
        <v>5166</v>
      </c>
      <c r="C232" s="1629">
        <v>41100882</v>
      </c>
      <c r="D232" s="1579" t="s">
        <v>553</v>
      </c>
      <c r="E232" s="1580"/>
      <c r="F232" s="1580"/>
      <c r="G232" s="1580"/>
      <c r="H232" s="1581" t="e">
        <f t="shared" si="18"/>
        <v>#DIV/0!</v>
      </c>
    </row>
    <row r="233" spans="1:8" ht="15.75" hidden="1" thickBot="1" x14ac:dyDescent="0.25">
      <c r="A233" s="1577">
        <v>3122</v>
      </c>
      <c r="B233" s="1578">
        <v>5166</v>
      </c>
      <c r="C233" s="1629">
        <v>41500881</v>
      </c>
      <c r="D233" s="1579" t="s">
        <v>553</v>
      </c>
      <c r="E233" s="1580"/>
      <c r="F233" s="1580"/>
      <c r="G233" s="1580"/>
      <c r="H233" s="1581" t="e">
        <f t="shared" si="18"/>
        <v>#DIV/0!</v>
      </c>
    </row>
    <row r="234" spans="1:8" ht="15.75" hidden="1" thickBot="1" x14ac:dyDescent="0.25">
      <c r="A234" s="1577">
        <v>3122</v>
      </c>
      <c r="B234" s="1578">
        <v>5167</v>
      </c>
      <c r="C234" s="1629">
        <v>38100880</v>
      </c>
      <c r="D234" s="1579" t="s">
        <v>810</v>
      </c>
      <c r="E234" s="1580"/>
      <c r="F234" s="1580"/>
      <c r="G234" s="1580"/>
      <c r="H234" s="1581" t="e">
        <f t="shared" si="18"/>
        <v>#DIV/0!</v>
      </c>
    </row>
    <row r="235" spans="1:8" ht="15.75" hidden="1" thickBot="1" x14ac:dyDescent="0.25">
      <c r="A235" s="1577">
        <v>3122</v>
      </c>
      <c r="B235" s="1578">
        <v>5167</v>
      </c>
      <c r="C235" s="1629">
        <v>38500881</v>
      </c>
      <c r="D235" s="1579" t="s">
        <v>810</v>
      </c>
      <c r="E235" s="1580"/>
      <c r="F235" s="1580"/>
      <c r="G235" s="1580"/>
      <c r="H235" s="1581" t="e">
        <f t="shared" si="18"/>
        <v>#DIV/0!</v>
      </c>
    </row>
    <row r="236" spans="1:8" ht="15.75" hidden="1" thickBot="1" x14ac:dyDescent="0.25">
      <c r="A236" s="1577">
        <v>3122</v>
      </c>
      <c r="B236" s="1578">
        <v>5169</v>
      </c>
      <c r="C236" s="1629">
        <v>38100880</v>
      </c>
      <c r="D236" s="1579" t="s">
        <v>769</v>
      </c>
      <c r="E236" s="1580"/>
      <c r="F236" s="1580"/>
      <c r="G236" s="1580"/>
      <c r="H236" s="1581" t="e">
        <f t="shared" si="18"/>
        <v>#DIV/0!</v>
      </c>
    </row>
    <row r="237" spans="1:8" ht="15.75" hidden="1" thickBot="1" x14ac:dyDescent="0.25">
      <c r="A237" s="1577">
        <v>3122</v>
      </c>
      <c r="B237" s="1578">
        <v>5169</v>
      </c>
      <c r="C237" s="1629">
        <v>38500881</v>
      </c>
      <c r="D237" s="1579" t="s">
        <v>769</v>
      </c>
      <c r="E237" s="1580"/>
      <c r="F237" s="1580"/>
      <c r="G237" s="1580"/>
      <c r="H237" s="1581" t="e">
        <f t="shared" si="18"/>
        <v>#DIV/0!</v>
      </c>
    </row>
    <row r="238" spans="1:8" ht="15.75" hidden="1" thickBot="1" x14ac:dyDescent="0.25">
      <c r="A238" s="1577">
        <v>3122</v>
      </c>
      <c r="B238" s="1578">
        <v>5173</v>
      </c>
      <c r="C238" s="2850">
        <v>0</v>
      </c>
      <c r="D238" s="1579" t="s">
        <v>1038</v>
      </c>
      <c r="E238" s="1580"/>
      <c r="F238" s="1580"/>
      <c r="G238" s="1580"/>
      <c r="H238" s="1581">
        <v>0</v>
      </c>
    </row>
    <row r="239" spans="1:8" ht="15.75" hidden="1" thickBot="1" x14ac:dyDescent="0.25">
      <c r="A239" s="1577">
        <v>3122</v>
      </c>
      <c r="B239" s="1578">
        <v>5173</v>
      </c>
      <c r="C239" s="1629">
        <v>38500881</v>
      </c>
      <c r="D239" s="1579" t="s">
        <v>1038</v>
      </c>
      <c r="E239" s="1580"/>
      <c r="F239" s="1580"/>
      <c r="G239" s="1580"/>
      <c r="H239" s="1581" t="e">
        <f t="shared" ref="H239:H246" si="19">G239/F239*100</f>
        <v>#DIV/0!</v>
      </c>
    </row>
    <row r="240" spans="1:8" ht="15.75" hidden="1" thickBot="1" x14ac:dyDescent="0.25">
      <c r="A240" s="1577">
        <v>3122</v>
      </c>
      <c r="B240" s="1578">
        <v>5175</v>
      </c>
      <c r="C240" s="1629">
        <v>38100880</v>
      </c>
      <c r="D240" s="1579" t="s">
        <v>605</v>
      </c>
      <c r="E240" s="1580"/>
      <c r="F240" s="1580"/>
      <c r="G240" s="1580"/>
      <c r="H240" s="1581" t="e">
        <f t="shared" si="19"/>
        <v>#DIV/0!</v>
      </c>
    </row>
    <row r="241" spans="1:8" ht="15.75" hidden="1" thickBot="1" x14ac:dyDescent="0.25">
      <c r="A241" s="1577">
        <v>3122</v>
      </c>
      <c r="B241" s="1578">
        <v>5175</v>
      </c>
      <c r="C241" s="1629">
        <v>38500881</v>
      </c>
      <c r="D241" s="1579" t="s">
        <v>605</v>
      </c>
      <c r="E241" s="1580"/>
      <c r="F241" s="1580"/>
      <c r="G241" s="1580"/>
      <c r="H241" s="1581" t="e">
        <f t="shared" si="19"/>
        <v>#DIV/0!</v>
      </c>
    </row>
    <row r="242" spans="1:8" ht="15.75" hidden="1" thickBot="1" x14ac:dyDescent="0.25">
      <c r="A242" s="1577">
        <v>3122</v>
      </c>
      <c r="B242" s="1578">
        <v>5176</v>
      </c>
      <c r="C242" s="1629">
        <v>38100880</v>
      </c>
      <c r="D242" s="1579" t="s">
        <v>1119</v>
      </c>
      <c r="E242" s="1580"/>
      <c r="F242" s="1580"/>
      <c r="G242" s="1580"/>
      <c r="H242" s="1581" t="e">
        <f t="shared" si="19"/>
        <v>#DIV/0!</v>
      </c>
    </row>
    <row r="243" spans="1:8" ht="15.75" hidden="1" thickBot="1" x14ac:dyDescent="0.25">
      <c r="A243" s="1577">
        <v>3122</v>
      </c>
      <c r="B243" s="1578">
        <v>5176</v>
      </c>
      <c r="C243" s="1629">
        <v>38500881</v>
      </c>
      <c r="D243" s="1579" t="s">
        <v>1119</v>
      </c>
      <c r="E243" s="1580"/>
      <c r="F243" s="1580"/>
      <c r="G243" s="1580"/>
      <c r="H243" s="1581" t="e">
        <f t="shared" si="19"/>
        <v>#DIV/0!</v>
      </c>
    </row>
    <row r="244" spans="1:8" ht="30.75" hidden="1" thickBot="1" x14ac:dyDescent="0.25">
      <c r="A244" s="1577">
        <v>3122</v>
      </c>
      <c r="B244" s="1578">
        <v>6356</v>
      </c>
      <c r="C244" s="1629" t="s">
        <v>2127</v>
      </c>
      <c r="D244" s="1579" t="s">
        <v>1552</v>
      </c>
      <c r="E244" s="1580"/>
      <c r="F244" s="1580"/>
      <c r="G244" s="1580"/>
      <c r="H244" s="1581" t="e">
        <f t="shared" si="19"/>
        <v>#DIV/0!</v>
      </c>
    </row>
    <row r="245" spans="1:8" ht="30.75" hidden="1" thickBot="1" x14ac:dyDescent="0.25">
      <c r="A245" s="1577">
        <v>3122</v>
      </c>
      <c r="B245" s="1578">
        <v>6356</v>
      </c>
      <c r="C245" s="1629" t="s">
        <v>2126</v>
      </c>
      <c r="D245" s="1579" t="s">
        <v>1552</v>
      </c>
      <c r="E245" s="1580"/>
      <c r="F245" s="1580"/>
      <c r="G245" s="1580"/>
      <c r="H245" s="1583" t="e">
        <f t="shared" si="19"/>
        <v>#DIV/0!</v>
      </c>
    </row>
    <row r="246" spans="1:8" ht="16.5" thickTop="1" thickBot="1" x14ac:dyDescent="0.3">
      <c r="A246" s="3219" t="s">
        <v>690</v>
      </c>
      <c r="B246" s="3220"/>
      <c r="C246" s="3220"/>
      <c r="D246" s="3220"/>
      <c r="E246" s="1387">
        <f>SUM(E216:E245)</f>
        <v>0</v>
      </c>
      <c r="F246" s="1387">
        <f>SUM(F216:F245)</f>
        <v>464</v>
      </c>
      <c r="G246" s="1387">
        <f>SUM(G216:G245)</f>
        <v>463</v>
      </c>
      <c r="H246" s="1391">
        <f t="shared" si="19"/>
        <v>99.784482758620683</v>
      </c>
    </row>
    <row r="247" spans="1:8" ht="13.5" thickTop="1" x14ac:dyDescent="0.2"/>
    <row r="248" spans="1:8" ht="15.75" customHeight="1" x14ac:dyDescent="0.25">
      <c r="A248" s="3233" t="s">
        <v>1555</v>
      </c>
      <c r="B248" s="3151"/>
      <c r="C248" s="3151"/>
      <c r="D248" s="3151"/>
      <c r="E248" s="3151"/>
      <c r="F248" s="3151"/>
      <c r="G248" s="3151"/>
      <c r="H248" s="3151"/>
    </row>
    <row r="249" spans="1:8" ht="15.75" thickBot="1" x14ac:dyDescent="0.3">
      <c r="A249" s="1544" t="s">
        <v>1556</v>
      </c>
      <c r="B249" s="1558"/>
      <c r="C249" s="1558"/>
      <c r="E249" s="1559"/>
      <c r="F249" s="1559"/>
      <c r="G249" s="1559"/>
      <c r="H249" s="1560" t="s">
        <v>148</v>
      </c>
    </row>
    <row r="250" spans="1:8" ht="25.5" thickTop="1" thickBot="1" x14ac:dyDescent="0.25">
      <c r="A250" s="1378" t="s">
        <v>149</v>
      </c>
      <c r="B250" s="1379" t="s">
        <v>688</v>
      </c>
      <c r="C250" s="1379" t="s">
        <v>345</v>
      </c>
      <c r="D250" s="1380" t="s">
        <v>151</v>
      </c>
      <c r="E250" s="1402" t="s">
        <v>569</v>
      </c>
      <c r="F250" s="1402" t="s">
        <v>570</v>
      </c>
      <c r="G250" s="1403" t="s">
        <v>797</v>
      </c>
      <c r="H250" s="1404" t="s">
        <v>798</v>
      </c>
    </row>
    <row r="251" spans="1:8" ht="14.25" thickTop="1" thickBot="1" x14ac:dyDescent="0.25">
      <c r="A251" s="1297">
        <v>1</v>
      </c>
      <c r="B251" s="1296">
        <v>2</v>
      </c>
      <c r="C251" s="1296">
        <v>3</v>
      </c>
      <c r="D251" s="1296">
        <v>4</v>
      </c>
      <c r="E251" s="1295">
        <v>5</v>
      </c>
      <c r="F251" s="1295">
        <v>6</v>
      </c>
      <c r="G251" s="1446">
        <v>7</v>
      </c>
      <c r="H251" s="1468" t="s">
        <v>54</v>
      </c>
    </row>
    <row r="252" spans="1:8" ht="15.75" hidden="1" thickTop="1" x14ac:dyDescent="0.2">
      <c r="A252" s="1572">
        <v>3636</v>
      </c>
      <c r="B252" s="1573">
        <v>5011</v>
      </c>
      <c r="C252" s="1582">
        <v>0</v>
      </c>
      <c r="D252" s="1574" t="s">
        <v>189</v>
      </c>
      <c r="E252" s="1575">
        <v>0</v>
      </c>
      <c r="F252" s="1575">
        <v>0</v>
      </c>
      <c r="G252" s="1575">
        <v>0</v>
      </c>
      <c r="H252" s="1576" t="e">
        <f t="shared" ref="H252:H259" si="20">G252/F252*100</f>
        <v>#DIV/0!</v>
      </c>
    </row>
    <row r="253" spans="1:8" ht="15.75" hidden="1" thickTop="1" x14ac:dyDescent="0.2">
      <c r="A253" s="1577">
        <v>3636</v>
      </c>
      <c r="B253" s="1578">
        <v>5011</v>
      </c>
      <c r="C253" s="1578">
        <v>38500881</v>
      </c>
      <c r="D253" s="1579" t="s">
        <v>189</v>
      </c>
      <c r="E253" s="1580">
        <v>0</v>
      </c>
      <c r="F253" s="1580">
        <v>0</v>
      </c>
      <c r="G253" s="1580">
        <v>0</v>
      </c>
      <c r="H253" s="1581" t="e">
        <f t="shared" si="20"/>
        <v>#DIV/0!</v>
      </c>
    </row>
    <row r="254" spans="1:8" ht="30.75" thickTop="1" x14ac:dyDescent="0.2">
      <c r="A254" s="1577">
        <v>3122</v>
      </c>
      <c r="B254" s="1578">
        <v>5336</v>
      </c>
      <c r="C254" s="2850" t="s">
        <v>1849</v>
      </c>
      <c r="D254" s="1579" t="s">
        <v>1131</v>
      </c>
      <c r="E254" s="1580">
        <v>0</v>
      </c>
      <c r="F254" s="1580">
        <f>10+64</f>
        <v>74</v>
      </c>
      <c r="G254" s="1580">
        <f>10+64</f>
        <v>74</v>
      </c>
      <c r="H254" s="1581">
        <f t="shared" si="20"/>
        <v>100</v>
      </c>
    </row>
    <row r="255" spans="1:8" ht="15" hidden="1" x14ac:dyDescent="0.2">
      <c r="A255" s="1577">
        <v>3636</v>
      </c>
      <c r="B255" s="1578">
        <v>5021</v>
      </c>
      <c r="C255" s="1629">
        <v>38500881</v>
      </c>
      <c r="D255" s="1579" t="s">
        <v>356</v>
      </c>
      <c r="E255" s="1580"/>
      <c r="F255" s="1580"/>
      <c r="G255" s="1580"/>
      <c r="H255" s="1581" t="e">
        <f t="shared" si="20"/>
        <v>#DIV/0!</v>
      </c>
    </row>
    <row r="256" spans="1:8" ht="30" hidden="1" x14ac:dyDescent="0.2">
      <c r="A256" s="1577">
        <v>3636</v>
      </c>
      <c r="B256" s="1578">
        <v>5031</v>
      </c>
      <c r="C256" s="1629">
        <v>38100880</v>
      </c>
      <c r="D256" s="1579" t="s">
        <v>1165</v>
      </c>
      <c r="E256" s="1580"/>
      <c r="F256" s="1580"/>
      <c r="G256" s="1580"/>
      <c r="H256" s="1581" t="e">
        <f t="shared" si="20"/>
        <v>#DIV/0!</v>
      </c>
    </row>
    <row r="257" spans="1:8" ht="30" hidden="1" x14ac:dyDescent="0.2">
      <c r="A257" s="1577">
        <v>3636</v>
      </c>
      <c r="B257" s="1578">
        <v>5031</v>
      </c>
      <c r="C257" s="1629">
        <v>38500881</v>
      </c>
      <c r="D257" s="1579" t="s">
        <v>1165</v>
      </c>
      <c r="E257" s="1580"/>
      <c r="F257" s="1580"/>
      <c r="G257" s="1580"/>
      <c r="H257" s="1581" t="e">
        <f t="shared" si="20"/>
        <v>#DIV/0!</v>
      </c>
    </row>
    <row r="258" spans="1:8" ht="30" hidden="1" x14ac:dyDescent="0.2">
      <c r="A258" s="1577">
        <v>3636</v>
      </c>
      <c r="B258" s="1578">
        <v>5032</v>
      </c>
      <c r="C258" s="1629">
        <v>38100880</v>
      </c>
      <c r="D258" s="1579" t="s">
        <v>1058</v>
      </c>
      <c r="E258" s="1580"/>
      <c r="F258" s="1580"/>
      <c r="G258" s="1580"/>
      <c r="H258" s="1581" t="e">
        <f t="shared" si="20"/>
        <v>#DIV/0!</v>
      </c>
    </row>
    <row r="259" spans="1:8" ht="30" hidden="1" x14ac:dyDescent="0.2">
      <c r="A259" s="1577">
        <v>3636</v>
      </c>
      <c r="B259" s="1578">
        <v>5032</v>
      </c>
      <c r="C259" s="1629">
        <v>38500881</v>
      </c>
      <c r="D259" s="1579" t="s">
        <v>1058</v>
      </c>
      <c r="E259" s="1580"/>
      <c r="F259" s="1580"/>
      <c r="G259" s="1580"/>
      <c r="H259" s="1581" t="e">
        <f t="shared" si="20"/>
        <v>#DIV/0!</v>
      </c>
    </row>
    <row r="260" spans="1:8" ht="15" hidden="1" x14ac:dyDescent="0.2">
      <c r="A260" s="1577">
        <v>3636</v>
      </c>
      <c r="B260" s="1578">
        <v>5139</v>
      </c>
      <c r="C260" s="1629">
        <v>38100880</v>
      </c>
      <c r="D260" s="1579" t="s">
        <v>249</v>
      </c>
      <c r="E260" s="1580"/>
      <c r="F260" s="1580"/>
      <c r="G260" s="1580"/>
      <c r="H260" s="1581">
        <v>0</v>
      </c>
    </row>
    <row r="261" spans="1:8" ht="15" hidden="1" x14ac:dyDescent="0.2">
      <c r="A261" s="1577">
        <v>3636</v>
      </c>
      <c r="B261" s="1578">
        <v>5139</v>
      </c>
      <c r="C261" s="1629">
        <v>38500881</v>
      </c>
      <c r="D261" s="1579" t="s">
        <v>249</v>
      </c>
      <c r="E261" s="1580"/>
      <c r="F261" s="1580"/>
      <c r="G261" s="1580"/>
      <c r="H261" s="1581" t="e">
        <f t="shared" ref="H261:H273" si="21">G261/F261*100</f>
        <v>#DIV/0!</v>
      </c>
    </row>
    <row r="262" spans="1:8" ht="15" hidden="1" x14ac:dyDescent="0.2">
      <c r="A262" s="1577">
        <v>3636</v>
      </c>
      <c r="B262" s="1578">
        <v>5162</v>
      </c>
      <c r="C262" s="1629">
        <v>38100880</v>
      </c>
      <c r="D262" s="1579" t="s">
        <v>780</v>
      </c>
      <c r="E262" s="1580"/>
      <c r="F262" s="1580"/>
      <c r="G262" s="1580"/>
      <c r="H262" s="1581" t="e">
        <f t="shared" si="21"/>
        <v>#DIV/0!</v>
      </c>
    </row>
    <row r="263" spans="1:8" ht="15" hidden="1" x14ac:dyDescent="0.2">
      <c r="A263" s="1577">
        <v>3636</v>
      </c>
      <c r="B263" s="1578">
        <v>5162</v>
      </c>
      <c r="C263" s="1629">
        <v>38500881</v>
      </c>
      <c r="D263" s="1579" t="s">
        <v>780</v>
      </c>
      <c r="E263" s="1580"/>
      <c r="F263" s="1580"/>
      <c r="G263" s="1580"/>
      <c r="H263" s="1581" t="e">
        <f t="shared" si="21"/>
        <v>#DIV/0!</v>
      </c>
    </row>
    <row r="264" spans="1:8" ht="15" hidden="1" x14ac:dyDescent="0.2">
      <c r="A264" s="1577">
        <v>3636</v>
      </c>
      <c r="B264" s="1578">
        <v>5164</v>
      </c>
      <c r="C264" s="1629">
        <v>38100880</v>
      </c>
      <c r="D264" s="1579" t="s">
        <v>157</v>
      </c>
      <c r="E264" s="1580"/>
      <c r="F264" s="1580"/>
      <c r="G264" s="1580"/>
      <c r="H264" s="1581" t="e">
        <f t="shared" si="21"/>
        <v>#DIV/0!</v>
      </c>
    </row>
    <row r="265" spans="1:8" ht="15" hidden="1" x14ac:dyDescent="0.2">
      <c r="A265" s="1577">
        <v>3636</v>
      </c>
      <c r="B265" s="1578">
        <v>5164</v>
      </c>
      <c r="C265" s="1629">
        <v>38500881</v>
      </c>
      <c r="D265" s="1579" t="s">
        <v>157</v>
      </c>
      <c r="E265" s="1580"/>
      <c r="F265" s="1580"/>
      <c r="G265" s="1580"/>
      <c r="H265" s="1581" t="e">
        <f t="shared" si="21"/>
        <v>#DIV/0!</v>
      </c>
    </row>
    <row r="266" spans="1:8" ht="30.75" thickBot="1" x14ac:dyDescent="0.25">
      <c r="A266" s="1577">
        <v>3122</v>
      </c>
      <c r="B266" s="1578">
        <v>5336</v>
      </c>
      <c r="C266" s="2850" t="s">
        <v>1850</v>
      </c>
      <c r="D266" s="1579" t="s">
        <v>1131</v>
      </c>
      <c r="E266" s="1580">
        <v>0</v>
      </c>
      <c r="F266" s="1580">
        <f>54+363</f>
        <v>417</v>
      </c>
      <c r="G266" s="1580">
        <f>54+363</f>
        <v>417</v>
      </c>
      <c r="H266" s="1581">
        <f t="shared" si="21"/>
        <v>100</v>
      </c>
    </row>
    <row r="267" spans="1:8" ht="15.75" hidden="1" thickBot="1" x14ac:dyDescent="0.25">
      <c r="A267" s="1577">
        <v>6223</v>
      </c>
      <c r="B267" s="1578">
        <v>5166</v>
      </c>
      <c r="C267" s="1629">
        <v>41100880</v>
      </c>
      <c r="D267" s="1579" t="s">
        <v>553</v>
      </c>
      <c r="E267" s="1580"/>
      <c r="F267" s="1580"/>
      <c r="G267" s="1580"/>
      <c r="H267" s="1581" t="e">
        <f t="shared" si="21"/>
        <v>#DIV/0!</v>
      </c>
    </row>
    <row r="268" spans="1:8" ht="15.75" hidden="1" thickBot="1" x14ac:dyDescent="0.25">
      <c r="A268" s="1577">
        <v>6223</v>
      </c>
      <c r="B268" s="1578">
        <v>5166</v>
      </c>
      <c r="C268" s="1629">
        <v>41100882</v>
      </c>
      <c r="D268" s="1579" t="s">
        <v>553</v>
      </c>
      <c r="E268" s="1580"/>
      <c r="F268" s="1580"/>
      <c r="G268" s="1580"/>
      <c r="H268" s="1581" t="e">
        <f t="shared" si="21"/>
        <v>#DIV/0!</v>
      </c>
    </row>
    <row r="269" spans="1:8" ht="15.75" hidden="1" thickBot="1" x14ac:dyDescent="0.25">
      <c r="A269" s="1577">
        <v>6223</v>
      </c>
      <c r="B269" s="1578">
        <v>5166</v>
      </c>
      <c r="C269" s="1629">
        <v>41500881</v>
      </c>
      <c r="D269" s="1579" t="s">
        <v>553</v>
      </c>
      <c r="E269" s="1580"/>
      <c r="F269" s="1580"/>
      <c r="G269" s="1580"/>
      <c r="H269" s="1581" t="e">
        <f t="shared" si="21"/>
        <v>#DIV/0!</v>
      </c>
    </row>
    <row r="270" spans="1:8" ht="15.75" hidden="1" thickBot="1" x14ac:dyDescent="0.25">
      <c r="A270" s="1577">
        <v>3636</v>
      </c>
      <c r="B270" s="1578">
        <v>5167</v>
      </c>
      <c r="C270" s="1629">
        <v>38100880</v>
      </c>
      <c r="D270" s="1579" t="s">
        <v>810</v>
      </c>
      <c r="E270" s="1580"/>
      <c r="F270" s="1580"/>
      <c r="G270" s="1580"/>
      <c r="H270" s="1581" t="e">
        <f t="shared" si="21"/>
        <v>#DIV/0!</v>
      </c>
    </row>
    <row r="271" spans="1:8" ht="15.75" hidden="1" thickBot="1" x14ac:dyDescent="0.25">
      <c r="A271" s="1577">
        <v>3636</v>
      </c>
      <c r="B271" s="1578">
        <v>5167</v>
      </c>
      <c r="C271" s="1629">
        <v>38500881</v>
      </c>
      <c r="D271" s="1579" t="s">
        <v>810</v>
      </c>
      <c r="E271" s="1580"/>
      <c r="F271" s="1580"/>
      <c r="G271" s="1580"/>
      <c r="H271" s="1581" t="e">
        <f t="shared" si="21"/>
        <v>#DIV/0!</v>
      </c>
    </row>
    <row r="272" spans="1:8" ht="15.75" hidden="1" thickBot="1" x14ac:dyDescent="0.25">
      <c r="A272" s="1577">
        <v>3636</v>
      </c>
      <c r="B272" s="1578">
        <v>5169</v>
      </c>
      <c r="C272" s="1629">
        <v>38100880</v>
      </c>
      <c r="D272" s="1579" t="s">
        <v>769</v>
      </c>
      <c r="E272" s="1580"/>
      <c r="F272" s="1580"/>
      <c r="G272" s="1580"/>
      <c r="H272" s="1581" t="e">
        <f t="shared" si="21"/>
        <v>#DIV/0!</v>
      </c>
    </row>
    <row r="273" spans="1:8" ht="15.75" hidden="1" thickBot="1" x14ac:dyDescent="0.25">
      <c r="A273" s="1577">
        <v>3636</v>
      </c>
      <c r="B273" s="1578">
        <v>5169</v>
      </c>
      <c r="C273" s="1629">
        <v>38500881</v>
      </c>
      <c r="D273" s="1579" t="s">
        <v>769</v>
      </c>
      <c r="E273" s="1580"/>
      <c r="F273" s="1580"/>
      <c r="G273" s="1580"/>
      <c r="H273" s="1581" t="e">
        <f t="shared" si="21"/>
        <v>#DIV/0!</v>
      </c>
    </row>
    <row r="274" spans="1:8" ht="15.75" hidden="1" thickBot="1" x14ac:dyDescent="0.25">
      <c r="A274" s="1577">
        <v>6223</v>
      </c>
      <c r="B274" s="1578">
        <v>5173</v>
      </c>
      <c r="C274" s="2850">
        <v>0</v>
      </c>
      <c r="D274" s="1579" t="s">
        <v>1038</v>
      </c>
      <c r="E274" s="1580"/>
      <c r="F274" s="1580"/>
      <c r="G274" s="1580"/>
      <c r="H274" s="1581">
        <v>0</v>
      </c>
    </row>
    <row r="275" spans="1:8" ht="15.75" hidden="1" thickBot="1" x14ac:dyDescent="0.25">
      <c r="A275" s="1577">
        <v>3636</v>
      </c>
      <c r="B275" s="1578">
        <v>5173</v>
      </c>
      <c r="C275" s="1629">
        <v>38500881</v>
      </c>
      <c r="D275" s="1579" t="s">
        <v>1038</v>
      </c>
      <c r="E275" s="1580"/>
      <c r="F275" s="1580"/>
      <c r="G275" s="1580"/>
      <c r="H275" s="1581" t="e">
        <f t="shared" ref="H275:H282" si="22">G275/F275*100</f>
        <v>#DIV/0!</v>
      </c>
    </row>
    <row r="276" spans="1:8" ht="15.75" hidden="1" thickBot="1" x14ac:dyDescent="0.25">
      <c r="A276" s="1577">
        <v>3636</v>
      </c>
      <c r="B276" s="1578">
        <v>5175</v>
      </c>
      <c r="C276" s="1629">
        <v>38100880</v>
      </c>
      <c r="D276" s="1579" t="s">
        <v>605</v>
      </c>
      <c r="E276" s="1580"/>
      <c r="F276" s="1580"/>
      <c r="G276" s="1580"/>
      <c r="H276" s="1581" t="e">
        <f t="shared" si="22"/>
        <v>#DIV/0!</v>
      </c>
    </row>
    <row r="277" spans="1:8" ht="15.75" hidden="1" thickBot="1" x14ac:dyDescent="0.25">
      <c r="A277" s="1577">
        <v>3636</v>
      </c>
      <c r="B277" s="1578">
        <v>5175</v>
      </c>
      <c r="C277" s="1629">
        <v>38500881</v>
      </c>
      <c r="D277" s="1579" t="s">
        <v>605</v>
      </c>
      <c r="E277" s="1580"/>
      <c r="F277" s="1580"/>
      <c r="G277" s="1580"/>
      <c r="H277" s="1581" t="e">
        <f t="shared" si="22"/>
        <v>#DIV/0!</v>
      </c>
    </row>
    <row r="278" spans="1:8" ht="15.75" hidden="1" thickBot="1" x14ac:dyDescent="0.25">
      <c r="A278" s="1577">
        <v>3636</v>
      </c>
      <c r="B278" s="1578">
        <v>5176</v>
      </c>
      <c r="C278" s="1629">
        <v>38100880</v>
      </c>
      <c r="D278" s="1579" t="s">
        <v>1119</v>
      </c>
      <c r="E278" s="1580"/>
      <c r="F278" s="1580"/>
      <c r="G278" s="1580"/>
      <c r="H278" s="1581" t="e">
        <f t="shared" si="22"/>
        <v>#DIV/0!</v>
      </c>
    </row>
    <row r="279" spans="1:8" ht="15.75" hidden="1" thickBot="1" x14ac:dyDescent="0.25">
      <c r="A279" s="1577">
        <v>3636</v>
      </c>
      <c r="B279" s="1578">
        <v>5176</v>
      </c>
      <c r="C279" s="1629">
        <v>38500881</v>
      </c>
      <c r="D279" s="1579" t="s">
        <v>1119</v>
      </c>
      <c r="E279" s="1580"/>
      <c r="F279" s="1580"/>
      <c r="G279" s="1580"/>
      <c r="H279" s="1581" t="e">
        <f t="shared" si="22"/>
        <v>#DIV/0!</v>
      </c>
    </row>
    <row r="280" spans="1:8" ht="30.75" hidden="1" thickBot="1" x14ac:dyDescent="0.25">
      <c r="A280" s="1577">
        <v>3122</v>
      </c>
      <c r="B280" s="1578">
        <v>6356</v>
      </c>
      <c r="C280" s="1629" t="s">
        <v>2127</v>
      </c>
      <c r="D280" s="1579" t="s">
        <v>1552</v>
      </c>
      <c r="E280" s="1580"/>
      <c r="F280" s="1580"/>
      <c r="G280" s="1580"/>
      <c r="H280" s="1581" t="e">
        <f t="shared" si="22"/>
        <v>#DIV/0!</v>
      </c>
    </row>
    <row r="281" spans="1:8" ht="30.75" hidden="1" thickBot="1" x14ac:dyDescent="0.25">
      <c r="A281" s="1577">
        <v>3122</v>
      </c>
      <c r="B281" s="1578">
        <v>6356</v>
      </c>
      <c r="C281" s="1629" t="s">
        <v>2126</v>
      </c>
      <c r="D281" s="1579" t="s">
        <v>1552</v>
      </c>
      <c r="E281" s="1580"/>
      <c r="F281" s="1580"/>
      <c r="G281" s="1580"/>
      <c r="H281" s="1583" t="e">
        <f t="shared" si="22"/>
        <v>#DIV/0!</v>
      </c>
    </row>
    <row r="282" spans="1:8" ht="16.5" thickTop="1" thickBot="1" x14ac:dyDescent="0.3">
      <c r="A282" s="3219" t="s">
        <v>690</v>
      </c>
      <c r="B282" s="3220"/>
      <c r="C282" s="3220"/>
      <c r="D282" s="3220"/>
      <c r="E282" s="1387">
        <f>SUM(E252:E281)</f>
        <v>0</v>
      </c>
      <c r="F282" s="1387">
        <f>SUM(F252:F281)</f>
        <v>491</v>
      </c>
      <c r="G282" s="1387">
        <f>SUM(G252:G281)</f>
        <v>491</v>
      </c>
      <c r="H282" s="1391">
        <f t="shared" si="22"/>
        <v>100</v>
      </c>
    </row>
    <row r="283" spans="1:8" ht="13.5" thickTop="1" x14ac:dyDescent="0.2"/>
    <row r="284" spans="1:8" ht="15.75" customHeight="1" x14ac:dyDescent="0.25">
      <c r="A284" s="3233" t="s">
        <v>1427</v>
      </c>
      <c r="B284" s="3151"/>
      <c r="C284" s="3151"/>
      <c r="D284" s="3151"/>
      <c r="E284" s="3151"/>
      <c r="F284" s="3151"/>
      <c r="G284" s="3151"/>
      <c r="H284" s="3151"/>
    </row>
    <row r="285" spans="1:8" ht="15.75" thickBot="1" x14ac:dyDescent="0.3">
      <c r="A285" s="1544" t="s">
        <v>896</v>
      </c>
      <c r="B285" s="1558"/>
      <c r="C285" s="1558"/>
      <c r="E285" s="1559"/>
      <c r="F285" s="1559"/>
      <c r="G285" s="1559"/>
      <c r="H285" s="1560" t="s">
        <v>148</v>
      </c>
    </row>
    <row r="286" spans="1:8" ht="25.5" thickTop="1" thickBot="1" x14ac:dyDescent="0.25">
      <c r="A286" s="1378" t="s">
        <v>149</v>
      </c>
      <c r="B286" s="1379" t="s">
        <v>688</v>
      </c>
      <c r="C286" s="1379" t="s">
        <v>345</v>
      </c>
      <c r="D286" s="1380" t="s">
        <v>151</v>
      </c>
      <c r="E286" s="1402" t="s">
        <v>569</v>
      </c>
      <c r="F286" s="1402" t="s">
        <v>570</v>
      </c>
      <c r="G286" s="1403" t="s">
        <v>797</v>
      </c>
      <c r="H286" s="1404" t="s">
        <v>798</v>
      </c>
    </row>
    <row r="287" spans="1:8" ht="14.25" thickTop="1" thickBot="1" x14ac:dyDescent="0.25">
      <c r="A287" s="1297">
        <v>1</v>
      </c>
      <c r="B287" s="1296">
        <v>2</v>
      </c>
      <c r="C287" s="1296">
        <v>3</v>
      </c>
      <c r="D287" s="1296">
        <v>4</v>
      </c>
      <c r="E287" s="1295">
        <v>5</v>
      </c>
      <c r="F287" s="1295">
        <v>6</v>
      </c>
      <c r="G287" s="1446">
        <v>7</v>
      </c>
      <c r="H287" s="1468" t="s">
        <v>54</v>
      </c>
    </row>
    <row r="288" spans="1:8" ht="15.75" hidden="1" thickTop="1" x14ac:dyDescent="0.2">
      <c r="A288" s="1572">
        <v>3636</v>
      </c>
      <c r="B288" s="1573">
        <v>5011</v>
      </c>
      <c r="C288" s="1582">
        <v>0</v>
      </c>
      <c r="D288" s="1574" t="s">
        <v>189</v>
      </c>
      <c r="E288" s="1575">
        <v>0</v>
      </c>
      <c r="F288" s="1575">
        <v>0</v>
      </c>
      <c r="G288" s="1575">
        <v>0</v>
      </c>
      <c r="H288" s="1576" t="e">
        <f t="shared" ref="H288:H295" si="23">G288/F288*100</f>
        <v>#DIV/0!</v>
      </c>
    </row>
    <row r="289" spans="1:8" ht="15.75" hidden="1" thickTop="1" x14ac:dyDescent="0.2">
      <c r="A289" s="1577">
        <v>3636</v>
      </c>
      <c r="B289" s="1578">
        <v>5011</v>
      </c>
      <c r="C289" s="1578">
        <v>38500881</v>
      </c>
      <c r="D289" s="1579" t="s">
        <v>189</v>
      </c>
      <c r="E289" s="1580">
        <v>0</v>
      </c>
      <c r="F289" s="1580">
        <v>0</v>
      </c>
      <c r="G289" s="1580">
        <v>0</v>
      </c>
      <c r="H289" s="1581" t="e">
        <f t="shared" si="23"/>
        <v>#DIV/0!</v>
      </c>
    </row>
    <row r="290" spans="1:8" ht="30.75" thickTop="1" x14ac:dyDescent="0.2">
      <c r="A290" s="1577">
        <v>3123</v>
      </c>
      <c r="B290" s="1578">
        <v>5336</v>
      </c>
      <c r="C290" s="2850" t="s">
        <v>1849</v>
      </c>
      <c r="D290" s="1579" t="s">
        <v>1131</v>
      </c>
      <c r="E290" s="1580">
        <v>0</v>
      </c>
      <c r="F290" s="1580">
        <f>11+84</f>
        <v>95</v>
      </c>
      <c r="G290" s="1580">
        <f>11+84</f>
        <v>95</v>
      </c>
      <c r="H290" s="1581">
        <f t="shared" si="23"/>
        <v>100</v>
      </c>
    </row>
    <row r="291" spans="1:8" ht="15" hidden="1" x14ac:dyDescent="0.2">
      <c r="A291" s="1577">
        <v>3636</v>
      </c>
      <c r="B291" s="1578">
        <v>5021</v>
      </c>
      <c r="C291" s="1629">
        <v>38500881</v>
      </c>
      <c r="D291" s="1579" t="s">
        <v>356</v>
      </c>
      <c r="E291" s="1580"/>
      <c r="F291" s="1580"/>
      <c r="G291" s="1580"/>
      <c r="H291" s="1581" t="e">
        <f t="shared" si="23"/>
        <v>#DIV/0!</v>
      </c>
    </row>
    <row r="292" spans="1:8" ht="30" hidden="1" x14ac:dyDescent="0.2">
      <c r="A292" s="1577">
        <v>3636</v>
      </c>
      <c r="B292" s="1578">
        <v>5031</v>
      </c>
      <c r="C292" s="1629">
        <v>38100880</v>
      </c>
      <c r="D292" s="1579" t="s">
        <v>1165</v>
      </c>
      <c r="E292" s="1580"/>
      <c r="F292" s="1580"/>
      <c r="G292" s="1580"/>
      <c r="H292" s="1581" t="e">
        <f t="shared" si="23"/>
        <v>#DIV/0!</v>
      </c>
    </row>
    <row r="293" spans="1:8" ht="30" hidden="1" x14ac:dyDescent="0.2">
      <c r="A293" s="1577">
        <v>3636</v>
      </c>
      <c r="B293" s="1578">
        <v>5031</v>
      </c>
      <c r="C293" s="1629">
        <v>38500881</v>
      </c>
      <c r="D293" s="1579" t="s">
        <v>1165</v>
      </c>
      <c r="E293" s="1580"/>
      <c r="F293" s="1580"/>
      <c r="G293" s="1580"/>
      <c r="H293" s="1581" t="e">
        <f t="shared" si="23"/>
        <v>#DIV/0!</v>
      </c>
    </row>
    <row r="294" spans="1:8" ht="30" hidden="1" x14ac:dyDescent="0.2">
      <c r="A294" s="1577">
        <v>3636</v>
      </c>
      <c r="B294" s="1578">
        <v>5032</v>
      </c>
      <c r="C294" s="1629">
        <v>38100880</v>
      </c>
      <c r="D294" s="1579" t="s">
        <v>1058</v>
      </c>
      <c r="E294" s="1580"/>
      <c r="F294" s="1580"/>
      <c r="G294" s="1580"/>
      <c r="H294" s="1581" t="e">
        <f t="shared" si="23"/>
        <v>#DIV/0!</v>
      </c>
    </row>
    <row r="295" spans="1:8" ht="30" hidden="1" x14ac:dyDescent="0.2">
      <c r="A295" s="1577">
        <v>3636</v>
      </c>
      <c r="B295" s="1578">
        <v>5032</v>
      </c>
      <c r="C295" s="1629">
        <v>38500881</v>
      </c>
      <c r="D295" s="1579" t="s">
        <v>1058</v>
      </c>
      <c r="E295" s="1580"/>
      <c r="F295" s="1580"/>
      <c r="G295" s="1580"/>
      <c r="H295" s="1581" t="e">
        <f t="shared" si="23"/>
        <v>#DIV/0!</v>
      </c>
    </row>
    <row r="296" spans="1:8" ht="15" hidden="1" x14ac:dyDescent="0.2">
      <c r="A296" s="1577">
        <v>3636</v>
      </c>
      <c r="B296" s="1578">
        <v>5139</v>
      </c>
      <c r="C296" s="1629">
        <v>38100880</v>
      </c>
      <c r="D296" s="1579" t="s">
        <v>249</v>
      </c>
      <c r="E296" s="1580"/>
      <c r="F296" s="1580"/>
      <c r="G296" s="1580"/>
      <c r="H296" s="1581">
        <v>0</v>
      </c>
    </row>
    <row r="297" spans="1:8" ht="15" hidden="1" x14ac:dyDescent="0.2">
      <c r="A297" s="1577">
        <v>3636</v>
      </c>
      <c r="B297" s="1578">
        <v>5139</v>
      </c>
      <c r="C297" s="1629">
        <v>38500881</v>
      </c>
      <c r="D297" s="1579" t="s">
        <v>249</v>
      </c>
      <c r="E297" s="1580"/>
      <c r="F297" s="1580"/>
      <c r="G297" s="1580"/>
      <c r="H297" s="1581" t="e">
        <f t="shared" ref="H297:H309" si="24">G297/F297*100</f>
        <v>#DIV/0!</v>
      </c>
    </row>
    <row r="298" spans="1:8" ht="15" hidden="1" x14ac:dyDescent="0.2">
      <c r="A298" s="1577">
        <v>3636</v>
      </c>
      <c r="B298" s="1578">
        <v>5162</v>
      </c>
      <c r="C298" s="1629">
        <v>38100880</v>
      </c>
      <c r="D298" s="1579" t="s">
        <v>780</v>
      </c>
      <c r="E298" s="1580"/>
      <c r="F298" s="1580"/>
      <c r="G298" s="1580"/>
      <c r="H298" s="1581" t="e">
        <f t="shared" si="24"/>
        <v>#DIV/0!</v>
      </c>
    </row>
    <row r="299" spans="1:8" ht="15" hidden="1" x14ac:dyDescent="0.2">
      <c r="A299" s="1577">
        <v>3636</v>
      </c>
      <c r="B299" s="1578">
        <v>5162</v>
      </c>
      <c r="C299" s="1629">
        <v>38500881</v>
      </c>
      <c r="D299" s="1579" t="s">
        <v>780</v>
      </c>
      <c r="E299" s="1580"/>
      <c r="F299" s="1580"/>
      <c r="G299" s="1580"/>
      <c r="H299" s="1581" t="e">
        <f t="shared" si="24"/>
        <v>#DIV/0!</v>
      </c>
    </row>
    <row r="300" spans="1:8" ht="15" hidden="1" x14ac:dyDescent="0.2">
      <c r="A300" s="1577">
        <v>3636</v>
      </c>
      <c r="B300" s="1578">
        <v>5164</v>
      </c>
      <c r="C300" s="1629">
        <v>38100880</v>
      </c>
      <c r="D300" s="1579" t="s">
        <v>157</v>
      </c>
      <c r="E300" s="1580"/>
      <c r="F300" s="1580"/>
      <c r="G300" s="1580"/>
      <c r="H300" s="1581" t="e">
        <f t="shared" si="24"/>
        <v>#DIV/0!</v>
      </c>
    </row>
    <row r="301" spans="1:8" ht="15" hidden="1" x14ac:dyDescent="0.2">
      <c r="A301" s="1577">
        <v>3636</v>
      </c>
      <c r="B301" s="1578">
        <v>5164</v>
      </c>
      <c r="C301" s="1629">
        <v>38500881</v>
      </c>
      <c r="D301" s="1579" t="s">
        <v>157</v>
      </c>
      <c r="E301" s="1580"/>
      <c r="F301" s="1580"/>
      <c r="G301" s="1580"/>
      <c r="H301" s="1581" t="e">
        <f t="shared" si="24"/>
        <v>#DIV/0!</v>
      </c>
    </row>
    <row r="302" spans="1:8" ht="30" x14ac:dyDescent="0.2">
      <c r="A302" s="1577">
        <v>3123</v>
      </c>
      <c r="B302" s="1578">
        <v>5336</v>
      </c>
      <c r="C302" s="2850" t="s">
        <v>1850</v>
      </c>
      <c r="D302" s="1579" t="s">
        <v>1131</v>
      </c>
      <c r="E302" s="1580">
        <v>0</v>
      </c>
      <c r="F302" s="1580">
        <f>65+476</f>
        <v>541</v>
      </c>
      <c r="G302" s="1580">
        <f>62+476</f>
        <v>538</v>
      </c>
      <c r="H302" s="1581">
        <f t="shared" si="24"/>
        <v>99.445471349353056</v>
      </c>
    </row>
    <row r="303" spans="1:8" ht="15" hidden="1" x14ac:dyDescent="0.2">
      <c r="A303" s="1577">
        <v>6223</v>
      </c>
      <c r="B303" s="1578">
        <v>5166</v>
      </c>
      <c r="C303" s="1629">
        <v>41100880</v>
      </c>
      <c r="D303" s="1579" t="s">
        <v>553</v>
      </c>
      <c r="E303" s="1580"/>
      <c r="F303" s="1580"/>
      <c r="G303" s="1580"/>
      <c r="H303" s="1581" t="e">
        <f t="shared" si="24"/>
        <v>#DIV/0!</v>
      </c>
    </row>
    <row r="304" spans="1:8" ht="15" hidden="1" x14ac:dyDescent="0.2">
      <c r="A304" s="1577">
        <v>6223</v>
      </c>
      <c r="B304" s="1578">
        <v>5166</v>
      </c>
      <c r="C304" s="1629">
        <v>41100882</v>
      </c>
      <c r="D304" s="1579" t="s">
        <v>553</v>
      </c>
      <c r="E304" s="1580"/>
      <c r="F304" s="1580"/>
      <c r="G304" s="1580"/>
      <c r="H304" s="1581" t="e">
        <f t="shared" si="24"/>
        <v>#DIV/0!</v>
      </c>
    </row>
    <row r="305" spans="1:8" ht="15" hidden="1" x14ac:dyDescent="0.2">
      <c r="A305" s="1577">
        <v>6223</v>
      </c>
      <c r="B305" s="1578">
        <v>5166</v>
      </c>
      <c r="C305" s="1629">
        <v>41500881</v>
      </c>
      <c r="D305" s="1579" t="s">
        <v>553</v>
      </c>
      <c r="E305" s="1580"/>
      <c r="F305" s="1580"/>
      <c r="G305" s="1580"/>
      <c r="H305" s="1581" t="e">
        <f t="shared" si="24"/>
        <v>#DIV/0!</v>
      </c>
    </row>
    <row r="306" spans="1:8" ht="15" hidden="1" x14ac:dyDescent="0.2">
      <c r="A306" s="1577">
        <v>3636</v>
      </c>
      <c r="B306" s="1578">
        <v>5167</v>
      </c>
      <c r="C306" s="1629">
        <v>38100880</v>
      </c>
      <c r="D306" s="1579" t="s">
        <v>810</v>
      </c>
      <c r="E306" s="1580"/>
      <c r="F306" s="1580"/>
      <c r="G306" s="1580"/>
      <c r="H306" s="1581" t="e">
        <f t="shared" si="24"/>
        <v>#DIV/0!</v>
      </c>
    </row>
    <row r="307" spans="1:8" ht="15" hidden="1" x14ac:dyDescent="0.2">
      <c r="A307" s="1577">
        <v>3636</v>
      </c>
      <c r="B307" s="1578">
        <v>5167</v>
      </c>
      <c r="C307" s="1629">
        <v>38500881</v>
      </c>
      <c r="D307" s="1579" t="s">
        <v>810</v>
      </c>
      <c r="E307" s="1580"/>
      <c r="F307" s="1580"/>
      <c r="G307" s="1580"/>
      <c r="H307" s="1581" t="e">
        <f t="shared" si="24"/>
        <v>#DIV/0!</v>
      </c>
    </row>
    <row r="308" spans="1:8" ht="15" hidden="1" x14ac:dyDescent="0.2">
      <c r="A308" s="1577">
        <v>3636</v>
      </c>
      <c r="B308" s="1578">
        <v>5169</v>
      </c>
      <c r="C308" s="1629">
        <v>38100880</v>
      </c>
      <c r="D308" s="1579" t="s">
        <v>769</v>
      </c>
      <c r="E308" s="1580"/>
      <c r="F308" s="1580"/>
      <c r="G308" s="1580"/>
      <c r="H308" s="1581" t="e">
        <f t="shared" si="24"/>
        <v>#DIV/0!</v>
      </c>
    </row>
    <row r="309" spans="1:8" ht="15" hidden="1" x14ac:dyDescent="0.2">
      <c r="A309" s="1577">
        <v>3636</v>
      </c>
      <c r="B309" s="1578">
        <v>5169</v>
      </c>
      <c r="C309" s="1629">
        <v>38500881</v>
      </c>
      <c r="D309" s="1579" t="s">
        <v>769</v>
      </c>
      <c r="E309" s="1580"/>
      <c r="F309" s="1580"/>
      <c r="G309" s="1580"/>
      <c r="H309" s="1581" t="e">
        <f t="shared" si="24"/>
        <v>#DIV/0!</v>
      </c>
    </row>
    <row r="310" spans="1:8" ht="15" hidden="1" x14ac:dyDescent="0.2">
      <c r="A310" s="1577">
        <v>6223</v>
      </c>
      <c r="B310" s="1578">
        <v>5173</v>
      </c>
      <c r="C310" s="2850">
        <v>0</v>
      </c>
      <c r="D310" s="1579" t="s">
        <v>1038</v>
      </c>
      <c r="E310" s="1580"/>
      <c r="F310" s="1580"/>
      <c r="G310" s="1580"/>
      <c r="H310" s="1581">
        <v>0</v>
      </c>
    </row>
    <row r="311" spans="1:8" ht="15" hidden="1" x14ac:dyDescent="0.2">
      <c r="A311" s="1577">
        <v>3636</v>
      </c>
      <c r="B311" s="1578">
        <v>5173</v>
      </c>
      <c r="C311" s="1629">
        <v>38500881</v>
      </c>
      <c r="D311" s="1579" t="s">
        <v>1038</v>
      </c>
      <c r="E311" s="1580"/>
      <c r="F311" s="1580"/>
      <c r="G311" s="1580"/>
      <c r="H311" s="1581" t="e">
        <f t="shared" ref="H311:H318" si="25">G311/F311*100</f>
        <v>#DIV/0!</v>
      </c>
    </row>
    <row r="312" spans="1:8" ht="15" hidden="1" x14ac:dyDescent="0.2">
      <c r="A312" s="1577">
        <v>3636</v>
      </c>
      <c r="B312" s="1578">
        <v>5175</v>
      </c>
      <c r="C312" s="1629">
        <v>38100880</v>
      </c>
      <c r="D312" s="1579" t="s">
        <v>605</v>
      </c>
      <c r="E312" s="1580"/>
      <c r="F312" s="1580"/>
      <c r="G312" s="1580"/>
      <c r="H312" s="1581" t="e">
        <f t="shared" si="25"/>
        <v>#DIV/0!</v>
      </c>
    </row>
    <row r="313" spans="1:8" ht="15" hidden="1" x14ac:dyDescent="0.2">
      <c r="A313" s="1577">
        <v>3636</v>
      </c>
      <c r="B313" s="1578">
        <v>5175</v>
      </c>
      <c r="C313" s="1629">
        <v>38500881</v>
      </c>
      <c r="D313" s="1579" t="s">
        <v>605</v>
      </c>
      <c r="E313" s="1580"/>
      <c r="F313" s="1580"/>
      <c r="G313" s="1580"/>
      <c r="H313" s="1581" t="e">
        <f t="shared" si="25"/>
        <v>#DIV/0!</v>
      </c>
    </row>
    <row r="314" spans="1:8" ht="15" hidden="1" x14ac:dyDescent="0.2">
      <c r="A314" s="1577">
        <v>3636</v>
      </c>
      <c r="B314" s="1578">
        <v>5176</v>
      </c>
      <c r="C314" s="1629">
        <v>38100880</v>
      </c>
      <c r="D314" s="1579" t="s">
        <v>1119</v>
      </c>
      <c r="E314" s="1580"/>
      <c r="F314" s="1580"/>
      <c r="G314" s="1580"/>
      <c r="H314" s="1581" t="e">
        <f t="shared" si="25"/>
        <v>#DIV/0!</v>
      </c>
    </row>
    <row r="315" spans="1:8" ht="15" hidden="1" x14ac:dyDescent="0.2">
      <c r="A315" s="1577">
        <v>3636</v>
      </c>
      <c r="B315" s="1578">
        <v>5176</v>
      </c>
      <c r="C315" s="1629">
        <v>38500881</v>
      </c>
      <c r="D315" s="1579" t="s">
        <v>1119</v>
      </c>
      <c r="E315" s="1580"/>
      <c r="F315" s="1580"/>
      <c r="G315" s="1580"/>
      <c r="H315" s="1581" t="e">
        <f t="shared" si="25"/>
        <v>#DIV/0!</v>
      </c>
    </row>
    <row r="316" spans="1:8" ht="30" x14ac:dyDescent="0.2">
      <c r="A316" s="1577">
        <v>3123</v>
      </c>
      <c r="B316" s="1578">
        <v>6356</v>
      </c>
      <c r="C316" s="1629" t="s">
        <v>2127</v>
      </c>
      <c r="D316" s="1579" t="s">
        <v>1552</v>
      </c>
      <c r="E316" s="1580">
        <v>0</v>
      </c>
      <c r="F316" s="1580">
        <v>18</v>
      </c>
      <c r="G316" s="1580">
        <v>18</v>
      </c>
      <c r="H316" s="1581">
        <f t="shared" si="25"/>
        <v>100</v>
      </c>
    </row>
    <row r="317" spans="1:8" ht="30.75" thickBot="1" x14ac:dyDescent="0.25">
      <c r="A317" s="1577">
        <v>3123</v>
      </c>
      <c r="B317" s="1578">
        <v>6356</v>
      </c>
      <c r="C317" s="1629" t="s">
        <v>2126</v>
      </c>
      <c r="D317" s="1579" t="s">
        <v>1552</v>
      </c>
      <c r="E317" s="1580">
        <v>0</v>
      </c>
      <c r="F317" s="1580">
        <v>100</v>
      </c>
      <c r="G317" s="1580">
        <v>100</v>
      </c>
      <c r="H317" s="1583">
        <f t="shared" si="25"/>
        <v>100</v>
      </c>
    </row>
    <row r="318" spans="1:8" ht="16.5" thickTop="1" thickBot="1" x14ac:dyDescent="0.3">
      <c r="A318" s="3219" t="s">
        <v>690</v>
      </c>
      <c r="B318" s="3220"/>
      <c r="C318" s="3220"/>
      <c r="D318" s="3220"/>
      <c r="E318" s="1387">
        <f>SUM(E288:E317)</f>
        <v>0</v>
      </c>
      <c r="F318" s="1387">
        <f>SUM(F288:F317)</f>
        <v>754</v>
      </c>
      <c r="G318" s="1387">
        <f>SUM(G288:G317)</f>
        <v>751</v>
      </c>
      <c r="H318" s="1391">
        <f t="shared" si="25"/>
        <v>99.602122015915114</v>
      </c>
    </row>
    <row r="319" spans="1:8" ht="13.5" thickTop="1" x14ac:dyDescent="0.2"/>
    <row r="320" spans="1:8" ht="15.75" customHeight="1" x14ac:dyDescent="0.25">
      <c r="A320" s="3233" t="s">
        <v>1557</v>
      </c>
      <c r="B320" s="3233"/>
      <c r="C320" s="3233"/>
      <c r="D320" s="3233"/>
      <c r="E320" s="3233"/>
      <c r="F320" s="3233"/>
      <c r="G320" s="3233"/>
      <c r="H320" s="3233"/>
    </row>
    <row r="321" spans="1:8" ht="15.75" thickBot="1" x14ac:dyDescent="0.3">
      <c r="A321" s="1544" t="s">
        <v>1558</v>
      </c>
      <c r="B321" s="1558"/>
      <c r="C321" s="1558"/>
      <c r="E321" s="1559"/>
      <c r="F321" s="1559"/>
      <c r="G321" s="1559"/>
      <c r="H321" s="1560" t="s">
        <v>148</v>
      </c>
    </row>
    <row r="322" spans="1:8" ht="25.5" thickTop="1" thickBot="1" x14ac:dyDescent="0.25">
      <c r="A322" s="1378" t="s">
        <v>149</v>
      </c>
      <c r="B322" s="1379" t="s">
        <v>688</v>
      </c>
      <c r="C322" s="1379" t="s">
        <v>345</v>
      </c>
      <c r="D322" s="1380" t="s">
        <v>151</v>
      </c>
      <c r="E322" s="1402" t="s">
        <v>569</v>
      </c>
      <c r="F322" s="1402" t="s">
        <v>570</v>
      </c>
      <c r="G322" s="1403" t="s">
        <v>797</v>
      </c>
      <c r="H322" s="1404" t="s">
        <v>798</v>
      </c>
    </row>
    <row r="323" spans="1:8" ht="14.25" thickTop="1" thickBot="1" x14ac:dyDescent="0.25">
      <c r="A323" s="1297">
        <v>1</v>
      </c>
      <c r="B323" s="1296">
        <v>2</v>
      </c>
      <c r="C323" s="1296">
        <v>3</v>
      </c>
      <c r="D323" s="1296">
        <v>4</v>
      </c>
      <c r="E323" s="1295">
        <v>5</v>
      </c>
      <c r="F323" s="1295">
        <v>6</v>
      </c>
      <c r="G323" s="1446">
        <v>7</v>
      </c>
      <c r="H323" s="1468" t="s">
        <v>54</v>
      </c>
    </row>
    <row r="324" spans="1:8" ht="15.75" hidden="1" thickTop="1" x14ac:dyDescent="0.2">
      <c r="A324" s="1572">
        <v>3636</v>
      </c>
      <c r="B324" s="1573">
        <v>5011</v>
      </c>
      <c r="C324" s="1582">
        <v>0</v>
      </c>
      <c r="D324" s="1574" t="s">
        <v>189</v>
      </c>
      <c r="E324" s="1575">
        <v>0</v>
      </c>
      <c r="F324" s="1575">
        <v>0</v>
      </c>
      <c r="G324" s="1575">
        <v>0</v>
      </c>
      <c r="H324" s="1576" t="e">
        <f t="shared" ref="H324:H331" si="26">G324/F324*100</f>
        <v>#DIV/0!</v>
      </c>
    </row>
    <row r="325" spans="1:8" ht="15.75" hidden="1" thickTop="1" x14ac:dyDescent="0.2">
      <c r="A325" s="1577">
        <v>3636</v>
      </c>
      <c r="B325" s="1578">
        <v>5011</v>
      </c>
      <c r="C325" s="1578">
        <v>38500881</v>
      </c>
      <c r="D325" s="1579" t="s">
        <v>189</v>
      </c>
      <c r="E325" s="1580">
        <v>0</v>
      </c>
      <c r="F325" s="1580">
        <v>0</v>
      </c>
      <c r="G325" s="1580">
        <v>0</v>
      </c>
      <c r="H325" s="1581" t="e">
        <f t="shared" si="26"/>
        <v>#DIV/0!</v>
      </c>
    </row>
    <row r="326" spans="1:8" ht="30.75" thickTop="1" x14ac:dyDescent="0.2">
      <c r="A326" s="1577">
        <v>3122</v>
      </c>
      <c r="B326" s="1578">
        <v>5336</v>
      </c>
      <c r="C326" s="2850" t="s">
        <v>1849</v>
      </c>
      <c r="D326" s="1579" t="s">
        <v>1131</v>
      </c>
      <c r="E326" s="1580">
        <v>0</v>
      </c>
      <c r="F326" s="1580">
        <f>11+106</f>
        <v>117</v>
      </c>
      <c r="G326" s="1580">
        <f>11+106</f>
        <v>117</v>
      </c>
      <c r="H326" s="1581">
        <f t="shared" si="26"/>
        <v>100</v>
      </c>
    </row>
    <row r="327" spans="1:8" ht="15" hidden="1" x14ac:dyDescent="0.2">
      <c r="A327" s="1577">
        <v>3636</v>
      </c>
      <c r="B327" s="1578">
        <v>5021</v>
      </c>
      <c r="C327" s="1629">
        <v>38500881</v>
      </c>
      <c r="D327" s="1579" t="s">
        <v>356</v>
      </c>
      <c r="E327" s="1580"/>
      <c r="F327" s="1580"/>
      <c r="G327" s="1580"/>
      <c r="H327" s="1581" t="e">
        <f t="shared" si="26"/>
        <v>#DIV/0!</v>
      </c>
    </row>
    <row r="328" spans="1:8" ht="30" hidden="1" x14ac:dyDescent="0.2">
      <c r="A328" s="1577">
        <v>3636</v>
      </c>
      <c r="B328" s="1578">
        <v>5031</v>
      </c>
      <c r="C328" s="1629">
        <v>38100880</v>
      </c>
      <c r="D328" s="1579" t="s">
        <v>1165</v>
      </c>
      <c r="E328" s="1580"/>
      <c r="F328" s="1580"/>
      <c r="G328" s="1580"/>
      <c r="H328" s="1581" t="e">
        <f t="shared" si="26"/>
        <v>#DIV/0!</v>
      </c>
    </row>
    <row r="329" spans="1:8" ht="30" hidden="1" x14ac:dyDescent="0.2">
      <c r="A329" s="1577">
        <v>3636</v>
      </c>
      <c r="B329" s="1578">
        <v>5031</v>
      </c>
      <c r="C329" s="1629">
        <v>38500881</v>
      </c>
      <c r="D329" s="1579" t="s">
        <v>1165</v>
      </c>
      <c r="E329" s="1580"/>
      <c r="F329" s="1580"/>
      <c r="G329" s="1580"/>
      <c r="H329" s="1581" t="e">
        <f t="shared" si="26"/>
        <v>#DIV/0!</v>
      </c>
    </row>
    <row r="330" spans="1:8" ht="30" hidden="1" x14ac:dyDescent="0.2">
      <c r="A330" s="1577">
        <v>3636</v>
      </c>
      <c r="B330" s="1578">
        <v>5032</v>
      </c>
      <c r="C330" s="1629">
        <v>38100880</v>
      </c>
      <c r="D330" s="1579" t="s">
        <v>1058</v>
      </c>
      <c r="E330" s="1580"/>
      <c r="F330" s="1580"/>
      <c r="G330" s="1580"/>
      <c r="H330" s="1581" t="e">
        <f t="shared" si="26"/>
        <v>#DIV/0!</v>
      </c>
    </row>
    <row r="331" spans="1:8" ht="30" hidden="1" x14ac:dyDescent="0.2">
      <c r="A331" s="1577">
        <v>3636</v>
      </c>
      <c r="B331" s="1578">
        <v>5032</v>
      </c>
      <c r="C331" s="1629">
        <v>38500881</v>
      </c>
      <c r="D331" s="1579" t="s">
        <v>1058</v>
      </c>
      <c r="E331" s="1580"/>
      <c r="F331" s="1580"/>
      <c r="G331" s="1580"/>
      <c r="H331" s="1581" t="e">
        <f t="shared" si="26"/>
        <v>#DIV/0!</v>
      </c>
    </row>
    <row r="332" spans="1:8" ht="15" hidden="1" x14ac:dyDescent="0.2">
      <c r="A332" s="1577">
        <v>3636</v>
      </c>
      <c r="B332" s="1578">
        <v>5139</v>
      </c>
      <c r="C332" s="1629">
        <v>38100880</v>
      </c>
      <c r="D332" s="1579" t="s">
        <v>249</v>
      </c>
      <c r="E332" s="1580"/>
      <c r="F332" s="1580"/>
      <c r="G332" s="1580"/>
      <c r="H332" s="1581">
        <v>0</v>
      </c>
    </row>
    <row r="333" spans="1:8" ht="15" hidden="1" x14ac:dyDescent="0.2">
      <c r="A333" s="1577">
        <v>3636</v>
      </c>
      <c r="B333" s="1578">
        <v>5139</v>
      </c>
      <c r="C333" s="1629">
        <v>38500881</v>
      </c>
      <c r="D333" s="1579" t="s">
        <v>249</v>
      </c>
      <c r="E333" s="1580"/>
      <c r="F333" s="1580"/>
      <c r="G333" s="1580"/>
      <c r="H333" s="1581" t="e">
        <f t="shared" ref="H333:H345" si="27">G333/F333*100</f>
        <v>#DIV/0!</v>
      </c>
    </row>
    <row r="334" spans="1:8" ht="15" hidden="1" x14ac:dyDescent="0.2">
      <c r="A334" s="1577">
        <v>3636</v>
      </c>
      <c r="B334" s="1578">
        <v>5162</v>
      </c>
      <c r="C334" s="1629">
        <v>38100880</v>
      </c>
      <c r="D334" s="1579" t="s">
        <v>780</v>
      </c>
      <c r="E334" s="1580"/>
      <c r="F334" s="1580"/>
      <c r="G334" s="1580"/>
      <c r="H334" s="1581" t="e">
        <f t="shared" si="27"/>
        <v>#DIV/0!</v>
      </c>
    </row>
    <row r="335" spans="1:8" ht="15" hidden="1" x14ac:dyDescent="0.2">
      <c r="A335" s="1577">
        <v>3636</v>
      </c>
      <c r="B335" s="1578">
        <v>5162</v>
      </c>
      <c r="C335" s="1629">
        <v>38500881</v>
      </c>
      <c r="D335" s="1579" t="s">
        <v>780</v>
      </c>
      <c r="E335" s="1580"/>
      <c r="F335" s="1580"/>
      <c r="G335" s="1580"/>
      <c r="H335" s="1581" t="e">
        <f t="shared" si="27"/>
        <v>#DIV/0!</v>
      </c>
    </row>
    <row r="336" spans="1:8" ht="15" hidden="1" x14ac:dyDescent="0.2">
      <c r="A336" s="1577">
        <v>3636</v>
      </c>
      <c r="B336" s="1578">
        <v>5164</v>
      </c>
      <c r="C336" s="1629">
        <v>38100880</v>
      </c>
      <c r="D336" s="1579" t="s">
        <v>157</v>
      </c>
      <c r="E336" s="1580"/>
      <c r="F336" s="1580"/>
      <c r="G336" s="1580"/>
      <c r="H336" s="1581" t="e">
        <f t="shared" si="27"/>
        <v>#DIV/0!</v>
      </c>
    </row>
    <row r="337" spans="1:8" ht="15" hidden="1" x14ac:dyDescent="0.2">
      <c r="A337" s="1577">
        <v>3636</v>
      </c>
      <c r="B337" s="1578">
        <v>5164</v>
      </c>
      <c r="C337" s="1629">
        <v>38500881</v>
      </c>
      <c r="D337" s="1579" t="s">
        <v>157</v>
      </c>
      <c r="E337" s="1580"/>
      <c r="F337" s="1580"/>
      <c r="G337" s="1580"/>
      <c r="H337" s="1581" t="e">
        <f t="shared" si="27"/>
        <v>#DIV/0!</v>
      </c>
    </row>
    <row r="338" spans="1:8" ht="30" x14ac:dyDescent="0.2">
      <c r="A338" s="1577">
        <v>3122</v>
      </c>
      <c r="B338" s="1578">
        <v>5336</v>
      </c>
      <c r="C338" s="2850" t="s">
        <v>1850</v>
      </c>
      <c r="D338" s="1579" t="s">
        <v>1131</v>
      </c>
      <c r="E338" s="1580">
        <v>0</v>
      </c>
      <c r="F338" s="1580">
        <f>64+599</f>
        <v>663</v>
      </c>
      <c r="G338" s="1580">
        <f>64+599</f>
        <v>663</v>
      </c>
      <c r="H338" s="1581">
        <f t="shared" si="27"/>
        <v>100</v>
      </c>
    </row>
    <row r="339" spans="1:8" ht="15" hidden="1" x14ac:dyDescent="0.2">
      <c r="A339" s="1577">
        <v>6223</v>
      </c>
      <c r="B339" s="1578">
        <v>5166</v>
      </c>
      <c r="C339" s="1629">
        <v>41100880</v>
      </c>
      <c r="D339" s="1579" t="s">
        <v>553</v>
      </c>
      <c r="E339" s="1580"/>
      <c r="F339" s="1580"/>
      <c r="G339" s="1580"/>
      <c r="H339" s="1581" t="e">
        <f t="shared" si="27"/>
        <v>#DIV/0!</v>
      </c>
    </row>
    <row r="340" spans="1:8" ht="15" hidden="1" x14ac:dyDescent="0.2">
      <c r="A340" s="1577">
        <v>6223</v>
      </c>
      <c r="B340" s="1578">
        <v>5166</v>
      </c>
      <c r="C340" s="1629">
        <v>41100882</v>
      </c>
      <c r="D340" s="1579" t="s">
        <v>553</v>
      </c>
      <c r="E340" s="1580"/>
      <c r="F340" s="1580"/>
      <c r="G340" s="1580"/>
      <c r="H340" s="1581" t="e">
        <f t="shared" si="27"/>
        <v>#DIV/0!</v>
      </c>
    </row>
    <row r="341" spans="1:8" ht="15" hidden="1" x14ac:dyDescent="0.2">
      <c r="A341" s="1577">
        <v>6223</v>
      </c>
      <c r="B341" s="1578">
        <v>5166</v>
      </c>
      <c r="C341" s="1629">
        <v>41500881</v>
      </c>
      <c r="D341" s="1579" t="s">
        <v>553</v>
      </c>
      <c r="E341" s="1580"/>
      <c r="F341" s="1580"/>
      <c r="G341" s="1580"/>
      <c r="H341" s="1581" t="e">
        <f t="shared" si="27"/>
        <v>#DIV/0!</v>
      </c>
    </row>
    <row r="342" spans="1:8" ht="15" hidden="1" x14ac:dyDescent="0.2">
      <c r="A342" s="1577">
        <v>3636</v>
      </c>
      <c r="B342" s="1578">
        <v>5167</v>
      </c>
      <c r="C342" s="1629">
        <v>38100880</v>
      </c>
      <c r="D342" s="1579" t="s">
        <v>810</v>
      </c>
      <c r="E342" s="1580"/>
      <c r="F342" s="1580"/>
      <c r="G342" s="1580"/>
      <c r="H342" s="1581" t="e">
        <f t="shared" si="27"/>
        <v>#DIV/0!</v>
      </c>
    </row>
    <row r="343" spans="1:8" ht="15" hidden="1" x14ac:dyDescent="0.2">
      <c r="A343" s="1577">
        <v>3636</v>
      </c>
      <c r="B343" s="1578">
        <v>5167</v>
      </c>
      <c r="C343" s="1629">
        <v>38500881</v>
      </c>
      <c r="D343" s="1579" t="s">
        <v>810</v>
      </c>
      <c r="E343" s="1580"/>
      <c r="F343" s="1580"/>
      <c r="G343" s="1580"/>
      <c r="H343" s="1581" t="e">
        <f t="shared" si="27"/>
        <v>#DIV/0!</v>
      </c>
    </row>
    <row r="344" spans="1:8" ht="15" hidden="1" x14ac:dyDescent="0.2">
      <c r="A344" s="1577">
        <v>3636</v>
      </c>
      <c r="B344" s="1578">
        <v>5169</v>
      </c>
      <c r="C344" s="1629">
        <v>38100880</v>
      </c>
      <c r="D344" s="1579" t="s">
        <v>769</v>
      </c>
      <c r="E344" s="1580"/>
      <c r="F344" s="1580"/>
      <c r="G344" s="1580"/>
      <c r="H344" s="1581" t="e">
        <f t="shared" si="27"/>
        <v>#DIV/0!</v>
      </c>
    </row>
    <row r="345" spans="1:8" ht="15" hidden="1" x14ac:dyDescent="0.2">
      <c r="A345" s="1577">
        <v>3636</v>
      </c>
      <c r="B345" s="1578">
        <v>5169</v>
      </c>
      <c r="C345" s="1629">
        <v>38500881</v>
      </c>
      <c r="D345" s="1579" t="s">
        <v>769</v>
      </c>
      <c r="E345" s="1580"/>
      <c r="F345" s="1580"/>
      <c r="G345" s="1580"/>
      <c r="H345" s="1581" t="e">
        <f t="shared" si="27"/>
        <v>#DIV/0!</v>
      </c>
    </row>
    <row r="346" spans="1:8" ht="15" hidden="1" x14ac:dyDescent="0.2">
      <c r="A346" s="1577">
        <v>6223</v>
      </c>
      <c r="B346" s="1578">
        <v>5173</v>
      </c>
      <c r="C346" s="2850">
        <v>0</v>
      </c>
      <c r="D346" s="1579" t="s">
        <v>1038</v>
      </c>
      <c r="E346" s="1580"/>
      <c r="F346" s="1580"/>
      <c r="G346" s="1580"/>
      <c r="H346" s="1581">
        <v>0</v>
      </c>
    </row>
    <row r="347" spans="1:8" ht="15" hidden="1" x14ac:dyDescent="0.2">
      <c r="A347" s="1577">
        <v>3636</v>
      </c>
      <c r="B347" s="1578">
        <v>5173</v>
      </c>
      <c r="C347" s="1629">
        <v>38500881</v>
      </c>
      <c r="D347" s="1579" t="s">
        <v>1038</v>
      </c>
      <c r="E347" s="1580"/>
      <c r="F347" s="1580"/>
      <c r="G347" s="1580"/>
      <c r="H347" s="1581" t="e">
        <f t="shared" ref="H347:H354" si="28">G347/F347*100</f>
        <v>#DIV/0!</v>
      </c>
    </row>
    <row r="348" spans="1:8" ht="15" hidden="1" x14ac:dyDescent="0.2">
      <c r="A348" s="1577">
        <v>3636</v>
      </c>
      <c r="B348" s="1578">
        <v>5175</v>
      </c>
      <c r="C348" s="1629">
        <v>38100880</v>
      </c>
      <c r="D348" s="1579" t="s">
        <v>605</v>
      </c>
      <c r="E348" s="1580"/>
      <c r="F348" s="1580"/>
      <c r="G348" s="1580"/>
      <c r="H348" s="1581" t="e">
        <f t="shared" si="28"/>
        <v>#DIV/0!</v>
      </c>
    </row>
    <row r="349" spans="1:8" ht="15" hidden="1" x14ac:dyDescent="0.2">
      <c r="A349" s="1577">
        <v>3636</v>
      </c>
      <c r="B349" s="1578">
        <v>5175</v>
      </c>
      <c r="C349" s="1629">
        <v>38500881</v>
      </c>
      <c r="D349" s="1579" t="s">
        <v>605</v>
      </c>
      <c r="E349" s="1580"/>
      <c r="F349" s="1580"/>
      <c r="G349" s="1580"/>
      <c r="H349" s="1581" t="e">
        <f t="shared" si="28"/>
        <v>#DIV/0!</v>
      </c>
    </row>
    <row r="350" spans="1:8" ht="15" hidden="1" x14ac:dyDescent="0.2">
      <c r="A350" s="1577">
        <v>3636</v>
      </c>
      <c r="B350" s="1578">
        <v>5176</v>
      </c>
      <c r="C350" s="1629">
        <v>38100880</v>
      </c>
      <c r="D350" s="1579" t="s">
        <v>1119</v>
      </c>
      <c r="E350" s="1580"/>
      <c r="F350" s="1580"/>
      <c r="G350" s="1580"/>
      <c r="H350" s="1581" t="e">
        <f t="shared" si="28"/>
        <v>#DIV/0!</v>
      </c>
    </row>
    <row r="351" spans="1:8" ht="15" hidden="1" x14ac:dyDescent="0.2">
      <c r="A351" s="1577">
        <v>3636</v>
      </c>
      <c r="B351" s="1578">
        <v>5176</v>
      </c>
      <c r="C351" s="1629">
        <v>38500881</v>
      </c>
      <c r="D351" s="1579" t="s">
        <v>1119</v>
      </c>
      <c r="E351" s="1580"/>
      <c r="F351" s="1580"/>
      <c r="G351" s="1580"/>
      <c r="H351" s="1581" t="e">
        <f t="shared" si="28"/>
        <v>#DIV/0!</v>
      </c>
    </row>
    <row r="352" spans="1:8" ht="30" x14ac:dyDescent="0.2">
      <c r="A352" s="1577">
        <v>3122</v>
      </c>
      <c r="B352" s="1578">
        <v>6356</v>
      </c>
      <c r="C352" s="1629" t="s">
        <v>2127</v>
      </c>
      <c r="D352" s="1579" t="s">
        <v>1552</v>
      </c>
      <c r="E352" s="1580">
        <v>0</v>
      </c>
      <c r="F352" s="1580">
        <v>66</v>
      </c>
      <c r="G352" s="1580">
        <v>66</v>
      </c>
      <c r="H352" s="1581">
        <f t="shared" si="28"/>
        <v>100</v>
      </c>
    </row>
    <row r="353" spans="1:8" ht="30.75" thickBot="1" x14ac:dyDescent="0.25">
      <c r="A353" s="1577">
        <v>3122</v>
      </c>
      <c r="B353" s="1578">
        <v>6356</v>
      </c>
      <c r="C353" s="1629" t="s">
        <v>2126</v>
      </c>
      <c r="D353" s="1579" t="s">
        <v>1552</v>
      </c>
      <c r="E353" s="1580">
        <v>0</v>
      </c>
      <c r="F353" s="1580">
        <v>372</v>
      </c>
      <c r="G353" s="1580">
        <v>372</v>
      </c>
      <c r="H353" s="1583">
        <f t="shared" si="28"/>
        <v>100</v>
      </c>
    </row>
    <row r="354" spans="1:8" ht="16.5" thickTop="1" thickBot="1" x14ac:dyDescent="0.3">
      <c r="A354" s="3219" t="s">
        <v>690</v>
      </c>
      <c r="B354" s="3220"/>
      <c r="C354" s="3220"/>
      <c r="D354" s="3220"/>
      <c r="E354" s="1387">
        <f>SUM(E324:E353)</f>
        <v>0</v>
      </c>
      <c r="F354" s="1387">
        <f>SUM(F324:F353)</f>
        <v>1218</v>
      </c>
      <c r="G354" s="1387">
        <f>SUM(G324:G353)</f>
        <v>1218</v>
      </c>
      <c r="H354" s="1391">
        <f t="shared" si="28"/>
        <v>100</v>
      </c>
    </row>
    <row r="355" spans="1:8" ht="13.5" thickTop="1" x14ac:dyDescent="0.2"/>
    <row r="356" spans="1:8" ht="15.75" customHeight="1" x14ac:dyDescent="0.25">
      <c r="A356" s="3233" t="s">
        <v>1362</v>
      </c>
      <c r="B356" s="3151"/>
      <c r="C356" s="3151"/>
      <c r="D356" s="3151"/>
      <c r="E356" s="3151"/>
      <c r="F356" s="3151"/>
      <c r="G356" s="3151"/>
      <c r="H356" s="3151"/>
    </row>
    <row r="357" spans="1:8" ht="15.75" thickBot="1" x14ac:dyDescent="0.3">
      <c r="A357" s="1544" t="s">
        <v>503</v>
      </c>
      <c r="B357" s="1558"/>
      <c r="C357" s="1558"/>
      <c r="E357" s="1559"/>
      <c r="F357" s="1559"/>
      <c r="G357" s="1559"/>
      <c r="H357" s="1560" t="s">
        <v>148</v>
      </c>
    </row>
    <row r="358" spans="1:8" ht="25.5" thickTop="1" thickBot="1" x14ac:dyDescent="0.25">
      <c r="A358" s="1378" t="s">
        <v>149</v>
      </c>
      <c r="B358" s="1379" t="s">
        <v>688</v>
      </c>
      <c r="C358" s="1379" t="s">
        <v>345</v>
      </c>
      <c r="D358" s="1380" t="s">
        <v>151</v>
      </c>
      <c r="E358" s="1402" t="s">
        <v>569</v>
      </c>
      <c r="F358" s="1402" t="s">
        <v>570</v>
      </c>
      <c r="G358" s="1403" t="s">
        <v>797</v>
      </c>
      <c r="H358" s="1404" t="s">
        <v>798</v>
      </c>
    </row>
    <row r="359" spans="1:8" ht="14.25" thickTop="1" thickBot="1" x14ac:dyDescent="0.25">
      <c r="A359" s="1297">
        <v>1</v>
      </c>
      <c r="B359" s="1296">
        <v>2</v>
      </c>
      <c r="C359" s="1296">
        <v>3</v>
      </c>
      <c r="D359" s="1296">
        <v>4</v>
      </c>
      <c r="E359" s="1295">
        <v>5</v>
      </c>
      <c r="F359" s="1295">
        <v>6</v>
      </c>
      <c r="G359" s="1446">
        <v>7</v>
      </c>
      <c r="H359" s="1468" t="s">
        <v>54</v>
      </c>
    </row>
    <row r="360" spans="1:8" ht="15.75" hidden="1" thickTop="1" x14ac:dyDescent="0.2">
      <c r="A360" s="1572">
        <v>3636</v>
      </c>
      <c r="B360" s="1573">
        <v>5011</v>
      </c>
      <c r="C360" s="1582">
        <v>0</v>
      </c>
      <c r="D360" s="1574" t="s">
        <v>189</v>
      </c>
      <c r="E360" s="1575">
        <v>0</v>
      </c>
      <c r="F360" s="1575">
        <v>0</v>
      </c>
      <c r="G360" s="1575">
        <v>0</v>
      </c>
      <c r="H360" s="1576" t="e">
        <f t="shared" ref="H360:H367" si="29">G360/F360*100</f>
        <v>#DIV/0!</v>
      </c>
    </row>
    <row r="361" spans="1:8" ht="15.75" hidden="1" thickTop="1" x14ac:dyDescent="0.2">
      <c r="A361" s="1577">
        <v>3636</v>
      </c>
      <c r="B361" s="1578">
        <v>5011</v>
      </c>
      <c r="C361" s="1578">
        <v>38500881</v>
      </c>
      <c r="D361" s="1579" t="s">
        <v>189</v>
      </c>
      <c r="E361" s="1580">
        <v>0</v>
      </c>
      <c r="F361" s="1580">
        <v>0</v>
      </c>
      <c r="G361" s="1580">
        <v>0</v>
      </c>
      <c r="H361" s="1581" t="e">
        <f t="shared" si="29"/>
        <v>#DIV/0!</v>
      </c>
    </row>
    <row r="362" spans="1:8" ht="30.75" thickTop="1" x14ac:dyDescent="0.2">
      <c r="A362" s="1577">
        <v>3122</v>
      </c>
      <c r="B362" s="1578">
        <v>5336</v>
      </c>
      <c r="C362" s="2850" t="s">
        <v>1849</v>
      </c>
      <c r="D362" s="1579" t="s">
        <v>1131</v>
      </c>
      <c r="E362" s="1580">
        <v>0</v>
      </c>
      <c r="F362" s="1580">
        <f>8+73</f>
        <v>81</v>
      </c>
      <c r="G362" s="1580">
        <f>8+73</f>
        <v>81</v>
      </c>
      <c r="H362" s="1581">
        <f t="shared" si="29"/>
        <v>100</v>
      </c>
    </row>
    <row r="363" spans="1:8" ht="15" hidden="1" x14ac:dyDescent="0.2">
      <c r="A363" s="1577">
        <v>3636</v>
      </c>
      <c r="B363" s="1578">
        <v>5021</v>
      </c>
      <c r="C363" s="1629">
        <v>38500881</v>
      </c>
      <c r="D363" s="1579" t="s">
        <v>356</v>
      </c>
      <c r="E363" s="1580"/>
      <c r="F363" s="1580"/>
      <c r="G363" s="1580"/>
      <c r="H363" s="1581" t="e">
        <f t="shared" si="29"/>
        <v>#DIV/0!</v>
      </c>
    </row>
    <row r="364" spans="1:8" ht="30" hidden="1" x14ac:dyDescent="0.2">
      <c r="A364" s="1577">
        <v>3636</v>
      </c>
      <c r="B364" s="1578">
        <v>5031</v>
      </c>
      <c r="C364" s="1629">
        <v>38100880</v>
      </c>
      <c r="D364" s="1579" t="s">
        <v>1165</v>
      </c>
      <c r="E364" s="1580"/>
      <c r="F364" s="1580"/>
      <c r="G364" s="1580"/>
      <c r="H364" s="1581" t="e">
        <f t="shared" si="29"/>
        <v>#DIV/0!</v>
      </c>
    </row>
    <row r="365" spans="1:8" ht="30" hidden="1" x14ac:dyDescent="0.2">
      <c r="A365" s="1577">
        <v>3636</v>
      </c>
      <c r="B365" s="1578">
        <v>5031</v>
      </c>
      <c r="C365" s="1629">
        <v>38500881</v>
      </c>
      <c r="D365" s="1579" t="s">
        <v>1165</v>
      </c>
      <c r="E365" s="1580"/>
      <c r="F365" s="1580"/>
      <c r="G365" s="1580"/>
      <c r="H365" s="1581" t="e">
        <f t="shared" si="29"/>
        <v>#DIV/0!</v>
      </c>
    </row>
    <row r="366" spans="1:8" ht="30" hidden="1" x14ac:dyDescent="0.2">
      <c r="A366" s="1577">
        <v>3636</v>
      </c>
      <c r="B366" s="1578">
        <v>5032</v>
      </c>
      <c r="C366" s="1629">
        <v>38100880</v>
      </c>
      <c r="D366" s="1579" t="s">
        <v>1058</v>
      </c>
      <c r="E366" s="1580"/>
      <c r="F366" s="1580"/>
      <c r="G366" s="1580"/>
      <c r="H366" s="1581" t="e">
        <f t="shared" si="29"/>
        <v>#DIV/0!</v>
      </c>
    </row>
    <row r="367" spans="1:8" ht="30" hidden="1" x14ac:dyDescent="0.2">
      <c r="A367" s="1577">
        <v>3636</v>
      </c>
      <c r="B367" s="1578">
        <v>5032</v>
      </c>
      <c r="C367" s="1629">
        <v>38500881</v>
      </c>
      <c r="D367" s="1579" t="s">
        <v>1058</v>
      </c>
      <c r="E367" s="1580"/>
      <c r="F367" s="1580"/>
      <c r="G367" s="1580"/>
      <c r="H367" s="1581" t="e">
        <f t="shared" si="29"/>
        <v>#DIV/0!</v>
      </c>
    </row>
    <row r="368" spans="1:8" ht="15" hidden="1" x14ac:dyDescent="0.2">
      <c r="A368" s="1577">
        <v>3636</v>
      </c>
      <c r="B368" s="1578">
        <v>5139</v>
      </c>
      <c r="C368" s="1629">
        <v>38100880</v>
      </c>
      <c r="D368" s="1579" t="s">
        <v>249</v>
      </c>
      <c r="E368" s="1580"/>
      <c r="F368" s="1580"/>
      <c r="G368" s="1580"/>
      <c r="H368" s="1581">
        <v>0</v>
      </c>
    </row>
    <row r="369" spans="1:8" ht="15" hidden="1" x14ac:dyDescent="0.2">
      <c r="A369" s="1577">
        <v>3636</v>
      </c>
      <c r="B369" s="1578">
        <v>5139</v>
      </c>
      <c r="C369" s="1629">
        <v>38500881</v>
      </c>
      <c r="D369" s="1579" t="s">
        <v>249</v>
      </c>
      <c r="E369" s="1580"/>
      <c r="F369" s="1580"/>
      <c r="G369" s="1580"/>
      <c r="H369" s="1581" t="e">
        <f t="shared" ref="H369:H381" si="30">G369/F369*100</f>
        <v>#DIV/0!</v>
      </c>
    </row>
    <row r="370" spans="1:8" ht="15" hidden="1" x14ac:dyDescent="0.2">
      <c r="A370" s="1577">
        <v>3636</v>
      </c>
      <c r="B370" s="1578">
        <v>5162</v>
      </c>
      <c r="C370" s="1629">
        <v>38100880</v>
      </c>
      <c r="D370" s="1579" t="s">
        <v>780</v>
      </c>
      <c r="E370" s="1580"/>
      <c r="F370" s="1580"/>
      <c r="G370" s="1580"/>
      <c r="H370" s="1581" t="e">
        <f t="shared" si="30"/>
        <v>#DIV/0!</v>
      </c>
    </row>
    <row r="371" spans="1:8" ht="15" hidden="1" x14ac:dyDescent="0.2">
      <c r="A371" s="1577">
        <v>3636</v>
      </c>
      <c r="B371" s="1578">
        <v>5162</v>
      </c>
      <c r="C371" s="1629">
        <v>38500881</v>
      </c>
      <c r="D371" s="1579" t="s">
        <v>780</v>
      </c>
      <c r="E371" s="1580"/>
      <c r="F371" s="1580"/>
      <c r="G371" s="1580"/>
      <c r="H371" s="1581" t="e">
        <f t="shared" si="30"/>
        <v>#DIV/0!</v>
      </c>
    </row>
    <row r="372" spans="1:8" ht="15" hidden="1" x14ac:dyDescent="0.2">
      <c r="A372" s="1577">
        <v>3636</v>
      </c>
      <c r="B372" s="1578">
        <v>5164</v>
      </c>
      <c r="C372" s="1629">
        <v>38100880</v>
      </c>
      <c r="D372" s="1579" t="s">
        <v>157</v>
      </c>
      <c r="E372" s="1580"/>
      <c r="F372" s="1580"/>
      <c r="G372" s="1580"/>
      <c r="H372" s="1581" t="e">
        <f t="shared" si="30"/>
        <v>#DIV/0!</v>
      </c>
    </row>
    <row r="373" spans="1:8" ht="15" hidden="1" x14ac:dyDescent="0.2">
      <c r="A373" s="1577">
        <v>3636</v>
      </c>
      <c r="B373" s="1578">
        <v>5164</v>
      </c>
      <c r="C373" s="1629">
        <v>38500881</v>
      </c>
      <c r="D373" s="1579" t="s">
        <v>157</v>
      </c>
      <c r="E373" s="1580"/>
      <c r="F373" s="1580"/>
      <c r="G373" s="1580"/>
      <c r="H373" s="1581" t="e">
        <f t="shared" si="30"/>
        <v>#DIV/0!</v>
      </c>
    </row>
    <row r="374" spans="1:8" ht="30" x14ac:dyDescent="0.2">
      <c r="A374" s="1577">
        <v>3122</v>
      </c>
      <c r="B374" s="1578">
        <v>5336</v>
      </c>
      <c r="C374" s="2850" t="s">
        <v>1850</v>
      </c>
      <c r="D374" s="1579" t="s">
        <v>1131</v>
      </c>
      <c r="E374" s="1580">
        <v>0</v>
      </c>
      <c r="F374" s="1580">
        <f>47+416</f>
        <v>463</v>
      </c>
      <c r="G374" s="1580">
        <f>47+416</f>
        <v>463</v>
      </c>
      <c r="H374" s="1581">
        <f t="shared" si="30"/>
        <v>100</v>
      </c>
    </row>
    <row r="375" spans="1:8" ht="15" hidden="1" x14ac:dyDescent="0.2">
      <c r="A375" s="1577">
        <v>6223</v>
      </c>
      <c r="B375" s="1578">
        <v>5166</v>
      </c>
      <c r="C375" s="1629">
        <v>41100880</v>
      </c>
      <c r="D375" s="1579" t="s">
        <v>553</v>
      </c>
      <c r="E375" s="1580"/>
      <c r="F375" s="1580"/>
      <c r="G375" s="1580"/>
      <c r="H375" s="1581" t="e">
        <f t="shared" si="30"/>
        <v>#DIV/0!</v>
      </c>
    </row>
    <row r="376" spans="1:8" ht="15" hidden="1" x14ac:dyDescent="0.2">
      <c r="A376" s="1577">
        <v>6223</v>
      </c>
      <c r="B376" s="1578">
        <v>5166</v>
      </c>
      <c r="C376" s="1629">
        <v>41100882</v>
      </c>
      <c r="D376" s="1579" t="s">
        <v>553</v>
      </c>
      <c r="E376" s="1580"/>
      <c r="F376" s="1580"/>
      <c r="G376" s="1580"/>
      <c r="H376" s="1581" t="e">
        <f t="shared" si="30"/>
        <v>#DIV/0!</v>
      </c>
    </row>
    <row r="377" spans="1:8" ht="15" hidden="1" x14ac:dyDescent="0.2">
      <c r="A377" s="1577">
        <v>6223</v>
      </c>
      <c r="B377" s="1578">
        <v>5166</v>
      </c>
      <c r="C377" s="1629">
        <v>41500881</v>
      </c>
      <c r="D377" s="1579" t="s">
        <v>553</v>
      </c>
      <c r="E377" s="1580"/>
      <c r="F377" s="1580"/>
      <c r="G377" s="1580"/>
      <c r="H377" s="1581" t="e">
        <f t="shared" si="30"/>
        <v>#DIV/0!</v>
      </c>
    </row>
    <row r="378" spans="1:8" ht="15" hidden="1" x14ac:dyDescent="0.2">
      <c r="A378" s="1577">
        <v>3636</v>
      </c>
      <c r="B378" s="1578">
        <v>5167</v>
      </c>
      <c r="C378" s="1629">
        <v>38100880</v>
      </c>
      <c r="D378" s="1579" t="s">
        <v>810</v>
      </c>
      <c r="E378" s="1580"/>
      <c r="F378" s="1580"/>
      <c r="G378" s="1580"/>
      <c r="H378" s="1581" t="e">
        <f t="shared" si="30"/>
        <v>#DIV/0!</v>
      </c>
    </row>
    <row r="379" spans="1:8" ht="15" hidden="1" x14ac:dyDescent="0.2">
      <c r="A379" s="1577">
        <v>3636</v>
      </c>
      <c r="B379" s="1578">
        <v>5167</v>
      </c>
      <c r="C379" s="1629">
        <v>38500881</v>
      </c>
      <c r="D379" s="1579" t="s">
        <v>810</v>
      </c>
      <c r="E379" s="1580"/>
      <c r="F379" s="1580"/>
      <c r="G379" s="1580"/>
      <c r="H379" s="1581" t="e">
        <f t="shared" si="30"/>
        <v>#DIV/0!</v>
      </c>
    </row>
    <row r="380" spans="1:8" ht="15" hidden="1" x14ac:dyDescent="0.2">
      <c r="A380" s="1577">
        <v>3636</v>
      </c>
      <c r="B380" s="1578">
        <v>5169</v>
      </c>
      <c r="C380" s="1629">
        <v>38100880</v>
      </c>
      <c r="D380" s="1579" t="s">
        <v>769</v>
      </c>
      <c r="E380" s="1580"/>
      <c r="F380" s="1580"/>
      <c r="G380" s="1580"/>
      <c r="H380" s="1581" t="e">
        <f t="shared" si="30"/>
        <v>#DIV/0!</v>
      </c>
    </row>
    <row r="381" spans="1:8" ht="15" hidden="1" x14ac:dyDescent="0.2">
      <c r="A381" s="1577">
        <v>3636</v>
      </c>
      <c r="B381" s="1578">
        <v>5169</v>
      </c>
      <c r="C381" s="1629">
        <v>38500881</v>
      </c>
      <c r="D381" s="1579" t="s">
        <v>769</v>
      </c>
      <c r="E381" s="1580"/>
      <c r="F381" s="1580"/>
      <c r="G381" s="1580"/>
      <c r="H381" s="1581" t="e">
        <f t="shared" si="30"/>
        <v>#DIV/0!</v>
      </c>
    </row>
    <row r="382" spans="1:8" ht="15" hidden="1" x14ac:dyDescent="0.2">
      <c r="A382" s="1577">
        <v>6223</v>
      </c>
      <c r="B382" s="1578">
        <v>5173</v>
      </c>
      <c r="C382" s="2850">
        <v>0</v>
      </c>
      <c r="D382" s="1579" t="s">
        <v>1038</v>
      </c>
      <c r="E382" s="1580"/>
      <c r="F382" s="1580"/>
      <c r="G382" s="1580"/>
      <c r="H382" s="1581">
        <v>0</v>
      </c>
    </row>
    <row r="383" spans="1:8" ht="15" hidden="1" x14ac:dyDescent="0.2">
      <c r="A383" s="1577">
        <v>3636</v>
      </c>
      <c r="B383" s="1578">
        <v>5173</v>
      </c>
      <c r="C383" s="1629">
        <v>38500881</v>
      </c>
      <c r="D383" s="1579" t="s">
        <v>1038</v>
      </c>
      <c r="E383" s="1580"/>
      <c r="F383" s="1580"/>
      <c r="G383" s="1580"/>
      <c r="H383" s="1581" t="e">
        <f t="shared" ref="H383:H390" si="31">G383/F383*100</f>
        <v>#DIV/0!</v>
      </c>
    </row>
    <row r="384" spans="1:8" ht="15" hidden="1" x14ac:dyDescent="0.2">
      <c r="A384" s="1577">
        <v>3636</v>
      </c>
      <c r="B384" s="1578">
        <v>5175</v>
      </c>
      <c r="C384" s="1629">
        <v>38100880</v>
      </c>
      <c r="D384" s="1579" t="s">
        <v>605</v>
      </c>
      <c r="E384" s="1580"/>
      <c r="F384" s="1580"/>
      <c r="G384" s="1580"/>
      <c r="H384" s="1581" t="e">
        <f t="shared" si="31"/>
        <v>#DIV/0!</v>
      </c>
    </row>
    <row r="385" spans="1:8" ht="15" hidden="1" x14ac:dyDescent="0.2">
      <c r="A385" s="1577">
        <v>3636</v>
      </c>
      <c r="B385" s="1578">
        <v>5175</v>
      </c>
      <c r="C385" s="1629">
        <v>38500881</v>
      </c>
      <c r="D385" s="1579" t="s">
        <v>605</v>
      </c>
      <c r="E385" s="1580"/>
      <c r="F385" s="1580"/>
      <c r="G385" s="1580"/>
      <c r="H385" s="1581" t="e">
        <f t="shared" si="31"/>
        <v>#DIV/0!</v>
      </c>
    </row>
    <row r="386" spans="1:8" ht="15" hidden="1" x14ac:dyDescent="0.2">
      <c r="A386" s="1577">
        <v>3636</v>
      </c>
      <c r="B386" s="1578">
        <v>5176</v>
      </c>
      <c r="C386" s="1629">
        <v>38100880</v>
      </c>
      <c r="D386" s="1579" t="s">
        <v>1119</v>
      </c>
      <c r="E386" s="1580"/>
      <c r="F386" s="1580"/>
      <c r="G386" s="1580"/>
      <c r="H386" s="1581" t="e">
        <f t="shared" si="31"/>
        <v>#DIV/0!</v>
      </c>
    </row>
    <row r="387" spans="1:8" ht="15" hidden="1" x14ac:dyDescent="0.2">
      <c r="A387" s="1577">
        <v>3636</v>
      </c>
      <c r="B387" s="1578">
        <v>5176</v>
      </c>
      <c r="C387" s="1629">
        <v>38500881</v>
      </c>
      <c r="D387" s="1579" t="s">
        <v>1119</v>
      </c>
      <c r="E387" s="1580"/>
      <c r="F387" s="1580"/>
      <c r="G387" s="1580"/>
      <c r="H387" s="1581" t="e">
        <f t="shared" si="31"/>
        <v>#DIV/0!</v>
      </c>
    </row>
    <row r="388" spans="1:8" ht="30" x14ac:dyDescent="0.2">
      <c r="A388" s="1577">
        <v>3122</v>
      </c>
      <c r="B388" s="1578">
        <v>6356</v>
      </c>
      <c r="C388" s="1629" t="s">
        <v>2127</v>
      </c>
      <c r="D388" s="1579" t="s">
        <v>1552</v>
      </c>
      <c r="E388" s="1580">
        <v>0</v>
      </c>
      <c r="F388" s="1580">
        <v>2</v>
      </c>
      <c r="G388" s="1580">
        <v>1</v>
      </c>
      <c r="H388" s="1581">
        <f t="shared" si="31"/>
        <v>50</v>
      </c>
    </row>
    <row r="389" spans="1:8" ht="30.75" thickBot="1" x14ac:dyDescent="0.25">
      <c r="A389" s="1577">
        <v>3122</v>
      </c>
      <c r="B389" s="1578">
        <v>6356</v>
      </c>
      <c r="C389" s="1629" t="s">
        <v>2126</v>
      </c>
      <c r="D389" s="1579" t="s">
        <v>1552</v>
      </c>
      <c r="E389" s="1580">
        <v>0</v>
      </c>
      <c r="F389" s="1580">
        <v>11</v>
      </c>
      <c r="G389" s="1580">
        <v>6</v>
      </c>
      <c r="H389" s="1583">
        <f t="shared" si="31"/>
        <v>54.54545454545454</v>
      </c>
    </row>
    <row r="390" spans="1:8" ht="16.5" thickTop="1" thickBot="1" x14ac:dyDescent="0.3">
      <c r="A390" s="3219" t="s">
        <v>690</v>
      </c>
      <c r="B390" s="3220"/>
      <c r="C390" s="3220"/>
      <c r="D390" s="3220"/>
      <c r="E390" s="1387">
        <f>SUM(E360:E389)</f>
        <v>0</v>
      </c>
      <c r="F390" s="1387">
        <f>SUM(F360:F389)</f>
        <v>557</v>
      </c>
      <c r="G390" s="1387">
        <f>SUM(G360:G389)</f>
        <v>551</v>
      </c>
      <c r="H390" s="1391">
        <f t="shared" si="31"/>
        <v>98.922800718132848</v>
      </c>
    </row>
    <row r="391" spans="1:8" ht="13.5" thickTop="1" x14ac:dyDescent="0.2"/>
    <row r="392" spans="1:8" ht="12" customHeight="1" x14ac:dyDescent="0.25">
      <c r="A392" s="3233" t="s">
        <v>1559</v>
      </c>
      <c r="B392" s="3151"/>
      <c r="C392" s="3151"/>
      <c r="D392" s="3151"/>
      <c r="E392" s="3151"/>
      <c r="F392" s="3151"/>
      <c r="G392" s="3151"/>
      <c r="H392" s="3151"/>
    </row>
    <row r="393" spans="1:8" ht="17.25" customHeight="1" thickBot="1" x14ac:dyDescent="0.3">
      <c r="A393" s="1544" t="s">
        <v>506</v>
      </c>
      <c r="B393" s="1558"/>
      <c r="C393" s="1558"/>
      <c r="E393" s="1559"/>
      <c r="F393" s="1559"/>
      <c r="G393" s="1559"/>
      <c r="H393" s="1560" t="s">
        <v>148</v>
      </c>
    </row>
    <row r="394" spans="1:8" ht="25.5" thickTop="1" thickBot="1" x14ac:dyDescent="0.25">
      <c r="A394" s="1378" t="s">
        <v>149</v>
      </c>
      <c r="B394" s="1379" t="s">
        <v>688</v>
      </c>
      <c r="C394" s="1379" t="s">
        <v>345</v>
      </c>
      <c r="D394" s="1380" t="s">
        <v>151</v>
      </c>
      <c r="E394" s="1402" t="s">
        <v>569</v>
      </c>
      <c r="F394" s="1402" t="s">
        <v>570</v>
      </c>
      <c r="G394" s="1403" t="s">
        <v>797</v>
      </c>
      <c r="H394" s="1404" t="s">
        <v>798</v>
      </c>
    </row>
    <row r="395" spans="1:8" ht="14.25" thickTop="1" thickBot="1" x14ac:dyDescent="0.25">
      <c r="A395" s="1297">
        <v>1</v>
      </c>
      <c r="B395" s="1296">
        <v>2</v>
      </c>
      <c r="C395" s="1296">
        <v>3</v>
      </c>
      <c r="D395" s="1296">
        <v>4</v>
      </c>
      <c r="E395" s="1295">
        <v>5</v>
      </c>
      <c r="F395" s="1295">
        <v>6</v>
      </c>
      <c r="G395" s="1446">
        <v>7</v>
      </c>
      <c r="H395" s="1468" t="s">
        <v>54</v>
      </c>
    </row>
    <row r="396" spans="1:8" ht="15.75" hidden="1" thickTop="1" x14ac:dyDescent="0.2">
      <c r="A396" s="1572">
        <v>3636</v>
      </c>
      <c r="B396" s="1573">
        <v>5011</v>
      </c>
      <c r="C396" s="1582">
        <v>0</v>
      </c>
      <c r="D396" s="1574" t="s">
        <v>189</v>
      </c>
      <c r="E396" s="1575">
        <v>0</v>
      </c>
      <c r="F396" s="1575">
        <v>0</v>
      </c>
      <c r="G396" s="1575">
        <v>0</v>
      </c>
      <c r="H396" s="1576" t="e">
        <f t="shared" ref="H396:H403" si="32">G396/F396*100</f>
        <v>#DIV/0!</v>
      </c>
    </row>
    <row r="397" spans="1:8" ht="15.75" hidden="1" thickTop="1" x14ac:dyDescent="0.2">
      <c r="A397" s="1577">
        <v>3636</v>
      </c>
      <c r="B397" s="1578">
        <v>5011</v>
      </c>
      <c r="C397" s="1578">
        <v>38500881</v>
      </c>
      <c r="D397" s="1579" t="s">
        <v>189</v>
      </c>
      <c r="E397" s="1580">
        <v>0</v>
      </c>
      <c r="F397" s="1580">
        <v>0</v>
      </c>
      <c r="G397" s="1580">
        <v>0</v>
      </c>
      <c r="H397" s="1581" t="e">
        <f t="shared" si="32"/>
        <v>#DIV/0!</v>
      </c>
    </row>
    <row r="398" spans="1:8" ht="30.75" thickTop="1" x14ac:dyDescent="0.2">
      <c r="A398" s="1577">
        <v>3122</v>
      </c>
      <c r="B398" s="1578">
        <v>5336</v>
      </c>
      <c r="C398" s="2850" t="s">
        <v>1849</v>
      </c>
      <c r="D398" s="1579" t="s">
        <v>1131</v>
      </c>
      <c r="E398" s="1580">
        <v>0</v>
      </c>
      <c r="F398" s="1580">
        <f>7+64</f>
        <v>71</v>
      </c>
      <c r="G398" s="1580">
        <f>7+64</f>
        <v>71</v>
      </c>
      <c r="H398" s="1581">
        <f t="shared" si="32"/>
        <v>100</v>
      </c>
    </row>
    <row r="399" spans="1:8" ht="15" hidden="1" x14ac:dyDescent="0.2">
      <c r="A399" s="1577">
        <v>3636</v>
      </c>
      <c r="B399" s="1578">
        <v>5021</v>
      </c>
      <c r="C399" s="1629">
        <v>38500881</v>
      </c>
      <c r="D399" s="1579" t="s">
        <v>356</v>
      </c>
      <c r="E399" s="1580"/>
      <c r="F399" s="1580"/>
      <c r="G399" s="1580"/>
      <c r="H399" s="1581" t="e">
        <f t="shared" si="32"/>
        <v>#DIV/0!</v>
      </c>
    </row>
    <row r="400" spans="1:8" ht="30" hidden="1" x14ac:dyDescent="0.2">
      <c r="A400" s="1577">
        <v>3636</v>
      </c>
      <c r="B400" s="1578">
        <v>5031</v>
      </c>
      <c r="C400" s="1629">
        <v>38100880</v>
      </c>
      <c r="D400" s="1579" t="s">
        <v>1165</v>
      </c>
      <c r="E400" s="1580"/>
      <c r="F400" s="1580"/>
      <c r="G400" s="1580"/>
      <c r="H400" s="1581" t="e">
        <f t="shared" si="32"/>
        <v>#DIV/0!</v>
      </c>
    </row>
    <row r="401" spans="1:8" ht="30" hidden="1" x14ac:dyDescent="0.2">
      <c r="A401" s="1577">
        <v>3636</v>
      </c>
      <c r="B401" s="1578">
        <v>5031</v>
      </c>
      <c r="C401" s="1629">
        <v>38500881</v>
      </c>
      <c r="D401" s="1579" t="s">
        <v>1165</v>
      </c>
      <c r="E401" s="1580"/>
      <c r="F401" s="1580"/>
      <c r="G401" s="1580"/>
      <c r="H401" s="1581" t="e">
        <f t="shared" si="32"/>
        <v>#DIV/0!</v>
      </c>
    </row>
    <row r="402" spans="1:8" ht="30" hidden="1" x14ac:dyDescent="0.2">
      <c r="A402" s="1577">
        <v>3636</v>
      </c>
      <c r="B402" s="1578">
        <v>5032</v>
      </c>
      <c r="C402" s="1629">
        <v>38100880</v>
      </c>
      <c r="D402" s="1579" t="s">
        <v>1058</v>
      </c>
      <c r="E402" s="1580"/>
      <c r="F402" s="1580"/>
      <c r="G402" s="1580"/>
      <c r="H402" s="1581" t="e">
        <f t="shared" si="32"/>
        <v>#DIV/0!</v>
      </c>
    </row>
    <row r="403" spans="1:8" ht="30" hidden="1" x14ac:dyDescent="0.2">
      <c r="A403" s="1577">
        <v>3636</v>
      </c>
      <c r="B403" s="1578">
        <v>5032</v>
      </c>
      <c r="C403" s="1629">
        <v>38500881</v>
      </c>
      <c r="D403" s="1579" t="s">
        <v>1058</v>
      </c>
      <c r="E403" s="1580"/>
      <c r="F403" s="1580"/>
      <c r="G403" s="1580"/>
      <c r="H403" s="1581" t="e">
        <f t="shared" si="32"/>
        <v>#DIV/0!</v>
      </c>
    </row>
    <row r="404" spans="1:8" ht="15" hidden="1" x14ac:dyDescent="0.2">
      <c r="A404" s="1577">
        <v>3636</v>
      </c>
      <c r="B404" s="1578">
        <v>5139</v>
      </c>
      <c r="C404" s="1629">
        <v>38100880</v>
      </c>
      <c r="D404" s="1579" t="s">
        <v>249</v>
      </c>
      <c r="E404" s="1580"/>
      <c r="F404" s="1580"/>
      <c r="G404" s="1580"/>
      <c r="H404" s="1581">
        <v>0</v>
      </c>
    </row>
    <row r="405" spans="1:8" ht="15" hidden="1" x14ac:dyDescent="0.2">
      <c r="A405" s="1577">
        <v>3636</v>
      </c>
      <c r="B405" s="1578">
        <v>5139</v>
      </c>
      <c r="C405" s="1629">
        <v>38500881</v>
      </c>
      <c r="D405" s="1579" t="s">
        <v>249</v>
      </c>
      <c r="E405" s="1580"/>
      <c r="F405" s="1580"/>
      <c r="G405" s="1580"/>
      <c r="H405" s="1581" t="e">
        <f t="shared" ref="H405:H417" si="33">G405/F405*100</f>
        <v>#DIV/0!</v>
      </c>
    </row>
    <row r="406" spans="1:8" ht="15" hidden="1" x14ac:dyDescent="0.2">
      <c r="A406" s="1577">
        <v>3636</v>
      </c>
      <c r="B406" s="1578">
        <v>5162</v>
      </c>
      <c r="C406" s="1629">
        <v>38100880</v>
      </c>
      <c r="D406" s="1579" t="s">
        <v>780</v>
      </c>
      <c r="E406" s="1580"/>
      <c r="F406" s="1580"/>
      <c r="G406" s="1580"/>
      <c r="H406" s="1581" t="e">
        <f t="shared" si="33"/>
        <v>#DIV/0!</v>
      </c>
    </row>
    <row r="407" spans="1:8" ht="15" hidden="1" x14ac:dyDescent="0.2">
      <c r="A407" s="1577">
        <v>3636</v>
      </c>
      <c r="B407" s="1578">
        <v>5162</v>
      </c>
      <c r="C407" s="1629">
        <v>38500881</v>
      </c>
      <c r="D407" s="1579" t="s">
        <v>780</v>
      </c>
      <c r="E407" s="1580"/>
      <c r="F407" s="1580"/>
      <c r="G407" s="1580"/>
      <c r="H407" s="1581" t="e">
        <f t="shared" si="33"/>
        <v>#DIV/0!</v>
      </c>
    </row>
    <row r="408" spans="1:8" ht="15" hidden="1" x14ac:dyDescent="0.2">
      <c r="A408" s="1577">
        <v>3636</v>
      </c>
      <c r="B408" s="1578">
        <v>5164</v>
      </c>
      <c r="C408" s="1629">
        <v>38100880</v>
      </c>
      <c r="D408" s="1579" t="s">
        <v>157</v>
      </c>
      <c r="E408" s="1580"/>
      <c r="F408" s="1580"/>
      <c r="G408" s="1580"/>
      <c r="H408" s="1581" t="e">
        <f t="shared" si="33"/>
        <v>#DIV/0!</v>
      </c>
    </row>
    <row r="409" spans="1:8" ht="15" hidden="1" x14ac:dyDescent="0.2">
      <c r="A409" s="1577">
        <v>3636</v>
      </c>
      <c r="B409" s="1578">
        <v>5164</v>
      </c>
      <c r="C409" s="1629">
        <v>38500881</v>
      </c>
      <c r="D409" s="1579" t="s">
        <v>157</v>
      </c>
      <c r="E409" s="1580"/>
      <c r="F409" s="1580"/>
      <c r="G409" s="1580"/>
      <c r="H409" s="1581" t="e">
        <f t="shared" si="33"/>
        <v>#DIV/0!</v>
      </c>
    </row>
    <row r="410" spans="1:8" ht="30.75" thickBot="1" x14ac:dyDescent="0.25">
      <c r="A410" s="1577">
        <v>3122</v>
      </c>
      <c r="B410" s="1578">
        <v>5336</v>
      </c>
      <c r="C410" s="2850" t="s">
        <v>1850</v>
      </c>
      <c r="D410" s="1579" t="s">
        <v>1131</v>
      </c>
      <c r="E410" s="1580">
        <v>0</v>
      </c>
      <c r="F410" s="1580">
        <f>41+360</f>
        <v>401</v>
      </c>
      <c r="G410" s="1580">
        <f>41+360</f>
        <v>401</v>
      </c>
      <c r="H410" s="1581">
        <f t="shared" si="33"/>
        <v>100</v>
      </c>
    </row>
    <row r="411" spans="1:8" ht="15.75" hidden="1" thickBot="1" x14ac:dyDescent="0.25">
      <c r="A411" s="1577">
        <v>6223</v>
      </c>
      <c r="B411" s="1578">
        <v>5166</v>
      </c>
      <c r="C411" s="1629">
        <v>41100880</v>
      </c>
      <c r="D411" s="1579" t="s">
        <v>553</v>
      </c>
      <c r="E411" s="1580"/>
      <c r="F411" s="1580"/>
      <c r="G411" s="1580"/>
      <c r="H411" s="1581" t="e">
        <f t="shared" si="33"/>
        <v>#DIV/0!</v>
      </c>
    </row>
    <row r="412" spans="1:8" ht="15.75" hidden="1" thickBot="1" x14ac:dyDescent="0.25">
      <c r="A412" s="1577">
        <v>6223</v>
      </c>
      <c r="B412" s="1578">
        <v>5166</v>
      </c>
      <c r="C412" s="1629">
        <v>41100882</v>
      </c>
      <c r="D412" s="1579" t="s">
        <v>553</v>
      </c>
      <c r="E412" s="1580"/>
      <c r="F412" s="1580"/>
      <c r="G412" s="1580"/>
      <c r="H412" s="1581" t="e">
        <f t="shared" si="33"/>
        <v>#DIV/0!</v>
      </c>
    </row>
    <row r="413" spans="1:8" ht="15.75" hidden="1" thickBot="1" x14ac:dyDescent="0.25">
      <c r="A413" s="1577">
        <v>6223</v>
      </c>
      <c r="B413" s="1578">
        <v>5166</v>
      </c>
      <c r="C413" s="1629">
        <v>41500881</v>
      </c>
      <c r="D413" s="1579" t="s">
        <v>553</v>
      </c>
      <c r="E413" s="1580"/>
      <c r="F413" s="1580"/>
      <c r="G413" s="1580"/>
      <c r="H413" s="1581" t="e">
        <f t="shared" si="33"/>
        <v>#DIV/0!</v>
      </c>
    </row>
    <row r="414" spans="1:8" ht="15.75" hidden="1" thickBot="1" x14ac:dyDescent="0.25">
      <c r="A414" s="1577">
        <v>3636</v>
      </c>
      <c r="B414" s="1578">
        <v>5167</v>
      </c>
      <c r="C414" s="1629">
        <v>38100880</v>
      </c>
      <c r="D414" s="1579" t="s">
        <v>810</v>
      </c>
      <c r="E414" s="1580"/>
      <c r="F414" s="1580"/>
      <c r="G414" s="1580"/>
      <c r="H414" s="1581" t="e">
        <f t="shared" si="33"/>
        <v>#DIV/0!</v>
      </c>
    </row>
    <row r="415" spans="1:8" ht="15.75" hidden="1" thickBot="1" x14ac:dyDescent="0.25">
      <c r="A415" s="1577">
        <v>3636</v>
      </c>
      <c r="B415" s="1578">
        <v>5167</v>
      </c>
      <c r="C415" s="1629">
        <v>38500881</v>
      </c>
      <c r="D415" s="1579" t="s">
        <v>810</v>
      </c>
      <c r="E415" s="1580"/>
      <c r="F415" s="1580"/>
      <c r="G415" s="1580"/>
      <c r="H415" s="1581" t="e">
        <f t="shared" si="33"/>
        <v>#DIV/0!</v>
      </c>
    </row>
    <row r="416" spans="1:8" ht="15.75" hidden="1" thickBot="1" x14ac:dyDescent="0.25">
      <c r="A416" s="1577">
        <v>3636</v>
      </c>
      <c r="B416" s="1578">
        <v>5169</v>
      </c>
      <c r="C416" s="1629">
        <v>38100880</v>
      </c>
      <c r="D416" s="1579" t="s">
        <v>769</v>
      </c>
      <c r="E416" s="1580"/>
      <c r="F416" s="1580"/>
      <c r="G416" s="1580"/>
      <c r="H416" s="1581" t="e">
        <f t="shared" si="33"/>
        <v>#DIV/0!</v>
      </c>
    </row>
    <row r="417" spans="1:8" ht="15.75" hidden="1" thickBot="1" x14ac:dyDescent="0.25">
      <c r="A417" s="1577">
        <v>3636</v>
      </c>
      <c r="B417" s="1578">
        <v>5169</v>
      </c>
      <c r="C417" s="1629">
        <v>38500881</v>
      </c>
      <c r="D417" s="1579" t="s">
        <v>769</v>
      </c>
      <c r="E417" s="1580"/>
      <c r="F417" s="1580"/>
      <c r="G417" s="1580"/>
      <c r="H417" s="1581" t="e">
        <f t="shared" si="33"/>
        <v>#DIV/0!</v>
      </c>
    </row>
    <row r="418" spans="1:8" ht="15.75" hidden="1" thickBot="1" x14ac:dyDescent="0.25">
      <c r="A418" s="1577">
        <v>6223</v>
      </c>
      <c r="B418" s="1578">
        <v>5173</v>
      </c>
      <c r="C418" s="2850">
        <v>0</v>
      </c>
      <c r="D418" s="1579" t="s">
        <v>1038</v>
      </c>
      <c r="E418" s="1580"/>
      <c r="F418" s="1580"/>
      <c r="G418" s="1580"/>
      <c r="H418" s="1581">
        <v>0</v>
      </c>
    </row>
    <row r="419" spans="1:8" ht="15.75" hidden="1" thickBot="1" x14ac:dyDescent="0.25">
      <c r="A419" s="1577">
        <v>3636</v>
      </c>
      <c r="B419" s="1578">
        <v>5173</v>
      </c>
      <c r="C419" s="1629">
        <v>38500881</v>
      </c>
      <c r="D419" s="1579" t="s">
        <v>1038</v>
      </c>
      <c r="E419" s="1580"/>
      <c r="F419" s="1580"/>
      <c r="G419" s="1580"/>
      <c r="H419" s="1581" t="e">
        <f t="shared" ref="H419:H426" si="34">G419/F419*100</f>
        <v>#DIV/0!</v>
      </c>
    </row>
    <row r="420" spans="1:8" ht="15.75" hidden="1" thickBot="1" x14ac:dyDescent="0.25">
      <c r="A420" s="1577">
        <v>3636</v>
      </c>
      <c r="B420" s="1578">
        <v>5175</v>
      </c>
      <c r="C420" s="1629">
        <v>38100880</v>
      </c>
      <c r="D420" s="1579" t="s">
        <v>605</v>
      </c>
      <c r="E420" s="1580"/>
      <c r="F420" s="1580"/>
      <c r="G420" s="1580"/>
      <c r="H420" s="1581" t="e">
        <f t="shared" si="34"/>
        <v>#DIV/0!</v>
      </c>
    </row>
    <row r="421" spans="1:8" ht="15.75" hidden="1" thickBot="1" x14ac:dyDescent="0.25">
      <c r="A421" s="1577">
        <v>3636</v>
      </c>
      <c r="B421" s="1578">
        <v>5175</v>
      </c>
      <c r="C421" s="1629">
        <v>38500881</v>
      </c>
      <c r="D421" s="1579" t="s">
        <v>605</v>
      </c>
      <c r="E421" s="1580"/>
      <c r="F421" s="1580"/>
      <c r="G421" s="1580"/>
      <c r="H421" s="1581" t="e">
        <f t="shared" si="34"/>
        <v>#DIV/0!</v>
      </c>
    </row>
    <row r="422" spans="1:8" ht="15.75" hidden="1" thickBot="1" x14ac:dyDescent="0.25">
      <c r="A422" s="1577">
        <v>3636</v>
      </c>
      <c r="B422" s="1578">
        <v>5176</v>
      </c>
      <c r="C422" s="1629">
        <v>38100880</v>
      </c>
      <c r="D422" s="1579" t="s">
        <v>1119</v>
      </c>
      <c r="E422" s="1580"/>
      <c r="F422" s="1580"/>
      <c r="G422" s="1580"/>
      <c r="H422" s="1581" t="e">
        <f t="shared" si="34"/>
        <v>#DIV/0!</v>
      </c>
    </row>
    <row r="423" spans="1:8" ht="15.75" hidden="1" thickBot="1" x14ac:dyDescent="0.25">
      <c r="A423" s="1577">
        <v>3636</v>
      </c>
      <c r="B423" s="1578">
        <v>5176</v>
      </c>
      <c r="C423" s="1629">
        <v>38500881</v>
      </c>
      <c r="D423" s="1579" t="s">
        <v>1119</v>
      </c>
      <c r="E423" s="1580"/>
      <c r="F423" s="1580"/>
      <c r="G423" s="1580"/>
      <c r="H423" s="1581" t="e">
        <f t="shared" si="34"/>
        <v>#DIV/0!</v>
      </c>
    </row>
    <row r="424" spans="1:8" ht="30.75" hidden="1" thickBot="1" x14ac:dyDescent="0.25">
      <c r="A424" s="1577">
        <v>3122</v>
      </c>
      <c r="B424" s="1578">
        <v>6356</v>
      </c>
      <c r="C424" s="1629" t="s">
        <v>2127</v>
      </c>
      <c r="D424" s="1579" t="s">
        <v>1552</v>
      </c>
      <c r="E424" s="1580"/>
      <c r="F424" s="1580"/>
      <c r="G424" s="1580"/>
      <c r="H424" s="1581" t="e">
        <f t="shared" si="34"/>
        <v>#DIV/0!</v>
      </c>
    </row>
    <row r="425" spans="1:8" ht="30.75" hidden="1" thickBot="1" x14ac:dyDescent="0.25">
      <c r="A425" s="1577">
        <v>3122</v>
      </c>
      <c r="B425" s="1578">
        <v>6356</v>
      </c>
      <c r="C425" s="1629" t="s">
        <v>2126</v>
      </c>
      <c r="D425" s="1579" t="s">
        <v>1552</v>
      </c>
      <c r="E425" s="1580"/>
      <c r="F425" s="1580"/>
      <c r="G425" s="1580"/>
      <c r="H425" s="1583" t="e">
        <f t="shared" si="34"/>
        <v>#DIV/0!</v>
      </c>
    </row>
    <row r="426" spans="1:8" ht="16.5" thickTop="1" thickBot="1" x14ac:dyDescent="0.3">
      <c r="A426" s="3219" t="s">
        <v>690</v>
      </c>
      <c r="B426" s="3220"/>
      <c r="C426" s="3220"/>
      <c r="D426" s="3220"/>
      <c r="E426" s="1387">
        <f>SUM(E396:E425)</f>
        <v>0</v>
      </c>
      <c r="F426" s="1387">
        <f>SUM(F396:F425)</f>
        <v>472</v>
      </c>
      <c r="G426" s="1387">
        <f>SUM(G396:G425)</f>
        <v>472</v>
      </c>
      <c r="H426" s="1391">
        <f t="shared" si="34"/>
        <v>100</v>
      </c>
    </row>
    <row r="427" spans="1:8" ht="13.5" thickTop="1" x14ac:dyDescent="0.2"/>
    <row r="428" spans="1:8" ht="15" customHeight="1" x14ac:dyDescent="0.25">
      <c r="A428" s="3233" t="s">
        <v>1560</v>
      </c>
      <c r="B428" s="3151"/>
      <c r="C428" s="3151"/>
      <c r="D428" s="3151"/>
      <c r="E428" s="3151"/>
      <c r="F428" s="3151"/>
      <c r="G428" s="3151"/>
      <c r="H428" s="3151"/>
    </row>
    <row r="429" spans="1:8" ht="15.75" thickBot="1" x14ac:dyDescent="0.3">
      <c r="A429" s="1544" t="s">
        <v>1561</v>
      </c>
      <c r="B429" s="1558"/>
      <c r="C429" s="1558"/>
      <c r="E429" s="1559"/>
      <c r="F429" s="1559"/>
      <c r="G429" s="1559"/>
      <c r="H429" s="1560" t="s">
        <v>148</v>
      </c>
    </row>
    <row r="430" spans="1:8" ht="25.5" thickTop="1" thickBot="1" x14ac:dyDescent="0.25">
      <c r="A430" s="1378" t="s">
        <v>149</v>
      </c>
      <c r="B430" s="1379" t="s">
        <v>688</v>
      </c>
      <c r="C430" s="1379" t="s">
        <v>345</v>
      </c>
      <c r="D430" s="1380" t="s">
        <v>151</v>
      </c>
      <c r="E430" s="1402" t="s">
        <v>569</v>
      </c>
      <c r="F430" s="1402" t="s">
        <v>570</v>
      </c>
      <c r="G430" s="1403" t="s">
        <v>797</v>
      </c>
      <c r="H430" s="1404" t="s">
        <v>798</v>
      </c>
    </row>
    <row r="431" spans="1:8" ht="14.25" thickTop="1" thickBot="1" x14ac:dyDescent="0.25">
      <c r="A431" s="1297">
        <v>1</v>
      </c>
      <c r="B431" s="1296">
        <v>2</v>
      </c>
      <c r="C431" s="1296">
        <v>3</v>
      </c>
      <c r="D431" s="1296">
        <v>4</v>
      </c>
      <c r="E431" s="1295">
        <v>5</v>
      </c>
      <c r="F431" s="1295">
        <v>6</v>
      </c>
      <c r="G431" s="1446">
        <v>7</v>
      </c>
      <c r="H431" s="1468" t="s">
        <v>54</v>
      </c>
    </row>
    <row r="432" spans="1:8" ht="15.75" hidden="1" thickTop="1" x14ac:dyDescent="0.2">
      <c r="A432" s="1572">
        <v>3636</v>
      </c>
      <c r="B432" s="1573">
        <v>5011</v>
      </c>
      <c r="C432" s="1582">
        <v>0</v>
      </c>
      <c r="D432" s="1574" t="s">
        <v>189</v>
      </c>
      <c r="E432" s="1575">
        <v>0</v>
      </c>
      <c r="F432" s="1575">
        <v>0</v>
      </c>
      <c r="G432" s="1575">
        <v>0</v>
      </c>
      <c r="H432" s="1576" t="e">
        <f t="shared" ref="H432:H439" si="35">G432/F432*100</f>
        <v>#DIV/0!</v>
      </c>
    </row>
    <row r="433" spans="1:8" ht="15.75" hidden="1" thickTop="1" x14ac:dyDescent="0.2">
      <c r="A433" s="1577">
        <v>3636</v>
      </c>
      <c r="B433" s="1578">
        <v>5011</v>
      </c>
      <c r="C433" s="1578">
        <v>38500881</v>
      </c>
      <c r="D433" s="1579" t="s">
        <v>189</v>
      </c>
      <c r="E433" s="1580">
        <v>0</v>
      </c>
      <c r="F433" s="1580">
        <v>0</v>
      </c>
      <c r="G433" s="1580">
        <v>0</v>
      </c>
      <c r="H433" s="1581" t="e">
        <f t="shared" si="35"/>
        <v>#DIV/0!</v>
      </c>
    </row>
    <row r="434" spans="1:8" ht="30.75" thickTop="1" x14ac:dyDescent="0.2">
      <c r="A434" s="1577">
        <v>3123</v>
      </c>
      <c r="B434" s="1578">
        <v>5336</v>
      </c>
      <c r="C434" s="2850" t="s">
        <v>1849</v>
      </c>
      <c r="D434" s="1579" t="s">
        <v>1131</v>
      </c>
      <c r="E434" s="1580">
        <v>0</v>
      </c>
      <c r="F434" s="1580">
        <f>8+54</f>
        <v>62</v>
      </c>
      <c r="G434" s="1580">
        <f>8+54</f>
        <v>62</v>
      </c>
      <c r="H434" s="1581">
        <f t="shared" si="35"/>
        <v>100</v>
      </c>
    </row>
    <row r="435" spans="1:8" ht="15" hidden="1" x14ac:dyDescent="0.2">
      <c r="A435" s="1577">
        <v>3636</v>
      </c>
      <c r="B435" s="1578">
        <v>5021</v>
      </c>
      <c r="C435" s="1629">
        <v>38500881</v>
      </c>
      <c r="D435" s="1579" t="s">
        <v>356</v>
      </c>
      <c r="E435" s="1580"/>
      <c r="F435" s="1580"/>
      <c r="G435" s="1580"/>
      <c r="H435" s="1581" t="e">
        <f t="shared" si="35"/>
        <v>#DIV/0!</v>
      </c>
    </row>
    <row r="436" spans="1:8" ht="30" hidden="1" x14ac:dyDescent="0.2">
      <c r="A436" s="1577">
        <v>3636</v>
      </c>
      <c r="B436" s="1578">
        <v>5031</v>
      </c>
      <c r="C436" s="1629">
        <v>38100880</v>
      </c>
      <c r="D436" s="1579" t="s">
        <v>1165</v>
      </c>
      <c r="E436" s="1580"/>
      <c r="F436" s="1580"/>
      <c r="G436" s="1580"/>
      <c r="H436" s="1581" t="e">
        <f t="shared" si="35"/>
        <v>#DIV/0!</v>
      </c>
    </row>
    <row r="437" spans="1:8" ht="30" hidden="1" x14ac:dyDescent="0.2">
      <c r="A437" s="1577">
        <v>3636</v>
      </c>
      <c r="B437" s="1578">
        <v>5031</v>
      </c>
      <c r="C437" s="1629">
        <v>38500881</v>
      </c>
      <c r="D437" s="1579" t="s">
        <v>1165</v>
      </c>
      <c r="E437" s="1580"/>
      <c r="F437" s="1580"/>
      <c r="G437" s="1580"/>
      <c r="H437" s="1581" t="e">
        <f t="shared" si="35"/>
        <v>#DIV/0!</v>
      </c>
    </row>
    <row r="438" spans="1:8" ht="30" hidden="1" x14ac:dyDescent="0.2">
      <c r="A438" s="1577">
        <v>3636</v>
      </c>
      <c r="B438" s="1578">
        <v>5032</v>
      </c>
      <c r="C438" s="1629">
        <v>38100880</v>
      </c>
      <c r="D438" s="1579" t="s">
        <v>1058</v>
      </c>
      <c r="E438" s="1580"/>
      <c r="F438" s="1580"/>
      <c r="G438" s="1580"/>
      <c r="H438" s="1581" t="e">
        <f t="shared" si="35"/>
        <v>#DIV/0!</v>
      </c>
    </row>
    <row r="439" spans="1:8" ht="30" hidden="1" x14ac:dyDescent="0.2">
      <c r="A439" s="1577">
        <v>3636</v>
      </c>
      <c r="B439" s="1578">
        <v>5032</v>
      </c>
      <c r="C439" s="1629">
        <v>38500881</v>
      </c>
      <c r="D439" s="1579" t="s">
        <v>1058</v>
      </c>
      <c r="E439" s="1580"/>
      <c r="F439" s="1580"/>
      <c r="G439" s="1580"/>
      <c r="H439" s="1581" t="e">
        <f t="shared" si="35"/>
        <v>#DIV/0!</v>
      </c>
    </row>
    <row r="440" spans="1:8" ht="15" hidden="1" x14ac:dyDescent="0.2">
      <c r="A440" s="1577">
        <v>3636</v>
      </c>
      <c r="B440" s="1578">
        <v>5139</v>
      </c>
      <c r="C440" s="1629">
        <v>38100880</v>
      </c>
      <c r="D440" s="1579" t="s">
        <v>249</v>
      </c>
      <c r="E440" s="1580"/>
      <c r="F440" s="1580"/>
      <c r="G440" s="1580"/>
      <c r="H440" s="1581">
        <v>0</v>
      </c>
    </row>
    <row r="441" spans="1:8" ht="15" hidden="1" x14ac:dyDescent="0.2">
      <c r="A441" s="1577">
        <v>3636</v>
      </c>
      <c r="B441" s="1578">
        <v>5139</v>
      </c>
      <c r="C441" s="1629">
        <v>38500881</v>
      </c>
      <c r="D441" s="1579" t="s">
        <v>249</v>
      </c>
      <c r="E441" s="1580"/>
      <c r="F441" s="1580"/>
      <c r="G441" s="1580"/>
      <c r="H441" s="1581" t="e">
        <f t="shared" ref="H441:H453" si="36">G441/F441*100</f>
        <v>#DIV/0!</v>
      </c>
    </row>
    <row r="442" spans="1:8" ht="15" hidden="1" x14ac:dyDescent="0.2">
      <c r="A442" s="1577">
        <v>3636</v>
      </c>
      <c r="B442" s="1578">
        <v>5162</v>
      </c>
      <c r="C442" s="1629">
        <v>38100880</v>
      </c>
      <c r="D442" s="1579" t="s">
        <v>780</v>
      </c>
      <c r="E442" s="1580"/>
      <c r="F442" s="1580"/>
      <c r="G442" s="1580"/>
      <c r="H442" s="1581" t="e">
        <f t="shared" si="36"/>
        <v>#DIV/0!</v>
      </c>
    </row>
    <row r="443" spans="1:8" ht="15" hidden="1" x14ac:dyDescent="0.2">
      <c r="A443" s="1577">
        <v>3636</v>
      </c>
      <c r="B443" s="1578">
        <v>5162</v>
      </c>
      <c r="C443" s="1629">
        <v>38500881</v>
      </c>
      <c r="D443" s="1579" t="s">
        <v>780</v>
      </c>
      <c r="E443" s="1580"/>
      <c r="F443" s="1580"/>
      <c r="G443" s="1580"/>
      <c r="H443" s="1581" t="e">
        <f t="shared" si="36"/>
        <v>#DIV/0!</v>
      </c>
    </row>
    <row r="444" spans="1:8" ht="15" hidden="1" x14ac:dyDescent="0.2">
      <c r="A444" s="1577">
        <v>3636</v>
      </c>
      <c r="B444" s="1578">
        <v>5164</v>
      </c>
      <c r="C444" s="1629">
        <v>38100880</v>
      </c>
      <c r="D444" s="1579" t="s">
        <v>157</v>
      </c>
      <c r="E444" s="1580"/>
      <c r="F444" s="1580"/>
      <c r="G444" s="1580"/>
      <c r="H444" s="1581" t="e">
        <f t="shared" si="36"/>
        <v>#DIV/0!</v>
      </c>
    </row>
    <row r="445" spans="1:8" ht="15" hidden="1" x14ac:dyDescent="0.2">
      <c r="A445" s="1577">
        <v>3636</v>
      </c>
      <c r="B445" s="1578">
        <v>5164</v>
      </c>
      <c r="C445" s="1629">
        <v>38500881</v>
      </c>
      <c r="D445" s="1579" t="s">
        <v>157</v>
      </c>
      <c r="E445" s="1580"/>
      <c r="F445" s="1580"/>
      <c r="G445" s="1580"/>
      <c r="H445" s="1581" t="e">
        <f t="shared" si="36"/>
        <v>#DIV/0!</v>
      </c>
    </row>
    <row r="446" spans="1:8" ht="30.75" thickBot="1" x14ac:dyDescent="0.25">
      <c r="A446" s="1577">
        <v>3123</v>
      </c>
      <c r="B446" s="1578">
        <v>5336</v>
      </c>
      <c r="C446" s="2850" t="s">
        <v>1850</v>
      </c>
      <c r="D446" s="1579" t="s">
        <v>1131</v>
      </c>
      <c r="E446" s="1580">
        <v>0</v>
      </c>
      <c r="F446" s="1580">
        <f>46+305</f>
        <v>351</v>
      </c>
      <c r="G446" s="1580">
        <f>46+305</f>
        <v>351</v>
      </c>
      <c r="H446" s="1581">
        <f t="shared" si="36"/>
        <v>100</v>
      </c>
    </row>
    <row r="447" spans="1:8" ht="15.75" hidden="1" thickBot="1" x14ac:dyDescent="0.25">
      <c r="A447" s="1577">
        <v>3123</v>
      </c>
      <c r="B447" s="1578">
        <v>5166</v>
      </c>
      <c r="C447" s="1629">
        <v>41100880</v>
      </c>
      <c r="D447" s="1579" t="s">
        <v>553</v>
      </c>
      <c r="E447" s="1580"/>
      <c r="F447" s="1580"/>
      <c r="G447" s="1580"/>
      <c r="H447" s="1581" t="e">
        <f t="shared" si="36"/>
        <v>#DIV/0!</v>
      </c>
    </row>
    <row r="448" spans="1:8" ht="15.75" hidden="1" thickBot="1" x14ac:dyDescent="0.25">
      <c r="A448" s="1577">
        <v>3123</v>
      </c>
      <c r="B448" s="1578">
        <v>5166</v>
      </c>
      <c r="C448" s="1629">
        <v>41100882</v>
      </c>
      <c r="D448" s="1579" t="s">
        <v>553</v>
      </c>
      <c r="E448" s="1580"/>
      <c r="F448" s="1580"/>
      <c r="G448" s="1580"/>
      <c r="H448" s="1581" t="e">
        <f t="shared" si="36"/>
        <v>#DIV/0!</v>
      </c>
    </row>
    <row r="449" spans="1:8" ht="15.75" hidden="1" thickBot="1" x14ac:dyDescent="0.25">
      <c r="A449" s="1577">
        <v>3123</v>
      </c>
      <c r="B449" s="1578">
        <v>5166</v>
      </c>
      <c r="C449" s="1629">
        <v>41500881</v>
      </c>
      <c r="D449" s="1579" t="s">
        <v>553</v>
      </c>
      <c r="E449" s="1580"/>
      <c r="F449" s="1580"/>
      <c r="G449" s="1580"/>
      <c r="H449" s="1581" t="e">
        <f t="shared" si="36"/>
        <v>#DIV/0!</v>
      </c>
    </row>
    <row r="450" spans="1:8" ht="15.75" hidden="1" thickBot="1" x14ac:dyDescent="0.25">
      <c r="A450" s="1577">
        <v>3123</v>
      </c>
      <c r="B450" s="1578">
        <v>5167</v>
      </c>
      <c r="C450" s="1629">
        <v>38100880</v>
      </c>
      <c r="D450" s="1579" t="s">
        <v>810</v>
      </c>
      <c r="E450" s="1580"/>
      <c r="F450" s="1580"/>
      <c r="G450" s="1580"/>
      <c r="H450" s="1581" t="e">
        <f t="shared" si="36"/>
        <v>#DIV/0!</v>
      </c>
    </row>
    <row r="451" spans="1:8" ht="15.75" hidden="1" thickBot="1" x14ac:dyDescent="0.25">
      <c r="A451" s="1577">
        <v>3123</v>
      </c>
      <c r="B451" s="1578">
        <v>5167</v>
      </c>
      <c r="C451" s="1629">
        <v>38500881</v>
      </c>
      <c r="D451" s="1579" t="s">
        <v>810</v>
      </c>
      <c r="E451" s="1580"/>
      <c r="F451" s="1580"/>
      <c r="G451" s="1580"/>
      <c r="H451" s="1581" t="e">
        <f t="shared" si="36"/>
        <v>#DIV/0!</v>
      </c>
    </row>
    <row r="452" spans="1:8" ht="15.75" hidden="1" thickBot="1" x14ac:dyDescent="0.25">
      <c r="A452" s="1577">
        <v>3123</v>
      </c>
      <c r="B452" s="1578">
        <v>5169</v>
      </c>
      <c r="C452" s="1629">
        <v>38100880</v>
      </c>
      <c r="D452" s="1579" t="s">
        <v>769</v>
      </c>
      <c r="E452" s="1580"/>
      <c r="F452" s="1580"/>
      <c r="G452" s="1580"/>
      <c r="H452" s="1581" t="e">
        <f t="shared" si="36"/>
        <v>#DIV/0!</v>
      </c>
    </row>
    <row r="453" spans="1:8" ht="15.75" hidden="1" thickBot="1" x14ac:dyDescent="0.25">
      <c r="A453" s="1577">
        <v>3123</v>
      </c>
      <c r="B453" s="1578">
        <v>5169</v>
      </c>
      <c r="C453" s="1629">
        <v>38500881</v>
      </c>
      <c r="D453" s="1579" t="s">
        <v>769</v>
      </c>
      <c r="E453" s="1580"/>
      <c r="F453" s="1580"/>
      <c r="G453" s="1580"/>
      <c r="H453" s="1581" t="e">
        <f t="shared" si="36"/>
        <v>#DIV/0!</v>
      </c>
    </row>
    <row r="454" spans="1:8" ht="15.75" hidden="1" thickBot="1" x14ac:dyDescent="0.25">
      <c r="A454" s="1577">
        <v>3123</v>
      </c>
      <c r="B454" s="1578">
        <v>5173</v>
      </c>
      <c r="C454" s="2850">
        <v>0</v>
      </c>
      <c r="D454" s="1579" t="s">
        <v>1038</v>
      </c>
      <c r="E454" s="1580"/>
      <c r="F454" s="1580"/>
      <c r="G454" s="1580"/>
      <c r="H454" s="1581">
        <v>0</v>
      </c>
    </row>
    <row r="455" spans="1:8" ht="15.75" hidden="1" thickBot="1" x14ac:dyDescent="0.25">
      <c r="A455" s="1577">
        <v>3123</v>
      </c>
      <c r="B455" s="1578">
        <v>5173</v>
      </c>
      <c r="C455" s="1629">
        <v>38500881</v>
      </c>
      <c r="D455" s="1579" t="s">
        <v>1038</v>
      </c>
      <c r="E455" s="1580"/>
      <c r="F455" s="1580"/>
      <c r="G455" s="1580"/>
      <c r="H455" s="1581" t="e">
        <f t="shared" ref="H455:H462" si="37">G455/F455*100</f>
        <v>#DIV/0!</v>
      </c>
    </row>
    <row r="456" spans="1:8" ht="15.75" hidden="1" thickBot="1" x14ac:dyDescent="0.25">
      <c r="A456" s="1577">
        <v>3123</v>
      </c>
      <c r="B456" s="1578">
        <v>5175</v>
      </c>
      <c r="C456" s="1629">
        <v>38100880</v>
      </c>
      <c r="D456" s="1579" t="s">
        <v>605</v>
      </c>
      <c r="E456" s="1580"/>
      <c r="F456" s="1580"/>
      <c r="G456" s="1580"/>
      <c r="H456" s="1581" t="e">
        <f t="shared" si="37"/>
        <v>#DIV/0!</v>
      </c>
    </row>
    <row r="457" spans="1:8" ht="15.75" hidden="1" thickBot="1" x14ac:dyDescent="0.25">
      <c r="A457" s="1577">
        <v>3123</v>
      </c>
      <c r="B457" s="1578">
        <v>5175</v>
      </c>
      <c r="C457" s="1629">
        <v>38500881</v>
      </c>
      <c r="D457" s="1579" t="s">
        <v>605</v>
      </c>
      <c r="E457" s="1580"/>
      <c r="F457" s="1580"/>
      <c r="G457" s="1580"/>
      <c r="H457" s="1581" t="e">
        <f t="shared" si="37"/>
        <v>#DIV/0!</v>
      </c>
    </row>
    <row r="458" spans="1:8" ht="15.75" hidden="1" thickBot="1" x14ac:dyDescent="0.25">
      <c r="A458" s="1577">
        <v>3123</v>
      </c>
      <c r="B458" s="1578">
        <v>5176</v>
      </c>
      <c r="C458" s="1629">
        <v>38100880</v>
      </c>
      <c r="D458" s="1579" t="s">
        <v>1119</v>
      </c>
      <c r="E458" s="1580"/>
      <c r="F458" s="1580"/>
      <c r="G458" s="1580"/>
      <c r="H458" s="1581" t="e">
        <f t="shared" si="37"/>
        <v>#DIV/0!</v>
      </c>
    </row>
    <row r="459" spans="1:8" ht="15.75" hidden="1" thickBot="1" x14ac:dyDescent="0.25">
      <c r="A459" s="1577">
        <v>3123</v>
      </c>
      <c r="B459" s="1578">
        <v>5176</v>
      </c>
      <c r="C459" s="1629">
        <v>38500881</v>
      </c>
      <c r="D459" s="1579" t="s">
        <v>1119</v>
      </c>
      <c r="E459" s="1580"/>
      <c r="F459" s="1580"/>
      <c r="G459" s="1580"/>
      <c r="H459" s="1581" t="e">
        <f t="shared" si="37"/>
        <v>#DIV/0!</v>
      </c>
    </row>
    <row r="460" spans="1:8" ht="30.75" hidden="1" thickBot="1" x14ac:dyDescent="0.25">
      <c r="A460" s="1577">
        <v>3123</v>
      </c>
      <c r="B460" s="1578">
        <v>6356</v>
      </c>
      <c r="C460" s="1629" t="s">
        <v>2127</v>
      </c>
      <c r="D460" s="1579" t="s">
        <v>1552</v>
      </c>
      <c r="E460" s="1580"/>
      <c r="F460" s="1580"/>
      <c r="G460" s="1580"/>
      <c r="H460" s="1581" t="e">
        <f t="shared" si="37"/>
        <v>#DIV/0!</v>
      </c>
    </row>
    <row r="461" spans="1:8" ht="30.75" hidden="1" thickBot="1" x14ac:dyDescent="0.25">
      <c r="A461" s="1577">
        <v>3123</v>
      </c>
      <c r="B461" s="1578">
        <v>6356</v>
      </c>
      <c r="C461" s="1629" t="s">
        <v>2126</v>
      </c>
      <c r="D461" s="1579" t="s">
        <v>1552</v>
      </c>
      <c r="E461" s="1580"/>
      <c r="F461" s="1580"/>
      <c r="G461" s="1580"/>
      <c r="H461" s="1583" t="e">
        <f t="shared" si="37"/>
        <v>#DIV/0!</v>
      </c>
    </row>
    <row r="462" spans="1:8" ht="16.5" thickTop="1" thickBot="1" x14ac:dyDescent="0.3">
      <c r="A462" s="3219" t="s">
        <v>690</v>
      </c>
      <c r="B462" s="3220"/>
      <c r="C462" s="3220"/>
      <c r="D462" s="3220"/>
      <c r="E462" s="1387">
        <f>SUM(E432:E461)</f>
        <v>0</v>
      </c>
      <c r="F462" s="1387">
        <f>SUM(F432:F461)</f>
        <v>413</v>
      </c>
      <c r="G462" s="1387">
        <f>SUM(G432:G461)</f>
        <v>413</v>
      </c>
      <c r="H462" s="1391">
        <f t="shared" si="37"/>
        <v>100</v>
      </c>
    </row>
    <row r="463" spans="1:8" ht="13.5" thickTop="1" x14ac:dyDescent="0.2"/>
    <row r="464" spans="1:8" ht="15" customHeight="1" x14ac:dyDescent="0.25">
      <c r="A464" s="3233" t="s">
        <v>1562</v>
      </c>
      <c r="B464" s="3151"/>
      <c r="C464" s="3151"/>
      <c r="D464" s="3151"/>
      <c r="E464" s="3151"/>
      <c r="F464" s="3151"/>
      <c r="G464" s="3151"/>
      <c r="H464" s="3151"/>
    </row>
    <row r="465" spans="1:8" ht="15.75" thickBot="1" x14ac:dyDescent="0.3">
      <c r="A465" s="1544" t="s">
        <v>1563</v>
      </c>
      <c r="B465" s="1558"/>
      <c r="C465" s="1558"/>
      <c r="E465" s="1559"/>
      <c r="F465" s="1559"/>
      <c r="G465" s="1559"/>
      <c r="H465" s="1560" t="s">
        <v>148</v>
      </c>
    </row>
    <row r="466" spans="1:8" ht="25.5" thickTop="1" thickBot="1" x14ac:dyDescent="0.25">
      <c r="A466" s="1378" t="s">
        <v>149</v>
      </c>
      <c r="B466" s="1379" t="s">
        <v>688</v>
      </c>
      <c r="C466" s="1379" t="s">
        <v>345</v>
      </c>
      <c r="D466" s="1380" t="s">
        <v>151</v>
      </c>
      <c r="E466" s="1402" t="s">
        <v>569</v>
      </c>
      <c r="F466" s="1402" t="s">
        <v>570</v>
      </c>
      <c r="G466" s="1403" t="s">
        <v>797</v>
      </c>
      <c r="H466" s="1404" t="s">
        <v>798</v>
      </c>
    </row>
    <row r="467" spans="1:8" ht="14.25" thickTop="1" thickBot="1" x14ac:dyDescent="0.25">
      <c r="A467" s="1297">
        <v>1</v>
      </c>
      <c r="B467" s="1296">
        <v>2</v>
      </c>
      <c r="C467" s="1296">
        <v>3</v>
      </c>
      <c r="D467" s="1296">
        <v>4</v>
      </c>
      <c r="E467" s="1295">
        <v>5</v>
      </c>
      <c r="F467" s="1295">
        <v>6</v>
      </c>
      <c r="G467" s="1446">
        <v>7</v>
      </c>
      <c r="H467" s="1468" t="s">
        <v>54</v>
      </c>
    </row>
    <row r="468" spans="1:8" ht="15.75" hidden="1" thickTop="1" x14ac:dyDescent="0.2">
      <c r="A468" s="1572">
        <v>3636</v>
      </c>
      <c r="B468" s="1573">
        <v>5011</v>
      </c>
      <c r="C468" s="1582">
        <v>0</v>
      </c>
      <c r="D468" s="1574" t="s">
        <v>189</v>
      </c>
      <c r="E468" s="1575">
        <v>0</v>
      </c>
      <c r="F468" s="1575">
        <v>0</v>
      </c>
      <c r="G468" s="1575">
        <v>0</v>
      </c>
      <c r="H468" s="1576" t="e">
        <f t="shared" ref="H468:H475" si="38">G468/F468*100</f>
        <v>#DIV/0!</v>
      </c>
    </row>
    <row r="469" spans="1:8" ht="15.75" hidden="1" thickTop="1" x14ac:dyDescent="0.2">
      <c r="A469" s="1577">
        <v>3636</v>
      </c>
      <c r="B469" s="1578">
        <v>5011</v>
      </c>
      <c r="C469" s="1578">
        <v>38500881</v>
      </c>
      <c r="D469" s="1579" t="s">
        <v>189</v>
      </c>
      <c r="E469" s="1580">
        <v>0</v>
      </c>
      <c r="F469" s="1580">
        <v>0</v>
      </c>
      <c r="G469" s="1580">
        <v>0</v>
      </c>
      <c r="H469" s="1581" t="e">
        <f t="shared" si="38"/>
        <v>#DIV/0!</v>
      </c>
    </row>
    <row r="470" spans="1:8" ht="30.75" thickTop="1" x14ac:dyDescent="0.2">
      <c r="A470" s="1577">
        <v>3122</v>
      </c>
      <c r="B470" s="1578">
        <v>5336</v>
      </c>
      <c r="C470" s="2850" t="s">
        <v>1849</v>
      </c>
      <c r="D470" s="1579" t="s">
        <v>1131</v>
      </c>
      <c r="E470" s="1580">
        <v>0</v>
      </c>
      <c r="F470" s="1580">
        <f>15+89</f>
        <v>104</v>
      </c>
      <c r="G470" s="1580">
        <f>15+89</f>
        <v>104</v>
      </c>
      <c r="H470" s="1581">
        <f t="shared" si="38"/>
        <v>100</v>
      </c>
    </row>
    <row r="471" spans="1:8" ht="15" hidden="1" x14ac:dyDescent="0.2">
      <c r="A471" s="1577">
        <v>3636</v>
      </c>
      <c r="B471" s="1578">
        <v>5021</v>
      </c>
      <c r="C471" s="1629">
        <v>38500881</v>
      </c>
      <c r="D471" s="1579" t="s">
        <v>356</v>
      </c>
      <c r="E471" s="1580"/>
      <c r="F471" s="1580"/>
      <c r="G471" s="1580"/>
      <c r="H471" s="1581" t="e">
        <f t="shared" si="38"/>
        <v>#DIV/0!</v>
      </c>
    </row>
    <row r="472" spans="1:8" ht="30" hidden="1" x14ac:dyDescent="0.2">
      <c r="A472" s="1577">
        <v>3636</v>
      </c>
      <c r="B472" s="1578">
        <v>5031</v>
      </c>
      <c r="C472" s="1629">
        <v>38100880</v>
      </c>
      <c r="D472" s="1579" t="s">
        <v>1165</v>
      </c>
      <c r="E472" s="1580"/>
      <c r="F472" s="1580"/>
      <c r="G472" s="1580"/>
      <c r="H472" s="1581" t="e">
        <f t="shared" si="38"/>
        <v>#DIV/0!</v>
      </c>
    </row>
    <row r="473" spans="1:8" ht="30" hidden="1" x14ac:dyDescent="0.2">
      <c r="A473" s="1577">
        <v>3636</v>
      </c>
      <c r="B473" s="1578">
        <v>5031</v>
      </c>
      <c r="C473" s="1629">
        <v>38500881</v>
      </c>
      <c r="D473" s="1579" t="s">
        <v>1165</v>
      </c>
      <c r="E473" s="1580"/>
      <c r="F473" s="1580"/>
      <c r="G473" s="1580"/>
      <c r="H473" s="1581" t="e">
        <f t="shared" si="38"/>
        <v>#DIV/0!</v>
      </c>
    </row>
    <row r="474" spans="1:8" ht="30" hidden="1" x14ac:dyDescent="0.2">
      <c r="A474" s="1577">
        <v>3636</v>
      </c>
      <c r="B474" s="1578">
        <v>5032</v>
      </c>
      <c r="C474" s="1629">
        <v>38100880</v>
      </c>
      <c r="D474" s="1579" t="s">
        <v>1058</v>
      </c>
      <c r="E474" s="1580"/>
      <c r="F474" s="1580"/>
      <c r="G474" s="1580"/>
      <c r="H474" s="1581" t="e">
        <f t="shared" si="38"/>
        <v>#DIV/0!</v>
      </c>
    </row>
    <row r="475" spans="1:8" ht="30" hidden="1" x14ac:dyDescent="0.2">
      <c r="A475" s="1577">
        <v>3636</v>
      </c>
      <c r="B475" s="1578">
        <v>5032</v>
      </c>
      <c r="C475" s="1629">
        <v>38500881</v>
      </c>
      <c r="D475" s="1579" t="s">
        <v>1058</v>
      </c>
      <c r="E475" s="1580"/>
      <c r="F475" s="1580"/>
      <c r="G475" s="1580"/>
      <c r="H475" s="1581" t="e">
        <f t="shared" si="38"/>
        <v>#DIV/0!</v>
      </c>
    </row>
    <row r="476" spans="1:8" ht="15" hidden="1" x14ac:dyDescent="0.2">
      <c r="A476" s="1577">
        <v>3636</v>
      </c>
      <c r="B476" s="1578">
        <v>5139</v>
      </c>
      <c r="C476" s="1629">
        <v>38100880</v>
      </c>
      <c r="D476" s="1579" t="s">
        <v>249</v>
      </c>
      <c r="E476" s="1580"/>
      <c r="F476" s="1580"/>
      <c r="G476" s="1580"/>
      <c r="H476" s="1581">
        <v>0</v>
      </c>
    </row>
    <row r="477" spans="1:8" ht="15" hidden="1" x14ac:dyDescent="0.2">
      <c r="A477" s="1577">
        <v>3636</v>
      </c>
      <c r="B477" s="1578">
        <v>5139</v>
      </c>
      <c r="C477" s="1629">
        <v>38500881</v>
      </c>
      <c r="D477" s="1579" t="s">
        <v>249</v>
      </c>
      <c r="E477" s="1580"/>
      <c r="F477" s="1580"/>
      <c r="G477" s="1580"/>
      <c r="H477" s="1581" t="e">
        <f t="shared" ref="H477:H489" si="39">G477/F477*100</f>
        <v>#DIV/0!</v>
      </c>
    </row>
    <row r="478" spans="1:8" ht="15" hidden="1" x14ac:dyDescent="0.2">
      <c r="A478" s="1577">
        <v>3636</v>
      </c>
      <c r="B478" s="1578">
        <v>5162</v>
      </c>
      <c r="C478" s="1629">
        <v>38100880</v>
      </c>
      <c r="D478" s="1579" t="s">
        <v>780</v>
      </c>
      <c r="E478" s="1580"/>
      <c r="F478" s="1580"/>
      <c r="G478" s="1580"/>
      <c r="H478" s="1581" t="e">
        <f t="shared" si="39"/>
        <v>#DIV/0!</v>
      </c>
    </row>
    <row r="479" spans="1:8" ht="15" hidden="1" x14ac:dyDescent="0.2">
      <c r="A479" s="1577">
        <v>3636</v>
      </c>
      <c r="B479" s="1578">
        <v>5162</v>
      </c>
      <c r="C479" s="1629">
        <v>38500881</v>
      </c>
      <c r="D479" s="1579" t="s">
        <v>780</v>
      </c>
      <c r="E479" s="1580"/>
      <c r="F479" s="1580"/>
      <c r="G479" s="1580"/>
      <c r="H479" s="1581" t="e">
        <f t="shared" si="39"/>
        <v>#DIV/0!</v>
      </c>
    </row>
    <row r="480" spans="1:8" ht="15" hidden="1" x14ac:dyDescent="0.2">
      <c r="A480" s="1577">
        <v>3636</v>
      </c>
      <c r="B480" s="1578">
        <v>5164</v>
      </c>
      <c r="C480" s="1629">
        <v>38100880</v>
      </c>
      <c r="D480" s="1579" t="s">
        <v>157</v>
      </c>
      <c r="E480" s="1580"/>
      <c r="F480" s="1580"/>
      <c r="G480" s="1580"/>
      <c r="H480" s="1581" t="e">
        <f t="shared" si="39"/>
        <v>#DIV/0!</v>
      </c>
    </row>
    <row r="481" spans="1:8" ht="15" hidden="1" x14ac:dyDescent="0.2">
      <c r="A481" s="1577">
        <v>3636</v>
      </c>
      <c r="B481" s="1578">
        <v>5164</v>
      </c>
      <c r="C481" s="1629">
        <v>38500881</v>
      </c>
      <c r="D481" s="1579" t="s">
        <v>157</v>
      </c>
      <c r="E481" s="1580"/>
      <c r="F481" s="1580"/>
      <c r="G481" s="1580"/>
      <c r="H481" s="1581" t="e">
        <f t="shared" si="39"/>
        <v>#DIV/0!</v>
      </c>
    </row>
    <row r="482" spans="1:8" ht="30.75" thickBot="1" x14ac:dyDescent="0.25">
      <c r="A482" s="1577">
        <v>3122</v>
      </c>
      <c r="B482" s="1578">
        <v>5336</v>
      </c>
      <c r="C482" s="2850" t="s">
        <v>1850</v>
      </c>
      <c r="D482" s="1579" t="s">
        <v>1131</v>
      </c>
      <c r="E482" s="1580">
        <v>0</v>
      </c>
      <c r="F482" s="1580">
        <f>86+503</f>
        <v>589</v>
      </c>
      <c r="G482" s="1580">
        <f>86+503</f>
        <v>589</v>
      </c>
      <c r="H482" s="1581">
        <f t="shared" si="39"/>
        <v>100</v>
      </c>
    </row>
    <row r="483" spans="1:8" ht="15.75" hidden="1" thickBot="1" x14ac:dyDescent="0.25">
      <c r="A483" s="1577">
        <v>3122</v>
      </c>
      <c r="B483" s="1578">
        <v>5166</v>
      </c>
      <c r="C483" s="1629">
        <v>41100880</v>
      </c>
      <c r="D483" s="1579" t="s">
        <v>553</v>
      </c>
      <c r="E483" s="1580"/>
      <c r="F483" s="1580"/>
      <c r="G483" s="1580"/>
      <c r="H483" s="1581" t="e">
        <f t="shared" si="39"/>
        <v>#DIV/0!</v>
      </c>
    </row>
    <row r="484" spans="1:8" ht="15.75" hidden="1" thickBot="1" x14ac:dyDescent="0.25">
      <c r="A484" s="1577">
        <v>3122</v>
      </c>
      <c r="B484" s="1578">
        <v>5166</v>
      </c>
      <c r="C484" s="1629">
        <v>41100882</v>
      </c>
      <c r="D484" s="1579" t="s">
        <v>553</v>
      </c>
      <c r="E484" s="1580"/>
      <c r="F484" s="1580"/>
      <c r="G484" s="1580"/>
      <c r="H484" s="1581" t="e">
        <f t="shared" si="39"/>
        <v>#DIV/0!</v>
      </c>
    </row>
    <row r="485" spans="1:8" ht="15.75" hidden="1" thickBot="1" x14ac:dyDescent="0.25">
      <c r="A485" s="1577">
        <v>3122</v>
      </c>
      <c r="B485" s="1578">
        <v>5166</v>
      </c>
      <c r="C485" s="1629">
        <v>41500881</v>
      </c>
      <c r="D485" s="1579" t="s">
        <v>553</v>
      </c>
      <c r="E485" s="1580"/>
      <c r="F485" s="1580"/>
      <c r="G485" s="1580"/>
      <c r="H485" s="1581" t="e">
        <f t="shared" si="39"/>
        <v>#DIV/0!</v>
      </c>
    </row>
    <row r="486" spans="1:8" ht="15.75" hidden="1" thickBot="1" x14ac:dyDescent="0.25">
      <c r="A486" s="1577">
        <v>3122</v>
      </c>
      <c r="B486" s="1578">
        <v>5167</v>
      </c>
      <c r="C486" s="1629">
        <v>38100880</v>
      </c>
      <c r="D486" s="1579" t="s">
        <v>810</v>
      </c>
      <c r="E486" s="1580"/>
      <c r="F486" s="1580"/>
      <c r="G486" s="1580"/>
      <c r="H486" s="1581" t="e">
        <f t="shared" si="39"/>
        <v>#DIV/0!</v>
      </c>
    </row>
    <row r="487" spans="1:8" ht="15.75" hidden="1" thickBot="1" x14ac:dyDescent="0.25">
      <c r="A487" s="1577">
        <v>3122</v>
      </c>
      <c r="B487" s="1578">
        <v>5167</v>
      </c>
      <c r="C487" s="1629">
        <v>38500881</v>
      </c>
      <c r="D487" s="1579" t="s">
        <v>810</v>
      </c>
      <c r="E487" s="1580"/>
      <c r="F487" s="1580"/>
      <c r="G487" s="1580"/>
      <c r="H487" s="1581" t="e">
        <f t="shared" si="39"/>
        <v>#DIV/0!</v>
      </c>
    </row>
    <row r="488" spans="1:8" ht="15.75" hidden="1" thickBot="1" x14ac:dyDescent="0.25">
      <c r="A488" s="1577">
        <v>3122</v>
      </c>
      <c r="B488" s="1578">
        <v>5169</v>
      </c>
      <c r="C488" s="1629">
        <v>38100880</v>
      </c>
      <c r="D488" s="1579" t="s">
        <v>769</v>
      </c>
      <c r="E488" s="1580"/>
      <c r="F488" s="1580"/>
      <c r="G488" s="1580"/>
      <c r="H488" s="1581" t="e">
        <f t="shared" si="39"/>
        <v>#DIV/0!</v>
      </c>
    </row>
    <row r="489" spans="1:8" ht="15.75" hidden="1" thickBot="1" x14ac:dyDescent="0.25">
      <c r="A489" s="1577">
        <v>3122</v>
      </c>
      <c r="B489" s="1578">
        <v>5169</v>
      </c>
      <c r="C489" s="1629">
        <v>38500881</v>
      </c>
      <c r="D489" s="1579" t="s">
        <v>769</v>
      </c>
      <c r="E489" s="1580"/>
      <c r="F489" s="1580"/>
      <c r="G489" s="1580"/>
      <c r="H489" s="1581" t="e">
        <f t="shared" si="39"/>
        <v>#DIV/0!</v>
      </c>
    </row>
    <row r="490" spans="1:8" ht="15.75" hidden="1" thickBot="1" x14ac:dyDescent="0.25">
      <c r="A490" s="1577">
        <v>3122</v>
      </c>
      <c r="B490" s="1578">
        <v>5173</v>
      </c>
      <c r="C490" s="2850">
        <v>0</v>
      </c>
      <c r="D490" s="1579" t="s">
        <v>1038</v>
      </c>
      <c r="E490" s="1580"/>
      <c r="F490" s="1580"/>
      <c r="G490" s="1580"/>
      <c r="H490" s="1581">
        <v>0</v>
      </c>
    </row>
    <row r="491" spans="1:8" ht="15.75" hidden="1" thickBot="1" x14ac:dyDescent="0.25">
      <c r="A491" s="1577">
        <v>3122</v>
      </c>
      <c r="B491" s="1578">
        <v>5173</v>
      </c>
      <c r="C491" s="1629">
        <v>38500881</v>
      </c>
      <c r="D491" s="1579" t="s">
        <v>1038</v>
      </c>
      <c r="E491" s="1580"/>
      <c r="F491" s="1580"/>
      <c r="G491" s="1580"/>
      <c r="H491" s="1581" t="e">
        <f t="shared" ref="H491:H498" si="40">G491/F491*100</f>
        <v>#DIV/0!</v>
      </c>
    </row>
    <row r="492" spans="1:8" ht="15.75" hidden="1" thickBot="1" x14ac:dyDescent="0.25">
      <c r="A492" s="1577">
        <v>3122</v>
      </c>
      <c r="B492" s="1578">
        <v>5175</v>
      </c>
      <c r="C492" s="1629">
        <v>38100880</v>
      </c>
      <c r="D492" s="1579" t="s">
        <v>605</v>
      </c>
      <c r="E492" s="1580"/>
      <c r="F492" s="1580"/>
      <c r="G492" s="1580"/>
      <c r="H492" s="1581" t="e">
        <f t="shared" si="40"/>
        <v>#DIV/0!</v>
      </c>
    </row>
    <row r="493" spans="1:8" ht="15.75" hidden="1" thickBot="1" x14ac:dyDescent="0.25">
      <c r="A493" s="1577">
        <v>3122</v>
      </c>
      <c r="B493" s="1578">
        <v>5175</v>
      </c>
      <c r="C493" s="1629">
        <v>38500881</v>
      </c>
      <c r="D493" s="1579" t="s">
        <v>605</v>
      </c>
      <c r="E493" s="1580"/>
      <c r="F493" s="1580"/>
      <c r="G493" s="1580"/>
      <c r="H493" s="1581" t="e">
        <f t="shared" si="40"/>
        <v>#DIV/0!</v>
      </c>
    </row>
    <row r="494" spans="1:8" ht="15.75" hidden="1" thickBot="1" x14ac:dyDescent="0.25">
      <c r="A494" s="1577">
        <v>3122</v>
      </c>
      <c r="B494" s="1578">
        <v>5176</v>
      </c>
      <c r="C494" s="1629">
        <v>38100880</v>
      </c>
      <c r="D494" s="1579" t="s">
        <v>1119</v>
      </c>
      <c r="E494" s="1580"/>
      <c r="F494" s="1580"/>
      <c r="G494" s="1580"/>
      <c r="H494" s="1581" t="e">
        <f t="shared" si="40"/>
        <v>#DIV/0!</v>
      </c>
    </row>
    <row r="495" spans="1:8" ht="15.75" hidden="1" thickBot="1" x14ac:dyDescent="0.25">
      <c r="A495" s="1577">
        <v>3122</v>
      </c>
      <c r="B495" s="1578">
        <v>5176</v>
      </c>
      <c r="C495" s="1629">
        <v>38500881</v>
      </c>
      <c r="D495" s="1579" t="s">
        <v>1119</v>
      </c>
      <c r="E495" s="1580"/>
      <c r="F495" s="1580"/>
      <c r="G495" s="1580"/>
      <c r="H495" s="1581" t="e">
        <f t="shared" si="40"/>
        <v>#DIV/0!</v>
      </c>
    </row>
    <row r="496" spans="1:8" ht="30.75" hidden="1" thickBot="1" x14ac:dyDescent="0.25">
      <c r="A496" s="1577">
        <v>3122</v>
      </c>
      <c r="B496" s="1578">
        <v>6356</v>
      </c>
      <c r="C496" s="1629" t="s">
        <v>2127</v>
      </c>
      <c r="D496" s="1579" t="s">
        <v>1552</v>
      </c>
      <c r="E496" s="1580"/>
      <c r="F496" s="1580"/>
      <c r="G496" s="1580"/>
      <c r="H496" s="1581" t="e">
        <f t="shared" si="40"/>
        <v>#DIV/0!</v>
      </c>
    </row>
    <row r="497" spans="1:8" ht="30.75" hidden="1" thickBot="1" x14ac:dyDescent="0.25">
      <c r="A497" s="1577">
        <v>3122</v>
      </c>
      <c r="B497" s="1578">
        <v>6356</v>
      </c>
      <c r="C497" s="1629" t="s">
        <v>2126</v>
      </c>
      <c r="D497" s="1579" t="s">
        <v>1552</v>
      </c>
      <c r="E497" s="1580"/>
      <c r="F497" s="1580"/>
      <c r="G497" s="1580"/>
      <c r="H497" s="1583" t="e">
        <f t="shared" si="40"/>
        <v>#DIV/0!</v>
      </c>
    </row>
    <row r="498" spans="1:8" ht="16.5" thickTop="1" thickBot="1" x14ac:dyDescent="0.3">
      <c r="A498" s="3219" t="s">
        <v>690</v>
      </c>
      <c r="B498" s="3220"/>
      <c r="C498" s="3220"/>
      <c r="D498" s="3220"/>
      <c r="E498" s="1387">
        <f>SUM(E468:E497)</f>
        <v>0</v>
      </c>
      <c r="F498" s="1387">
        <f>SUM(F468:F497)</f>
        <v>693</v>
      </c>
      <c r="G498" s="1387">
        <f>SUM(G468:G497)</f>
        <v>693</v>
      </c>
      <c r="H498" s="1391">
        <f t="shared" si="40"/>
        <v>100</v>
      </c>
    </row>
    <row r="499" spans="1:8" ht="13.5" thickTop="1" x14ac:dyDescent="0.2"/>
    <row r="500" spans="1:8" ht="16.5" customHeight="1" x14ac:dyDescent="0.25">
      <c r="A500" s="3233" t="s">
        <v>471</v>
      </c>
      <c r="B500" s="3151"/>
      <c r="C500" s="3151"/>
      <c r="D500" s="3151"/>
      <c r="E500" s="3151"/>
      <c r="F500" s="3151"/>
      <c r="G500" s="3151"/>
      <c r="H500" s="3151"/>
    </row>
    <row r="501" spans="1:8" ht="15.75" thickBot="1" x14ac:dyDescent="0.3">
      <c r="A501" s="1544" t="s">
        <v>1378</v>
      </c>
      <c r="B501" s="1558"/>
      <c r="C501" s="1558"/>
      <c r="E501" s="1559"/>
      <c r="F501" s="1559"/>
      <c r="G501" s="1559"/>
      <c r="H501" s="1560" t="s">
        <v>148</v>
      </c>
    </row>
    <row r="502" spans="1:8" ht="25.5" thickTop="1" thickBot="1" x14ac:dyDescent="0.25">
      <c r="A502" s="1378" t="s">
        <v>149</v>
      </c>
      <c r="B502" s="1379" t="s">
        <v>688</v>
      </c>
      <c r="C502" s="1379" t="s">
        <v>345</v>
      </c>
      <c r="D502" s="1380" t="s">
        <v>151</v>
      </c>
      <c r="E502" s="1402" t="s">
        <v>569</v>
      </c>
      <c r="F502" s="1402" t="s">
        <v>570</v>
      </c>
      <c r="G502" s="1403" t="s">
        <v>797</v>
      </c>
      <c r="H502" s="1404" t="s">
        <v>798</v>
      </c>
    </row>
    <row r="503" spans="1:8" ht="14.25" thickTop="1" thickBot="1" x14ac:dyDescent="0.25">
      <c r="A503" s="1297">
        <v>1</v>
      </c>
      <c r="B503" s="1296">
        <v>2</v>
      </c>
      <c r="C503" s="1296">
        <v>3</v>
      </c>
      <c r="D503" s="1296">
        <v>4</v>
      </c>
      <c r="E503" s="1295">
        <v>5</v>
      </c>
      <c r="F503" s="1295">
        <v>6</v>
      </c>
      <c r="G503" s="1446">
        <v>7</v>
      </c>
      <c r="H503" s="1468" t="s">
        <v>54</v>
      </c>
    </row>
    <row r="504" spans="1:8" ht="15.75" hidden="1" thickTop="1" x14ac:dyDescent="0.2">
      <c r="A504" s="1572">
        <v>3636</v>
      </c>
      <c r="B504" s="1573">
        <v>5011</v>
      </c>
      <c r="C504" s="1582">
        <v>0</v>
      </c>
      <c r="D504" s="1574" t="s">
        <v>189</v>
      </c>
      <c r="E504" s="1575">
        <v>0</v>
      </c>
      <c r="F504" s="1575">
        <v>0</v>
      </c>
      <c r="G504" s="1575">
        <v>0</v>
      </c>
      <c r="H504" s="1576" t="e">
        <f t="shared" ref="H504:H511" si="41">G504/F504*100</f>
        <v>#DIV/0!</v>
      </c>
    </row>
    <row r="505" spans="1:8" ht="15.75" hidden="1" thickTop="1" x14ac:dyDescent="0.2">
      <c r="A505" s="1577">
        <v>3636</v>
      </c>
      <c r="B505" s="1578">
        <v>5011</v>
      </c>
      <c r="C505" s="1578">
        <v>38500881</v>
      </c>
      <c r="D505" s="1579" t="s">
        <v>189</v>
      </c>
      <c r="E505" s="1580">
        <v>0</v>
      </c>
      <c r="F505" s="1580">
        <v>0</v>
      </c>
      <c r="G505" s="1580">
        <v>0</v>
      </c>
      <c r="H505" s="1581" t="e">
        <f t="shared" si="41"/>
        <v>#DIV/0!</v>
      </c>
    </row>
    <row r="506" spans="1:8" ht="30.75" thickTop="1" x14ac:dyDescent="0.2">
      <c r="A506" s="1577">
        <v>3122</v>
      </c>
      <c r="B506" s="1578">
        <v>5336</v>
      </c>
      <c r="C506" s="2850" t="s">
        <v>1849</v>
      </c>
      <c r="D506" s="1579" t="s">
        <v>1131</v>
      </c>
      <c r="E506" s="1580">
        <v>0</v>
      </c>
      <c r="F506" s="1580">
        <f>10+80</f>
        <v>90</v>
      </c>
      <c r="G506" s="1580">
        <f>10+80</f>
        <v>90</v>
      </c>
      <c r="H506" s="1581">
        <f t="shared" si="41"/>
        <v>100</v>
      </c>
    </row>
    <row r="507" spans="1:8" ht="15" hidden="1" x14ac:dyDescent="0.2">
      <c r="A507" s="1577">
        <v>3636</v>
      </c>
      <c r="B507" s="1578">
        <v>5021</v>
      </c>
      <c r="C507" s="1629">
        <v>38500881</v>
      </c>
      <c r="D507" s="1579" t="s">
        <v>356</v>
      </c>
      <c r="E507" s="1580"/>
      <c r="F507" s="1580"/>
      <c r="G507" s="1580"/>
      <c r="H507" s="1581" t="e">
        <f t="shared" si="41"/>
        <v>#DIV/0!</v>
      </c>
    </row>
    <row r="508" spans="1:8" ht="30" hidden="1" x14ac:dyDescent="0.2">
      <c r="A508" s="1577">
        <v>3636</v>
      </c>
      <c r="B508" s="1578">
        <v>5031</v>
      </c>
      <c r="C508" s="1629">
        <v>38100880</v>
      </c>
      <c r="D508" s="1579" t="s">
        <v>1165</v>
      </c>
      <c r="E508" s="1580"/>
      <c r="F508" s="1580"/>
      <c r="G508" s="1580"/>
      <c r="H508" s="1581" t="e">
        <f t="shared" si="41"/>
        <v>#DIV/0!</v>
      </c>
    </row>
    <row r="509" spans="1:8" ht="30" hidden="1" x14ac:dyDescent="0.2">
      <c r="A509" s="1577">
        <v>3636</v>
      </c>
      <c r="B509" s="1578">
        <v>5031</v>
      </c>
      <c r="C509" s="1629">
        <v>38500881</v>
      </c>
      <c r="D509" s="1579" t="s">
        <v>1165</v>
      </c>
      <c r="E509" s="1580"/>
      <c r="F509" s="1580"/>
      <c r="G509" s="1580"/>
      <c r="H509" s="1581" t="e">
        <f t="shared" si="41"/>
        <v>#DIV/0!</v>
      </c>
    </row>
    <row r="510" spans="1:8" ht="30" hidden="1" x14ac:dyDescent="0.2">
      <c r="A510" s="1577">
        <v>3636</v>
      </c>
      <c r="B510" s="1578">
        <v>5032</v>
      </c>
      <c r="C510" s="1629">
        <v>38100880</v>
      </c>
      <c r="D510" s="1579" t="s">
        <v>1058</v>
      </c>
      <c r="E510" s="1580"/>
      <c r="F510" s="1580"/>
      <c r="G510" s="1580"/>
      <c r="H510" s="1581" t="e">
        <f t="shared" si="41"/>
        <v>#DIV/0!</v>
      </c>
    </row>
    <row r="511" spans="1:8" ht="30" hidden="1" x14ac:dyDescent="0.2">
      <c r="A511" s="1577">
        <v>3636</v>
      </c>
      <c r="B511" s="1578">
        <v>5032</v>
      </c>
      <c r="C511" s="1629">
        <v>38500881</v>
      </c>
      <c r="D511" s="1579" t="s">
        <v>1058</v>
      </c>
      <c r="E511" s="1580"/>
      <c r="F511" s="1580"/>
      <c r="G511" s="1580"/>
      <c r="H511" s="1581" t="e">
        <f t="shared" si="41"/>
        <v>#DIV/0!</v>
      </c>
    </row>
    <row r="512" spans="1:8" ht="15" hidden="1" x14ac:dyDescent="0.2">
      <c r="A512" s="1577">
        <v>3636</v>
      </c>
      <c r="B512" s="1578">
        <v>5139</v>
      </c>
      <c r="C512" s="1629">
        <v>38100880</v>
      </c>
      <c r="D512" s="1579" t="s">
        <v>249</v>
      </c>
      <c r="E512" s="1580"/>
      <c r="F512" s="1580"/>
      <c r="G512" s="1580"/>
      <c r="H512" s="1581">
        <v>0</v>
      </c>
    </row>
    <row r="513" spans="1:8" ht="15" hidden="1" x14ac:dyDescent="0.2">
      <c r="A513" s="1577">
        <v>3636</v>
      </c>
      <c r="B513" s="1578">
        <v>5139</v>
      </c>
      <c r="C513" s="1629">
        <v>38500881</v>
      </c>
      <c r="D513" s="1579" t="s">
        <v>249</v>
      </c>
      <c r="E513" s="1580"/>
      <c r="F513" s="1580"/>
      <c r="G513" s="1580"/>
      <c r="H513" s="1581" t="e">
        <f t="shared" ref="H513:H525" si="42">G513/F513*100</f>
        <v>#DIV/0!</v>
      </c>
    </row>
    <row r="514" spans="1:8" ht="15" hidden="1" x14ac:dyDescent="0.2">
      <c r="A514" s="1577">
        <v>3636</v>
      </c>
      <c r="B514" s="1578">
        <v>5162</v>
      </c>
      <c r="C514" s="1629">
        <v>38100880</v>
      </c>
      <c r="D514" s="1579" t="s">
        <v>780</v>
      </c>
      <c r="E514" s="1580"/>
      <c r="F514" s="1580"/>
      <c r="G514" s="1580"/>
      <c r="H514" s="1581" t="e">
        <f t="shared" si="42"/>
        <v>#DIV/0!</v>
      </c>
    </row>
    <row r="515" spans="1:8" ht="15" hidden="1" x14ac:dyDescent="0.2">
      <c r="A515" s="1577">
        <v>3636</v>
      </c>
      <c r="B515" s="1578">
        <v>5162</v>
      </c>
      <c r="C515" s="1629">
        <v>38500881</v>
      </c>
      <c r="D515" s="1579" t="s">
        <v>780</v>
      </c>
      <c r="E515" s="1580"/>
      <c r="F515" s="1580"/>
      <c r="G515" s="1580"/>
      <c r="H515" s="1581" t="e">
        <f t="shared" si="42"/>
        <v>#DIV/0!</v>
      </c>
    </row>
    <row r="516" spans="1:8" ht="15" hidden="1" x14ac:dyDescent="0.2">
      <c r="A516" s="1577">
        <v>3636</v>
      </c>
      <c r="B516" s="1578">
        <v>5164</v>
      </c>
      <c r="C516" s="1629">
        <v>38100880</v>
      </c>
      <c r="D516" s="1579" t="s">
        <v>157</v>
      </c>
      <c r="E516" s="1580"/>
      <c r="F516" s="1580"/>
      <c r="G516" s="1580"/>
      <c r="H516" s="1581" t="e">
        <f t="shared" si="42"/>
        <v>#DIV/0!</v>
      </c>
    </row>
    <row r="517" spans="1:8" ht="15" hidden="1" x14ac:dyDescent="0.2">
      <c r="A517" s="1577">
        <v>3636</v>
      </c>
      <c r="B517" s="1578">
        <v>5164</v>
      </c>
      <c r="C517" s="1629">
        <v>38500881</v>
      </c>
      <c r="D517" s="1579" t="s">
        <v>157</v>
      </c>
      <c r="E517" s="1580"/>
      <c r="F517" s="1580"/>
      <c r="G517" s="1580"/>
      <c r="H517" s="1581" t="e">
        <f t="shared" si="42"/>
        <v>#DIV/0!</v>
      </c>
    </row>
    <row r="518" spans="1:8" ht="30" x14ac:dyDescent="0.2">
      <c r="A518" s="1577">
        <v>3122</v>
      </c>
      <c r="B518" s="1578">
        <v>5336</v>
      </c>
      <c r="C518" s="2850" t="s">
        <v>1850</v>
      </c>
      <c r="D518" s="1579" t="s">
        <v>1131</v>
      </c>
      <c r="E518" s="1580">
        <v>0</v>
      </c>
      <c r="F518" s="1580">
        <f>56+454</f>
        <v>510</v>
      </c>
      <c r="G518" s="1580">
        <f>56+453</f>
        <v>509</v>
      </c>
      <c r="H518" s="1581">
        <f t="shared" si="42"/>
        <v>99.803921568627459</v>
      </c>
    </row>
    <row r="519" spans="1:8" ht="15" hidden="1" x14ac:dyDescent="0.2">
      <c r="A519" s="1577">
        <v>3122</v>
      </c>
      <c r="B519" s="1578">
        <v>5166</v>
      </c>
      <c r="C519" s="1578">
        <v>41100880</v>
      </c>
      <c r="D519" s="1579" t="s">
        <v>553</v>
      </c>
      <c r="E519" s="1580"/>
      <c r="F519" s="1580"/>
      <c r="G519" s="1580"/>
      <c r="H519" s="1581" t="e">
        <f t="shared" si="42"/>
        <v>#DIV/0!</v>
      </c>
    </row>
    <row r="520" spans="1:8" ht="15" hidden="1" x14ac:dyDescent="0.2">
      <c r="A520" s="1577">
        <v>3122</v>
      </c>
      <c r="B520" s="1578">
        <v>5166</v>
      </c>
      <c r="C520" s="1578">
        <v>41100882</v>
      </c>
      <c r="D520" s="1579" t="s">
        <v>553</v>
      </c>
      <c r="E520" s="1580"/>
      <c r="F520" s="1580"/>
      <c r="G520" s="1580"/>
      <c r="H520" s="1581" t="e">
        <f t="shared" si="42"/>
        <v>#DIV/0!</v>
      </c>
    </row>
    <row r="521" spans="1:8" ht="15" hidden="1" x14ac:dyDescent="0.2">
      <c r="A521" s="1577">
        <v>3122</v>
      </c>
      <c r="B521" s="1578">
        <v>5166</v>
      </c>
      <c r="C521" s="1578">
        <v>41500881</v>
      </c>
      <c r="D521" s="1579" t="s">
        <v>553</v>
      </c>
      <c r="E521" s="1580"/>
      <c r="F521" s="1580"/>
      <c r="G521" s="1580"/>
      <c r="H521" s="1581" t="e">
        <f t="shared" si="42"/>
        <v>#DIV/0!</v>
      </c>
    </row>
    <row r="522" spans="1:8" ht="15" hidden="1" x14ac:dyDescent="0.2">
      <c r="A522" s="1577">
        <v>3122</v>
      </c>
      <c r="B522" s="1578">
        <v>5167</v>
      </c>
      <c r="C522" s="1578">
        <v>38100880</v>
      </c>
      <c r="D522" s="1579" t="s">
        <v>810</v>
      </c>
      <c r="E522" s="1580"/>
      <c r="F522" s="1580"/>
      <c r="G522" s="1580"/>
      <c r="H522" s="1581" t="e">
        <f t="shared" si="42"/>
        <v>#DIV/0!</v>
      </c>
    </row>
    <row r="523" spans="1:8" ht="15" hidden="1" x14ac:dyDescent="0.2">
      <c r="A523" s="1577">
        <v>3122</v>
      </c>
      <c r="B523" s="1578">
        <v>5167</v>
      </c>
      <c r="C523" s="1578">
        <v>38500881</v>
      </c>
      <c r="D523" s="1579" t="s">
        <v>810</v>
      </c>
      <c r="E523" s="1580"/>
      <c r="F523" s="1580"/>
      <c r="G523" s="1580"/>
      <c r="H523" s="1581" t="e">
        <f t="shared" si="42"/>
        <v>#DIV/0!</v>
      </c>
    </row>
    <row r="524" spans="1:8" ht="15" hidden="1" x14ac:dyDescent="0.2">
      <c r="A524" s="1577">
        <v>3122</v>
      </c>
      <c r="B524" s="1578">
        <v>5169</v>
      </c>
      <c r="C524" s="1578">
        <v>38100880</v>
      </c>
      <c r="D524" s="1579" t="s">
        <v>769</v>
      </c>
      <c r="E524" s="1580"/>
      <c r="F524" s="1580"/>
      <c r="G524" s="1580"/>
      <c r="H524" s="1581" t="e">
        <f t="shared" si="42"/>
        <v>#DIV/0!</v>
      </c>
    </row>
    <row r="525" spans="1:8" ht="15" hidden="1" x14ac:dyDescent="0.2">
      <c r="A525" s="1577">
        <v>3122</v>
      </c>
      <c r="B525" s="1578">
        <v>5169</v>
      </c>
      <c r="C525" s="1578">
        <v>38500881</v>
      </c>
      <c r="D525" s="1579" t="s">
        <v>769</v>
      </c>
      <c r="E525" s="1580"/>
      <c r="F525" s="1580"/>
      <c r="G525" s="1580"/>
      <c r="H525" s="1581" t="e">
        <f t="shared" si="42"/>
        <v>#DIV/0!</v>
      </c>
    </row>
    <row r="526" spans="1:8" ht="15" hidden="1" x14ac:dyDescent="0.2">
      <c r="A526" s="1577">
        <v>3122</v>
      </c>
      <c r="B526" s="1578">
        <v>5173</v>
      </c>
      <c r="C526" s="1582">
        <v>0</v>
      </c>
      <c r="D526" s="1579" t="s">
        <v>1038</v>
      </c>
      <c r="E526" s="1580"/>
      <c r="F526" s="1580"/>
      <c r="G526" s="1580"/>
      <c r="H526" s="1581">
        <v>0</v>
      </c>
    </row>
    <row r="527" spans="1:8" ht="15" hidden="1" x14ac:dyDescent="0.2">
      <c r="A527" s="1577">
        <v>3122</v>
      </c>
      <c r="B527" s="1578">
        <v>5173</v>
      </c>
      <c r="C527" s="1578">
        <v>38500881</v>
      </c>
      <c r="D527" s="1579" t="s">
        <v>1038</v>
      </c>
      <c r="E527" s="1580">
        <v>0</v>
      </c>
      <c r="F527" s="1580"/>
      <c r="G527" s="1580"/>
      <c r="H527" s="1581" t="e">
        <f t="shared" ref="H527:H534" si="43">G527/F527*100</f>
        <v>#DIV/0!</v>
      </c>
    </row>
    <row r="528" spans="1:8" ht="15" hidden="1" x14ac:dyDescent="0.2">
      <c r="A528" s="1577">
        <v>3122</v>
      </c>
      <c r="B528" s="1578">
        <v>5175</v>
      </c>
      <c r="C528" s="1578">
        <v>38100880</v>
      </c>
      <c r="D528" s="1579" t="s">
        <v>605</v>
      </c>
      <c r="E528" s="1580">
        <v>0</v>
      </c>
      <c r="F528" s="1580"/>
      <c r="G528" s="1580"/>
      <c r="H528" s="1581" t="e">
        <f t="shared" si="43"/>
        <v>#DIV/0!</v>
      </c>
    </row>
    <row r="529" spans="1:8" ht="15" hidden="1" x14ac:dyDescent="0.2">
      <c r="A529" s="1577">
        <v>3122</v>
      </c>
      <c r="B529" s="1578">
        <v>5175</v>
      </c>
      <c r="C529" s="1578">
        <v>38500881</v>
      </c>
      <c r="D529" s="1579" t="s">
        <v>605</v>
      </c>
      <c r="E529" s="1580">
        <v>0</v>
      </c>
      <c r="F529" s="1580"/>
      <c r="G529" s="1580"/>
      <c r="H529" s="1581" t="e">
        <f t="shared" si="43"/>
        <v>#DIV/0!</v>
      </c>
    </row>
    <row r="530" spans="1:8" ht="15" hidden="1" x14ac:dyDescent="0.2">
      <c r="A530" s="1577">
        <v>3122</v>
      </c>
      <c r="B530" s="1578">
        <v>5176</v>
      </c>
      <c r="C530" s="1578">
        <v>38100880</v>
      </c>
      <c r="D530" s="1579" t="s">
        <v>1119</v>
      </c>
      <c r="E530" s="1580">
        <v>0</v>
      </c>
      <c r="F530" s="1580"/>
      <c r="G530" s="1580"/>
      <c r="H530" s="1581" t="e">
        <f t="shared" si="43"/>
        <v>#DIV/0!</v>
      </c>
    </row>
    <row r="531" spans="1:8" ht="15" hidden="1" x14ac:dyDescent="0.2">
      <c r="A531" s="1577">
        <v>3122</v>
      </c>
      <c r="B531" s="1578">
        <v>5176</v>
      </c>
      <c r="C531" s="1578">
        <v>38500881</v>
      </c>
      <c r="D531" s="1579" t="s">
        <v>1119</v>
      </c>
      <c r="E531" s="1580">
        <v>0</v>
      </c>
      <c r="F531" s="1580"/>
      <c r="G531" s="1580"/>
      <c r="H531" s="1581" t="e">
        <f t="shared" si="43"/>
        <v>#DIV/0!</v>
      </c>
    </row>
    <row r="532" spans="1:8" ht="30" x14ac:dyDescent="0.2">
      <c r="A532" s="1577">
        <v>3122</v>
      </c>
      <c r="B532" s="1578">
        <v>6356</v>
      </c>
      <c r="C532" s="1629" t="s">
        <v>2127</v>
      </c>
      <c r="D532" s="1579" t="s">
        <v>1552</v>
      </c>
      <c r="E532" s="1580">
        <v>0</v>
      </c>
      <c r="F532" s="1580">
        <v>1</v>
      </c>
      <c r="G532" s="1580">
        <v>1</v>
      </c>
      <c r="H532" s="1581">
        <f t="shared" si="43"/>
        <v>100</v>
      </c>
    </row>
    <row r="533" spans="1:8" ht="30.75" thickBot="1" x14ac:dyDescent="0.25">
      <c r="A533" s="1577">
        <v>3122</v>
      </c>
      <c r="B533" s="1578">
        <v>6356</v>
      </c>
      <c r="C533" s="1629" t="s">
        <v>2126</v>
      </c>
      <c r="D533" s="1579" t="s">
        <v>1552</v>
      </c>
      <c r="E533" s="1580">
        <v>0</v>
      </c>
      <c r="F533" s="1580">
        <v>8</v>
      </c>
      <c r="G533" s="1580">
        <v>8</v>
      </c>
      <c r="H533" s="1583">
        <f t="shared" si="43"/>
        <v>100</v>
      </c>
    </row>
    <row r="534" spans="1:8" ht="16.5" thickTop="1" thickBot="1" x14ac:dyDescent="0.3">
      <c r="A534" s="3219" t="s">
        <v>690</v>
      </c>
      <c r="B534" s="3220"/>
      <c r="C534" s="3220"/>
      <c r="D534" s="3220"/>
      <c r="E534" s="1387">
        <f>SUM(E504:E533)</f>
        <v>0</v>
      </c>
      <c r="F534" s="1387">
        <f>SUM(F504:F533)</f>
        <v>609</v>
      </c>
      <c r="G534" s="1387">
        <f>SUM(G504:G533)</f>
        <v>608</v>
      </c>
      <c r="H534" s="1585">
        <f t="shared" si="43"/>
        <v>99.835796387520531</v>
      </c>
    </row>
    <row r="535" spans="1:8" ht="13.5" thickTop="1" x14ac:dyDescent="0.2"/>
    <row r="536" spans="1:8" ht="12" hidden="1" customHeight="1" x14ac:dyDescent="0.25">
      <c r="A536" s="3233" t="s">
        <v>1564</v>
      </c>
      <c r="B536" s="3151"/>
      <c r="C536" s="3151"/>
      <c r="D536" s="3151"/>
      <c r="E536" s="3151"/>
      <c r="F536" s="3151"/>
      <c r="G536" s="3151"/>
      <c r="H536" s="3151"/>
    </row>
    <row r="537" spans="1:8" ht="15" hidden="1" x14ac:dyDescent="0.25">
      <c r="A537" s="1544" t="s">
        <v>1565</v>
      </c>
      <c r="B537" s="1558"/>
      <c r="C537" s="1558"/>
      <c r="E537" s="1559"/>
      <c r="F537" s="1559"/>
      <c r="G537" s="1559"/>
      <c r="H537" s="1560" t="s">
        <v>148</v>
      </c>
    </row>
    <row r="538" spans="1:8" ht="25.5" hidden="1" thickTop="1" thickBot="1" x14ac:dyDescent="0.25">
      <c r="A538" s="1378" t="s">
        <v>149</v>
      </c>
      <c r="B538" s="1379" t="s">
        <v>688</v>
      </c>
      <c r="C538" s="1379" t="s">
        <v>345</v>
      </c>
      <c r="D538" s="1380" t="s">
        <v>151</v>
      </c>
      <c r="E538" s="1402" t="s">
        <v>569</v>
      </c>
      <c r="F538" s="1402" t="s">
        <v>570</v>
      </c>
      <c r="G538" s="1403" t="s">
        <v>797</v>
      </c>
      <c r="H538" s="1404" t="s">
        <v>798</v>
      </c>
    </row>
    <row r="539" spans="1:8" ht="14.25" hidden="1" thickTop="1" thickBot="1" x14ac:dyDescent="0.25">
      <c r="A539" s="1297">
        <v>1</v>
      </c>
      <c r="B539" s="1296">
        <v>2</v>
      </c>
      <c r="C539" s="1296">
        <v>3</v>
      </c>
      <c r="D539" s="1296">
        <v>4</v>
      </c>
      <c r="E539" s="1295">
        <v>5</v>
      </c>
      <c r="F539" s="1295">
        <v>6</v>
      </c>
      <c r="G539" s="1446">
        <v>7</v>
      </c>
      <c r="H539" s="1468" t="s">
        <v>54</v>
      </c>
    </row>
    <row r="540" spans="1:8" ht="15.75" hidden="1" thickTop="1" x14ac:dyDescent="0.2">
      <c r="A540" s="1572">
        <v>3636</v>
      </c>
      <c r="B540" s="1573">
        <v>5011</v>
      </c>
      <c r="C540" s="1582">
        <v>0</v>
      </c>
      <c r="D540" s="1574" t="s">
        <v>189</v>
      </c>
      <c r="E540" s="1575">
        <v>0</v>
      </c>
      <c r="F540" s="1575">
        <v>0</v>
      </c>
      <c r="G540" s="1575">
        <v>0</v>
      </c>
      <c r="H540" s="1576" t="e">
        <f t="shared" ref="H540:H547" si="44">G540/F540*100</f>
        <v>#DIV/0!</v>
      </c>
    </row>
    <row r="541" spans="1:8" ht="15" hidden="1" x14ac:dyDescent="0.2">
      <c r="A541" s="1577">
        <v>3636</v>
      </c>
      <c r="B541" s="1578">
        <v>5011</v>
      </c>
      <c r="C541" s="1578">
        <v>38500881</v>
      </c>
      <c r="D541" s="1579" t="s">
        <v>189</v>
      </c>
      <c r="E541" s="1580">
        <v>0</v>
      </c>
      <c r="F541" s="1580">
        <v>0</v>
      </c>
      <c r="G541" s="1580">
        <v>0</v>
      </c>
      <c r="H541" s="1581" t="e">
        <f t="shared" si="44"/>
        <v>#DIV/0!</v>
      </c>
    </row>
    <row r="542" spans="1:8" ht="30" hidden="1" x14ac:dyDescent="0.2">
      <c r="A542" s="1577">
        <v>3123</v>
      </c>
      <c r="B542" s="1578">
        <v>5336</v>
      </c>
      <c r="C542" s="2850" t="s">
        <v>1849</v>
      </c>
      <c r="D542" s="1579" t="s">
        <v>1131</v>
      </c>
      <c r="E542" s="1580"/>
      <c r="F542" s="1580"/>
      <c r="G542" s="1580"/>
      <c r="H542" s="1581" t="e">
        <f t="shared" si="44"/>
        <v>#DIV/0!</v>
      </c>
    </row>
    <row r="543" spans="1:8" ht="15" hidden="1" x14ac:dyDescent="0.2">
      <c r="A543" s="1577">
        <v>3636</v>
      </c>
      <c r="B543" s="1578">
        <v>5021</v>
      </c>
      <c r="C543" s="1629">
        <v>38500881</v>
      </c>
      <c r="D543" s="1579" t="s">
        <v>356</v>
      </c>
      <c r="E543" s="1580"/>
      <c r="F543" s="1580"/>
      <c r="G543" s="1580"/>
      <c r="H543" s="1581" t="e">
        <f t="shared" si="44"/>
        <v>#DIV/0!</v>
      </c>
    </row>
    <row r="544" spans="1:8" ht="30" hidden="1" x14ac:dyDescent="0.2">
      <c r="A544" s="1577">
        <v>3636</v>
      </c>
      <c r="B544" s="1578">
        <v>5031</v>
      </c>
      <c r="C544" s="1629">
        <v>38100880</v>
      </c>
      <c r="D544" s="1579" t="s">
        <v>1165</v>
      </c>
      <c r="E544" s="1580"/>
      <c r="F544" s="1580"/>
      <c r="G544" s="1580"/>
      <c r="H544" s="1581" t="e">
        <f t="shared" si="44"/>
        <v>#DIV/0!</v>
      </c>
    </row>
    <row r="545" spans="1:8" ht="30" hidden="1" x14ac:dyDescent="0.2">
      <c r="A545" s="1577">
        <v>3636</v>
      </c>
      <c r="B545" s="1578">
        <v>5031</v>
      </c>
      <c r="C545" s="1629">
        <v>38500881</v>
      </c>
      <c r="D545" s="1579" t="s">
        <v>1165</v>
      </c>
      <c r="E545" s="1580"/>
      <c r="F545" s="1580"/>
      <c r="G545" s="1580"/>
      <c r="H545" s="1581" t="e">
        <f t="shared" si="44"/>
        <v>#DIV/0!</v>
      </c>
    </row>
    <row r="546" spans="1:8" ht="30" hidden="1" x14ac:dyDescent="0.2">
      <c r="A546" s="1577">
        <v>3636</v>
      </c>
      <c r="B546" s="1578">
        <v>5032</v>
      </c>
      <c r="C546" s="1629">
        <v>38100880</v>
      </c>
      <c r="D546" s="1579" t="s">
        <v>1058</v>
      </c>
      <c r="E546" s="1580"/>
      <c r="F546" s="1580"/>
      <c r="G546" s="1580"/>
      <c r="H546" s="1581" t="e">
        <f t="shared" si="44"/>
        <v>#DIV/0!</v>
      </c>
    </row>
    <row r="547" spans="1:8" ht="30" hidden="1" x14ac:dyDescent="0.2">
      <c r="A547" s="1577">
        <v>3636</v>
      </c>
      <c r="B547" s="1578">
        <v>5032</v>
      </c>
      <c r="C547" s="1629">
        <v>38500881</v>
      </c>
      <c r="D547" s="1579" t="s">
        <v>1058</v>
      </c>
      <c r="E547" s="1580"/>
      <c r="F547" s="1580"/>
      <c r="G547" s="1580"/>
      <c r="H547" s="1581" t="e">
        <f t="shared" si="44"/>
        <v>#DIV/0!</v>
      </c>
    </row>
    <row r="548" spans="1:8" ht="15" hidden="1" x14ac:dyDescent="0.2">
      <c r="A548" s="1577">
        <v>3636</v>
      </c>
      <c r="B548" s="1578">
        <v>5139</v>
      </c>
      <c r="C548" s="1629">
        <v>38100880</v>
      </c>
      <c r="D548" s="1579" t="s">
        <v>249</v>
      </c>
      <c r="E548" s="1580"/>
      <c r="F548" s="1580"/>
      <c r="G548" s="1580"/>
      <c r="H548" s="1581">
        <v>0</v>
      </c>
    </row>
    <row r="549" spans="1:8" ht="15" hidden="1" x14ac:dyDescent="0.2">
      <c r="A549" s="1577">
        <v>3636</v>
      </c>
      <c r="B549" s="1578">
        <v>5139</v>
      </c>
      <c r="C549" s="1629">
        <v>38500881</v>
      </c>
      <c r="D549" s="1579" t="s">
        <v>249</v>
      </c>
      <c r="E549" s="1580"/>
      <c r="F549" s="1580"/>
      <c r="G549" s="1580"/>
      <c r="H549" s="1581" t="e">
        <f t="shared" ref="H549:H561" si="45">G549/F549*100</f>
        <v>#DIV/0!</v>
      </c>
    </row>
    <row r="550" spans="1:8" ht="15" hidden="1" x14ac:dyDescent="0.2">
      <c r="A550" s="1577">
        <v>3636</v>
      </c>
      <c r="B550" s="1578">
        <v>5162</v>
      </c>
      <c r="C550" s="1629">
        <v>38100880</v>
      </c>
      <c r="D550" s="1579" t="s">
        <v>780</v>
      </c>
      <c r="E550" s="1580"/>
      <c r="F550" s="1580"/>
      <c r="G550" s="1580"/>
      <c r="H550" s="1581" t="e">
        <f t="shared" si="45"/>
        <v>#DIV/0!</v>
      </c>
    </row>
    <row r="551" spans="1:8" ht="15" hidden="1" x14ac:dyDescent="0.2">
      <c r="A551" s="1577">
        <v>3636</v>
      </c>
      <c r="B551" s="1578">
        <v>5162</v>
      </c>
      <c r="C551" s="1629">
        <v>38500881</v>
      </c>
      <c r="D551" s="1579" t="s">
        <v>780</v>
      </c>
      <c r="E551" s="1580"/>
      <c r="F551" s="1580"/>
      <c r="G551" s="1580"/>
      <c r="H551" s="1581" t="e">
        <f t="shared" si="45"/>
        <v>#DIV/0!</v>
      </c>
    </row>
    <row r="552" spans="1:8" ht="15" hidden="1" x14ac:dyDescent="0.2">
      <c r="A552" s="1577">
        <v>3636</v>
      </c>
      <c r="B552" s="1578">
        <v>5164</v>
      </c>
      <c r="C552" s="1629">
        <v>38100880</v>
      </c>
      <c r="D552" s="1579" t="s">
        <v>157</v>
      </c>
      <c r="E552" s="1580"/>
      <c r="F552" s="1580"/>
      <c r="G552" s="1580"/>
      <c r="H552" s="1581" t="e">
        <f t="shared" si="45"/>
        <v>#DIV/0!</v>
      </c>
    </row>
    <row r="553" spans="1:8" ht="15" hidden="1" x14ac:dyDescent="0.2">
      <c r="A553" s="1577">
        <v>3636</v>
      </c>
      <c r="B553" s="1578">
        <v>5164</v>
      </c>
      <c r="C553" s="1629">
        <v>38500881</v>
      </c>
      <c r="D553" s="1579" t="s">
        <v>157</v>
      </c>
      <c r="E553" s="1580"/>
      <c r="F553" s="1580"/>
      <c r="G553" s="1580"/>
      <c r="H553" s="1581" t="e">
        <f t="shared" si="45"/>
        <v>#DIV/0!</v>
      </c>
    </row>
    <row r="554" spans="1:8" ht="30" hidden="1" x14ac:dyDescent="0.2">
      <c r="A554" s="1577">
        <v>3123</v>
      </c>
      <c r="B554" s="1578">
        <v>5336</v>
      </c>
      <c r="C554" s="2850" t="s">
        <v>1850</v>
      </c>
      <c r="D554" s="1579" t="s">
        <v>1131</v>
      </c>
      <c r="E554" s="1580"/>
      <c r="F554" s="1580"/>
      <c r="G554" s="1580"/>
      <c r="H554" s="1581" t="e">
        <f t="shared" si="45"/>
        <v>#DIV/0!</v>
      </c>
    </row>
    <row r="555" spans="1:8" ht="15" hidden="1" x14ac:dyDescent="0.2">
      <c r="A555" s="1577">
        <v>3123</v>
      </c>
      <c r="B555" s="1578">
        <v>5166</v>
      </c>
      <c r="C555" s="1629">
        <v>41100880</v>
      </c>
      <c r="D555" s="1579" t="s">
        <v>553</v>
      </c>
      <c r="E555" s="1580"/>
      <c r="F555" s="1580"/>
      <c r="G555" s="1580"/>
      <c r="H555" s="1581" t="e">
        <f t="shared" si="45"/>
        <v>#DIV/0!</v>
      </c>
    </row>
    <row r="556" spans="1:8" ht="15" hidden="1" x14ac:dyDescent="0.2">
      <c r="A556" s="1577">
        <v>3123</v>
      </c>
      <c r="B556" s="1578">
        <v>5166</v>
      </c>
      <c r="C556" s="1629">
        <v>41100882</v>
      </c>
      <c r="D556" s="1579" t="s">
        <v>553</v>
      </c>
      <c r="E556" s="1580"/>
      <c r="F556" s="1580"/>
      <c r="G556" s="1580"/>
      <c r="H556" s="1581" t="e">
        <f t="shared" si="45"/>
        <v>#DIV/0!</v>
      </c>
    </row>
    <row r="557" spans="1:8" ht="15" hidden="1" x14ac:dyDescent="0.2">
      <c r="A557" s="1577">
        <v>3123</v>
      </c>
      <c r="B557" s="1578">
        <v>5166</v>
      </c>
      <c r="C557" s="1629">
        <v>41500881</v>
      </c>
      <c r="D557" s="1579" t="s">
        <v>553</v>
      </c>
      <c r="E557" s="1580"/>
      <c r="F557" s="1580"/>
      <c r="G557" s="1580"/>
      <c r="H557" s="1581" t="e">
        <f t="shared" si="45"/>
        <v>#DIV/0!</v>
      </c>
    </row>
    <row r="558" spans="1:8" ht="15" hidden="1" x14ac:dyDescent="0.2">
      <c r="A558" s="1577">
        <v>3123</v>
      </c>
      <c r="B558" s="1578">
        <v>5167</v>
      </c>
      <c r="C558" s="1629">
        <v>38100880</v>
      </c>
      <c r="D558" s="1579" t="s">
        <v>810</v>
      </c>
      <c r="E558" s="1580"/>
      <c r="F558" s="1580"/>
      <c r="G558" s="1580"/>
      <c r="H558" s="1581" t="e">
        <f t="shared" si="45"/>
        <v>#DIV/0!</v>
      </c>
    </row>
    <row r="559" spans="1:8" ht="15" hidden="1" x14ac:dyDescent="0.2">
      <c r="A559" s="1577">
        <v>3123</v>
      </c>
      <c r="B559" s="1578">
        <v>5167</v>
      </c>
      <c r="C559" s="1629">
        <v>38500881</v>
      </c>
      <c r="D559" s="1579" t="s">
        <v>810</v>
      </c>
      <c r="E559" s="1580"/>
      <c r="F559" s="1580"/>
      <c r="G559" s="1580"/>
      <c r="H559" s="1581" t="e">
        <f t="shared" si="45"/>
        <v>#DIV/0!</v>
      </c>
    </row>
    <row r="560" spans="1:8" ht="15" hidden="1" x14ac:dyDescent="0.2">
      <c r="A560" s="1577">
        <v>3123</v>
      </c>
      <c r="B560" s="1578">
        <v>5169</v>
      </c>
      <c r="C560" s="1629">
        <v>38100880</v>
      </c>
      <c r="D560" s="1579" t="s">
        <v>769</v>
      </c>
      <c r="E560" s="1580"/>
      <c r="F560" s="1580"/>
      <c r="G560" s="1580"/>
      <c r="H560" s="1581" t="e">
        <f t="shared" si="45"/>
        <v>#DIV/0!</v>
      </c>
    </row>
    <row r="561" spans="1:8" ht="15" hidden="1" x14ac:dyDescent="0.2">
      <c r="A561" s="1577">
        <v>3123</v>
      </c>
      <c r="B561" s="1578">
        <v>5169</v>
      </c>
      <c r="C561" s="1629">
        <v>38500881</v>
      </c>
      <c r="D561" s="1579" t="s">
        <v>769</v>
      </c>
      <c r="E561" s="1580"/>
      <c r="F561" s="1580"/>
      <c r="G561" s="1580"/>
      <c r="H561" s="1581" t="e">
        <f t="shared" si="45"/>
        <v>#DIV/0!</v>
      </c>
    </row>
    <row r="562" spans="1:8" ht="15" hidden="1" x14ac:dyDescent="0.2">
      <c r="A562" s="1577">
        <v>3123</v>
      </c>
      <c r="B562" s="1578">
        <v>5173</v>
      </c>
      <c r="C562" s="2850">
        <v>0</v>
      </c>
      <c r="D562" s="1579" t="s">
        <v>1038</v>
      </c>
      <c r="E562" s="1580"/>
      <c r="F562" s="1580"/>
      <c r="G562" s="1580"/>
      <c r="H562" s="1581">
        <v>0</v>
      </c>
    </row>
    <row r="563" spans="1:8" ht="15" hidden="1" x14ac:dyDescent="0.2">
      <c r="A563" s="1577">
        <v>3123</v>
      </c>
      <c r="B563" s="1578">
        <v>5173</v>
      </c>
      <c r="C563" s="1629">
        <v>38500881</v>
      </c>
      <c r="D563" s="1579" t="s">
        <v>1038</v>
      </c>
      <c r="E563" s="1580"/>
      <c r="F563" s="1580"/>
      <c r="G563" s="1580"/>
      <c r="H563" s="1581" t="e">
        <f t="shared" ref="H563:H570" si="46">G563/F563*100</f>
        <v>#DIV/0!</v>
      </c>
    </row>
    <row r="564" spans="1:8" ht="15" hidden="1" x14ac:dyDescent="0.2">
      <c r="A564" s="1577">
        <v>3123</v>
      </c>
      <c r="B564" s="1578">
        <v>5175</v>
      </c>
      <c r="C564" s="1629">
        <v>38100880</v>
      </c>
      <c r="D564" s="1579" t="s">
        <v>605</v>
      </c>
      <c r="E564" s="1580"/>
      <c r="F564" s="1580"/>
      <c r="G564" s="1580"/>
      <c r="H564" s="1581" t="e">
        <f t="shared" si="46"/>
        <v>#DIV/0!</v>
      </c>
    </row>
    <row r="565" spans="1:8" ht="15" hidden="1" x14ac:dyDescent="0.2">
      <c r="A565" s="1577">
        <v>3123</v>
      </c>
      <c r="B565" s="1578">
        <v>5175</v>
      </c>
      <c r="C565" s="1629">
        <v>38500881</v>
      </c>
      <c r="D565" s="1579" t="s">
        <v>605</v>
      </c>
      <c r="E565" s="1580"/>
      <c r="F565" s="1580"/>
      <c r="G565" s="1580"/>
      <c r="H565" s="1581" t="e">
        <f t="shared" si="46"/>
        <v>#DIV/0!</v>
      </c>
    </row>
    <row r="566" spans="1:8" ht="15" hidden="1" x14ac:dyDescent="0.2">
      <c r="A566" s="1577">
        <v>3123</v>
      </c>
      <c r="B566" s="1578">
        <v>5176</v>
      </c>
      <c r="C566" s="1629">
        <v>38100880</v>
      </c>
      <c r="D566" s="1579" t="s">
        <v>1119</v>
      </c>
      <c r="E566" s="1580"/>
      <c r="F566" s="1580"/>
      <c r="G566" s="1580"/>
      <c r="H566" s="1581" t="e">
        <f t="shared" si="46"/>
        <v>#DIV/0!</v>
      </c>
    </row>
    <row r="567" spans="1:8" ht="15" hidden="1" x14ac:dyDescent="0.2">
      <c r="A567" s="1577">
        <v>3123</v>
      </c>
      <c r="B567" s="1578">
        <v>5176</v>
      </c>
      <c r="C567" s="1629">
        <v>38500881</v>
      </c>
      <c r="D567" s="1579" t="s">
        <v>1119</v>
      </c>
      <c r="E567" s="1580"/>
      <c r="F567" s="1580"/>
      <c r="G567" s="1580"/>
      <c r="H567" s="1581" t="e">
        <f t="shared" si="46"/>
        <v>#DIV/0!</v>
      </c>
    </row>
    <row r="568" spans="1:8" ht="30" hidden="1" x14ac:dyDescent="0.2">
      <c r="A568" s="1577">
        <v>3123</v>
      </c>
      <c r="B568" s="1578">
        <v>6356</v>
      </c>
      <c r="C568" s="1629" t="s">
        <v>2127</v>
      </c>
      <c r="D568" s="1579" t="s">
        <v>1552</v>
      </c>
      <c r="E568" s="1580"/>
      <c r="F568" s="1580"/>
      <c r="G568" s="1580"/>
      <c r="H568" s="1581" t="e">
        <f t="shared" si="46"/>
        <v>#DIV/0!</v>
      </c>
    </row>
    <row r="569" spans="1:8" ht="30.75" hidden="1" thickBot="1" x14ac:dyDescent="0.25">
      <c r="A569" s="1577">
        <v>3123</v>
      </c>
      <c r="B569" s="1578">
        <v>6356</v>
      </c>
      <c r="C569" s="1629" t="s">
        <v>2126</v>
      </c>
      <c r="D569" s="1579" t="s">
        <v>1552</v>
      </c>
      <c r="E569" s="1580"/>
      <c r="F569" s="1580"/>
      <c r="G569" s="1580"/>
      <c r="H569" s="1583" t="e">
        <f t="shared" si="46"/>
        <v>#DIV/0!</v>
      </c>
    </row>
    <row r="570" spans="1:8" ht="16.5" hidden="1" thickTop="1" thickBot="1" x14ac:dyDescent="0.3">
      <c r="A570" s="3219" t="s">
        <v>690</v>
      </c>
      <c r="B570" s="3220"/>
      <c r="C570" s="3220"/>
      <c r="D570" s="3220"/>
      <c r="E570" s="1387">
        <f>SUM(E540:E569)</f>
        <v>0</v>
      </c>
      <c r="F570" s="1387">
        <f>SUM(F540:F569)</f>
        <v>0</v>
      </c>
      <c r="G570" s="1387">
        <f>SUM(G540:G569)</f>
        <v>0</v>
      </c>
      <c r="H570" s="1391" t="e">
        <f t="shared" si="46"/>
        <v>#DIV/0!</v>
      </c>
    </row>
    <row r="571" spans="1:8" hidden="1" x14ac:dyDescent="0.2"/>
    <row r="572" spans="1:8" ht="15" customHeight="1" x14ac:dyDescent="0.25">
      <c r="A572" s="3233" t="s">
        <v>1435</v>
      </c>
      <c r="B572" s="3151"/>
      <c r="C572" s="3151"/>
      <c r="D572" s="3151"/>
      <c r="E572" s="3151"/>
      <c r="F572" s="3151"/>
      <c r="G572" s="3151"/>
      <c r="H572" s="3151"/>
    </row>
    <row r="573" spans="1:8" ht="15.75" thickBot="1" x14ac:dyDescent="0.3">
      <c r="A573" s="1544" t="s">
        <v>1363</v>
      </c>
      <c r="B573" s="1558"/>
      <c r="C573" s="1558"/>
      <c r="E573" s="1559"/>
      <c r="F573" s="1559"/>
      <c r="G573" s="1559"/>
      <c r="H573" s="1560" t="s">
        <v>148</v>
      </c>
    </row>
    <row r="574" spans="1:8" ht="25.5" thickTop="1" thickBot="1" x14ac:dyDescent="0.25">
      <c r="A574" s="1378" t="s">
        <v>149</v>
      </c>
      <c r="B574" s="1379" t="s">
        <v>688</v>
      </c>
      <c r="C574" s="1379" t="s">
        <v>345</v>
      </c>
      <c r="D574" s="1380" t="s">
        <v>151</v>
      </c>
      <c r="E574" s="1402" t="s">
        <v>569</v>
      </c>
      <c r="F574" s="1402" t="s">
        <v>570</v>
      </c>
      <c r="G574" s="1403" t="s">
        <v>797</v>
      </c>
      <c r="H574" s="1404" t="s">
        <v>798</v>
      </c>
    </row>
    <row r="575" spans="1:8" ht="14.25" thickTop="1" thickBot="1" x14ac:dyDescent="0.25">
      <c r="A575" s="1297">
        <v>1</v>
      </c>
      <c r="B575" s="1296">
        <v>2</v>
      </c>
      <c r="C575" s="1296">
        <v>3</v>
      </c>
      <c r="D575" s="1296">
        <v>4</v>
      </c>
      <c r="E575" s="1295">
        <v>5</v>
      </c>
      <c r="F575" s="1295">
        <v>6</v>
      </c>
      <c r="G575" s="1446">
        <v>7</v>
      </c>
      <c r="H575" s="1468" t="s">
        <v>54</v>
      </c>
    </row>
    <row r="576" spans="1:8" ht="15.75" hidden="1" thickTop="1" x14ac:dyDescent="0.2">
      <c r="A576" s="1572">
        <v>3636</v>
      </c>
      <c r="B576" s="1573">
        <v>5011</v>
      </c>
      <c r="C576" s="1582">
        <v>0</v>
      </c>
      <c r="D576" s="1574" t="s">
        <v>189</v>
      </c>
      <c r="E576" s="1575">
        <v>0</v>
      </c>
      <c r="F576" s="1575">
        <v>0</v>
      </c>
      <c r="G576" s="1575">
        <v>0</v>
      </c>
      <c r="H576" s="1576" t="e">
        <f t="shared" ref="H576:H583" si="47">G576/F576*100</f>
        <v>#DIV/0!</v>
      </c>
    </row>
    <row r="577" spans="1:8" ht="15.75" hidden="1" thickTop="1" x14ac:dyDescent="0.2">
      <c r="A577" s="1577">
        <v>3636</v>
      </c>
      <c r="B577" s="1578">
        <v>5011</v>
      </c>
      <c r="C577" s="1578">
        <v>38500881</v>
      </c>
      <c r="D577" s="1579" t="s">
        <v>189</v>
      </c>
      <c r="E577" s="1580">
        <v>0</v>
      </c>
      <c r="F577" s="1580">
        <v>0</v>
      </c>
      <c r="G577" s="1580">
        <v>0</v>
      </c>
      <c r="H577" s="1581" t="e">
        <f t="shared" si="47"/>
        <v>#DIV/0!</v>
      </c>
    </row>
    <row r="578" spans="1:8" ht="30.75" thickTop="1" x14ac:dyDescent="0.2">
      <c r="A578" s="1577">
        <v>3123</v>
      </c>
      <c r="B578" s="1578">
        <v>5336</v>
      </c>
      <c r="C578" s="2850" t="s">
        <v>1849</v>
      </c>
      <c r="D578" s="1579" t="s">
        <v>1131</v>
      </c>
      <c r="E578" s="1580">
        <v>0</v>
      </c>
      <c r="F578" s="1580">
        <f>7+55</f>
        <v>62</v>
      </c>
      <c r="G578" s="1580">
        <f>7+55</f>
        <v>62</v>
      </c>
      <c r="H578" s="1581">
        <f t="shared" si="47"/>
        <v>100</v>
      </c>
    </row>
    <row r="579" spans="1:8" ht="15" hidden="1" x14ac:dyDescent="0.2">
      <c r="A579" s="1577">
        <v>3636</v>
      </c>
      <c r="B579" s="1578">
        <v>5021</v>
      </c>
      <c r="C579" s="1629">
        <v>38500881</v>
      </c>
      <c r="D579" s="1579" t="s">
        <v>356</v>
      </c>
      <c r="E579" s="1580"/>
      <c r="F579" s="1580"/>
      <c r="G579" s="1580"/>
      <c r="H579" s="1581" t="e">
        <f t="shared" si="47"/>
        <v>#DIV/0!</v>
      </c>
    </row>
    <row r="580" spans="1:8" ht="30" hidden="1" x14ac:dyDescent="0.2">
      <c r="A580" s="1577">
        <v>3636</v>
      </c>
      <c r="B580" s="1578">
        <v>5031</v>
      </c>
      <c r="C580" s="1629">
        <v>38100880</v>
      </c>
      <c r="D580" s="1579" t="s">
        <v>1165</v>
      </c>
      <c r="E580" s="1580"/>
      <c r="F580" s="1580"/>
      <c r="G580" s="1580"/>
      <c r="H580" s="1581" t="e">
        <f t="shared" si="47"/>
        <v>#DIV/0!</v>
      </c>
    </row>
    <row r="581" spans="1:8" ht="30" hidden="1" x14ac:dyDescent="0.2">
      <c r="A581" s="1577">
        <v>3636</v>
      </c>
      <c r="B581" s="1578">
        <v>5031</v>
      </c>
      <c r="C581" s="1629">
        <v>38500881</v>
      </c>
      <c r="D581" s="1579" t="s">
        <v>1165</v>
      </c>
      <c r="E581" s="1580"/>
      <c r="F581" s="1580"/>
      <c r="G581" s="1580"/>
      <c r="H581" s="1581" t="e">
        <f t="shared" si="47"/>
        <v>#DIV/0!</v>
      </c>
    </row>
    <row r="582" spans="1:8" ht="30" hidden="1" x14ac:dyDescent="0.2">
      <c r="A582" s="1577">
        <v>3636</v>
      </c>
      <c r="B582" s="1578">
        <v>5032</v>
      </c>
      <c r="C582" s="1629">
        <v>38100880</v>
      </c>
      <c r="D582" s="1579" t="s">
        <v>1058</v>
      </c>
      <c r="E582" s="1580"/>
      <c r="F582" s="1580"/>
      <c r="G582" s="1580"/>
      <c r="H582" s="1581" t="e">
        <f t="shared" si="47"/>
        <v>#DIV/0!</v>
      </c>
    </row>
    <row r="583" spans="1:8" ht="30" hidden="1" x14ac:dyDescent="0.2">
      <c r="A583" s="1577">
        <v>3636</v>
      </c>
      <c r="B583" s="1578">
        <v>5032</v>
      </c>
      <c r="C583" s="1629">
        <v>38500881</v>
      </c>
      <c r="D583" s="1579" t="s">
        <v>1058</v>
      </c>
      <c r="E583" s="1580"/>
      <c r="F583" s="1580"/>
      <c r="G583" s="1580"/>
      <c r="H583" s="1581" t="e">
        <f t="shared" si="47"/>
        <v>#DIV/0!</v>
      </c>
    </row>
    <row r="584" spans="1:8" ht="15" hidden="1" x14ac:dyDescent="0.2">
      <c r="A584" s="1577">
        <v>3636</v>
      </c>
      <c r="B584" s="1578">
        <v>5139</v>
      </c>
      <c r="C584" s="1629">
        <v>38100880</v>
      </c>
      <c r="D584" s="1579" t="s">
        <v>249</v>
      </c>
      <c r="E584" s="1580"/>
      <c r="F584" s="1580"/>
      <c r="G584" s="1580"/>
      <c r="H584" s="1581">
        <v>0</v>
      </c>
    </row>
    <row r="585" spans="1:8" ht="15" hidden="1" x14ac:dyDescent="0.2">
      <c r="A585" s="1577">
        <v>3636</v>
      </c>
      <c r="B585" s="1578">
        <v>5139</v>
      </c>
      <c r="C585" s="1629">
        <v>38500881</v>
      </c>
      <c r="D585" s="1579" t="s">
        <v>249</v>
      </c>
      <c r="E585" s="1580"/>
      <c r="F585" s="1580"/>
      <c r="G585" s="1580"/>
      <c r="H585" s="1581" t="e">
        <f t="shared" ref="H585:H597" si="48">G585/F585*100</f>
        <v>#DIV/0!</v>
      </c>
    </row>
    <row r="586" spans="1:8" ht="15" hidden="1" x14ac:dyDescent="0.2">
      <c r="A586" s="1577">
        <v>3636</v>
      </c>
      <c r="B586" s="1578">
        <v>5162</v>
      </c>
      <c r="C586" s="1629">
        <v>38100880</v>
      </c>
      <c r="D586" s="1579" t="s">
        <v>780</v>
      </c>
      <c r="E586" s="1580"/>
      <c r="F586" s="1580"/>
      <c r="G586" s="1580"/>
      <c r="H586" s="1581" t="e">
        <f t="shared" si="48"/>
        <v>#DIV/0!</v>
      </c>
    </row>
    <row r="587" spans="1:8" ht="15" hidden="1" x14ac:dyDescent="0.2">
      <c r="A587" s="1577">
        <v>3636</v>
      </c>
      <c r="B587" s="1578">
        <v>5162</v>
      </c>
      <c r="C587" s="1629">
        <v>38500881</v>
      </c>
      <c r="D587" s="1579" t="s">
        <v>780</v>
      </c>
      <c r="E587" s="1580"/>
      <c r="F587" s="1580"/>
      <c r="G587" s="1580"/>
      <c r="H587" s="1581" t="e">
        <f t="shared" si="48"/>
        <v>#DIV/0!</v>
      </c>
    </row>
    <row r="588" spans="1:8" ht="15" hidden="1" x14ac:dyDescent="0.2">
      <c r="A588" s="1577">
        <v>3636</v>
      </c>
      <c r="B588" s="1578">
        <v>5164</v>
      </c>
      <c r="C588" s="1629">
        <v>38100880</v>
      </c>
      <c r="D588" s="1579" t="s">
        <v>157</v>
      </c>
      <c r="E588" s="1580"/>
      <c r="F588" s="1580"/>
      <c r="G588" s="1580"/>
      <c r="H588" s="1581" t="e">
        <f t="shared" si="48"/>
        <v>#DIV/0!</v>
      </c>
    </row>
    <row r="589" spans="1:8" ht="15" hidden="1" x14ac:dyDescent="0.2">
      <c r="A589" s="1577">
        <v>3636</v>
      </c>
      <c r="B589" s="1578">
        <v>5164</v>
      </c>
      <c r="C589" s="1629">
        <v>38500881</v>
      </c>
      <c r="D589" s="1579" t="s">
        <v>157</v>
      </c>
      <c r="E589" s="1580"/>
      <c r="F589" s="1580"/>
      <c r="G589" s="1580"/>
      <c r="H589" s="1581" t="e">
        <f t="shared" si="48"/>
        <v>#DIV/0!</v>
      </c>
    </row>
    <row r="590" spans="1:8" ht="30" x14ac:dyDescent="0.2">
      <c r="A590" s="1577">
        <v>3123</v>
      </c>
      <c r="B590" s="1578">
        <v>5336</v>
      </c>
      <c r="C590" s="2850" t="s">
        <v>1850</v>
      </c>
      <c r="D590" s="1579" t="s">
        <v>1131</v>
      </c>
      <c r="E590" s="1580">
        <v>0</v>
      </c>
      <c r="F590" s="1580">
        <f>39+314</f>
        <v>353</v>
      </c>
      <c r="G590" s="1580">
        <f>36+314</f>
        <v>350</v>
      </c>
      <c r="H590" s="1581">
        <f t="shared" si="48"/>
        <v>99.150141643059484</v>
      </c>
    </row>
    <row r="591" spans="1:8" ht="15" hidden="1" x14ac:dyDescent="0.2">
      <c r="A591" s="1577">
        <v>6223</v>
      </c>
      <c r="B591" s="1578">
        <v>5166</v>
      </c>
      <c r="C591" s="1629">
        <v>41100880</v>
      </c>
      <c r="D591" s="1579" t="s">
        <v>553</v>
      </c>
      <c r="E591" s="1580"/>
      <c r="F591" s="1580"/>
      <c r="G591" s="1580"/>
      <c r="H591" s="1581" t="e">
        <f t="shared" si="48"/>
        <v>#DIV/0!</v>
      </c>
    </row>
    <row r="592" spans="1:8" ht="15" hidden="1" x14ac:dyDescent="0.2">
      <c r="A592" s="1577">
        <v>6223</v>
      </c>
      <c r="B592" s="1578">
        <v>5166</v>
      </c>
      <c r="C592" s="1629">
        <v>41100882</v>
      </c>
      <c r="D592" s="1579" t="s">
        <v>553</v>
      </c>
      <c r="E592" s="1580"/>
      <c r="F592" s="1580"/>
      <c r="G592" s="1580"/>
      <c r="H592" s="1581" t="e">
        <f t="shared" si="48"/>
        <v>#DIV/0!</v>
      </c>
    </row>
    <row r="593" spans="1:8" ht="15" hidden="1" x14ac:dyDescent="0.2">
      <c r="A593" s="1577">
        <v>6223</v>
      </c>
      <c r="B593" s="1578">
        <v>5166</v>
      </c>
      <c r="C593" s="1629">
        <v>41500881</v>
      </c>
      <c r="D593" s="1579" t="s">
        <v>553</v>
      </c>
      <c r="E593" s="1580"/>
      <c r="F593" s="1580"/>
      <c r="G593" s="1580"/>
      <c r="H593" s="1581" t="e">
        <f t="shared" si="48"/>
        <v>#DIV/0!</v>
      </c>
    </row>
    <row r="594" spans="1:8" ht="15" hidden="1" x14ac:dyDescent="0.2">
      <c r="A594" s="1577">
        <v>3636</v>
      </c>
      <c r="B594" s="1578">
        <v>5167</v>
      </c>
      <c r="C594" s="1629">
        <v>38100880</v>
      </c>
      <c r="D594" s="1579" t="s">
        <v>810</v>
      </c>
      <c r="E594" s="1580"/>
      <c r="F594" s="1580"/>
      <c r="G594" s="1580"/>
      <c r="H594" s="1581" t="e">
        <f t="shared" si="48"/>
        <v>#DIV/0!</v>
      </c>
    </row>
    <row r="595" spans="1:8" ht="15" hidden="1" x14ac:dyDescent="0.2">
      <c r="A595" s="1577">
        <v>3636</v>
      </c>
      <c r="B595" s="1578">
        <v>5167</v>
      </c>
      <c r="C595" s="1629">
        <v>38500881</v>
      </c>
      <c r="D595" s="1579" t="s">
        <v>810</v>
      </c>
      <c r="E595" s="1580"/>
      <c r="F595" s="1580"/>
      <c r="G595" s="1580"/>
      <c r="H595" s="1581" t="e">
        <f t="shared" si="48"/>
        <v>#DIV/0!</v>
      </c>
    </row>
    <row r="596" spans="1:8" ht="15" hidden="1" x14ac:dyDescent="0.2">
      <c r="A596" s="1577">
        <v>3636</v>
      </c>
      <c r="B596" s="1578">
        <v>5169</v>
      </c>
      <c r="C596" s="1629">
        <v>38100880</v>
      </c>
      <c r="D596" s="1579" t="s">
        <v>769</v>
      </c>
      <c r="E596" s="1580"/>
      <c r="F596" s="1580"/>
      <c r="G596" s="1580"/>
      <c r="H596" s="1581" t="e">
        <f t="shared" si="48"/>
        <v>#DIV/0!</v>
      </c>
    </row>
    <row r="597" spans="1:8" ht="15" hidden="1" x14ac:dyDescent="0.2">
      <c r="A597" s="1577">
        <v>3636</v>
      </c>
      <c r="B597" s="1578">
        <v>5169</v>
      </c>
      <c r="C597" s="1629">
        <v>38500881</v>
      </c>
      <c r="D597" s="1579" t="s">
        <v>769</v>
      </c>
      <c r="E597" s="1580"/>
      <c r="F597" s="1580"/>
      <c r="G597" s="1580"/>
      <c r="H597" s="1581" t="e">
        <f t="shared" si="48"/>
        <v>#DIV/0!</v>
      </c>
    </row>
    <row r="598" spans="1:8" ht="15" hidden="1" x14ac:dyDescent="0.2">
      <c r="A598" s="1577">
        <v>6223</v>
      </c>
      <c r="B598" s="1578">
        <v>5173</v>
      </c>
      <c r="C598" s="2850">
        <v>0</v>
      </c>
      <c r="D598" s="1579" t="s">
        <v>1038</v>
      </c>
      <c r="E598" s="1580"/>
      <c r="F598" s="1580"/>
      <c r="G598" s="1580"/>
      <c r="H598" s="1581">
        <v>0</v>
      </c>
    </row>
    <row r="599" spans="1:8" ht="15" hidden="1" x14ac:dyDescent="0.2">
      <c r="A599" s="1577">
        <v>3636</v>
      </c>
      <c r="B599" s="1578">
        <v>5173</v>
      </c>
      <c r="C599" s="1629">
        <v>38500881</v>
      </c>
      <c r="D599" s="1579" t="s">
        <v>1038</v>
      </c>
      <c r="E599" s="1580"/>
      <c r="F599" s="1580"/>
      <c r="G599" s="1580"/>
      <c r="H599" s="1581" t="e">
        <f t="shared" ref="H599:H606" si="49">G599/F599*100</f>
        <v>#DIV/0!</v>
      </c>
    </row>
    <row r="600" spans="1:8" ht="15" hidden="1" x14ac:dyDescent="0.2">
      <c r="A600" s="1577">
        <v>3636</v>
      </c>
      <c r="B600" s="1578">
        <v>5175</v>
      </c>
      <c r="C600" s="1629">
        <v>38100880</v>
      </c>
      <c r="D600" s="1579" t="s">
        <v>605</v>
      </c>
      <c r="E600" s="1580"/>
      <c r="F600" s="1580"/>
      <c r="G600" s="1580"/>
      <c r="H600" s="1581" t="e">
        <f t="shared" si="49"/>
        <v>#DIV/0!</v>
      </c>
    </row>
    <row r="601" spans="1:8" ht="15" hidden="1" x14ac:dyDescent="0.2">
      <c r="A601" s="1577">
        <v>3636</v>
      </c>
      <c r="B601" s="1578">
        <v>5175</v>
      </c>
      <c r="C601" s="1629">
        <v>38500881</v>
      </c>
      <c r="D601" s="1579" t="s">
        <v>605</v>
      </c>
      <c r="E601" s="1580"/>
      <c r="F601" s="1580"/>
      <c r="G601" s="1580"/>
      <c r="H601" s="1581" t="e">
        <f t="shared" si="49"/>
        <v>#DIV/0!</v>
      </c>
    </row>
    <row r="602" spans="1:8" ht="15" hidden="1" x14ac:dyDescent="0.2">
      <c r="A602" s="1577">
        <v>3636</v>
      </c>
      <c r="B602" s="1578">
        <v>5176</v>
      </c>
      <c r="C602" s="1629">
        <v>38100880</v>
      </c>
      <c r="D602" s="1579" t="s">
        <v>1119</v>
      </c>
      <c r="E602" s="1580"/>
      <c r="F602" s="1580"/>
      <c r="G602" s="1580"/>
      <c r="H602" s="1581" t="e">
        <f t="shared" si="49"/>
        <v>#DIV/0!</v>
      </c>
    </row>
    <row r="603" spans="1:8" ht="15" hidden="1" x14ac:dyDescent="0.2">
      <c r="A603" s="1577">
        <v>3636</v>
      </c>
      <c r="B603" s="1578">
        <v>5176</v>
      </c>
      <c r="C603" s="1629">
        <v>38500881</v>
      </c>
      <c r="D603" s="1579" t="s">
        <v>1119</v>
      </c>
      <c r="E603" s="1580"/>
      <c r="F603" s="1580"/>
      <c r="G603" s="1580"/>
      <c r="H603" s="1581" t="e">
        <f t="shared" si="49"/>
        <v>#DIV/0!</v>
      </c>
    </row>
    <row r="604" spans="1:8" ht="30" x14ac:dyDescent="0.2">
      <c r="A604" s="1577">
        <v>3123</v>
      </c>
      <c r="B604" s="1578">
        <v>6356</v>
      </c>
      <c r="C604" s="1629" t="s">
        <v>2127</v>
      </c>
      <c r="D604" s="1579" t="s">
        <v>1552</v>
      </c>
      <c r="E604" s="1580">
        <v>0</v>
      </c>
      <c r="F604" s="1580">
        <v>7</v>
      </c>
      <c r="G604" s="1580">
        <v>7</v>
      </c>
      <c r="H604" s="1581">
        <f t="shared" si="49"/>
        <v>100</v>
      </c>
    </row>
    <row r="605" spans="1:8" ht="30.75" thickBot="1" x14ac:dyDescent="0.25">
      <c r="A605" s="1577">
        <v>3123</v>
      </c>
      <c r="B605" s="1578">
        <v>6356</v>
      </c>
      <c r="C605" s="1629" t="s">
        <v>2126</v>
      </c>
      <c r="D605" s="1579" t="s">
        <v>1552</v>
      </c>
      <c r="E605" s="1580">
        <v>0</v>
      </c>
      <c r="F605" s="1580">
        <v>40</v>
      </c>
      <c r="G605" s="1580">
        <v>40</v>
      </c>
      <c r="H605" s="1583">
        <f t="shared" si="49"/>
        <v>100</v>
      </c>
    </row>
    <row r="606" spans="1:8" ht="16.5" thickTop="1" thickBot="1" x14ac:dyDescent="0.3">
      <c r="A606" s="3219" t="s">
        <v>690</v>
      </c>
      <c r="B606" s="3220"/>
      <c r="C606" s="3220"/>
      <c r="D606" s="3220"/>
      <c r="E606" s="1387">
        <f>SUM(E576:E605)</f>
        <v>0</v>
      </c>
      <c r="F606" s="1387">
        <f>SUM(F576:F605)</f>
        <v>462</v>
      </c>
      <c r="G606" s="1387">
        <f>SUM(G576:G605)</f>
        <v>459</v>
      </c>
      <c r="H606" s="1391">
        <f t="shared" si="49"/>
        <v>99.350649350649363</v>
      </c>
    </row>
    <row r="607" spans="1:8" ht="13.5" thickTop="1" x14ac:dyDescent="0.2"/>
    <row r="608" spans="1:8" ht="13.5" customHeight="1" x14ac:dyDescent="0.25">
      <c r="A608" s="3233" t="s">
        <v>1420</v>
      </c>
      <c r="B608" s="3151"/>
      <c r="C608" s="3151"/>
      <c r="D608" s="3151"/>
      <c r="E608" s="3151"/>
      <c r="F608" s="3151"/>
      <c r="G608" s="3151"/>
      <c r="H608" s="3151"/>
    </row>
    <row r="609" spans="1:8" ht="15.75" thickBot="1" x14ac:dyDescent="0.3">
      <c r="A609" s="1544" t="s">
        <v>1144</v>
      </c>
      <c r="B609" s="1558"/>
      <c r="C609" s="1558"/>
      <c r="E609" s="1559"/>
      <c r="F609" s="1559"/>
      <c r="G609" s="1559"/>
      <c r="H609" s="1560" t="s">
        <v>148</v>
      </c>
    </row>
    <row r="610" spans="1:8" ht="25.5" thickTop="1" thickBot="1" x14ac:dyDescent="0.25">
      <c r="A610" s="1378" t="s">
        <v>149</v>
      </c>
      <c r="B610" s="1379" t="s">
        <v>688</v>
      </c>
      <c r="C610" s="1379" t="s">
        <v>345</v>
      </c>
      <c r="D610" s="1380" t="s">
        <v>151</v>
      </c>
      <c r="E610" s="1402" t="s">
        <v>569</v>
      </c>
      <c r="F610" s="1402" t="s">
        <v>570</v>
      </c>
      <c r="G610" s="1403" t="s">
        <v>797</v>
      </c>
      <c r="H610" s="1404" t="s">
        <v>798</v>
      </c>
    </row>
    <row r="611" spans="1:8" ht="14.25" thickTop="1" thickBot="1" x14ac:dyDescent="0.25">
      <c r="A611" s="1297">
        <v>1</v>
      </c>
      <c r="B611" s="1296">
        <v>2</v>
      </c>
      <c r="C611" s="1296">
        <v>3</v>
      </c>
      <c r="D611" s="1296">
        <v>4</v>
      </c>
      <c r="E611" s="1295">
        <v>5</v>
      </c>
      <c r="F611" s="1295">
        <v>6</v>
      </c>
      <c r="G611" s="1446">
        <v>7</v>
      </c>
      <c r="H611" s="1468" t="s">
        <v>54</v>
      </c>
    </row>
    <row r="612" spans="1:8" ht="15.75" hidden="1" thickTop="1" x14ac:dyDescent="0.2">
      <c r="A612" s="1572">
        <v>3636</v>
      </c>
      <c r="B612" s="1573">
        <v>5011</v>
      </c>
      <c r="C612" s="1582">
        <v>0</v>
      </c>
      <c r="D612" s="1574" t="s">
        <v>189</v>
      </c>
      <c r="E612" s="1575">
        <v>0</v>
      </c>
      <c r="F612" s="1575">
        <v>0</v>
      </c>
      <c r="G612" s="1575">
        <v>0</v>
      </c>
      <c r="H612" s="1576" t="e">
        <f t="shared" ref="H612:H619" si="50">G612/F612*100</f>
        <v>#DIV/0!</v>
      </c>
    </row>
    <row r="613" spans="1:8" ht="15.75" hidden="1" thickTop="1" x14ac:dyDescent="0.2">
      <c r="A613" s="1577">
        <v>3636</v>
      </c>
      <c r="B613" s="1578">
        <v>5011</v>
      </c>
      <c r="C613" s="1578">
        <v>38500881</v>
      </c>
      <c r="D613" s="1579" t="s">
        <v>189</v>
      </c>
      <c r="E613" s="1580">
        <v>0</v>
      </c>
      <c r="F613" s="1580">
        <v>0</v>
      </c>
      <c r="G613" s="1580">
        <v>0</v>
      </c>
      <c r="H613" s="1581" t="e">
        <f t="shared" si="50"/>
        <v>#DIV/0!</v>
      </c>
    </row>
    <row r="614" spans="1:8" ht="30.75" thickTop="1" x14ac:dyDescent="0.2">
      <c r="A614" s="1577">
        <v>3122</v>
      </c>
      <c r="B614" s="1578">
        <v>5336</v>
      </c>
      <c r="C614" s="2850" t="s">
        <v>1849</v>
      </c>
      <c r="D614" s="1579" t="s">
        <v>1131</v>
      </c>
      <c r="E614" s="1580">
        <v>0</v>
      </c>
      <c r="F614" s="1580">
        <f>5+86</f>
        <v>91</v>
      </c>
      <c r="G614" s="1580">
        <f>5+86</f>
        <v>91</v>
      </c>
      <c r="H614" s="1581">
        <f t="shared" si="50"/>
        <v>100</v>
      </c>
    </row>
    <row r="615" spans="1:8" ht="15" hidden="1" x14ac:dyDescent="0.2">
      <c r="A615" s="1577">
        <v>3636</v>
      </c>
      <c r="B615" s="1578">
        <v>5021</v>
      </c>
      <c r="C615" s="1629">
        <v>38500881</v>
      </c>
      <c r="D615" s="1579" t="s">
        <v>356</v>
      </c>
      <c r="E615" s="1580"/>
      <c r="F615" s="1580"/>
      <c r="G615" s="1580"/>
      <c r="H615" s="1581" t="e">
        <f t="shared" si="50"/>
        <v>#DIV/0!</v>
      </c>
    </row>
    <row r="616" spans="1:8" ht="30" hidden="1" x14ac:dyDescent="0.2">
      <c r="A616" s="1577">
        <v>3636</v>
      </c>
      <c r="B616" s="1578">
        <v>5031</v>
      </c>
      <c r="C616" s="1629">
        <v>38100880</v>
      </c>
      <c r="D616" s="1579" t="s">
        <v>1165</v>
      </c>
      <c r="E616" s="1580"/>
      <c r="F616" s="1580"/>
      <c r="G616" s="1580"/>
      <c r="H616" s="1581" t="e">
        <f t="shared" si="50"/>
        <v>#DIV/0!</v>
      </c>
    </row>
    <row r="617" spans="1:8" ht="30" hidden="1" x14ac:dyDescent="0.2">
      <c r="A617" s="1577">
        <v>3636</v>
      </c>
      <c r="B617" s="1578">
        <v>5031</v>
      </c>
      <c r="C617" s="1629">
        <v>38500881</v>
      </c>
      <c r="D617" s="1579" t="s">
        <v>1165</v>
      </c>
      <c r="E617" s="1580"/>
      <c r="F617" s="1580"/>
      <c r="G617" s="1580"/>
      <c r="H617" s="1581" t="e">
        <f t="shared" si="50"/>
        <v>#DIV/0!</v>
      </c>
    </row>
    <row r="618" spans="1:8" ht="30" hidden="1" x14ac:dyDescent="0.2">
      <c r="A618" s="1577">
        <v>3636</v>
      </c>
      <c r="B618" s="1578">
        <v>5032</v>
      </c>
      <c r="C618" s="1629">
        <v>38100880</v>
      </c>
      <c r="D618" s="1579" t="s">
        <v>1058</v>
      </c>
      <c r="E618" s="1580"/>
      <c r="F618" s="1580"/>
      <c r="G618" s="1580"/>
      <c r="H618" s="1581" t="e">
        <f t="shared" si="50"/>
        <v>#DIV/0!</v>
      </c>
    </row>
    <row r="619" spans="1:8" ht="30" hidden="1" x14ac:dyDescent="0.2">
      <c r="A619" s="1577">
        <v>3636</v>
      </c>
      <c r="B619" s="1578">
        <v>5032</v>
      </c>
      <c r="C619" s="1629">
        <v>38500881</v>
      </c>
      <c r="D619" s="1579" t="s">
        <v>1058</v>
      </c>
      <c r="E619" s="1580"/>
      <c r="F619" s="1580"/>
      <c r="G619" s="1580"/>
      <c r="H619" s="1581" t="e">
        <f t="shared" si="50"/>
        <v>#DIV/0!</v>
      </c>
    </row>
    <row r="620" spans="1:8" ht="15" hidden="1" x14ac:dyDescent="0.2">
      <c r="A620" s="1577">
        <v>3636</v>
      </c>
      <c r="B620" s="1578">
        <v>5139</v>
      </c>
      <c r="C620" s="1629">
        <v>38100880</v>
      </c>
      <c r="D620" s="1579" t="s">
        <v>249</v>
      </c>
      <c r="E620" s="1580"/>
      <c r="F620" s="1580"/>
      <c r="G620" s="1580"/>
      <c r="H620" s="1581">
        <v>0</v>
      </c>
    </row>
    <row r="621" spans="1:8" ht="15" hidden="1" x14ac:dyDescent="0.2">
      <c r="A621" s="1577">
        <v>3636</v>
      </c>
      <c r="B621" s="1578">
        <v>5139</v>
      </c>
      <c r="C621" s="1629">
        <v>38500881</v>
      </c>
      <c r="D621" s="1579" t="s">
        <v>249</v>
      </c>
      <c r="E621" s="1580"/>
      <c r="F621" s="1580"/>
      <c r="G621" s="1580"/>
      <c r="H621" s="1581" t="e">
        <f t="shared" ref="H621:H633" si="51">G621/F621*100</f>
        <v>#DIV/0!</v>
      </c>
    </row>
    <row r="622" spans="1:8" ht="15" hidden="1" x14ac:dyDescent="0.2">
      <c r="A622" s="1577">
        <v>3636</v>
      </c>
      <c r="B622" s="1578">
        <v>5162</v>
      </c>
      <c r="C622" s="1629">
        <v>38100880</v>
      </c>
      <c r="D622" s="1579" t="s">
        <v>780</v>
      </c>
      <c r="E622" s="1580"/>
      <c r="F622" s="1580"/>
      <c r="G622" s="1580"/>
      <c r="H622" s="1581" t="e">
        <f t="shared" si="51"/>
        <v>#DIV/0!</v>
      </c>
    </row>
    <row r="623" spans="1:8" ht="15" hidden="1" x14ac:dyDescent="0.2">
      <c r="A623" s="1577">
        <v>3636</v>
      </c>
      <c r="B623" s="1578">
        <v>5162</v>
      </c>
      <c r="C623" s="1629">
        <v>38500881</v>
      </c>
      <c r="D623" s="1579" t="s">
        <v>780</v>
      </c>
      <c r="E623" s="1580"/>
      <c r="F623" s="1580"/>
      <c r="G623" s="1580"/>
      <c r="H623" s="1581" t="e">
        <f t="shared" si="51"/>
        <v>#DIV/0!</v>
      </c>
    </row>
    <row r="624" spans="1:8" ht="15" hidden="1" x14ac:dyDescent="0.2">
      <c r="A624" s="1577">
        <v>3636</v>
      </c>
      <c r="B624" s="1578">
        <v>5164</v>
      </c>
      <c r="C624" s="1629">
        <v>38100880</v>
      </c>
      <c r="D624" s="1579" t="s">
        <v>157</v>
      </c>
      <c r="E624" s="1580"/>
      <c r="F624" s="1580"/>
      <c r="G624" s="1580"/>
      <c r="H624" s="1581" t="e">
        <f t="shared" si="51"/>
        <v>#DIV/0!</v>
      </c>
    </row>
    <row r="625" spans="1:8" ht="15" hidden="1" x14ac:dyDescent="0.2">
      <c r="A625" s="1577">
        <v>3636</v>
      </c>
      <c r="B625" s="1578">
        <v>5164</v>
      </c>
      <c r="C625" s="1629">
        <v>38500881</v>
      </c>
      <c r="D625" s="1579" t="s">
        <v>157</v>
      </c>
      <c r="E625" s="1580"/>
      <c r="F625" s="1580"/>
      <c r="G625" s="1580"/>
      <c r="H625" s="1581" t="e">
        <f t="shared" si="51"/>
        <v>#DIV/0!</v>
      </c>
    </row>
    <row r="626" spans="1:8" ht="30.75" thickBot="1" x14ac:dyDescent="0.25">
      <c r="A626" s="1577">
        <v>3122</v>
      </c>
      <c r="B626" s="1578">
        <v>5336</v>
      </c>
      <c r="C626" s="2850" t="s">
        <v>1850</v>
      </c>
      <c r="D626" s="1579" t="s">
        <v>1131</v>
      </c>
      <c r="E626" s="1580">
        <v>0</v>
      </c>
      <c r="F626" s="1580">
        <f>29+485</f>
        <v>514</v>
      </c>
      <c r="G626" s="1580">
        <f>29+485</f>
        <v>514</v>
      </c>
      <c r="H626" s="1581">
        <f t="shared" si="51"/>
        <v>100</v>
      </c>
    </row>
    <row r="627" spans="1:8" ht="15.75" hidden="1" thickBot="1" x14ac:dyDescent="0.25">
      <c r="A627" s="1577">
        <v>3122</v>
      </c>
      <c r="B627" s="1578">
        <v>5166</v>
      </c>
      <c r="C627" s="1629">
        <v>41100880</v>
      </c>
      <c r="D627" s="1579" t="s">
        <v>553</v>
      </c>
      <c r="E627" s="1580"/>
      <c r="F627" s="1580"/>
      <c r="G627" s="1580"/>
      <c r="H627" s="1581" t="e">
        <f t="shared" si="51"/>
        <v>#DIV/0!</v>
      </c>
    </row>
    <row r="628" spans="1:8" ht="15.75" hidden="1" thickBot="1" x14ac:dyDescent="0.25">
      <c r="A628" s="1577">
        <v>3122</v>
      </c>
      <c r="B628" s="1578">
        <v>5166</v>
      </c>
      <c r="C628" s="1629">
        <v>41100882</v>
      </c>
      <c r="D628" s="1579" t="s">
        <v>553</v>
      </c>
      <c r="E628" s="1580"/>
      <c r="F628" s="1580"/>
      <c r="G628" s="1580"/>
      <c r="H628" s="1581" t="e">
        <f t="shared" si="51"/>
        <v>#DIV/0!</v>
      </c>
    </row>
    <row r="629" spans="1:8" ht="15.75" hidden="1" thickBot="1" x14ac:dyDescent="0.25">
      <c r="A629" s="1577">
        <v>3122</v>
      </c>
      <c r="B629" s="1578">
        <v>5166</v>
      </c>
      <c r="C629" s="1629">
        <v>41500881</v>
      </c>
      <c r="D629" s="1579" t="s">
        <v>553</v>
      </c>
      <c r="E629" s="1580"/>
      <c r="F629" s="1580"/>
      <c r="G629" s="1580"/>
      <c r="H629" s="1581" t="e">
        <f t="shared" si="51"/>
        <v>#DIV/0!</v>
      </c>
    </row>
    <row r="630" spans="1:8" ht="15.75" hidden="1" thickBot="1" x14ac:dyDescent="0.25">
      <c r="A630" s="1577">
        <v>3122</v>
      </c>
      <c r="B630" s="1578">
        <v>5167</v>
      </c>
      <c r="C630" s="1629">
        <v>38100880</v>
      </c>
      <c r="D630" s="1579" t="s">
        <v>810</v>
      </c>
      <c r="E630" s="1580"/>
      <c r="F630" s="1580"/>
      <c r="G630" s="1580"/>
      <c r="H630" s="1581" t="e">
        <f t="shared" si="51"/>
        <v>#DIV/0!</v>
      </c>
    </row>
    <row r="631" spans="1:8" ht="15.75" hidden="1" thickBot="1" x14ac:dyDescent="0.25">
      <c r="A631" s="1577">
        <v>3122</v>
      </c>
      <c r="B631" s="1578">
        <v>5167</v>
      </c>
      <c r="C631" s="1629">
        <v>38500881</v>
      </c>
      <c r="D631" s="1579" t="s">
        <v>810</v>
      </c>
      <c r="E631" s="1580"/>
      <c r="F631" s="1580"/>
      <c r="G631" s="1580"/>
      <c r="H631" s="1581" t="e">
        <f t="shared" si="51"/>
        <v>#DIV/0!</v>
      </c>
    </row>
    <row r="632" spans="1:8" ht="15.75" hidden="1" thickBot="1" x14ac:dyDescent="0.25">
      <c r="A632" s="1577">
        <v>3122</v>
      </c>
      <c r="B632" s="1578">
        <v>5169</v>
      </c>
      <c r="C632" s="1629">
        <v>38100880</v>
      </c>
      <c r="D632" s="1579" t="s">
        <v>769</v>
      </c>
      <c r="E632" s="1580"/>
      <c r="F632" s="1580"/>
      <c r="G632" s="1580"/>
      <c r="H632" s="1581" t="e">
        <f t="shared" si="51"/>
        <v>#DIV/0!</v>
      </c>
    </row>
    <row r="633" spans="1:8" ht="15.75" hidden="1" thickBot="1" x14ac:dyDescent="0.25">
      <c r="A633" s="1577">
        <v>3122</v>
      </c>
      <c r="B633" s="1578">
        <v>5169</v>
      </c>
      <c r="C633" s="1629">
        <v>38500881</v>
      </c>
      <c r="D633" s="1579" t="s">
        <v>769</v>
      </c>
      <c r="E633" s="1580"/>
      <c r="F633" s="1580"/>
      <c r="G633" s="1580"/>
      <c r="H633" s="1581" t="e">
        <f t="shared" si="51"/>
        <v>#DIV/0!</v>
      </c>
    </row>
    <row r="634" spans="1:8" ht="15.75" hidden="1" thickBot="1" x14ac:dyDescent="0.25">
      <c r="A634" s="1577">
        <v>3122</v>
      </c>
      <c r="B634" s="1578">
        <v>5173</v>
      </c>
      <c r="C634" s="2850">
        <v>0</v>
      </c>
      <c r="D634" s="1579" t="s">
        <v>1038</v>
      </c>
      <c r="E634" s="1580"/>
      <c r="F634" s="1580"/>
      <c r="G634" s="1580"/>
      <c r="H634" s="1581">
        <v>0</v>
      </c>
    </row>
    <row r="635" spans="1:8" ht="15.75" hidden="1" thickBot="1" x14ac:dyDescent="0.25">
      <c r="A635" s="1577">
        <v>3122</v>
      </c>
      <c r="B635" s="1578">
        <v>5173</v>
      </c>
      <c r="C635" s="1629">
        <v>38500881</v>
      </c>
      <c r="D635" s="1579" t="s">
        <v>1038</v>
      </c>
      <c r="E635" s="1580"/>
      <c r="F635" s="1580"/>
      <c r="G635" s="1580"/>
      <c r="H635" s="1581" t="e">
        <f t="shared" ref="H635:H642" si="52">G635/F635*100</f>
        <v>#DIV/0!</v>
      </c>
    </row>
    <row r="636" spans="1:8" ht="15.75" hidden="1" thickBot="1" x14ac:dyDescent="0.25">
      <c r="A636" s="1577">
        <v>3122</v>
      </c>
      <c r="B636" s="1578">
        <v>5175</v>
      </c>
      <c r="C636" s="1629">
        <v>38100880</v>
      </c>
      <c r="D636" s="1579" t="s">
        <v>605</v>
      </c>
      <c r="E636" s="1580"/>
      <c r="F636" s="1580"/>
      <c r="G636" s="1580"/>
      <c r="H636" s="1581" t="e">
        <f t="shared" si="52"/>
        <v>#DIV/0!</v>
      </c>
    </row>
    <row r="637" spans="1:8" ht="15.75" hidden="1" thickBot="1" x14ac:dyDescent="0.25">
      <c r="A637" s="1577">
        <v>3122</v>
      </c>
      <c r="B637" s="1578">
        <v>5175</v>
      </c>
      <c r="C637" s="1629">
        <v>38500881</v>
      </c>
      <c r="D637" s="1579" t="s">
        <v>605</v>
      </c>
      <c r="E637" s="1580"/>
      <c r="F637" s="1580"/>
      <c r="G637" s="1580"/>
      <c r="H637" s="1581" t="e">
        <f t="shared" si="52"/>
        <v>#DIV/0!</v>
      </c>
    </row>
    <row r="638" spans="1:8" ht="15.75" hidden="1" thickBot="1" x14ac:dyDescent="0.25">
      <c r="A638" s="1577">
        <v>3122</v>
      </c>
      <c r="B638" s="1578">
        <v>5176</v>
      </c>
      <c r="C638" s="1629">
        <v>38100880</v>
      </c>
      <c r="D638" s="1579" t="s">
        <v>1119</v>
      </c>
      <c r="E638" s="1580"/>
      <c r="F638" s="1580"/>
      <c r="G638" s="1580"/>
      <c r="H638" s="1581" t="e">
        <f t="shared" si="52"/>
        <v>#DIV/0!</v>
      </c>
    </row>
    <row r="639" spans="1:8" ht="15.75" hidden="1" thickBot="1" x14ac:dyDescent="0.25">
      <c r="A639" s="1577">
        <v>3122</v>
      </c>
      <c r="B639" s="1578">
        <v>5176</v>
      </c>
      <c r="C639" s="1629">
        <v>38500881</v>
      </c>
      <c r="D639" s="1579" t="s">
        <v>1119</v>
      </c>
      <c r="E639" s="1580"/>
      <c r="F639" s="1580"/>
      <c r="G639" s="1580"/>
      <c r="H639" s="1581" t="e">
        <f t="shared" si="52"/>
        <v>#DIV/0!</v>
      </c>
    </row>
    <row r="640" spans="1:8" ht="30.75" hidden="1" thickBot="1" x14ac:dyDescent="0.25">
      <c r="A640" s="1577">
        <v>3122</v>
      </c>
      <c r="B640" s="1578">
        <v>6356</v>
      </c>
      <c r="C640" s="1629" t="s">
        <v>2127</v>
      </c>
      <c r="D640" s="1579" t="s">
        <v>1552</v>
      </c>
      <c r="E640" s="1580"/>
      <c r="F640" s="1580"/>
      <c r="G640" s="1580"/>
      <c r="H640" s="1581" t="e">
        <f t="shared" si="52"/>
        <v>#DIV/0!</v>
      </c>
    </row>
    <row r="641" spans="1:8" ht="30.75" hidden="1" thickBot="1" x14ac:dyDescent="0.25">
      <c r="A641" s="1577">
        <v>3122</v>
      </c>
      <c r="B641" s="1578">
        <v>6356</v>
      </c>
      <c r="C641" s="1629" t="s">
        <v>2126</v>
      </c>
      <c r="D641" s="1579" t="s">
        <v>1552</v>
      </c>
      <c r="E641" s="1580"/>
      <c r="F641" s="1580"/>
      <c r="G641" s="1580"/>
      <c r="H641" s="1583" t="e">
        <f t="shared" si="52"/>
        <v>#DIV/0!</v>
      </c>
    </row>
    <row r="642" spans="1:8" ht="16.5" thickTop="1" thickBot="1" x14ac:dyDescent="0.3">
      <c r="A642" s="3219" t="s">
        <v>690</v>
      </c>
      <c r="B642" s="3220"/>
      <c r="C642" s="3220"/>
      <c r="D642" s="3220"/>
      <c r="E642" s="1387">
        <f>SUM(E612:E641)</f>
        <v>0</v>
      </c>
      <c r="F642" s="1387">
        <f>SUM(F612:F641)</f>
        <v>605</v>
      </c>
      <c r="G642" s="1387">
        <f>SUM(G612:G641)</f>
        <v>605</v>
      </c>
      <c r="H642" s="1391">
        <f t="shared" si="52"/>
        <v>100</v>
      </c>
    </row>
    <row r="643" spans="1:8" ht="13.5" thickTop="1" x14ac:dyDescent="0.2"/>
    <row r="644" spans="1:8" ht="13.5" customHeight="1" x14ac:dyDescent="0.25">
      <c r="A644" s="3233" t="s">
        <v>510</v>
      </c>
      <c r="B644" s="3151"/>
      <c r="C644" s="3151"/>
      <c r="D644" s="3151"/>
      <c r="E644" s="3151"/>
      <c r="F644" s="3151"/>
      <c r="G644" s="3151"/>
      <c r="H644" s="3151"/>
    </row>
    <row r="645" spans="1:8" ht="15.75" thickBot="1" x14ac:dyDescent="0.3">
      <c r="A645" s="1544" t="s">
        <v>511</v>
      </c>
      <c r="B645" s="1558"/>
      <c r="C645" s="1558"/>
      <c r="E645" s="1559"/>
      <c r="F645" s="1559"/>
      <c r="G645" s="1559"/>
      <c r="H645" s="1560" t="s">
        <v>148</v>
      </c>
    </row>
    <row r="646" spans="1:8" ht="25.5" thickTop="1" thickBot="1" x14ac:dyDescent="0.25">
      <c r="A646" s="1378" t="s">
        <v>149</v>
      </c>
      <c r="B646" s="1379" t="s">
        <v>688</v>
      </c>
      <c r="C646" s="1379" t="s">
        <v>345</v>
      </c>
      <c r="D646" s="1380" t="s">
        <v>151</v>
      </c>
      <c r="E646" s="1402" t="s">
        <v>569</v>
      </c>
      <c r="F646" s="1402" t="s">
        <v>570</v>
      </c>
      <c r="G646" s="1403" t="s">
        <v>797</v>
      </c>
      <c r="H646" s="1404" t="s">
        <v>798</v>
      </c>
    </row>
    <row r="647" spans="1:8" ht="14.25" thickTop="1" thickBot="1" x14ac:dyDescent="0.25">
      <c r="A647" s="1297">
        <v>1</v>
      </c>
      <c r="B647" s="1296">
        <v>2</v>
      </c>
      <c r="C647" s="1296">
        <v>3</v>
      </c>
      <c r="D647" s="1296">
        <v>4</v>
      </c>
      <c r="E647" s="1295">
        <v>5</v>
      </c>
      <c r="F647" s="1295">
        <v>6</v>
      </c>
      <c r="G647" s="1446">
        <v>7</v>
      </c>
      <c r="H647" s="1468" t="s">
        <v>54</v>
      </c>
    </row>
    <row r="648" spans="1:8" ht="15.75" hidden="1" thickTop="1" x14ac:dyDescent="0.2">
      <c r="A648" s="1572">
        <v>3636</v>
      </c>
      <c r="B648" s="1573">
        <v>5011</v>
      </c>
      <c r="C648" s="1582">
        <v>0</v>
      </c>
      <c r="D648" s="1574" t="s">
        <v>189</v>
      </c>
      <c r="E648" s="1575">
        <v>0</v>
      </c>
      <c r="F648" s="1575">
        <v>0</v>
      </c>
      <c r="G648" s="1575">
        <v>0</v>
      </c>
      <c r="H648" s="1576" t="e">
        <f t="shared" ref="H648:H655" si="53">G648/F648*100</f>
        <v>#DIV/0!</v>
      </c>
    </row>
    <row r="649" spans="1:8" ht="15.75" hidden="1" thickTop="1" x14ac:dyDescent="0.2">
      <c r="A649" s="1577">
        <v>3636</v>
      </c>
      <c r="B649" s="1578">
        <v>5011</v>
      </c>
      <c r="C649" s="1578">
        <v>38500881</v>
      </c>
      <c r="D649" s="1579" t="s">
        <v>189</v>
      </c>
      <c r="E649" s="1580">
        <v>0</v>
      </c>
      <c r="F649" s="1580">
        <v>0</v>
      </c>
      <c r="G649" s="1580">
        <v>0</v>
      </c>
      <c r="H649" s="1581" t="e">
        <f t="shared" si="53"/>
        <v>#DIV/0!</v>
      </c>
    </row>
    <row r="650" spans="1:8" ht="30.75" thickTop="1" x14ac:dyDescent="0.2">
      <c r="A650" s="1577">
        <v>3123</v>
      </c>
      <c r="B650" s="1578">
        <v>5336</v>
      </c>
      <c r="C650" s="2850" t="s">
        <v>1849</v>
      </c>
      <c r="D650" s="1579" t="s">
        <v>1131</v>
      </c>
      <c r="E650" s="1580">
        <v>0</v>
      </c>
      <c r="F650" s="1580">
        <f>7+57</f>
        <v>64</v>
      </c>
      <c r="G650" s="1580">
        <f>6+57</f>
        <v>63</v>
      </c>
      <c r="H650" s="1581">
        <f t="shared" si="53"/>
        <v>98.4375</v>
      </c>
    </row>
    <row r="651" spans="1:8" ht="15" hidden="1" x14ac:dyDescent="0.2">
      <c r="A651" s="1577">
        <v>3636</v>
      </c>
      <c r="B651" s="1578">
        <v>5021</v>
      </c>
      <c r="C651" s="1629">
        <v>38500881</v>
      </c>
      <c r="D651" s="1579" t="s">
        <v>356</v>
      </c>
      <c r="E651" s="1580"/>
      <c r="F651" s="1580"/>
      <c r="G651" s="1580"/>
      <c r="H651" s="1581" t="e">
        <f t="shared" si="53"/>
        <v>#DIV/0!</v>
      </c>
    </row>
    <row r="652" spans="1:8" ht="30" hidden="1" x14ac:dyDescent="0.2">
      <c r="A652" s="1577">
        <v>3636</v>
      </c>
      <c r="B652" s="1578">
        <v>5031</v>
      </c>
      <c r="C652" s="1629">
        <v>38100880</v>
      </c>
      <c r="D652" s="1579" t="s">
        <v>1165</v>
      </c>
      <c r="E652" s="1580"/>
      <c r="F652" s="1580"/>
      <c r="G652" s="1580"/>
      <c r="H652" s="1581" t="e">
        <f t="shared" si="53"/>
        <v>#DIV/0!</v>
      </c>
    </row>
    <row r="653" spans="1:8" ht="30" hidden="1" x14ac:dyDescent="0.2">
      <c r="A653" s="1577">
        <v>3636</v>
      </c>
      <c r="B653" s="1578">
        <v>5031</v>
      </c>
      <c r="C653" s="1629">
        <v>38500881</v>
      </c>
      <c r="D653" s="1579" t="s">
        <v>1165</v>
      </c>
      <c r="E653" s="1580"/>
      <c r="F653" s="1580"/>
      <c r="G653" s="1580"/>
      <c r="H653" s="1581" t="e">
        <f t="shared" si="53"/>
        <v>#DIV/0!</v>
      </c>
    </row>
    <row r="654" spans="1:8" ht="30" hidden="1" x14ac:dyDescent="0.2">
      <c r="A654" s="1577">
        <v>3636</v>
      </c>
      <c r="B654" s="1578">
        <v>5032</v>
      </c>
      <c r="C654" s="1629">
        <v>38100880</v>
      </c>
      <c r="D654" s="1579" t="s">
        <v>1058</v>
      </c>
      <c r="E654" s="1580"/>
      <c r="F654" s="1580"/>
      <c r="G654" s="1580"/>
      <c r="H654" s="1581" t="e">
        <f t="shared" si="53"/>
        <v>#DIV/0!</v>
      </c>
    </row>
    <row r="655" spans="1:8" ht="30" hidden="1" x14ac:dyDescent="0.2">
      <c r="A655" s="1577">
        <v>3636</v>
      </c>
      <c r="B655" s="1578">
        <v>5032</v>
      </c>
      <c r="C655" s="1629">
        <v>38500881</v>
      </c>
      <c r="D655" s="1579" t="s">
        <v>1058</v>
      </c>
      <c r="E655" s="1580"/>
      <c r="F655" s="1580"/>
      <c r="G655" s="1580"/>
      <c r="H655" s="1581" t="e">
        <f t="shared" si="53"/>
        <v>#DIV/0!</v>
      </c>
    </row>
    <row r="656" spans="1:8" ht="15" hidden="1" x14ac:dyDescent="0.2">
      <c r="A656" s="1577">
        <v>3636</v>
      </c>
      <c r="B656" s="1578">
        <v>5139</v>
      </c>
      <c r="C656" s="1629">
        <v>38100880</v>
      </c>
      <c r="D656" s="1579" t="s">
        <v>249</v>
      </c>
      <c r="E656" s="1580"/>
      <c r="F656" s="1580"/>
      <c r="G656" s="1580"/>
      <c r="H656" s="1581">
        <v>0</v>
      </c>
    </row>
    <row r="657" spans="1:8" ht="15" hidden="1" x14ac:dyDescent="0.2">
      <c r="A657" s="1577">
        <v>3636</v>
      </c>
      <c r="B657" s="1578">
        <v>5139</v>
      </c>
      <c r="C657" s="1629">
        <v>38500881</v>
      </c>
      <c r="D657" s="1579" t="s">
        <v>249</v>
      </c>
      <c r="E657" s="1580"/>
      <c r="F657" s="1580"/>
      <c r="G657" s="1580"/>
      <c r="H657" s="1581" t="e">
        <f t="shared" ref="H657:H669" si="54">G657/F657*100</f>
        <v>#DIV/0!</v>
      </c>
    </row>
    <row r="658" spans="1:8" ht="15" hidden="1" x14ac:dyDescent="0.2">
      <c r="A658" s="1577">
        <v>3636</v>
      </c>
      <c r="B658" s="1578">
        <v>5162</v>
      </c>
      <c r="C658" s="1629">
        <v>38100880</v>
      </c>
      <c r="D658" s="1579" t="s">
        <v>780</v>
      </c>
      <c r="E658" s="1580"/>
      <c r="F658" s="1580"/>
      <c r="G658" s="1580"/>
      <c r="H658" s="1581" t="e">
        <f t="shared" si="54"/>
        <v>#DIV/0!</v>
      </c>
    </row>
    <row r="659" spans="1:8" ht="15" hidden="1" x14ac:dyDescent="0.2">
      <c r="A659" s="1577">
        <v>3636</v>
      </c>
      <c r="B659" s="1578">
        <v>5162</v>
      </c>
      <c r="C659" s="1629">
        <v>38500881</v>
      </c>
      <c r="D659" s="1579" t="s">
        <v>780</v>
      </c>
      <c r="E659" s="1580"/>
      <c r="F659" s="1580"/>
      <c r="G659" s="1580"/>
      <c r="H659" s="1581" t="e">
        <f t="shared" si="54"/>
        <v>#DIV/0!</v>
      </c>
    </row>
    <row r="660" spans="1:8" ht="15" hidden="1" x14ac:dyDescent="0.2">
      <c r="A660" s="1577">
        <v>3636</v>
      </c>
      <c r="B660" s="1578">
        <v>5164</v>
      </c>
      <c r="C660" s="1629">
        <v>38100880</v>
      </c>
      <c r="D660" s="1579" t="s">
        <v>157</v>
      </c>
      <c r="E660" s="1580"/>
      <c r="F660" s="1580"/>
      <c r="G660" s="1580"/>
      <c r="H660" s="1581" t="e">
        <f t="shared" si="54"/>
        <v>#DIV/0!</v>
      </c>
    </row>
    <row r="661" spans="1:8" ht="15" hidden="1" x14ac:dyDescent="0.2">
      <c r="A661" s="1577">
        <v>3636</v>
      </c>
      <c r="B661" s="1578">
        <v>5164</v>
      </c>
      <c r="C661" s="1629">
        <v>38500881</v>
      </c>
      <c r="D661" s="1579" t="s">
        <v>157</v>
      </c>
      <c r="E661" s="1580"/>
      <c r="F661" s="1580"/>
      <c r="G661" s="1580"/>
      <c r="H661" s="1581" t="e">
        <f t="shared" si="54"/>
        <v>#DIV/0!</v>
      </c>
    </row>
    <row r="662" spans="1:8" ht="30.75" thickBot="1" x14ac:dyDescent="0.25">
      <c r="A662" s="1577">
        <v>3123</v>
      </c>
      <c r="B662" s="1578">
        <v>5336</v>
      </c>
      <c r="C662" s="2850" t="s">
        <v>1850</v>
      </c>
      <c r="D662" s="1579" t="s">
        <v>1131</v>
      </c>
      <c r="E662" s="1580">
        <v>0</v>
      </c>
      <c r="F662" s="1580">
        <f>38+322</f>
        <v>360</v>
      </c>
      <c r="G662" s="1580">
        <f>34+322</f>
        <v>356</v>
      </c>
      <c r="H662" s="1581">
        <f t="shared" si="54"/>
        <v>98.888888888888886</v>
      </c>
    </row>
    <row r="663" spans="1:8" ht="15.75" hidden="1" thickBot="1" x14ac:dyDescent="0.25">
      <c r="A663" s="1577">
        <v>6223</v>
      </c>
      <c r="B663" s="1578">
        <v>5166</v>
      </c>
      <c r="C663" s="1629">
        <v>41100880</v>
      </c>
      <c r="D663" s="1579" t="s">
        <v>553</v>
      </c>
      <c r="E663" s="1580"/>
      <c r="F663" s="1580"/>
      <c r="G663" s="1580"/>
      <c r="H663" s="1581" t="e">
        <f t="shared" si="54"/>
        <v>#DIV/0!</v>
      </c>
    </row>
    <row r="664" spans="1:8" ht="15.75" hidden="1" thickBot="1" x14ac:dyDescent="0.25">
      <c r="A664" s="1577">
        <v>6223</v>
      </c>
      <c r="B664" s="1578">
        <v>5166</v>
      </c>
      <c r="C664" s="1629">
        <v>41100882</v>
      </c>
      <c r="D664" s="1579" t="s">
        <v>553</v>
      </c>
      <c r="E664" s="1580"/>
      <c r="F664" s="1580"/>
      <c r="G664" s="1580"/>
      <c r="H664" s="1581" t="e">
        <f t="shared" si="54"/>
        <v>#DIV/0!</v>
      </c>
    </row>
    <row r="665" spans="1:8" ht="15.75" hidden="1" thickBot="1" x14ac:dyDescent="0.25">
      <c r="A665" s="1577">
        <v>6223</v>
      </c>
      <c r="B665" s="1578">
        <v>5166</v>
      </c>
      <c r="C665" s="1629">
        <v>41500881</v>
      </c>
      <c r="D665" s="1579" t="s">
        <v>553</v>
      </c>
      <c r="E665" s="1580"/>
      <c r="F665" s="1580"/>
      <c r="G665" s="1580"/>
      <c r="H665" s="1581" t="e">
        <f t="shared" si="54"/>
        <v>#DIV/0!</v>
      </c>
    </row>
    <row r="666" spans="1:8" ht="15.75" hidden="1" thickBot="1" x14ac:dyDescent="0.25">
      <c r="A666" s="1577">
        <v>3636</v>
      </c>
      <c r="B666" s="1578">
        <v>5167</v>
      </c>
      <c r="C666" s="1629">
        <v>38100880</v>
      </c>
      <c r="D666" s="1579" t="s">
        <v>810</v>
      </c>
      <c r="E666" s="1580"/>
      <c r="F666" s="1580"/>
      <c r="G666" s="1580"/>
      <c r="H666" s="1581" t="e">
        <f t="shared" si="54"/>
        <v>#DIV/0!</v>
      </c>
    </row>
    <row r="667" spans="1:8" ht="15.75" hidden="1" thickBot="1" x14ac:dyDescent="0.25">
      <c r="A667" s="1577">
        <v>3636</v>
      </c>
      <c r="B667" s="1578">
        <v>5167</v>
      </c>
      <c r="C667" s="1629">
        <v>38500881</v>
      </c>
      <c r="D667" s="1579" t="s">
        <v>810</v>
      </c>
      <c r="E667" s="1580"/>
      <c r="F667" s="1580"/>
      <c r="G667" s="1580"/>
      <c r="H667" s="1581" t="e">
        <f t="shared" si="54"/>
        <v>#DIV/0!</v>
      </c>
    </row>
    <row r="668" spans="1:8" ht="15.75" hidden="1" thickBot="1" x14ac:dyDescent="0.25">
      <c r="A668" s="1577">
        <v>3636</v>
      </c>
      <c r="B668" s="1578">
        <v>5169</v>
      </c>
      <c r="C668" s="1629">
        <v>38100880</v>
      </c>
      <c r="D668" s="1579" t="s">
        <v>769</v>
      </c>
      <c r="E668" s="1580"/>
      <c r="F668" s="1580"/>
      <c r="G668" s="1580"/>
      <c r="H668" s="1581" t="e">
        <f t="shared" si="54"/>
        <v>#DIV/0!</v>
      </c>
    </row>
    <row r="669" spans="1:8" ht="15.75" hidden="1" thickBot="1" x14ac:dyDescent="0.25">
      <c r="A669" s="1577">
        <v>3636</v>
      </c>
      <c r="B669" s="1578">
        <v>5169</v>
      </c>
      <c r="C669" s="1629">
        <v>38500881</v>
      </c>
      <c r="D669" s="1579" t="s">
        <v>769</v>
      </c>
      <c r="E669" s="1580"/>
      <c r="F669" s="1580"/>
      <c r="G669" s="1580"/>
      <c r="H669" s="1581" t="e">
        <f t="shared" si="54"/>
        <v>#DIV/0!</v>
      </c>
    </row>
    <row r="670" spans="1:8" ht="15.75" hidden="1" thickBot="1" x14ac:dyDescent="0.25">
      <c r="A670" s="1577">
        <v>6223</v>
      </c>
      <c r="B670" s="1578">
        <v>5173</v>
      </c>
      <c r="C670" s="2850">
        <v>0</v>
      </c>
      <c r="D670" s="1579" t="s">
        <v>1038</v>
      </c>
      <c r="E670" s="1580"/>
      <c r="F670" s="1580"/>
      <c r="G670" s="1580"/>
      <c r="H670" s="1581">
        <v>0</v>
      </c>
    </row>
    <row r="671" spans="1:8" ht="15.75" hidden="1" thickBot="1" x14ac:dyDescent="0.25">
      <c r="A671" s="1577">
        <v>3636</v>
      </c>
      <c r="B671" s="1578">
        <v>5173</v>
      </c>
      <c r="C671" s="1629">
        <v>38500881</v>
      </c>
      <c r="D671" s="1579" t="s">
        <v>1038</v>
      </c>
      <c r="E671" s="1580"/>
      <c r="F671" s="1580"/>
      <c r="G671" s="1580"/>
      <c r="H671" s="1581" t="e">
        <f t="shared" ref="H671:H678" si="55">G671/F671*100</f>
        <v>#DIV/0!</v>
      </c>
    </row>
    <row r="672" spans="1:8" ht="15.75" hidden="1" thickBot="1" x14ac:dyDescent="0.25">
      <c r="A672" s="1577">
        <v>3636</v>
      </c>
      <c r="B672" s="1578">
        <v>5175</v>
      </c>
      <c r="C672" s="1629">
        <v>38100880</v>
      </c>
      <c r="D672" s="1579" t="s">
        <v>605</v>
      </c>
      <c r="E672" s="1580"/>
      <c r="F672" s="1580"/>
      <c r="G672" s="1580"/>
      <c r="H672" s="1581" t="e">
        <f t="shared" si="55"/>
        <v>#DIV/0!</v>
      </c>
    </row>
    <row r="673" spans="1:8" ht="15.75" hidden="1" thickBot="1" x14ac:dyDescent="0.25">
      <c r="A673" s="1577">
        <v>3636</v>
      </c>
      <c r="B673" s="1578">
        <v>5175</v>
      </c>
      <c r="C673" s="1629">
        <v>38500881</v>
      </c>
      <c r="D673" s="1579" t="s">
        <v>605</v>
      </c>
      <c r="E673" s="1580"/>
      <c r="F673" s="1580"/>
      <c r="G673" s="1580"/>
      <c r="H673" s="1581" t="e">
        <f t="shared" si="55"/>
        <v>#DIV/0!</v>
      </c>
    </row>
    <row r="674" spans="1:8" ht="15.75" hidden="1" thickBot="1" x14ac:dyDescent="0.25">
      <c r="A674" s="1577">
        <v>3636</v>
      </c>
      <c r="B674" s="1578">
        <v>5176</v>
      </c>
      <c r="C674" s="1629">
        <v>38100880</v>
      </c>
      <c r="D674" s="1579" t="s">
        <v>1119</v>
      </c>
      <c r="E674" s="1580"/>
      <c r="F674" s="1580"/>
      <c r="G674" s="1580"/>
      <c r="H674" s="1581" t="e">
        <f t="shared" si="55"/>
        <v>#DIV/0!</v>
      </c>
    </row>
    <row r="675" spans="1:8" ht="15.75" hidden="1" thickBot="1" x14ac:dyDescent="0.25">
      <c r="A675" s="1577">
        <v>3636</v>
      </c>
      <c r="B675" s="1578">
        <v>5176</v>
      </c>
      <c r="C675" s="1629">
        <v>38500881</v>
      </c>
      <c r="D675" s="1579" t="s">
        <v>1119</v>
      </c>
      <c r="E675" s="1580"/>
      <c r="F675" s="1580"/>
      <c r="G675" s="1580"/>
      <c r="H675" s="1581" t="e">
        <f t="shared" si="55"/>
        <v>#DIV/0!</v>
      </c>
    </row>
    <row r="676" spans="1:8" ht="30.75" hidden="1" thickBot="1" x14ac:dyDescent="0.25">
      <c r="A676" s="1577">
        <v>3123</v>
      </c>
      <c r="B676" s="1578">
        <v>6356</v>
      </c>
      <c r="C676" s="1629" t="s">
        <v>2127</v>
      </c>
      <c r="D676" s="1579" t="s">
        <v>1552</v>
      </c>
      <c r="E676" s="1580"/>
      <c r="F676" s="1580"/>
      <c r="G676" s="1580"/>
      <c r="H676" s="1581" t="e">
        <f t="shared" si="55"/>
        <v>#DIV/0!</v>
      </c>
    </row>
    <row r="677" spans="1:8" ht="30.75" hidden="1" thickBot="1" x14ac:dyDescent="0.25">
      <c r="A677" s="1577">
        <v>3123</v>
      </c>
      <c r="B677" s="1578">
        <v>6356</v>
      </c>
      <c r="C677" s="1629" t="s">
        <v>2126</v>
      </c>
      <c r="D677" s="1579" t="s">
        <v>1552</v>
      </c>
      <c r="E677" s="1580"/>
      <c r="F677" s="1580"/>
      <c r="G677" s="1580"/>
      <c r="H677" s="1583" t="e">
        <f t="shared" si="55"/>
        <v>#DIV/0!</v>
      </c>
    </row>
    <row r="678" spans="1:8" ht="16.5" thickTop="1" thickBot="1" x14ac:dyDescent="0.3">
      <c r="A678" s="3219" t="s">
        <v>690</v>
      </c>
      <c r="B678" s="3220"/>
      <c r="C678" s="3220"/>
      <c r="D678" s="3220"/>
      <c r="E678" s="1387">
        <f>SUM(E648:E677)</f>
        <v>0</v>
      </c>
      <c r="F678" s="1387">
        <f>SUM(F648:F677)</f>
        <v>424</v>
      </c>
      <c r="G678" s="1387">
        <f>SUM(G648:G677)</f>
        <v>419</v>
      </c>
      <c r="H678" s="1391">
        <f t="shared" si="55"/>
        <v>98.820754716981128</v>
      </c>
    </row>
    <row r="679" spans="1:8" ht="13.5" thickTop="1" x14ac:dyDescent="0.2"/>
    <row r="680" spans="1:8" ht="13.5" customHeight="1" x14ac:dyDescent="0.25">
      <c r="A680" s="3233" t="s">
        <v>1566</v>
      </c>
      <c r="B680" s="3151"/>
      <c r="C680" s="3151"/>
      <c r="D680" s="3151"/>
      <c r="E680" s="3151"/>
      <c r="F680" s="3151"/>
      <c r="G680" s="3151"/>
      <c r="H680" s="3151"/>
    </row>
    <row r="681" spans="1:8" ht="15.75" thickBot="1" x14ac:dyDescent="0.3">
      <c r="A681" s="1544" t="s">
        <v>1567</v>
      </c>
      <c r="B681" s="1558"/>
      <c r="C681" s="1558"/>
      <c r="E681" s="1559"/>
      <c r="F681" s="1559"/>
      <c r="G681" s="1559"/>
      <c r="H681" s="1560" t="s">
        <v>148</v>
      </c>
    </row>
    <row r="682" spans="1:8" ht="25.5" thickTop="1" thickBot="1" x14ac:dyDescent="0.25">
      <c r="A682" s="1378" t="s">
        <v>149</v>
      </c>
      <c r="B682" s="1379" t="s">
        <v>688</v>
      </c>
      <c r="C682" s="1379" t="s">
        <v>345</v>
      </c>
      <c r="D682" s="1380" t="s">
        <v>151</v>
      </c>
      <c r="E682" s="1402" t="s">
        <v>569</v>
      </c>
      <c r="F682" s="1402" t="s">
        <v>570</v>
      </c>
      <c r="G682" s="1403" t="s">
        <v>797</v>
      </c>
      <c r="H682" s="1404" t="s">
        <v>798</v>
      </c>
    </row>
    <row r="683" spans="1:8" ht="14.25" thickTop="1" thickBot="1" x14ac:dyDescent="0.25">
      <c r="A683" s="1297">
        <v>1</v>
      </c>
      <c r="B683" s="1296">
        <v>2</v>
      </c>
      <c r="C683" s="1296">
        <v>3</v>
      </c>
      <c r="D683" s="1296">
        <v>4</v>
      </c>
      <c r="E683" s="1295">
        <v>5</v>
      </c>
      <c r="F683" s="1295">
        <v>6</v>
      </c>
      <c r="G683" s="1446">
        <v>7</v>
      </c>
      <c r="H683" s="1468" t="s">
        <v>54</v>
      </c>
    </row>
    <row r="684" spans="1:8" ht="15.75" hidden="1" thickTop="1" x14ac:dyDescent="0.2">
      <c r="A684" s="1572">
        <v>3636</v>
      </c>
      <c r="B684" s="1573">
        <v>5011</v>
      </c>
      <c r="C684" s="1582">
        <v>0</v>
      </c>
      <c r="D684" s="1574" t="s">
        <v>189</v>
      </c>
      <c r="E684" s="1575">
        <v>0</v>
      </c>
      <c r="F684" s="1575">
        <v>0</v>
      </c>
      <c r="G684" s="1575">
        <v>0</v>
      </c>
      <c r="H684" s="1576" t="e">
        <f t="shared" ref="H684:H691" si="56">G684/F684*100</f>
        <v>#DIV/0!</v>
      </c>
    </row>
    <row r="685" spans="1:8" ht="15.75" hidden="1" thickTop="1" x14ac:dyDescent="0.2">
      <c r="A685" s="1577">
        <v>3636</v>
      </c>
      <c r="B685" s="1578">
        <v>5011</v>
      </c>
      <c r="C685" s="1578">
        <v>38500881</v>
      </c>
      <c r="D685" s="1579" t="s">
        <v>189</v>
      </c>
      <c r="E685" s="1580">
        <v>0</v>
      </c>
      <c r="F685" s="1580">
        <v>0</v>
      </c>
      <c r="G685" s="1580">
        <v>0</v>
      </c>
      <c r="H685" s="1581" t="e">
        <f t="shared" si="56"/>
        <v>#DIV/0!</v>
      </c>
    </row>
    <row r="686" spans="1:8" ht="30.75" thickTop="1" x14ac:dyDescent="0.2">
      <c r="A686" s="1577">
        <v>3123</v>
      </c>
      <c r="B686" s="1578">
        <v>5336</v>
      </c>
      <c r="C686" s="2850" t="s">
        <v>1849</v>
      </c>
      <c r="D686" s="1579" t="s">
        <v>1131</v>
      </c>
      <c r="E686" s="1580">
        <v>0</v>
      </c>
      <c r="F686" s="1580">
        <f>8+82</f>
        <v>90</v>
      </c>
      <c r="G686" s="1580">
        <f>8+82</f>
        <v>90</v>
      </c>
      <c r="H686" s="1581">
        <f t="shared" si="56"/>
        <v>100</v>
      </c>
    </row>
    <row r="687" spans="1:8" ht="15" hidden="1" x14ac:dyDescent="0.2">
      <c r="A687" s="1577">
        <v>3636</v>
      </c>
      <c r="B687" s="1578">
        <v>5021</v>
      </c>
      <c r="C687" s="1629">
        <v>38500881</v>
      </c>
      <c r="D687" s="1579" t="s">
        <v>356</v>
      </c>
      <c r="E687" s="1580"/>
      <c r="F687" s="1580"/>
      <c r="G687" s="1580"/>
      <c r="H687" s="1581" t="e">
        <f t="shared" si="56"/>
        <v>#DIV/0!</v>
      </c>
    </row>
    <row r="688" spans="1:8" ht="30" hidden="1" x14ac:dyDescent="0.2">
      <c r="A688" s="1577">
        <v>3636</v>
      </c>
      <c r="B688" s="1578">
        <v>5031</v>
      </c>
      <c r="C688" s="1629">
        <v>38100880</v>
      </c>
      <c r="D688" s="1579" t="s">
        <v>1165</v>
      </c>
      <c r="E688" s="1580"/>
      <c r="F688" s="1580"/>
      <c r="G688" s="1580"/>
      <c r="H688" s="1581" t="e">
        <f t="shared" si="56"/>
        <v>#DIV/0!</v>
      </c>
    </row>
    <row r="689" spans="1:8" ht="30" hidden="1" x14ac:dyDescent="0.2">
      <c r="A689" s="1577">
        <v>3636</v>
      </c>
      <c r="B689" s="1578">
        <v>5031</v>
      </c>
      <c r="C689" s="1629">
        <v>38500881</v>
      </c>
      <c r="D689" s="1579" t="s">
        <v>1165</v>
      </c>
      <c r="E689" s="1580"/>
      <c r="F689" s="1580"/>
      <c r="G689" s="1580"/>
      <c r="H689" s="1581" t="e">
        <f t="shared" si="56"/>
        <v>#DIV/0!</v>
      </c>
    </row>
    <row r="690" spans="1:8" ht="30" hidden="1" x14ac:dyDescent="0.2">
      <c r="A690" s="1577">
        <v>3636</v>
      </c>
      <c r="B690" s="1578">
        <v>5032</v>
      </c>
      <c r="C690" s="1629">
        <v>38100880</v>
      </c>
      <c r="D690" s="1579" t="s">
        <v>1058</v>
      </c>
      <c r="E690" s="1580"/>
      <c r="F690" s="1580"/>
      <c r="G690" s="1580"/>
      <c r="H690" s="1581" t="e">
        <f t="shared" si="56"/>
        <v>#DIV/0!</v>
      </c>
    </row>
    <row r="691" spans="1:8" ht="30" hidden="1" x14ac:dyDescent="0.2">
      <c r="A691" s="1577">
        <v>3636</v>
      </c>
      <c r="B691" s="1578">
        <v>5032</v>
      </c>
      <c r="C691" s="1629">
        <v>38500881</v>
      </c>
      <c r="D691" s="1579" t="s">
        <v>1058</v>
      </c>
      <c r="E691" s="1580"/>
      <c r="F691" s="1580"/>
      <c r="G691" s="1580"/>
      <c r="H691" s="1581" t="e">
        <f t="shared" si="56"/>
        <v>#DIV/0!</v>
      </c>
    </row>
    <row r="692" spans="1:8" ht="15" hidden="1" x14ac:dyDescent="0.2">
      <c r="A692" s="1577">
        <v>3636</v>
      </c>
      <c r="B692" s="1578">
        <v>5139</v>
      </c>
      <c r="C692" s="1629">
        <v>38100880</v>
      </c>
      <c r="D692" s="1579" t="s">
        <v>249</v>
      </c>
      <c r="E692" s="1580"/>
      <c r="F692" s="1580"/>
      <c r="G692" s="1580"/>
      <c r="H692" s="1581">
        <v>0</v>
      </c>
    </row>
    <row r="693" spans="1:8" ht="15" hidden="1" x14ac:dyDescent="0.2">
      <c r="A693" s="1577">
        <v>3636</v>
      </c>
      <c r="B693" s="1578">
        <v>5139</v>
      </c>
      <c r="C693" s="1629">
        <v>38500881</v>
      </c>
      <c r="D693" s="1579" t="s">
        <v>249</v>
      </c>
      <c r="E693" s="1580"/>
      <c r="F693" s="1580"/>
      <c r="G693" s="1580"/>
      <c r="H693" s="1581" t="e">
        <f t="shared" ref="H693:H705" si="57">G693/F693*100</f>
        <v>#DIV/0!</v>
      </c>
    </row>
    <row r="694" spans="1:8" ht="15" hidden="1" x14ac:dyDescent="0.2">
      <c r="A694" s="1577">
        <v>3636</v>
      </c>
      <c r="B694" s="1578">
        <v>5162</v>
      </c>
      <c r="C694" s="1629">
        <v>38100880</v>
      </c>
      <c r="D694" s="1579" t="s">
        <v>780</v>
      </c>
      <c r="E694" s="1580"/>
      <c r="F694" s="1580"/>
      <c r="G694" s="1580"/>
      <c r="H694" s="1581" t="e">
        <f t="shared" si="57"/>
        <v>#DIV/0!</v>
      </c>
    </row>
    <row r="695" spans="1:8" ht="15" hidden="1" x14ac:dyDescent="0.2">
      <c r="A695" s="1577">
        <v>3636</v>
      </c>
      <c r="B695" s="1578">
        <v>5162</v>
      </c>
      <c r="C695" s="1629">
        <v>38500881</v>
      </c>
      <c r="D695" s="1579" t="s">
        <v>780</v>
      </c>
      <c r="E695" s="1580"/>
      <c r="F695" s="1580"/>
      <c r="G695" s="1580"/>
      <c r="H695" s="1581" t="e">
        <f t="shared" si="57"/>
        <v>#DIV/0!</v>
      </c>
    </row>
    <row r="696" spans="1:8" ht="15" hidden="1" x14ac:dyDescent="0.2">
      <c r="A696" s="1577">
        <v>3636</v>
      </c>
      <c r="B696" s="1578">
        <v>5164</v>
      </c>
      <c r="C696" s="1629">
        <v>38100880</v>
      </c>
      <c r="D696" s="1579" t="s">
        <v>157</v>
      </c>
      <c r="E696" s="1580"/>
      <c r="F696" s="1580"/>
      <c r="G696" s="1580"/>
      <c r="H696" s="1581" t="e">
        <f t="shared" si="57"/>
        <v>#DIV/0!</v>
      </c>
    </row>
    <row r="697" spans="1:8" ht="15" hidden="1" x14ac:dyDescent="0.2">
      <c r="A697" s="1577">
        <v>3636</v>
      </c>
      <c r="B697" s="1578">
        <v>5164</v>
      </c>
      <c r="C697" s="1629">
        <v>38500881</v>
      </c>
      <c r="D697" s="1579" t="s">
        <v>157</v>
      </c>
      <c r="E697" s="1580"/>
      <c r="F697" s="1580"/>
      <c r="G697" s="1580"/>
      <c r="H697" s="1581" t="e">
        <f t="shared" si="57"/>
        <v>#DIV/0!</v>
      </c>
    </row>
    <row r="698" spans="1:8" ht="30.75" thickBot="1" x14ac:dyDescent="0.25">
      <c r="A698" s="1577">
        <v>3123</v>
      </c>
      <c r="B698" s="1578">
        <v>5336</v>
      </c>
      <c r="C698" s="2850" t="s">
        <v>1850</v>
      </c>
      <c r="D698" s="1579" t="s">
        <v>1131</v>
      </c>
      <c r="E698" s="1580">
        <v>0</v>
      </c>
      <c r="F698" s="1580">
        <f>47+466</f>
        <v>513</v>
      </c>
      <c r="G698" s="1580">
        <f>47+466</f>
        <v>513</v>
      </c>
      <c r="H698" s="1581">
        <f t="shared" si="57"/>
        <v>100</v>
      </c>
    </row>
    <row r="699" spans="1:8" ht="15.75" hidden="1" thickBot="1" x14ac:dyDescent="0.25">
      <c r="A699" s="1577">
        <v>6223</v>
      </c>
      <c r="B699" s="1578">
        <v>5166</v>
      </c>
      <c r="C699" s="1629">
        <v>41100880</v>
      </c>
      <c r="D699" s="1579" t="s">
        <v>553</v>
      </c>
      <c r="E699" s="1580"/>
      <c r="F699" s="1580"/>
      <c r="G699" s="1580"/>
      <c r="H699" s="1581" t="e">
        <f t="shared" si="57"/>
        <v>#DIV/0!</v>
      </c>
    </row>
    <row r="700" spans="1:8" ht="15.75" hidden="1" thickBot="1" x14ac:dyDescent="0.25">
      <c r="A700" s="1577">
        <v>6223</v>
      </c>
      <c r="B700" s="1578">
        <v>5166</v>
      </c>
      <c r="C700" s="1629">
        <v>41100882</v>
      </c>
      <c r="D700" s="1579" t="s">
        <v>553</v>
      </c>
      <c r="E700" s="1580"/>
      <c r="F700" s="1580"/>
      <c r="G700" s="1580"/>
      <c r="H700" s="1581" t="e">
        <f t="shared" si="57"/>
        <v>#DIV/0!</v>
      </c>
    </row>
    <row r="701" spans="1:8" ht="15.75" hidden="1" thickBot="1" x14ac:dyDescent="0.25">
      <c r="A701" s="1577">
        <v>6223</v>
      </c>
      <c r="B701" s="1578">
        <v>5166</v>
      </c>
      <c r="C701" s="1629">
        <v>41500881</v>
      </c>
      <c r="D701" s="1579" t="s">
        <v>553</v>
      </c>
      <c r="E701" s="1580"/>
      <c r="F701" s="1580"/>
      <c r="G701" s="1580"/>
      <c r="H701" s="1581" t="e">
        <f t="shared" si="57"/>
        <v>#DIV/0!</v>
      </c>
    </row>
    <row r="702" spans="1:8" ht="15.75" hidden="1" thickBot="1" x14ac:dyDescent="0.25">
      <c r="A702" s="1577">
        <v>3636</v>
      </c>
      <c r="B702" s="1578">
        <v>5167</v>
      </c>
      <c r="C702" s="1629">
        <v>38100880</v>
      </c>
      <c r="D702" s="1579" t="s">
        <v>810</v>
      </c>
      <c r="E702" s="1580"/>
      <c r="F702" s="1580"/>
      <c r="G702" s="1580"/>
      <c r="H702" s="1581" t="e">
        <f t="shared" si="57"/>
        <v>#DIV/0!</v>
      </c>
    </row>
    <row r="703" spans="1:8" ht="15.75" hidden="1" thickBot="1" x14ac:dyDescent="0.25">
      <c r="A703" s="1577">
        <v>3636</v>
      </c>
      <c r="B703" s="1578">
        <v>5167</v>
      </c>
      <c r="C703" s="1629">
        <v>38500881</v>
      </c>
      <c r="D703" s="1579" t="s">
        <v>810</v>
      </c>
      <c r="E703" s="1580"/>
      <c r="F703" s="1580"/>
      <c r="G703" s="1580"/>
      <c r="H703" s="1581" t="e">
        <f t="shared" si="57"/>
        <v>#DIV/0!</v>
      </c>
    </row>
    <row r="704" spans="1:8" ht="15.75" hidden="1" thickBot="1" x14ac:dyDescent="0.25">
      <c r="A704" s="1577">
        <v>3636</v>
      </c>
      <c r="B704" s="1578">
        <v>5169</v>
      </c>
      <c r="C704" s="1629">
        <v>38100880</v>
      </c>
      <c r="D704" s="1579" t="s">
        <v>769</v>
      </c>
      <c r="E704" s="1580"/>
      <c r="F704" s="1580"/>
      <c r="G704" s="1580"/>
      <c r="H704" s="1581" t="e">
        <f t="shared" si="57"/>
        <v>#DIV/0!</v>
      </c>
    </row>
    <row r="705" spans="1:8" ht="15.75" hidden="1" thickBot="1" x14ac:dyDescent="0.25">
      <c r="A705" s="1577">
        <v>3636</v>
      </c>
      <c r="B705" s="1578">
        <v>5169</v>
      </c>
      <c r="C705" s="1629">
        <v>38500881</v>
      </c>
      <c r="D705" s="1579" t="s">
        <v>769</v>
      </c>
      <c r="E705" s="1580"/>
      <c r="F705" s="1580"/>
      <c r="G705" s="1580"/>
      <c r="H705" s="1581" t="e">
        <f t="shared" si="57"/>
        <v>#DIV/0!</v>
      </c>
    </row>
    <row r="706" spans="1:8" ht="15.75" hidden="1" thickBot="1" x14ac:dyDescent="0.25">
      <c r="A706" s="1577">
        <v>6223</v>
      </c>
      <c r="B706" s="1578">
        <v>5173</v>
      </c>
      <c r="C706" s="2850">
        <v>0</v>
      </c>
      <c r="D706" s="1579" t="s">
        <v>1038</v>
      </c>
      <c r="E706" s="1580"/>
      <c r="F706" s="1580"/>
      <c r="G706" s="1580"/>
      <c r="H706" s="1581">
        <v>0</v>
      </c>
    </row>
    <row r="707" spans="1:8" ht="15.75" hidden="1" thickBot="1" x14ac:dyDescent="0.25">
      <c r="A707" s="1577">
        <v>3636</v>
      </c>
      <c r="B707" s="1578">
        <v>5173</v>
      </c>
      <c r="C707" s="1629">
        <v>38500881</v>
      </c>
      <c r="D707" s="1579" t="s">
        <v>1038</v>
      </c>
      <c r="E707" s="1580"/>
      <c r="F707" s="1580"/>
      <c r="G707" s="1580"/>
      <c r="H707" s="1581" t="e">
        <f t="shared" ref="H707:H714" si="58">G707/F707*100</f>
        <v>#DIV/0!</v>
      </c>
    </row>
    <row r="708" spans="1:8" ht="15.75" hidden="1" thickBot="1" x14ac:dyDescent="0.25">
      <c r="A708" s="1577">
        <v>3636</v>
      </c>
      <c r="B708" s="1578">
        <v>5175</v>
      </c>
      <c r="C708" s="1629">
        <v>38100880</v>
      </c>
      <c r="D708" s="1579" t="s">
        <v>605</v>
      </c>
      <c r="E708" s="1580"/>
      <c r="F708" s="1580"/>
      <c r="G708" s="1580"/>
      <c r="H708" s="1581" t="e">
        <f t="shared" si="58"/>
        <v>#DIV/0!</v>
      </c>
    </row>
    <row r="709" spans="1:8" ht="15.75" hidden="1" thickBot="1" x14ac:dyDescent="0.25">
      <c r="A709" s="1577">
        <v>3636</v>
      </c>
      <c r="B709" s="1578">
        <v>5175</v>
      </c>
      <c r="C709" s="1629">
        <v>38500881</v>
      </c>
      <c r="D709" s="1579" t="s">
        <v>605</v>
      </c>
      <c r="E709" s="1580"/>
      <c r="F709" s="1580"/>
      <c r="G709" s="1580"/>
      <c r="H709" s="1581" t="e">
        <f t="shared" si="58"/>
        <v>#DIV/0!</v>
      </c>
    </row>
    <row r="710" spans="1:8" ht="15.75" hidden="1" thickBot="1" x14ac:dyDescent="0.25">
      <c r="A710" s="1577">
        <v>3636</v>
      </c>
      <c r="B710" s="1578">
        <v>5176</v>
      </c>
      <c r="C710" s="1629">
        <v>38100880</v>
      </c>
      <c r="D710" s="1579" t="s">
        <v>1119</v>
      </c>
      <c r="E710" s="1580"/>
      <c r="F710" s="1580"/>
      <c r="G710" s="1580"/>
      <c r="H710" s="1581" t="e">
        <f t="shared" si="58"/>
        <v>#DIV/0!</v>
      </c>
    </row>
    <row r="711" spans="1:8" ht="15.75" hidden="1" thickBot="1" x14ac:dyDescent="0.25">
      <c r="A711" s="1577">
        <v>3636</v>
      </c>
      <c r="B711" s="1578">
        <v>5176</v>
      </c>
      <c r="C711" s="1629">
        <v>38500881</v>
      </c>
      <c r="D711" s="1579" t="s">
        <v>1119</v>
      </c>
      <c r="E711" s="1580"/>
      <c r="F711" s="1580"/>
      <c r="G711" s="1580"/>
      <c r="H711" s="1581" t="e">
        <f t="shared" si="58"/>
        <v>#DIV/0!</v>
      </c>
    </row>
    <row r="712" spans="1:8" ht="30.75" hidden="1" thickBot="1" x14ac:dyDescent="0.25">
      <c r="A712" s="1577">
        <v>3123</v>
      </c>
      <c r="B712" s="1578">
        <v>6356</v>
      </c>
      <c r="C712" s="1629" t="s">
        <v>2127</v>
      </c>
      <c r="D712" s="1579" t="s">
        <v>1552</v>
      </c>
      <c r="E712" s="1580"/>
      <c r="F712" s="1580"/>
      <c r="G712" s="1580"/>
      <c r="H712" s="1581" t="e">
        <f t="shared" si="58"/>
        <v>#DIV/0!</v>
      </c>
    </row>
    <row r="713" spans="1:8" ht="30.75" hidden="1" thickBot="1" x14ac:dyDescent="0.25">
      <c r="A713" s="1577">
        <v>3123</v>
      </c>
      <c r="B713" s="1578">
        <v>6356</v>
      </c>
      <c r="C713" s="1629" t="s">
        <v>2126</v>
      </c>
      <c r="D713" s="1579" t="s">
        <v>1552</v>
      </c>
      <c r="E713" s="1580"/>
      <c r="F713" s="1580"/>
      <c r="G713" s="1580"/>
      <c r="H713" s="1583" t="e">
        <f t="shared" si="58"/>
        <v>#DIV/0!</v>
      </c>
    </row>
    <row r="714" spans="1:8" ht="16.5" thickTop="1" thickBot="1" x14ac:dyDescent="0.3">
      <c r="A714" s="3219" t="s">
        <v>690</v>
      </c>
      <c r="B714" s="3220"/>
      <c r="C714" s="3220"/>
      <c r="D714" s="3220"/>
      <c r="E714" s="1387">
        <f>SUM(E684:E713)</f>
        <v>0</v>
      </c>
      <c r="F714" s="1387">
        <f>SUM(F684:F713)</f>
        <v>603</v>
      </c>
      <c r="G714" s="1387">
        <f>SUM(G684:G713)</f>
        <v>603</v>
      </c>
      <c r="H714" s="1391">
        <f t="shared" si="58"/>
        <v>100</v>
      </c>
    </row>
    <row r="715" spans="1:8" ht="13.5" thickTop="1" x14ac:dyDescent="0.2"/>
    <row r="716" spans="1:8" ht="15.75" customHeight="1" x14ac:dyDescent="0.25">
      <c r="A716" s="3233" t="s">
        <v>1432</v>
      </c>
      <c r="B716" s="3151"/>
      <c r="C716" s="3151"/>
      <c r="D716" s="3151"/>
      <c r="E716" s="3151"/>
      <c r="F716" s="3151"/>
      <c r="G716" s="3151"/>
      <c r="H716" s="3151"/>
    </row>
    <row r="717" spans="1:8" ht="15.75" thickBot="1" x14ac:dyDescent="0.3">
      <c r="A717" s="1544" t="s">
        <v>784</v>
      </c>
      <c r="B717" s="1558"/>
      <c r="C717" s="1558"/>
      <c r="E717" s="1559"/>
      <c r="F717" s="1559"/>
      <c r="G717" s="1559"/>
      <c r="H717" s="1560" t="s">
        <v>148</v>
      </c>
    </row>
    <row r="718" spans="1:8" ht="25.5" thickTop="1" thickBot="1" x14ac:dyDescent="0.25">
      <c r="A718" s="1378" t="s">
        <v>149</v>
      </c>
      <c r="B718" s="1379" t="s">
        <v>688</v>
      </c>
      <c r="C718" s="1379" t="s">
        <v>345</v>
      </c>
      <c r="D718" s="1380" t="s">
        <v>151</v>
      </c>
      <c r="E718" s="1402" t="s">
        <v>569</v>
      </c>
      <c r="F718" s="1402" t="s">
        <v>570</v>
      </c>
      <c r="G718" s="1403" t="s">
        <v>797</v>
      </c>
      <c r="H718" s="1404" t="s">
        <v>798</v>
      </c>
    </row>
    <row r="719" spans="1:8" ht="14.25" thickTop="1" thickBot="1" x14ac:dyDescent="0.25">
      <c r="A719" s="1297">
        <v>1</v>
      </c>
      <c r="B719" s="1296">
        <v>2</v>
      </c>
      <c r="C719" s="1296">
        <v>3</v>
      </c>
      <c r="D719" s="1296">
        <v>4</v>
      </c>
      <c r="E719" s="1295">
        <v>5</v>
      </c>
      <c r="F719" s="1295">
        <v>6</v>
      </c>
      <c r="G719" s="1446">
        <v>7</v>
      </c>
      <c r="H719" s="1468" t="s">
        <v>54</v>
      </c>
    </row>
    <row r="720" spans="1:8" ht="15.75" hidden="1" thickTop="1" x14ac:dyDescent="0.2">
      <c r="A720" s="1572">
        <v>3636</v>
      </c>
      <c r="B720" s="1573">
        <v>5011</v>
      </c>
      <c r="C720" s="1582">
        <v>0</v>
      </c>
      <c r="D720" s="1574" t="s">
        <v>189</v>
      </c>
      <c r="E720" s="1575">
        <v>0</v>
      </c>
      <c r="F720" s="1575">
        <v>0</v>
      </c>
      <c r="G720" s="1575">
        <v>0</v>
      </c>
      <c r="H720" s="1576" t="e">
        <f t="shared" ref="H720:H727" si="59">G720/F720*100</f>
        <v>#DIV/0!</v>
      </c>
    </row>
    <row r="721" spans="1:8" ht="15.75" hidden="1" thickTop="1" x14ac:dyDescent="0.2">
      <c r="A721" s="1577">
        <v>3636</v>
      </c>
      <c r="B721" s="1578">
        <v>5011</v>
      </c>
      <c r="C721" s="1578">
        <v>38500881</v>
      </c>
      <c r="D721" s="1579" t="s">
        <v>189</v>
      </c>
      <c r="E721" s="1580">
        <v>0</v>
      </c>
      <c r="F721" s="1580">
        <v>0</v>
      </c>
      <c r="G721" s="1580">
        <v>0</v>
      </c>
      <c r="H721" s="1581" t="e">
        <f t="shared" si="59"/>
        <v>#DIV/0!</v>
      </c>
    </row>
    <row r="722" spans="1:8" ht="30.75" thickTop="1" x14ac:dyDescent="0.2">
      <c r="A722" s="1577">
        <v>3123</v>
      </c>
      <c r="B722" s="1578">
        <v>5336</v>
      </c>
      <c r="C722" s="2850" t="s">
        <v>1849</v>
      </c>
      <c r="D722" s="1579" t="s">
        <v>1131</v>
      </c>
      <c r="E722" s="1580">
        <v>0</v>
      </c>
      <c r="F722" s="1580">
        <f>8+73</f>
        <v>81</v>
      </c>
      <c r="G722" s="1580">
        <f>8+73</f>
        <v>81</v>
      </c>
      <c r="H722" s="1581">
        <f t="shared" si="59"/>
        <v>100</v>
      </c>
    </row>
    <row r="723" spans="1:8" ht="15" hidden="1" x14ac:dyDescent="0.2">
      <c r="A723" s="1577">
        <v>3636</v>
      </c>
      <c r="B723" s="1578">
        <v>5021</v>
      </c>
      <c r="C723" s="1629">
        <v>38500881</v>
      </c>
      <c r="D723" s="1579" t="s">
        <v>356</v>
      </c>
      <c r="E723" s="1580"/>
      <c r="F723" s="1580"/>
      <c r="G723" s="1580"/>
      <c r="H723" s="1581" t="e">
        <f t="shared" si="59"/>
        <v>#DIV/0!</v>
      </c>
    </row>
    <row r="724" spans="1:8" ht="30" hidden="1" x14ac:dyDescent="0.2">
      <c r="A724" s="1577">
        <v>3636</v>
      </c>
      <c r="B724" s="1578">
        <v>5031</v>
      </c>
      <c r="C724" s="1629">
        <v>38100880</v>
      </c>
      <c r="D724" s="1579" t="s">
        <v>1165</v>
      </c>
      <c r="E724" s="1580"/>
      <c r="F724" s="1580"/>
      <c r="G724" s="1580"/>
      <c r="H724" s="1581" t="e">
        <f t="shared" si="59"/>
        <v>#DIV/0!</v>
      </c>
    </row>
    <row r="725" spans="1:8" ht="30" hidden="1" x14ac:dyDescent="0.2">
      <c r="A725" s="1577">
        <v>3636</v>
      </c>
      <c r="B725" s="1578">
        <v>5031</v>
      </c>
      <c r="C725" s="1629">
        <v>38500881</v>
      </c>
      <c r="D725" s="1579" t="s">
        <v>1165</v>
      </c>
      <c r="E725" s="1580"/>
      <c r="F725" s="1580"/>
      <c r="G725" s="1580"/>
      <c r="H725" s="1581" t="e">
        <f t="shared" si="59"/>
        <v>#DIV/0!</v>
      </c>
    </row>
    <row r="726" spans="1:8" ht="30" hidden="1" x14ac:dyDescent="0.2">
      <c r="A726" s="1577">
        <v>3636</v>
      </c>
      <c r="B726" s="1578">
        <v>5032</v>
      </c>
      <c r="C726" s="1629">
        <v>38100880</v>
      </c>
      <c r="D726" s="1579" t="s">
        <v>1058</v>
      </c>
      <c r="E726" s="1580"/>
      <c r="F726" s="1580"/>
      <c r="G726" s="1580"/>
      <c r="H726" s="1581" t="e">
        <f t="shared" si="59"/>
        <v>#DIV/0!</v>
      </c>
    </row>
    <row r="727" spans="1:8" ht="30" hidden="1" x14ac:dyDescent="0.2">
      <c r="A727" s="1577">
        <v>3636</v>
      </c>
      <c r="B727" s="1578">
        <v>5032</v>
      </c>
      <c r="C727" s="1629">
        <v>38500881</v>
      </c>
      <c r="D727" s="1579" t="s">
        <v>1058</v>
      </c>
      <c r="E727" s="1580"/>
      <c r="F727" s="1580"/>
      <c r="G727" s="1580"/>
      <c r="H727" s="1581" t="e">
        <f t="shared" si="59"/>
        <v>#DIV/0!</v>
      </c>
    </row>
    <row r="728" spans="1:8" ht="15" hidden="1" x14ac:dyDescent="0.2">
      <c r="A728" s="1577">
        <v>3636</v>
      </c>
      <c r="B728" s="1578">
        <v>5139</v>
      </c>
      <c r="C728" s="1629">
        <v>38100880</v>
      </c>
      <c r="D728" s="1579" t="s">
        <v>249</v>
      </c>
      <c r="E728" s="1580"/>
      <c r="F728" s="1580"/>
      <c r="G728" s="1580"/>
      <c r="H728" s="1581">
        <v>0</v>
      </c>
    </row>
    <row r="729" spans="1:8" ht="15" hidden="1" x14ac:dyDescent="0.2">
      <c r="A729" s="1577">
        <v>3636</v>
      </c>
      <c r="B729" s="1578">
        <v>5139</v>
      </c>
      <c r="C729" s="1629">
        <v>38500881</v>
      </c>
      <c r="D729" s="1579" t="s">
        <v>249</v>
      </c>
      <c r="E729" s="1580"/>
      <c r="F729" s="1580"/>
      <c r="G729" s="1580"/>
      <c r="H729" s="1581" t="e">
        <f t="shared" ref="H729:H741" si="60">G729/F729*100</f>
        <v>#DIV/0!</v>
      </c>
    </row>
    <row r="730" spans="1:8" ht="15" hidden="1" x14ac:dyDescent="0.2">
      <c r="A730" s="1577">
        <v>3636</v>
      </c>
      <c r="B730" s="1578">
        <v>5162</v>
      </c>
      <c r="C730" s="1629">
        <v>38100880</v>
      </c>
      <c r="D730" s="1579" t="s">
        <v>780</v>
      </c>
      <c r="E730" s="1580"/>
      <c r="F730" s="1580"/>
      <c r="G730" s="1580"/>
      <c r="H730" s="1581" t="e">
        <f t="shared" si="60"/>
        <v>#DIV/0!</v>
      </c>
    </row>
    <row r="731" spans="1:8" ht="15" hidden="1" x14ac:dyDescent="0.2">
      <c r="A731" s="1577">
        <v>3636</v>
      </c>
      <c r="B731" s="1578">
        <v>5162</v>
      </c>
      <c r="C731" s="1629">
        <v>38500881</v>
      </c>
      <c r="D731" s="1579" t="s">
        <v>780</v>
      </c>
      <c r="E731" s="1580"/>
      <c r="F731" s="1580"/>
      <c r="G731" s="1580"/>
      <c r="H731" s="1581" t="e">
        <f t="shared" si="60"/>
        <v>#DIV/0!</v>
      </c>
    </row>
    <row r="732" spans="1:8" ht="15" hidden="1" x14ac:dyDescent="0.2">
      <c r="A732" s="1577">
        <v>3636</v>
      </c>
      <c r="B732" s="1578">
        <v>5164</v>
      </c>
      <c r="C732" s="1629">
        <v>38100880</v>
      </c>
      <c r="D732" s="1579" t="s">
        <v>157</v>
      </c>
      <c r="E732" s="1580"/>
      <c r="F732" s="1580"/>
      <c r="G732" s="1580"/>
      <c r="H732" s="1581" t="e">
        <f t="shared" si="60"/>
        <v>#DIV/0!</v>
      </c>
    </row>
    <row r="733" spans="1:8" ht="15" hidden="1" x14ac:dyDescent="0.2">
      <c r="A733" s="1577">
        <v>3636</v>
      </c>
      <c r="B733" s="1578">
        <v>5164</v>
      </c>
      <c r="C733" s="1629">
        <v>38500881</v>
      </c>
      <c r="D733" s="1579" t="s">
        <v>157</v>
      </c>
      <c r="E733" s="1580"/>
      <c r="F733" s="1580"/>
      <c r="G733" s="1580"/>
      <c r="H733" s="1581" t="e">
        <f t="shared" si="60"/>
        <v>#DIV/0!</v>
      </c>
    </row>
    <row r="734" spans="1:8" ht="30" x14ac:dyDescent="0.2">
      <c r="A734" s="1577">
        <v>3123</v>
      </c>
      <c r="B734" s="1578">
        <v>5336</v>
      </c>
      <c r="C734" s="2850" t="s">
        <v>1850</v>
      </c>
      <c r="D734" s="1579" t="s">
        <v>1131</v>
      </c>
      <c r="E734" s="1580">
        <v>0</v>
      </c>
      <c r="F734" s="1580">
        <f>47+414</f>
        <v>461</v>
      </c>
      <c r="G734" s="1580">
        <f>47+414</f>
        <v>461</v>
      </c>
      <c r="H734" s="1581">
        <f t="shared" si="60"/>
        <v>100</v>
      </c>
    </row>
    <row r="735" spans="1:8" ht="15" hidden="1" x14ac:dyDescent="0.2">
      <c r="A735" s="1577">
        <v>3123</v>
      </c>
      <c r="B735" s="1578">
        <v>5166</v>
      </c>
      <c r="C735" s="1629">
        <v>41100880</v>
      </c>
      <c r="D735" s="1579" t="s">
        <v>553</v>
      </c>
      <c r="E735" s="1580"/>
      <c r="F735" s="1580"/>
      <c r="G735" s="1580"/>
      <c r="H735" s="1581" t="e">
        <f t="shared" si="60"/>
        <v>#DIV/0!</v>
      </c>
    </row>
    <row r="736" spans="1:8" ht="15" hidden="1" x14ac:dyDescent="0.2">
      <c r="A736" s="1577">
        <v>3123</v>
      </c>
      <c r="B736" s="1578">
        <v>5166</v>
      </c>
      <c r="C736" s="1629">
        <v>41100882</v>
      </c>
      <c r="D736" s="1579" t="s">
        <v>553</v>
      </c>
      <c r="E736" s="1580"/>
      <c r="F736" s="1580"/>
      <c r="G736" s="1580"/>
      <c r="H736" s="1581" t="e">
        <f t="shared" si="60"/>
        <v>#DIV/0!</v>
      </c>
    </row>
    <row r="737" spans="1:8" ht="15" hidden="1" x14ac:dyDescent="0.2">
      <c r="A737" s="1577">
        <v>3123</v>
      </c>
      <c r="B737" s="1578">
        <v>5166</v>
      </c>
      <c r="C737" s="1629">
        <v>41500881</v>
      </c>
      <c r="D737" s="1579" t="s">
        <v>553</v>
      </c>
      <c r="E737" s="1580"/>
      <c r="F737" s="1580"/>
      <c r="G737" s="1580"/>
      <c r="H737" s="1581" t="e">
        <f t="shared" si="60"/>
        <v>#DIV/0!</v>
      </c>
    </row>
    <row r="738" spans="1:8" ht="15" hidden="1" x14ac:dyDescent="0.2">
      <c r="A738" s="1577">
        <v>3123</v>
      </c>
      <c r="B738" s="1578">
        <v>5167</v>
      </c>
      <c r="C738" s="1629">
        <v>38100880</v>
      </c>
      <c r="D738" s="1579" t="s">
        <v>810</v>
      </c>
      <c r="E738" s="1580"/>
      <c r="F738" s="1580"/>
      <c r="G738" s="1580"/>
      <c r="H738" s="1581" t="e">
        <f t="shared" si="60"/>
        <v>#DIV/0!</v>
      </c>
    </row>
    <row r="739" spans="1:8" ht="15" hidden="1" x14ac:dyDescent="0.2">
      <c r="A739" s="1577">
        <v>3123</v>
      </c>
      <c r="B739" s="1578">
        <v>5167</v>
      </c>
      <c r="C739" s="1629">
        <v>38500881</v>
      </c>
      <c r="D739" s="1579" t="s">
        <v>810</v>
      </c>
      <c r="E739" s="1580"/>
      <c r="F739" s="1580"/>
      <c r="G739" s="1580"/>
      <c r="H739" s="1581" t="e">
        <f t="shared" si="60"/>
        <v>#DIV/0!</v>
      </c>
    </row>
    <row r="740" spans="1:8" ht="15" hidden="1" x14ac:dyDescent="0.2">
      <c r="A740" s="1577">
        <v>3123</v>
      </c>
      <c r="B740" s="1578">
        <v>5169</v>
      </c>
      <c r="C740" s="1629">
        <v>38100880</v>
      </c>
      <c r="D740" s="1579" t="s">
        <v>769</v>
      </c>
      <c r="E740" s="1580"/>
      <c r="F740" s="1580"/>
      <c r="G740" s="1580"/>
      <c r="H740" s="1581" t="e">
        <f t="shared" si="60"/>
        <v>#DIV/0!</v>
      </c>
    </row>
    <row r="741" spans="1:8" ht="15" hidden="1" x14ac:dyDescent="0.2">
      <c r="A741" s="1577">
        <v>3123</v>
      </c>
      <c r="B741" s="1578">
        <v>5169</v>
      </c>
      <c r="C741" s="1629">
        <v>38500881</v>
      </c>
      <c r="D741" s="1579" t="s">
        <v>769</v>
      </c>
      <c r="E741" s="1580"/>
      <c r="F741" s="1580"/>
      <c r="G741" s="1580"/>
      <c r="H741" s="1581" t="e">
        <f t="shared" si="60"/>
        <v>#DIV/0!</v>
      </c>
    </row>
    <row r="742" spans="1:8" ht="15" hidden="1" x14ac:dyDescent="0.2">
      <c r="A742" s="1577">
        <v>3123</v>
      </c>
      <c r="B742" s="1578">
        <v>5173</v>
      </c>
      <c r="C742" s="2850">
        <v>0</v>
      </c>
      <c r="D742" s="1579" t="s">
        <v>1038</v>
      </c>
      <c r="E742" s="1580"/>
      <c r="F742" s="1580"/>
      <c r="G742" s="1580"/>
      <c r="H742" s="1581">
        <v>0</v>
      </c>
    </row>
    <row r="743" spans="1:8" ht="15" hidden="1" x14ac:dyDescent="0.2">
      <c r="A743" s="1577">
        <v>3123</v>
      </c>
      <c r="B743" s="1578">
        <v>5173</v>
      </c>
      <c r="C743" s="1629">
        <v>38500881</v>
      </c>
      <c r="D743" s="1579" t="s">
        <v>1038</v>
      </c>
      <c r="E743" s="1580"/>
      <c r="F743" s="1580"/>
      <c r="G743" s="1580"/>
      <c r="H743" s="1581" t="e">
        <f t="shared" ref="H743:H750" si="61">G743/F743*100</f>
        <v>#DIV/0!</v>
      </c>
    </row>
    <row r="744" spans="1:8" ht="15" hidden="1" x14ac:dyDescent="0.2">
      <c r="A744" s="1577">
        <v>3123</v>
      </c>
      <c r="B744" s="1578">
        <v>5175</v>
      </c>
      <c r="C744" s="1629">
        <v>38100880</v>
      </c>
      <c r="D744" s="1579" t="s">
        <v>605</v>
      </c>
      <c r="E744" s="1580"/>
      <c r="F744" s="1580"/>
      <c r="G744" s="1580"/>
      <c r="H744" s="1581" t="e">
        <f t="shared" si="61"/>
        <v>#DIV/0!</v>
      </c>
    </row>
    <row r="745" spans="1:8" ht="15" hidden="1" x14ac:dyDescent="0.2">
      <c r="A745" s="1577">
        <v>3123</v>
      </c>
      <c r="B745" s="1578">
        <v>5175</v>
      </c>
      <c r="C745" s="1629">
        <v>38500881</v>
      </c>
      <c r="D745" s="1579" t="s">
        <v>605</v>
      </c>
      <c r="E745" s="1580"/>
      <c r="F745" s="1580"/>
      <c r="G745" s="1580"/>
      <c r="H745" s="1581" t="e">
        <f t="shared" si="61"/>
        <v>#DIV/0!</v>
      </c>
    </row>
    <row r="746" spans="1:8" ht="15" hidden="1" x14ac:dyDescent="0.2">
      <c r="A746" s="1577">
        <v>3123</v>
      </c>
      <c r="B746" s="1578">
        <v>5176</v>
      </c>
      <c r="C746" s="1629">
        <v>38100880</v>
      </c>
      <c r="D746" s="1579" t="s">
        <v>1119</v>
      </c>
      <c r="E746" s="1580"/>
      <c r="F746" s="1580"/>
      <c r="G746" s="1580"/>
      <c r="H746" s="1581" t="e">
        <f t="shared" si="61"/>
        <v>#DIV/0!</v>
      </c>
    </row>
    <row r="747" spans="1:8" ht="15" hidden="1" x14ac:dyDescent="0.2">
      <c r="A747" s="1577">
        <v>3123</v>
      </c>
      <c r="B747" s="1578">
        <v>5176</v>
      </c>
      <c r="C747" s="1629">
        <v>38500881</v>
      </c>
      <c r="D747" s="1579" t="s">
        <v>1119</v>
      </c>
      <c r="E747" s="1580"/>
      <c r="F747" s="1580"/>
      <c r="G747" s="1580"/>
      <c r="H747" s="1581" t="e">
        <f t="shared" si="61"/>
        <v>#DIV/0!</v>
      </c>
    </row>
    <row r="748" spans="1:8" ht="30" x14ac:dyDescent="0.2">
      <c r="A748" s="1577">
        <v>3123</v>
      </c>
      <c r="B748" s="1578">
        <v>6356</v>
      </c>
      <c r="C748" s="1629" t="s">
        <v>2127</v>
      </c>
      <c r="D748" s="1579" t="s">
        <v>1552</v>
      </c>
      <c r="E748" s="1580">
        <v>0</v>
      </c>
      <c r="F748" s="1580">
        <v>1</v>
      </c>
      <c r="G748" s="1580">
        <v>1</v>
      </c>
      <c r="H748" s="1581">
        <f t="shared" si="61"/>
        <v>100</v>
      </c>
    </row>
    <row r="749" spans="1:8" ht="30.75" thickBot="1" x14ac:dyDescent="0.25">
      <c r="A749" s="1577">
        <v>3123</v>
      </c>
      <c r="B749" s="1578">
        <v>6356</v>
      </c>
      <c r="C749" s="1629" t="s">
        <v>2126</v>
      </c>
      <c r="D749" s="1579" t="s">
        <v>1552</v>
      </c>
      <c r="E749" s="1580">
        <v>0</v>
      </c>
      <c r="F749" s="1580">
        <v>8</v>
      </c>
      <c r="G749" s="1580">
        <v>8</v>
      </c>
      <c r="H749" s="1583">
        <f t="shared" si="61"/>
        <v>100</v>
      </c>
    </row>
    <row r="750" spans="1:8" ht="16.5" thickTop="1" thickBot="1" x14ac:dyDescent="0.3">
      <c r="A750" s="3219" t="s">
        <v>690</v>
      </c>
      <c r="B750" s="3220"/>
      <c r="C750" s="3220"/>
      <c r="D750" s="3220"/>
      <c r="E750" s="1387">
        <f>SUM(E720:E749)</f>
        <v>0</v>
      </c>
      <c r="F750" s="1387">
        <f>SUM(F720:F749)</f>
        <v>551</v>
      </c>
      <c r="G750" s="1387">
        <f>SUM(G720:G749)</f>
        <v>551</v>
      </c>
      <c r="H750" s="1391">
        <f t="shared" si="61"/>
        <v>100</v>
      </c>
    </row>
    <row r="751" spans="1:8" ht="13.5" thickTop="1" x14ac:dyDescent="0.2"/>
    <row r="752" spans="1:8" ht="14.25" customHeight="1" x14ac:dyDescent="0.25">
      <c r="A752" s="3233" t="s">
        <v>1568</v>
      </c>
      <c r="B752" s="3151"/>
      <c r="C752" s="3151"/>
      <c r="D752" s="3151"/>
      <c r="E752" s="3151"/>
      <c r="F752" s="3151"/>
      <c r="G752" s="3151"/>
      <c r="H752" s="3151"/>
    </row>
    <row r="753" spans="1:8" ht="15.75" thickBot="1" x14ac:dyDescent="0.3">
      <c r="A753" s="1544" t="s">
        <v>1569</v>
      </c>
      <c r="B753" s="1558"/>
      <c r="C753" s="1558"/>
      <c r="E753" s="1559"/>
      <c r="F753" s="1559"/>
      <c r="G753" s="1559"/>
      <c r="H753" s="1560" t="s">
        <v>148</v>
      </c>
    </row>
    <row r="754" spans="1:8" ht="25.5" thickTop="1" thickBot="1" x14ac:dyDescent="0.25">
      <c r="A754" s="1378" t="s">
        <v>149</v>
      </c>
      <c r="B754" s="1379" t="s">
        <v>688</v>
      </c>
      <c r="C754" s="1379" t="s">
        <v>345</v>
      </c>
      <c r="D754" s="1380" t="s">
        <v>151</v>
      </c>
      <c r="E754" s="1402" t="s">
        <v>569</v>
      </c>
      <c r="F754" s="1402" t="s">
        <v>570</v>
      </c>
      <c r="G754" s="1403" t="s">
        <v>797</v>
      </c>
      <c r="H754" s="1404" t="s">
        <v>798</v>
      </c>
    </row>
    <row r="755" spans="1:8" ht="14.25" thickTop="1" thickBot="1" x14ac:dyDescent="0.25">
      <c r="A755" s="1297">
        <v>1</v>
      </c>
      <c r="B755" s="1296">
        <v>2</v>
      </c>
      <c r="C755" s="1296">
        <v>3</v>
      </c>
      <c r="D755" s="1296">
        <v>4</v>
      </c>
      <c r="E755" s="1295">
        <v>5</v>
      </c>
      <c r="F755" s="1295">
        <v>6</v>
      </c>
      <c r="G755" s="1446">
        <v>7</v>
      </c>
      <c r="H755" s="1468" t="s">
        <v>54</v>
      </c>
    </row>
    <row r="756" spans="1:8" ht="15.75" hidden="1" thickTop="1" x14ac:dyDescent="0.2">
      <c r="A756" s="1572">
        <v>3636</v>
      </c>
      <c r="B756" s="1573">
        <v>5011</v>
      </c>
      <c r="C756" s="1582">
        <v>0</v>
      </c>
      <c r="D756" s="1574" t="s">
        <v>189</v>
      </c>
      <c r="E756" s="1575">
        <v>0</v>
      </c>
      <c r="F756" s="1575">
        <v>0</v>
      </c>
      <c r="G756" s="1575">
        <v>0</v>
      </c>
      <c r="H756" s="1576" t="e">
        <f t="shared" ref="H756:H763" si="62">G756/F756*100</f>
        <v>#DIV/0!</v>
      </c>
    </row>
    <row r="757" spans="1:8" ht="15.75" hidden="1" thickTop="1" x14ac:dyDescent="0.2">
      <c r="A757" s="1577">
        <v>3636</v>
      </c>
      <c r="B757" s="1578">
        <v>5011</v>
      </c>
      <c r="C757" s="1578">
        <v>38500881</v>
      </c>
      <c r="D757" s="1579" t="s">
        <v>189</v>
      </c>
      <c r="E757" s="1580">
        <v>0</v>
      </c>
      <c r="F757" s="1580">
        <v>0</v>
      </c>
      <c r="G757" s="1580">
        <v>0</v>
      </c>
      <c r="H757" s="1581" t="e">
        <f t="shared" si="62"/>
        <v>#DIV/0!</v>
      </c>
    </row>
    <row r="758" spans="1:8" ht="30.75" thickTop="1" x14ac:dyDescent="0.2">
      <c r="A758" s="1577">
        <v>3123</v>
      </c>
      <c r="B758" s="1578">
        <v>5336</v>
      </c>
      <c r="C758" s="2850" t="s">
        <v>1849</v>
      </c>
      <c r="D758" s="1579" t="s">
        <v>1131</v>
      </c>
      <c r="E758" s="1580">
        <v>0</v>
      </c>
      <c r="F758" s="1580">
        <f>9+85</f>
        <v>94</v>
      </c>
      <c r="G758" s="1580">
        <f>9+85</f>
        <v>94</v>
      </c>
      <c r="H758" s="1581">
        <f t="shared" si="62"/>
        <v>100</v>
      </c>
    </row>
    <row r="759" spans="1:8" ht="15" hidden="1" x14ac:dyDescent="0.2">
      <c r="A759" s="1577">
        <v>3636</v>
      </c>
      <c r="B759" s="1578">
        <v>5021</v>
      </c>
      <c r="C759" s="1629">
        <v>38500881</v>
      </c>
      <c r="D759" s="1579" t="s">
        <v>356</v>
      </c>
      <c r="E759" s="1580"/>
      <c r="F759" s="1580"/>
      <c r="G759" s="1580"/>
      <c r="H759" s="1581" t="e">
        <f t="shared" si="62"/>
        <v>#DIV/0!</v>
      </c>
    </row>
    <row r="760" spans="1:8" ht="30" hidden="1" x14ac:dyDescent="0.2">
      <c r="A760" s="1577">
        <v>3636</v>
      </c>
      <c r="B760" s="1578">
        <v>5031</v>
      </c>
      <c r="C760" s="1629">
        <v>38100880</v>
      </c>
      <c r="D760" s="1579" t="s">
        <v>1165</v>
      </c>
      <c r="E760" s="1580"/>
      <c r="F760" s="1580"/>
      <c r="G760" s="1580"/>
      <c r="H760" s="1581" t="e">
        <f t="shared" si="62"/>
        <v>#DIV/0!</v>
      </c>
    </row>
    <row r="761" spans="1:8" ht="30" hidden="1" x14ac:dyDescent="0.2">
      <c r="A761" s="1577">
        <v>3636</v>
      </c>
      <c r="B761" s="1578">
        <v>5031</v>
      </c>
      <c r="C761" s="1629">
        <v>38500881</v>
      </c>
      <c r="D761" s="1579" t="s">
        <v>1165</v>
      </c>
      <c r="E761" s="1580"/>
      <c r="F761" s="1580"/>
      <c r="G761" s="1580"/>
      <c r="H761" s="1581" t="e">
        <f t="shared" si="62"/>
        <v>#DIV/0!</v>
      </c>
    </row>
    <row r="762" spans="1:8" ht="30" hidden="1" x14ac:dyDescent="0.2">
      <c r="A762" s="1577">
        <v>3636</v>
      </c>
      <c r="B762" s="1578">
        <v>5032</v>
      </c>
      <c r="C762" s="1629">
        <v>38100880</v>
      </c>
      <c r="D762" s="1579" t="s">
        <v>1058</v>
      </c>
      <c r="E762" s="1580"/>
      <c r="F762" s="1580"/>
      <c r="G762" s="1580"/>
      <c r="H762" s="1581" t="e">
        <f t="shared" si="62"/>
        <v>#DIV/0!</v>
      </c>
    </row>
    <row r="763" spans="1:8" ht="30" hidden="1" x14ac:dyDescent="0.2">
      <c r="A763" s="1577">
        <v>3636</v>
      </c>
      <c r="B763" s="1578">
        <v>5032</v>
      </c>
      <c r="C763" s="1629">
        <v>38500881</v>
      </c>
      <c r="D763" s="1579" t="s">
        <v>1058</v>
      </c>
      <c r="E763" s="1580"/>
      <c r="F763" s="1580"/>
      <c r="G763" s="1580"/>
      <c r="H763" s="1581" t="e">
        <f t="shared" si="62"/>
        <v>#DIV/0!</v>
      </c>
    </row>
    <row r="764" spans="1:8" ht="15" hidden="1" x14ac:dyDescent="0.2">
      <c r="A764" s="1577">
        <v>3636</v>
      </c>
      <c r="B764" s="1578">
        <v>5139</v>
      </c>
      <c r="C764" s="1629">
        <v>38100880</v>
      </c>
      <c r="D764" s="1579" t="s">
        <v>249</v>
      </c>
      <c r="E764" s="1580"/>
      <c r="F764" s="1580"/>
      <c r="G764" s="1580"/>
      <c r="H764" s="1581">
        <v>0</v>
      </c>
    </row>
    <row r="765" spans="1:8" ht="15" hidden="1" x14ac:dyDescent="0.2">
      <c r="A765" s="1577">
        <v>3636</v>
      </c>
      <c r="B765" s="1578">
        <v>5139</v>
      </c>
      <c r="C765" s="1629">
        <v>38500881</v>
      </c>
      <c r="D765" s="1579" t="s">
        <v>249</v>
      </c>
      <c r="E765" s="1580"/>
      <c r="F765" s="1580"/>
      <c r="G765" s="1580"/>
      <c r="H765" s="1581" t="e">
        <f t="shared" ref="H765:H777" si="63">G765/F765*100</f>
        <v>#DIV/0!</v>
      </c>
    </row>
    <row r="766" spans="1:8" ht="15" hidden="1" x14ac:dyDescent="0.2">
      <c r="A766" s="1577">
        <v>3636</v>
      </c>
      <c r="B766" s="1578">
        <v>5162</v>
      </c>
      <c r="C766" s="1629">
        <v>38100880</v>
      </c>
      <c r="D766" s="1579" t="s">
        <v>780</v>
      </c>
      <c r="E766" s="1580"/>
      <c r="F766" s="1580"/>
      <c r="G766" s="1580"/>
      <c r="H766" s="1581" t="e">
        <f t="shared" si="63"/>
        <v>#DIV/0!</v>
      </c>
    </row>
    <row r="767" spans="1:8" ht="15" hidden="1" x14ac:dyDescent="0.2">
      <c r="A767" s="1577">
        <v>3636</v>
      </c>
      <c r="B767" s="1578">
        <v>5162</v>
      </c>
      <c r="C767" s="1629">
        <v>38500881</v>
      </c>
      <c r="D767" s="1579" t="s">
        <v>780</v>
      </c>
      <c r="E767" s="1580"/>
      <c r="F767" s="1580"/>
      <c r="G767" s="1580"/>
      <c r="H767" s="1581" t="e">
        <f t="shared" si="63"/>
        <v>#DIV/0!</v>
      </c>
    </row>
    <row r="768" spans="1:8" ht="15" hidden="1" x14ac:dyDescent="0.2">
      <c r="A768" s="1577">
        <v>3636</v>
      </c>
      <c r="B768" s="1578">
        <v>5164</v>
      </c>
      <c r="C768" s="1629">
        <v>38100880</v>
      </c>
      <c r="D768" s="1579" t="s">
        <v>157</v>
      </c>
      <c r="E768" s="1580"/>
      <c r="F768" s="1580"/>
      <c r="G768" s="1580"/>
      <c r="H768" s="1581" t="e">
        <f t="shared" si="63"/>
        <v>#DIV/0!</v>
      </c>
    </row>
    <row r="769" spans="1:8" ht="15" hidden="1" x14ac:dyDescent="0.2">
      <c r="A769" s="1577">
        <v>3636</v>
      </c>
      <c r="B769" s="1578">
        <v>5164</v>
      </c>
      <c r="C769" s="1629">
        <v>38500881</v>
      </c>
      <c r="D769" s="1579" t="s">
        <v>157</v>
      </c>
      <c r="E769" s="1580"/>
      <c r="F769" s="1580"/>
      <c r="G769" s="1580"/>
      <c r="H769" s="1581" t="e">
        <f t="shared" si="63"/>
        <v>#DIV/0!</v>
      </c>
    </row>
    <row r="770" spans="1:8" ht="30" x14ac:dyDescent="0.2">
      <c r="A770" s="1577">
        <v>3123</v>
      </c>
      <c r="B770" s="1578">
        <v>5336</v>
      </c>
      <c r="C770" s="2850" t="s">
        <v>1850</v>
      </c>
      <c r="D770" s="1579" t="s">
        <v>1131</v>
      </c>
      <c r="E770" s="1580">
        <v>0</v>
      </c>
      <c r="F770" s="1580">
        <f>51+481</f>
        <v>532</v>
      </c>
      <c r="G770" s="1580">
        <f>51+481</f>
        <v>532</v>
      </c>
      <c r="H770" s="1581">
        <f t="shared" si="63"/>
        <v>100</v>
      </c>
    </row>
    <row r="771" spans="1:8" ht="15" hidden="1" x14ac:dyDescent="0.2">
      <c r="A771" s="1577">
        <v>3123</v>
      </c>
      <c r="B771" s="1578">
        <v>5166</v>
      </c>
      <c r="C771" s="1629">
        <v>41100880</v>
      </c>
      <c r="D771" s="1579" t="s">
        <v>553</v>
      </c>
      <c r="E771" s="1580"/>
      <c r="F771" s="1580"/>
      <c r="G771" s="1580"/>
      <c r="H771" s="1581" t="e">
        <f t="shared" si="63"/>
        <v>#DIV/0!</v>
      </c>
    </row>
    <row r="772" spans="1:8" ht="15" hidden="1" x14ac:dyDescent="0.2">
      <c r="A772" s="1577">
        <v>3123</v>
      </c>
      <c r="B772" s="1578">
        <v>5166</v>
      </c>
      <c r="C772" s="1629">
        <v>41100882</v>
      </c>
      <c r="D772" s="1579" t="s">
        <v>553</v>
      </c>
      <c r="E772" s="1580"/>
      <c r="F772" s="1580"/>
      <c r="G772" s="1580"/>
      <c r="H772" s="1581" t="e">
        <f t="shared" si="63"/>
        <v>#DIV/0!</v>
      </c>
    </row>
    <row r="773" spans="1:8" ht="15" hidden="1" x14ac:dyDescent="0.2">
      <c r="A773" s="1577">
        <v>3123</v>
      </c>
      <c r="B773" s="1578">
        <v>5166</v>
      </c>
      <c r="C773" s="1629">
        <v>41500881</v>
      </c>
      <c r="D773" s="1579" t="s">
        <v>553</v>
      </c>
      <c r="E773" s="1580"/>
      <c r="F773" s="1580"/>
      <c r="G773" s="1580"/>
      <c r="H773" s="1581" t="e">
        <f t="shared" si="63"/>
        <v>#DIV/0!</v>
      </c>
    </row>
    <row r="774" spans="1:8" ht="15" hidden="1" x14ac:dyDescent="0.2">
      <c r="A774" s="1577">
        <v>3123</v>
      </c>
      <c r="B774" s="1578">
        <v>5167</v>
      </c>
      <c r="C774" s="1629">
        <v>38100880</v>
      </c>
      <c r="D774" s="1579" t="s">
        <v>810</v>
      </c>
      <c r="E774" s="1580"/>
      <c r="F774" s="1580"/>
      <c r="G774" s="1580"/>
      <c r="H774" s="1581" t="e">
        <f t="shared" si="63"/>
        <v>#DIV/0!</v>
      </c>
    </row>
    <row r="775" spans="1:8" ht="15" hidden="1" x14ac:dyDescent="0.2">
      <c r="A775" s="1577">
        <v>3123</v>
      </c>
      <c r="B775" s="1578">
        <v>5167</v>
      </c>
      <c r="C775" s="1629">
        <v>38500881</v>
      </c>
      <c r="D775" s="1579" t="s">
        <v>810</v>
      </c>
      <c r="E775" s="1580"/>
      <c r="F775" s="1580"/>
      <c r="G775" s="1580"/>
      <c r="H775" s="1581" t="e">
        <f t="shared" si="63"/>
        <v>#DIV/0!</v>
      </c>
    </row>
    <row r="776" spans="1:8" ht="15" hidden="1" x14ac:dyDescent="0.2">
      <c r="A776" s="1577">
        <v>3123</v>
      </c>
      <c r="B776" s="1578">
        <v>5169</v>
      </c>
      <c r="C776" s="1629">
        <v>38100880</v>
      </c>
      <c r="D776" s="1579" t="s">
        <v>769</v>
      </c>
      <c r="E776" s="1580"/>
      <c r="F776" s="1580"/>
      <c r="G776" s="1580"/>
      <c r="H776" s="1581" t="e">
        <f t="shared" si="63"/>
        <v>#DIV/0!</v>
      </c>
    </row>
    <row r="777" spans="1:8" ht="15" hidden="1" x14ac:dyDescent="0.2">
      <c r="A777" s="1577">
        <v>3123</v>
      </c>
      <c r="B777" s="1578">
        <v>5169</v>
      </c>
      <c r="C777" s="1629">
        <v>38500881</v>
      </c>
      <c r="D777" s="1579" t="s">
        <v>769</v>
      </c>
      <c r="E777" s="1580"/>
      <c r="F777" s="1580"/>
      <c r="G777" s="1580"/>
      <c r="H777" s="1581" t="e">
        <f t="shared" si="63"/>
        <v>#DIV/0!</v>
      </c>
    </row>
    <row r="778" spans="1:8" ht="15" hidden="1" x14ac:dyDescent="0.2">
      <c r="A778" s="1577">
        <v>3123</v>
      </c>
      <c r="B778" s="1578">
        <v>5173</v>
      </c>
      <c r="C778" s="2850">
        <v>0</v>
      </c>
      <c r="D778" s="1579" t="s">
        <v>1038</v>
      </c>
      <c r="E778" s="1580"/>
      <c r="F778" s="1580"/>
      <c r="G778" s="1580"/>
      <c r="H778" s="1581">
        <v>0</v>
      </c>
    </row>
    <row r="779" spans="1:8" ht="15" hidden="1" x14ac:dyDescent="0.2">
      <c r="A779" s="1577">
        <v>3123</v>
      </c>
      <c r="B779" s="1578">
        <v>5173</v>
      </c>
      <c r="C779" s="1629">
        <v>38500881</v>
      </c>
      <c r="D779" s="1579" t="s">
        <v>1038</v>
      </c>
      <c r="E779" s="1580"/>
      <c r="F779" s="1580"/>
      <c r="G779" s="1580"/>
      <c r="H779" s="1581" t="e">
        <f t="shared" ref="H779:H786" si="64">G779/F779*100</f>
        <v>#DIV/0!</v>
      </c>
    </row>
    <row r="780" spans="1:8" ht="15" hidden="1" x14ac:dyDescent="0.2">
      <c r="A780" s="1577">
        <v>3123</v>
      </c>
      <c r="B780" s="1578">
        <v>5175</v>
      </c>
      <c r="C780" s="1629">
        <v>38100880</v>
      </c>
      <c r="D780" s="1579" t="s">
        <v>605</v>
      </c>
      <c r="E780" s="1580"/>
      <c r="F780" s="1580"/>
      <c r="G780" s="1580"/>
      <c r="H780" s="1581" t="e">
        <f t="shared" si="64"/>
        <v>#DIV/0!</v>
      </c>
    </row>
    <row r="781" spans="1:8" ht="15" hidden="1" x14ac:dyDescent="0.2">
      <c r="A781" s="1577">
        <v>3123</v>
      </c>
      <c r="B781" s="1578">
        <v>5175</v>
      </c>
      <c r="C781" s="1629">
        <v>38500881</v>
      </c>
      <c r="D781" s="1579" t="s">
        <v>605</v>
      </c>
      <c r="E781" s="1580"/>
      <c r="F781" s="1580"/>
      <c r="G781" s="1580"/>
      <c r="H781" s="1581" t="e">
        <f t="shared" si="64"/>
        <v>#DIV/0!</v>
      </c>
    </row>
    <row r="782" spans="1:8" ht="15" hidden="1" x14ac:dyDescent="0.2">
      <c r="A782" s="1577">
        <v>3123</v>
      </c>
      <c r="B782" s="1578">
        <v>5176</v>
      </c>
      <c r="C782" s="1629">
        <v>38100880</v>
      </c>
      <c r="D782" s="1579" t="s">
        <v>1119</v>
      </c>
      <c r="E782" s="1580"/>
      <c r="F782" s="1580"/>
      <c r="G782" s="1580"/>
      <c r="H782" s="1581" t="e">
        <f t="shared" si="64"/>
        <v>#DIV/0!</v>
      </c>
    </row>
    <row r="783" spans="1:8" ht="15" hidden="1" x14ac:dyDescent="0.2">
      <c r="A783" s="1577">
        <v>3123</v>
      </c>
      <c r="B783" s="1578">
        <v>5176</v>
      </c>
      <c r="C783" s="1629">
        <v>38500881</v>
      </c>
      <c r="D783" s="1579" t="s">
        <v>1119</v>
      </c>
      <c r="E783" s="1580"/>
      <c r="F783" s="1580"/>
      <c r="G783" s="1580"/>
      <c r="H783" s="1581" t="e">
        <f t="shared" si="64"/>
        <v>#DIV/0!</v>
      </c>
    </row>
    <row r="784" spans="1:8" ht="30" x14ac:dyDescent="0.2">
      <c r="A784" s="1577">
        <v>3123</v>
      </c>
      <c r="B784" s="1578">
        <v>6356</v>
      </c>
      <c r="C784" s="1629" t="s">
        <v>2127</v>
      </c>
      <c r="D784" s="1579" t="s">
        <v>1552</v>
      </c>
      <c r="E784" s="1580">
        <v>0</v>
      </c>
      <c r="F784" s="1580">
        <v>88</v>
      </c>
      <c r="G784" s="1580">
        <v>88</v>
      </c>
      <c r="H784" s="1581">
        <f t="shared" si="64"/>
        <v>100</v>
      </c>
    </row>
    <row r="785" spans="1:8" ht="30.75" thickBot="1" x14ac:dyDescent="0.25">
      <c r="A785" s="1577">
        <v>3123</v>
      </c>
      <c r="B785" s="1578">
        <v>6356</v>
      </c>
      <c r="C785" s="1629" t="s">
        <v>2126</v>
      </c>
      <c r="D785" s="1579" t="s">
        <v>1552</v>
      </c>
      <c r="E785" s="1580">
        <v>0</v>
      </c>
      <c r="F785" s="1580">
        <v>500</v>
      </c>
      <c r="G785" s="1580">
        <v>500</v>
      </c>
      <c r="H785" s="1583">
        <f t="shared" si="64"/>
        <v>100</v>
      </c>
    </row>
    <row r="786" spans="1:8" ht="16.5" thickTop="1" thickBot="1" x14ac:dyDescent="0.3">
      <c r="A786" s="3219" t="s">
        <v>690</v>
      </c>
      <c r="B786" s="3220"/>
      <c r="C786" s="3220"/>
      <c r="D786" s="3220"/>
      <c r="E786" s="1387">
        <f>SUM(E756:E785)</f>
        <v>0</v>
      </c>
      <c r="F786" s="1387">
        <f>SUM(F756:F785)</f>
        <v>1214</v>
      </c>
      <c r="G786" s="1387">
        <f>SUM(G756:G785)</f>
        <v>1214</v>
      </c>
      <c r="H786" s="1391">
        <f t="shared" si="64"/>
        <v>100</v>
      </c>
    </row>
    <row r="787" spans="1:8" ht="13.5" thickTop="1" x14ac:dyDescent="0.2"/>
    <row r="788" spans="1:8" ht="14.25" customHeight="1" x14ac:dyDescent="0.25">
      <c r="A788" s="3233" t="s">
        <v>1289</v>
      </c>
      <c r="B788" s="3151"/>
      <c r="C788" s="3151"/>
      <c r="D788" s="3151"/>
      <c r="E788" s="3151"/>
      <c r="F788" s="3151"/>
      <c r="G788" s="3151"/>
      <c r="H788" s="3151"/>
    </row>
    <row r="789" spans="1:8" ht="15.75" thickBot="1" x14ac:dyDescent="0.3">
      <c r="A789" s="1544" t="s">
        <v>1364</v>
      </c>
      <c r="B789" s="1558"/>
      <c r="C789" s="1558"/>
      <c r="E789" s="1559"/>
      <c r="F789" s="1559"/>
      <c r="G789" s="1559"/>
      <c r="H789" s="1560" t="s">
        <v>148</v>
      </c>
    </row>
    <row r="790" spans="1:8" ht="25.5" thickTop="1" thickBot="1" x14ac:dyDescent="0.25">
      <c r="A790" s="1378" t="s">
        <v>149</v>
      </c>
      <c r="B790" s="1379" t="s">
        <v>688</v>
      </c>
      <c r="C790" s="1379" t="s">
        <v>345</v>
      </c>
      <c r="D790" s="1380" t="s">
        <v>151</v>
      </c>
      <c r="E790" s="1402" t="s">
        <v>569</v>
      </c>
      <c r="F790" s="1402" t="s">
        <v>570</v>
      </c>
      <c r="G790" s="1403" t="s">
        <v>797</v>
      </c>
      <c r="H790" s="1404" t="s">
        <v>798</v>
      </c>
    </row>
    <row r="791" spans="1:8" ht="14.25" thickTop="1" thickBot="1" x14ac:dyDescent="0.25">
      <c r="A791" s="1297">
        <v>1</v>
      </c>
      <c r="B791" s="1296">
        <v>2</v>
      </c>
      <c r="C791" s="1296">
        <v>3</v>
      </c>
      <c r="D791" s="1296">
        <v>4</v>
      </c>
      <c r="E791" s="1295">
        <v>5</v>
      </c>
      <c r="F791" s="1295">
        <v>6</v>
      </c>
      <c r="G791" s="1446">
        <v>7</v>
      </c>
      <c r="H791" s="1468" t="s">
        <v>54</v>
      </c>
    </row>
    <row r="792" spans="1:8" ht="15.75" hidden="1" thickTop="1" x14ac:dyDescent="0.2">
      <c r="A792" s="1572">
        <v>3636</v>
      </c>
      <c r="B792" s="1573">
        <v>5011</v>
      </c>
      <c r="C792" s="1582">
        <v>0</v>
      </c>
      <c r="D792" s="1574" t="s">
        <v>189</v>
      </c>
      <c r="E792" s="1575">
        <v>0</v>
      </c>
      <c r="F792" s="1575">
        <v>0</v>
      </c>
      <c r="G792" s="1575">
        <v>0</v>
      </c>
      <c r="H792" s="1576" t="e">
        <f t="shared" ref="H792:H799" si="65">G792/F792*100</f>
        <v>#DIV/0!</v>
      </c>
    </row>
    <row r="793" spans="1:8" ht="15.75" hidden="1" thickTop="1" x14ac:dyDescent="0.2">
      <c r="A793" s="1577">
        <v>3636</v>
      </c>
      <c r="B793" s="1578">
        <v>5011</v>
      </c>
      <c r="C793" s="1578">
        <v>38500881</v>
      </c>
      <c r="D793" s="1579" t="s">
        <v>189</v>
      </c>
      <c r="E793" s="1580">
        <v>0</v>
      </c>
      <c r="F793" s="1580">
        <v>0</v>
      </c>
      <c r="G793" s="1580">
        <v>0</v>
      </c>
      <c r="H793" s="1581" t="e">
        <f t="shared" si="65"/>
        <v>#DIV/0!</v>
      </c>
    </row>
    <row r="794" spans="1:8" ht="30.75" thickTop="1" x14ac:dyDescent="0.2">
      <c r="A794" s="1577">
        <v>3122</v>
      </c>
      <c r="B794" s="1578">
        <v>5336</v>
      </c>
      <c r="C794" s="2850" t="s">
        <v>1849</v>
      </c>
      <c r="D794" s="1579" t="s">
        <v>1131</v>
      </c>
      <c r="E794" s="1580">
        <v>0</v>
      </c>
      <c r="F794" s="1580">
        <f>12+19</f>
        <v>31</v>
      </c>
      <c r="G794" s="1580">
        <f>12+19</f>
        <v>31</v>
      </c>
      <c r="H794" s="1581">
        <f t="shared" si="65"/>
        <v>100</v>
      </c>
    </row>
    <row r="795" spans="1:8" ht="15" hidden="1" x14ac:dyDescent="0.2">
      <c r="A795" s="1577">
        <v>3636</v>
      </c>
      <c r="B795" s="1578">
        <v>5021</v>
      </c>
      <c r="C795" s="1629">
        <v>38500881</v>
      </c>
      <c r="D795" s="1579" t="s">
        <v>356</v>
      </c>
      <c r="E795" s="1580"/>
      <c r="F795" s="1580"/>
      <c r="G795" s="1580"/>
      <c r="H795" s="1581" t="e">
        <f t="shared" si="65"/>
        <v>#DIV/0!</v>
      </c>
    </row>
    <row r="796" spans="1:8" ht="30" hidden="1" x14ac:dyDescent="0.2">
      <c r="A796" s="1577">
        <v>3636</v>
      </c>
      <c r="B796" s="1578">
        <v>5031</v>
      </c>
      <c r="C796" s="1629">
        <v>38100880</v>
      </c>
      <c r="D796" s="1579" t="s">
        <v>1165</v>
      </c>
      <c r="E796" s="1580"/>
      <c r="F796" s="1580"/>
      <c r="G796" s="1580"/>
      <c r="H796" s="1581" t="e">
        <f t="shared" si="65"/>
        <v>#DIV/0!</v>
      </c>
    </row>
    <row r="797" spans="1:8" ht="30" hidden="1" x14ac:dyDescent="0.2">
      <c r="A797" s="1577">
        <v>3636</v>
      </c>
      <c r="B797" s="1578">
        <v>5031</v>
      </c>
      <c r="C797" s="1629">
        <v>38500881</v>
      </c>
      <c r="D797" s="1579" t="s">
        <v>1165</v>
      </c>
      <c r="E797" s="1580"/>
      <c r="F797" s="1580"/>
      <c r="G797" s="1580"/>
      <c r="H797" s="1581" t="e">
        <f t="shared" si="65"/>
        <v>#DIV/0!</v>
      </c>
    </row>
    <row r="798" spans="1:8" ht="30" hidden="1" x14ac:dyDescent="0.2">
      <c r="A798" s="1577">
        <v>3636</v>
      </c>
      <c r="B798" s="1578">
        <v>5032</v>
      </c>
      <c r="C798" s="1629">
        <v>38100880</v>
      </c>
      <c r="D798" s="1579" t="s">
        <v>1058</v>
      </c>
      <c r="E798" s="1580"/>
      <c r="F798" s="1580"/>
      <c r="G798" s="1580"/>
      <c r="H798" s="1581" t="e">
        <f t="shared" si="65"/>
        <v>#DIV/0!</v>
      </c>
    </row>
    <row r="799" spans="1:8" ht="30" hidden="1" x14ac:dyDescent="0.2">
      <c r="A799" s="1577">
        <v>3636</v>
      </c>
      <c r="B799" s="1578">
        <v>5032</v>
      </c>
      <c r="C799" s="1629">
        <v>38500881</v>
      </c>
      <c r="D799" s="1579" t="s">
        <v>1058</v>
      </c>
      <c r="E799" s="1580"/>
      <c r="F799" s="1580"/>
      <c r="G799" s="1580"/>
      <c r="H799" s="1581" t="e">
        <f t="shared" si="65"/>
        <v>#DIV/0!</v>
      </c>
    </row>
    <row r="800" spans="1:8" ht="15" hidden="1" x14ac:dyDescent="0.2">
      <c r="A800" s="1577">
        <v>3636</v>
      </c>
      <c r="B800" s="1578">
        <v>5139</v>
      </c>
      <c r="C800" s="1629">
        <v>38100880</v>
      </c>
      <c r="D800" s="1579" t="s">
        <v>249</v>
      </c>
      <c r="E800" s="1580"/>
      <c r="F800" s="1580"/>
      <c r="G800" s="1580"/>
      <c r="H800" s="1581">
        <v>0</v>
      </c>
    </row>
    <row r="801" spans="1:8" ht="15" hidden="1" x14ac:dyDescent="0.2">
      <c r="A801" s="1577">
        <v>3636</v>
      </c>
      <c r="B801" s="1578">
        <v>5139</v>
      </c>
      <c r="C801" s="1629">
        <v>38500881</v>
      </c>
      <c r="D801" s="1579" t="s">
        <v>249</v>
      </c>
      <c r="E801" s="1580"/>
      <c r="F801" s="1580"/>
      <c r="G801" s="1580"/>
      <c r="H801" s="1581" t="e">
        <f t="shared" ref="H801:H813" si="66">G801/F801*100</f>
        <v>#DIV/0!</v>
      </c>
    </row>
    <row r="802" spans="1:8" ht="15" hidden="1" x14ac:dyDescent="0.2">
      <c r="A802" s="1577">
        <v>3636</v>
      </c>
      <c r="B802" s="1578">
        <v>5162</v>
      </c>
      <c r="C802" s="1629">
        <v>38100880</v>
      </c>
      <c r="D802" s="1579" t="s">
        <v>780</v>
      </c>
      <c r="E802" s="1580"/>
      <c r="F802" s="1580"/>
      <c r="G802" s="1580"/>
      <c r="H802" s="1581" t="e">
        <f t="shared" si="66"/>
        <v>#DIV/0!</v>
      </c>
    </row>
    <row r="803" spans="1:8" ht="15" hidden="1" x14ac:dyDescent="0.2">
      <c r="A803" s="1577">
        <v>3636</v>
      </c>
      <c r="B803" s="1578">
        <v>5162</v>
      </c>
      <c r="C803" s="1629">
        <v>38500881</v>
      </c>
      <c r="D803" s="1579" t="s">
        <v>780</v>
      </c>
      <c r="E803" s="1580"/>
      <c r="F803" s="1580"/>
      <c r="G803" s="1580"/>
      <c r="H803" s="1581" t="e">
        <f t="shared" si="66"/>
        <v>#DIV/0!</v>
      </c>
    </row>
    <row r="804" spans="1:8" ht="15" hidden="1" x14ac:dyDescent="0.2">
      <c r="A804" s="1577">
        <v>3636</v>
      </c>
      <c r="B804" s="1578">
        <v>5164</v>
      </c>
      <c r="C804" s="1629">
        <v>38100880</v>
      </c>
      <c r="D804" s="1579" t="s">
        <v>157</v>
      </c>
      <c r="E804" s="1580"/>
      <c r="F804" s="1580"/>
      <c r="G804" s="1580"/>
      <c r="H804" s="1581" t="e">
        <f t="shared" si="66"/>
        <v>#DIV/0!</v>
      </c>
    </row>
    <row r="805" spans="1:8" ht="15" hidden="1" x14ac:dyDescent="0.2">
      <c r="A805" s="1577">
        <v>3636</v>
      </c>
      <c r="B805" s="1578">
        <v>5164</v>
      </c>
      <c r="C805" s="1629">
        <v>38500881</v>
      </c>
      <c r="D805" s="1579" t="s">
        <v>157</v>
      </c>
      <c r="E805" s="1580"/>
      <c r="F805" s="1580"/>
      <c r="G805" s="1580"/>
      <c r="H805" s="1581" t="e">
        <f t="shared" si="66"/>
        <v>#DIV/0!</v>
      </c>
    </row>
    <row r="806" spans="1:8" ht="30.75" thickBot="1" x14ac:dyDescent="0.25">
      <c r="A806" s="1577">
        <v>3122</v>
      </c>
      <c r="B806" s="1578">
        <v>5336</v>
      </c>
      <c r="C806" s="2850" t="s">
        <v>1850</v>
      </c>
      <c r="D806" s="1579" t="s">
        <v>1131</v>
      </c>
      <c r="E806" s="1580">
        <v>0</v>
      </c>
      <c r="F806" s="1580">
        <f>71+106</f>
        <v>177</v>
      </c>
      <c r="G806" s="1580">
        <f>71+106</f>
        <v>177</v>
      </c>
      <c r="H806" s="1581">
        <f t="shared" si="66"/>
        <v>100</v>
      </c>
    </row>
    <row r="807" spans="1:8" ht="15.75" hidden="1" thickBot="1" x14ac:dyDescent="0.25">
      <c r="A807" s="1577">
        <v>3122</v>
      </c>
      <c r="B807" s="1578">
        <v>5166</v>
      </c>
      <c r="C807" s="1629">
        <v>41100880</v>
      </c>
      <c r="D807" s="1579" t="s">
        <v>553</v>
      </c>
      <c r="E807" s="1580"/>
      <c r="F807" s="1580"/>
      <c r="G807" s="1580"/>
      <c r="H807" s="1581" t="e">
        <f t="shared" si="66"/>
        <v>#DIV/0!</v>
      </c>
    </row>
    <row r="808" spans="1:8" ht="15.75" hidden="1" thickBot="1" x14ac:dyDescent="0.25">
      <c r="A808" s="1577">
        <v>3122</v>
      </c>
      <c r="B808" s="1578">
        <v>5166</v>
      </c>
      <c r="C808" s="1629">
        <v>41100882</v>
      </c>
      <c r="D808" s="1579" t="s">
        <v>553</v>
      </c>
      <c r="E808" s="1580"/>
      <c r="F808" s="1580"/>
      <c r="G808" s="1580"/>
      <c r="H808" s="1581" t="e">
        <f t="shared" si="66"/>
        <v>#DIV/0!</v>
      </c>
    </row>
    <row r="809" spans="1:8" ht="15.75" hidden="1" thickBot="1" x14ac:dyDescent="0.25">
      <c r="A809" s="1577">
        <v>3122</v>
      </c>
      <c r="B809" s="1578">
        <v>5166</v>
      </c>
      <c r="C809" s="1629">
        <v>41500881</v>
      </c>
      <c r="D809" s="1579" t="s">
        <v>553</v>
      </c>
      <c r="E809" s="1580"/>
      <c r="F809" s="1580"/>
      <c r="G809" s="1580"/>
      <c r="H809" s="1581" t="e">
        <f t="shared" si="66"/>
        <v>#DIV/0!</v>
      </c>
    </row>
    <row r="810" spans="1:8" ht="15.75" hidden="1" thickBot="1" x14ac:dyDescent="0.25">
      <c r="A810" s="1577">
        <v>3122</v>
      </c>
      <c r="B810" s="1578">
        <v>5167</v>
      </c>
      <c r="C810" s="1629">
        <v>38100880</v>
      </c>
      <c r="D810" s="1579" t="s">
        <v>810</v>
      </c>
      <c r="E810" s="1580"/>
      <c r="F810" s="1580"/>
      <c r="G810" s="1580"/>
      <c r="H810" s="1581" t="e">
        <f t="shared" si="66"/>
        <v>#DIV/0!</v>
      </c>
    </row>
    <row r="811" spans="1:8" ht="15.75" hidden="1" thickBot="1" x14ac:dyDescent="0.25">
      <c r="A811" s="1577">
        <v>3122</v>
      </c>
      <c r="B811" s="1578">
        <v>5167</v>
      </c>
      <c r="C811" s="1629">
        <v>38500881</v>
      </c>
      <c r="D811" s="1579" t="s">
        <v>810</v>
      </c>
      <c r="E811" s="1580"/>
      <c r="F811" s="1580"/>
      <c r="G811" s="1580"/>
      <c r="H811" s="1581" t="e">
        <f t="shared" si="66"/>
        <v>#DIV/0!</v>
      </c>
    </row>
    <row r="812" spans="1:8" ht="15.75" hidden="1" thickBot="1" x14ac:dyDescent="0.25">
      <c r="A812" s="1577">
        <v>3122</v>
      </c>
      <c r="B812" s="1578">
        <v>5169</v>
      </c>
      <c r="C812" s="1629">
        <v>38100880</v>
      </c>
      <c r="D812" s="1579" t="s">
        <v>769</v>
      </c>
      <c r="E812" s="1580"/>
      <c r="F812" s="1580"/>
      <c r="G812" s="1580"/>
      <c r="H812" s="1581" t="e">
        <f t="shared" si="66"/>
        <v>#DIV/0!</v>
      </c>
    </row>
    <row r="813" spans="1:8" ht="15.75" hidden="1" thickBot="1" x14ac:dyDescent="0.25">
      <c r="A813" s="1577">
        <v>3122</v>
      </c>
      <c r="B813" s="1578">
        <v>5169</v>
      </c>
      <c r="C813" s="1629">
        <v>38500881</v>
      </c>
      <c r="D813" s="1579" t="s">
        <v>769</v>
      </c>
      <c r="E813" s="1580"/>
      <c r="F813" s="1580"/>
      <c r="G813" s="1580"/>
      <c r="H813" s="1581" t="e">
        <f t="shared" si="66"/>
        <v>#DIV/0!</v>
      </c>
    </row>
    <row r="814" spans="1:8" ht="15.75" hidden="1" thickBot="1" x14ac:dyDescent="0.25">
      <c r="A814" s="1577">
        <v>3122</v>
      </c>
      <c r="B814" s="1578">
        <v>5173</v>
      </c>
      <c r="C814" s="2850">
        <v>0</v>
      </c>
      <c r="D814" s="1579" t="s">
        <v>1038</v>
      </c>
      <c r="E814" s="1580"/>
      <c r="F814" s="1580"/>
      <c r="G814" s="1580"/>
      <c r="H814" s="1581">
        <v>0</v>
      </c>
    </row>
    <row r="815" spans="1:8" ht="15.75" hidden="1" thickBot="1" x14ac:dyDescent="0.25">
      <c r="A815" s="1577">
        <v>3122</v>
      </c>
      <c r="B815" s="1578">
        <v>5173</v>
      </c>
      <c r="C815" s="1629">
        <v>38500881</v>
      </c>
      <c r="D815" s="1579" t="s">
        <v>1038</v>
      </c>
      <c r="E815" s="1580"/>
      <c r="F815" s="1580"/>
      <c r="G815" s="1580"/>
      <c r="H815" s="1581" t="e">
        <f t="shared" ref="H815:H822" si="67">G815/F815*100</f>
        <v>#DIV/0!</v>
      </c>
    </row>
    <row r="816" spans="1:8" ht="15.75" hidden="1" thickBot="1" x14ac:dyDescent="0.25">
      <c r="A816" s="1577">
        <v>3122</v>
      </c>
      <c r="B816" s="1578">
        <v>5175</v>
      </c>
      <c r="C816" s="1629">
        <v>38100880</v>
      </c>
      <c r="D816" s="1579" t="s">
        <v>605</v>
      </c>
      <c r="E816" s="1580"/>
      <c r="F816" s="1580"/>
      <c r="G816" s="1580"/>
      <c r="H816" s="1581" t="e">
        <f t="shared" si="67"/>
        <v>#DIV/0!</v>
      </c>
    </row>
    <row r="817" spans="1:8" ht="15.75" hidden="1" thickBot="1" x14ac:dyDescent="0.25">
      <c r="A817" s="1577">
        <v>3122</v>
      </c>
      <c r="B817" s="1578">
        <v>5175</v>
      </c>
      <c r="C817" s="1629">
        <v>38500881</v>
      </c>
      <c r="D817" s="1579" t="s">
        <v>605</v>
      </c>
      <c r="E817" s="1580"/>
      <c r="F817" s="1580"/>
      <c r="G817" s="1580"/>
      <c r="H817" s="1581" t="e">
        <f t="shared" si="67"/>
        <v>#DIV/0!</v>
      </c>
    </row>
    <row r="818" spans="1:8" ht="15.75" hidden="1" thickBot="1" x14ac:dyDescent="0.25">
      <c r="A818" s="1577">
        <v>3122</v>
      </c>
      <c r="B818" s="1578">
        <v>5176</v>
      </c>
      <c r="C818" s="1629">
        <v>38100880</v>
      </c>
      <c r="D818" s="1579" t="s">
        <v>1119</v>
      </c>
      <c r="E818" s="1580"/>
      <c r="F818" s="1580"/>
      <c r="G818" s="1580"/>
      <c r="H818" s="1581" t="e">
        <f t="shared" si="67"/>
        <v>#DIV/0!</v>
      </c>
    </row>
    <row r="819" spans="1:8" ht="15.75" hidden="1" thickBot="1" x14ac:dyDescent="0.25">
      <c r="A819" s="1577">
        <v>3122</v>
      </c>
      <c r="B819" s="1578">
        <v>5176</v>
      </c>
      <c r="C819" s="1629">
        <v>38500881</v>
      </c>
      <c r="D819" s="1579" t="s">
        <v>1119</v>
      </c>
      <c r="E819" s="1580"/>
      <c r="F819" s="1580"/>
      <c r="G819" s="1580"/>
      <c r="H819" s="1581" t="e">
        <f t="shared" si="67"/>
        <v>#DIV/0!</v>
      </c>
    </row>
    <row r="820" spans="1:8" ht="30.75" hidden="1" thickBot="1" x14ac:dyDescent="0.25">
      <c r="A820" s="1577">
        <v>3122</v>
      </c>
      <c r="B820" s="1578">
        <v>6356</v>
      </c>
      <c r="C820" s="1629" t="s">
        <v>2127</v>
      </c>
      <c r="D820" s="1579" t="s">
        <v>1552</v>
      </c>
      <c r="E820" s="1580"/>
      <c r="F820" s="1580"/>
      <c r="G820" s="1580"/>
      <c r="H820" s="1581" t="e">
        <f t="shared" si="67"/>
        <v>#DIV/0!</v>
      </c>
    </row>
    <row r="821" spans="1:8" ht="30.75" hidden="1" thickBot="1" x14ac:dyDescent="0.25">
      <c r="A821" s="1577">
        <v>3122</v>
      </c>
      <c r="B821" s="1578">
        <v>6356</v>
      </c>
      <c r="C821" s="1629" t="s">
        <v>2126</v>
      </c>
      <c r="D821" s="1579" t="s">
        <v>1552</v>
      </c>
      <c r="E821" s="1580"/>
      <c r="F821" s="1580"/>
      <c r="G821" s="1580"/>
      <c r="H821" s="1583" t="e">
        <f t="shared" si="67"/>
        <v>#DIV/0!</v>
      </c>
    </row>
    <row r="822" spans="1:8" ht="16.5" thickTop="1" thickBot="1" x14ac:dyDescent="0.3">
      <c r="A822" s="3219" t="s">
        <v>690</v>
      </c>
      <c r="B822" s="3220"/>
      <c r="C822" s="3220"/>
      <c r="D822" s="3220"/>
      <c r="E822" s="1387">
        <f>SUM(E792:E821)</f>
        <v>0</v>
      </c>
      <c r="F822" s="1387">
        <f>SUM(F792:F821)</f>
        <v>208</v>
      </c>
      <c r="G822" s="1387">
        <f>SUM(G792:G821)</f>
        <v>208</v>
      </c>
      <c r="H822" s="1391">
        <f t="shared" si="67"/>
        <v>100</v>
      </c>
    </row>
    <row r="823" spans="1:8" ht="13.5" thickTop="1" x14ac:dyDescent="0.2"/>
    <row r="824" spans="1:8" ht="13.5" customHeight="1" x14ac:dyDescent="0.25">
      <c r="A824" s="3233" t="s">
        <v>293</v>
      </c>
      <c r="B824" s="3151"/>
      <c r="C824" s="3151"/>
      <c r="D824" s="3151"/>
      <c r="E824" s="3151"/>
      <c r="F824" s="3151"/>
      <c r="G824" s="3151"/>
      <c r="H824" s="3151"/>
    </row>
    <row r="825" spans="1:8" ht="15.75" thickBot="1" x14ac:dyDescent="0.3">
      <c r="A825" s="1544" t="s">
        <v>512</v>
      </c>
      <c r="B825" s="1558"/>
      <c r="C825" s="1558"/>
      <c r="E825" s="1559"/>
      <c r="F825" s="1559"/>
      <c r="G825" s="1559"/>
      <c r="H825" s="1560" t="s">
        <v>148</v>
      </c>
    </row>
    <row r="826" spans="1:8" ht="25.5" thickTop="1" thickBot="1" x14ac:dyDescent="0.25">
      <c r="A826" s="1378" t="s">
        <v>149</v>
      </c>
      <c r="B826" s="1379" t="s">
        <v>688</v>
      </c>
      <c r="C826" s="1379" t="s">
        <v>345</v>
      </c>
      <c r="D826" s="1380" t="s">
        <v>151</v>
      </c>
      <c r="E826" s="1402" t="s">
        <v>569</v>
      </c>
      <c r="F826" s="1402" t="s">
        <v>570</v>
      </c>
      <c r="G826" s="1403" t="s">
        <v>797</v>
      </c>
      <c r="H826" s="1404" t="s">
        <v>798</v>
      </c>
    </row>
    <row r="827" spans="1:8" ht="14.25" thickTop="1" thickBot="1" x14ac:dyDescent="0.25">
      <c r="A827" s="1297">
        <v>1</v>
      </c>
      <c r="B827" s="1296">
        <v>2</v>
      </c>
      <c r="C827" s="1296">
        <v>3</v>
      </c>
      <c r="D827" s="1296">
        <v>4</v>
      </c>
      <c r="E827" s="1295">
        <v>5</v>
      </c>
      <c r="F827" s="1295">
        <v>6</v>
      </c>
      <c r="G827" s="1446">
        <v>7</v>
      </c>
      <c r="H827" s="1468" t="s">
        <v>54</v>
      </c>
    </row>
    <row r="828" spans="1:8" ht="15.75" hidden="1" thickTop="1" x14ac:dyDescent="0.2">
      <c r="A828" s="1572">
        <v>3636</v>
      </c>
      <c r="B828" s="1573">
        <v>5011</v>
      </c>
      <c r="C828" s="1582">
        <v>0</v>
      </c>
      <c r="D828" s="1574" t="s">
        <v>189</v>
      </c>
      <c r="E828" s="1575">
        <v>0</v>
      </c>
      <c r="F828" s="1575">
        <v>0</v>
      </c>
      <c r="G828" s="1575">
        <v>0</v>
      </c>
      <c r="H828" s="1576" t="e">
        <f t="shared" ref="H828:H835" si="68">G828/F828*100</f>
        <v>#DIV/0!</v>
      </c>
    </row>
    <row r="829" spans="1:8" ht="15.75" hidden="1" thickTop="1" x14ac:dyDescent="0.2">
      <c r="A829" s="1577">
        <v>3636</v>
      </c>
      <c r="B829" s="1578">
        <v>5011</v>
      </c>
      <c r="C829" s="1578">
        <v>38500881</v>
      </c>
      <c r="D829" s="1579" t="s">
        <v>189</v>
      </c>
      <c r="E829" s="1580">
        <v>0</v>
      </c>
      <c r="F829" s="1580">
        <v>0</v>
      </c>
      <c r="G829" s="1580">
        <v>0</v>
      </c>
      <c r="H829" s="1581" t="e">
        <f t="shared" si="68"/>
        <v>#DIV/0!</v>
      </c>
    </row>
    <row r="830" spans="1:8" ht="30.75" thickTop="1" x14ac:dyDescent="0.2">
      <c r="A830" s="1577">
        <v>3123</v>
      </c>
      <c r="B830" s="1578">
        <v>5336</v>
      </c>
      <c r="C830" s="2850" t="s">
        <v>1849</v>
      </c>
      <c r="D830" s="1579" t="s">
        <v>1131</v>
      </c>
      <c r="E830" s="1580">
        <v>0</v>
      </c>
      <c r="F830" s="1580">
        <f>10+75</f>
        <v>85</v>
      </c>
      <c r="G830" s="1580">
        <f>10+75</f>
        <v>85</v>
      </c>
      <c r="H830" s="1581">
        <f t="shared" si="68"/>
        <v>100</v>
      </c>
    </row>
    <row r="831" spans="1:8" ht="15" hidden="1" x14ac:dyDescent="0.2">
      <c r="A831" s="1577">
        <v>3636</v>
      </c>
      <c r="B831" s="1578">
        <v>5021</v>
      </c>
      <c r="C831" s="1629">
        <v>38500881</v>
      </c>
      <c r="D831" s="1579" t="s">
        <v>356</v>
      </c>
      <c r="E831" s="1580"/>
      <c r="F831" s="1580"/>
      <c r="G831" s="1580"/>
      <c r="H831" s="1581" t="e">
        <f t="shared" si="68"/>
        <v>#DIV/0!</v>
      </c>
    </row>
    <row r="832" spans="1:8" ht="30" hidden="1" x14ac:dyDescent="0.2">
      <c r="A832" s="1577">
        <v>3636</v>
      </c>
      <c r="B832" s="1578">
        <v>5031</v>
      </c>
      <c r="C832" s="1629">
        <v>38100880</v>
      </c>
      <c r="D832" s="1579" t="s">
        <v>1165</v>
      </c>
      <c r="E832" s="1580"/>
      <c r="F832" s="1580"/>
      <c r="G832" s="1580"/>
      <c r="H832" s="1581" t="e">
        <f t="shared" si="68"/>
        <v>#DIV/0!</v>
      </c>
    </row>
    <row r="833" spans="1:8" ht="30" hidden="1" x14ac:dyDescent="0.2">
      <c r="A833" s="1577">
        <v>3636</v>
      </c>
      <c r="B833" s="1578">
        <v>5031</v>
      </c>
      <c r="C833" s="1629">
        <v>38500881</v>
      </c>
      <c r="D833" s="1579" t="s">
        <v>1165</v>
      </c>
      <c r="E833" s="1580"/>
      <c r="F833" s="1580"/>
      <c r="G833" s="1580"/>
      <c r="H833" s="1581" t="e">
        <f t="shared" si="68"/>
        <v>#DIV/0!</v>
      </c>
    </row>
    <row r="834" spans="1:8" ht="30" hidden="1" x14ac:dyDescent="0.2">
      <c r="A834" s="1577">
        <v>3636</v>
      </c>
      <c r="B834" s="1578">
        <v>5032</v>
      </c>
      <c r="C834" s="1629">
        <v>38100880</v>
      </c>
      <c r="D834" s="1579" t="s">
        <v>1058</v>
      </c>
      <c r="E834" s="1580"/>
      <c r="F834" s="1580"/>
      <c r="G834" s="1580"/>
      <c r="H834" s="1581" t="e">
        <f t="shared" si="68"/>
        <v>#DIV/0!</v>
      </c>
    </row>
    <row r="835" spans="1:8" ht="30" hidden="1" x14ac:dyDescent="0.2">
      <c r="A835" s="1577">
        <v>3636</v>
      </c>
      <c r="B835" s="1578">
        <v>5032</v>
      </c>
      <c r="C835" s="1629">
        <v>38500881</v>
      </c>
      <c r="D835" s="1579" t="s">
        <v>1058</v>
      </c>
      <c r="E835" s="1580"/>
      <c r="F835" s="1580"/>
      <c r="G835" s="1580"/>
      <c r="H835" s="1581" t="e">
        <f t="shared" si="68"/>
        <v>#DIV/0!</v>
      </c>
    </row>
    <row r="836" spans="1:8" ht="15" hidden="1" x14ac:dyDescent="0.2">
      <c r="A836" s="1577">
        <v>3636</v>
      </c>
      <c r="B836" s="1578">
        <v>5139</v>
      </c>
      <c r="C836" s="1629">
        <v>38100880</v>
      </c>
      <c r="D836" s="1579" t="s">
        <v>249</v>
      </c>
      <c r="E836" s="1580"/>
      <c r="F836" s="1580"/>
      <c r="G836" s="1580"/>
      <c r="H836" s="1581">
        <v>0</v>
      </c>
    </row>
    <row r="837" spans="1:8" ht="15" hidden="1" x14ac:dyDescent="0.2">
      <c r="A837" s="1577">
        <v>3636</v>
      </c>
      <c r="B837" s="1578">
        <v>5139</v>
      </c>
      <c r="C837" s="1629">
        <v>38500881</v>
      </c>
      <c r="D837" s="1579" t="s">
        <v>249</v>
      </c>
      <c r="E837" s="1580"/>
      <c r="F837" s="1580"/>
      <c r="G837" s="1580"/>
      <c r="H837" s="1581" t="e">
        <f t="shared" ref="H837:H849" si="69">G837/F837*100</f>
        <v>#DIV/0!</v>
      </c>
    </row>
    <row r="838" spans="1:8" ht="15" hidden="1" x14ac:dyDescent="0.2">
      <c r="A838" s="1577">
        <v>3636</v>
      </c>
      <c r="B838" s="1578">
        <v>5162</v>
      </c>
      <c r="C838" s="1629">
        <v>38100880</v>
      </c>
      <c r="D838" s="1579" t="s">
        <v>780</v>
      </c>
      <c r="E838" s="1580"/>
      <c r="F838" s="1580"/>
      <c r="G838" s="1580"/>
      <c r="H838" s="1581" t="e">
        <f t="shared" si="69"/>
        <v>#DIV/0!</v>
      </c>
    </row>
    <row r="839" spans="1:8" ht="15" hidden="1" x14ac:dyDescent="0.2">
      <c r="A839" s="1577">
        <v>3636</v>
      </c>
      <c r="B839" s="1578">
        <v>5162</v>
      </c>
      <c r="C839" s="1629">
        <v>38500881</v>
      </c>
      <c r="D839" s="1579" t="s">
        <v>780</v>
      </c>
      <c r="E839" s="1580"/>
      <c r="F839" s="1580"/>
      <c r="G839" s="1580"/>
      <c r="H839" s="1581" t="e">
        <f t="shared" si="69"/>
        <v>#DIV/0!</v>
      </c>
    </row>
    <row r="840" spans="1:8" ht="15" hidden="1" x14ac:dyDescent="0.2">
      <c r="A840" s="1577">
        <v>3636</v>
      </c>
      <c r="B840" s="1578">
        <v>5164</v>
      </c>
      <c r="C840" s="1629">
        <v>38100880</v>
      </c>
      <c r="D840" s="1579" t="s">
        <v>157</v>
      </c>
      <c r="E840" s="1580"/>
      <c r="F840" s="1580"/>
      <c r="G840" s="1580"/>
      <c r="H840" s="1581" t="e">
        <f t="shared" si="69"/>
        <v>#DIV/0!</v>
      </c>
    </row>
    <row r="841" spans="1:8" ht="15" hidden="1" x14ac:dyDescent="0.2">
      <c r="A841" s="1577">
        <v>3636</v>
      </c>
      <c r="B841" s="1578">
        <v>5164</v>
      </c>
      <c r="C841" s="1629">
        <v>38500881</v>
      </c>
      <c r="D841" s="1579" t="s">
        <v>157</v>
      </c>
      <c r="E841" s="1580"/>
      <c r="F841" s="1580"/>
      <c r="G841" s="1580"/>
      <c r="H841" s="1581" t="e">
        <f t="shared" si="69"/>
        <v>#DIV/0!</v>
      </c>
    </row>
    <row r="842" spans="1:8" ht="30.75" thickBot="1" x14ac:dyDescent="0.25">
      <c r="A842" s="1577">
        <v>3123</v>
      </c>
      <c r="B842" s="1578">
        <v>5336</v>
      </c>
      <c r="C842" s="2850" t="s">
        <v>1850</v>
      </c>
      <c r="D842" s="1579" t="s">
        <v>1131</v>
      </c>
      <c r="E842" s="1580">
        <v>0</v>
      </c>
      <c r="F842" s="1580">
        <f>60+426</f>
        <v>486</v>
      </c>
      <c r="G842" s="1580">
        <f>60+426</f>
        <v>486</v>
      </c>
      <c r="H842" s="1581">
        <f t="shared" si="69"/>
        <v>100</v>
      </c>
    </row>
    <row r="843" spans="1:8" ht="15.75" hidden="1" thickBot="1" x14ac:dyDescent="0.25">
      <c r="A843" s="1577">
        <v>6223</v>
      </c>
      <c r="B843" s="1578">
        <v>5166</v>
      </c>
      <c r="C843" s="1629">
        <v>41100880</v>
      </c>
      <c r="D843" s="1579" t="s">
        <v>553</v>
      </c>
      <c r="E843" s="1580"/>
      <c r="F843" s="1580"/>
      <c r="G843" s="1580"/>
      <c r="H843" s="1581" t="e">
        <f t="shared" si="69"/>
        <v>#DIV/0!</v>
      </c>
    </row>
    <row r="844" spans="1:8" ht="15.75" hidden="1" thickBot="1" x14ac:dyDescent="0.25">
      <c r="A844" s="1577">
        <v>6223</v>
      </c>
      <c r="B844" s="1578">
        <v>5166</v>
      </c>
      <c r="C844" s="1629">
        <v>41100882</v>
      </c>
      <c r="D844" s="1579" t="s">
        <v>553</v>
      </c>
      <c r="E844" s="1580"/>
      <c r="F844" s="1580"/>
      <c r="G844" s="1580"/>
      <c r="H844" s="1581" t="e">
        <f t="shared" si="69"/>
        <v>#DIV/0!</v>
      </c>
    </row>
    <row r="845" spans="1:8" ht="15.75" hidden="1" thickBot="1" x14ac:dyDescent="0.25">
      <c r="A845" s="1577">
        <v>6223</v>
      </c>
      <c r="B845" s="1578">
        <v>5166</v>
      </c>
      <c r="C845" s="1629">
        <v>41500881</v>
      </c>
      <c r="D845" s="1579" t="s">
        <v>553</v>
      </c>
      <c r="E845" s="1580"/>
      <c r="F845" s="1580"/>
      <c r="G845" s="1580"/>
      <c r="H845" s="1581" t="e">
        <f t="shared" si="69"/>
        <v>#DIV/0!</v>
      </c>
    </row>
    <row r="846" spans="1:8" ht="15.75" hidden="1" thickBot="1" x14ac:dyDescent="0.25">
      <c r="A846" s="1577">
        <v>3636</v>
      </c>
      <c r="B846" s="1578">
        <v>5167</v>
      </c>
      <c r="C846" s="1629">
        <v>38100880</v>
      </c>
      <c r="D846" s="1579" t="s">
        <v>810</v>
      </c>
      <c r="E846" s="1580"/>
      <c r="F846" s="1580"/>
      <c r="G846" s="1580"/>
      <c r="H846" s="1581" t="e">
        <f t="shared" si="69"/>
        <v>#DIV/0!</v>
      </c>
    </row>
    <row r="847" spans="1:8" ht="15.75" hidden="1" thickBot="1" x14ac:dyDescent="0.25">
      <c r="A847" s="1577">
        <v>3636</v>
      </c>
      <c r="B847" s="1578">
        <v>5167</v>
      </c>
      <c r="C847" s="1629">
        <v>38500881</v>
      </c>
      <c r="D847" s="1579" t="s">
        <v>810</v>
      </c>
      <c r="E847" s="1580"/>
      <c r="F847" s="1580"/>
      <c r="G847" s="1580"/>
      <c r="H847" s="1581" t="e">
        <f t="shared" si="69"/>
        <v>#DIV/0!</v>
      </c>
    </row>
    <row r="848" spans="1:8" ht="15.75" hidden="1" thickBot="1" x14ac:dyDescent="0.25">
      <c r="A848" s="1577">
        <v>3636</v>
      </c>
      <c r="B848" s="1578">
        <v>5169</v>
      </c>
      <c r="C848" s="1629">
        <v>38100880</v>
      </c>
      <c r="D848" s="1579" t="s">
        <v>769</v>
      </c>
      <c r="E848" s="1580"/>
      <c r="F848" s="1580"/>
      <c r="G848" s="1580"/>
      <c r="H848" s="1581" t="e">
        <f t="shared" si="69"/>
        <v>#DIV/0!</v>
      </c>
    </row>
    <row r="849" spans="1:8" ht="15.75" hidden="1" thickBot="1" x14ac:dyDescent="0.25">
      <c r="A849" s="1577">
        <v>3636</v>
      </c>
      <c r="B849" s="1578">
        <v>5169</v>
      </c>
      <c r="C849" s="1629">
        <v>38500881</v>
      </c>
      <c r="D849" s="1579" t="s">
        <v>769</v>
      </c>
      <c r="E849" s="1580"/>
      <c r="F849" s="1580"/>
      <c r="G849" s="1580"/>
      <c r="H849" s="1581" t="e">
        <f t="shared" si="69"/>
        <v>#DIV/0!</v>
      </c>
    </row>
    <row r="850" spans="1:8" ht="15.75" hidden="1" thickBot="1" x14ac:dyDescent="0.25">
      <c r="A850" s="1577">
        <v>6223</v>
      </c>
      <c r="B850" s="1578">
        <v>5173</v>
      </c>
      <c r="C850" s="2850">
        <v>0</v>
      </c>
      <c r="D850" s="1579" t="s">
        <v>1038</v>
      </c>
      <c r="E850" s="1580"/>
      <c r="F850" s="1580"/>
      <c r="G850" s="1580"/>
      <c r="H850" s="1581">
        <v>0</v>
      </c>
    </row>
    <row r="851" spans="1:8" ht="15.75" hidden="1" thickBot="1" x14ac:dyDescent="0.25">
      <c r="A851" s="1577">
        <v>3636</v>
      </c>
      <c r="B851" s="1578">
        <v>5173</v>
      </c>
      <c r="C851" s="1629">
        <v>38500881</v>
      </c>
      <c r="D851" s="1579" t="s">
        <v>1038</v>
      </c>
      <c r="E851" s="1580"/>
      <c r="F851" s="1580"/>
      <c r="G851" s="1580"/>
      <c r="H851" s="1581" t="e">
        <f t="shared" ref="H851:H858" si="70">G851/F851*100</f>
        <v>#DIV/0!</v>
      </c>
    </row>
    <row r="852" spans="1:8" ht="15.75" hidden="1" thickBot="1" x14ac:dyDescent="0.25">
      <c r="A852" s="1577">
        <v>3636</v>
      </c>
      <c r="B852" s="1578">
        <v>5175</v>
      </c>
      <c r="C852" s="1629">
        <v>38100880</v>
      </c>
      <c r="D852" s="1579" t="s">
        <v>605</v>
      </c>
      <c r="E852" s="1580"/>
      <c r="F852" s="1580"/>
      <c r="G852" s="1580"/>
      <c r="H852" s="1581" t="e">
        <f t="shared" si="70"/>
        <v>#DIV/0!</v>
      </c>
    </row>
    <row r="853" spans="1:8" ht="15.75" hidden="1" thickBot="1" x14ac:dyDescent="0.25">
      <c r="A853" s="1577">
        <v>3636</v>
      </c>
      <c r="B853" s="1578">
        <v>5175</v>
      </c>
      <c r="C853" s="1629">
        <v>38500881</v>
      </c>
      <c r="D853" s="1579" t="s">
        <v>605</v>
      </c>
      <c r="E853" s="1580"/>
      <c r="F853" s="1580"/>
      <c r="G853" s="1580"/>
      <c r="H853" s="1581" t="e">
        <f t="shared" si="70"/>
        <v>#DIV/0!</v>
      </c>
    </row>
    <row r="854" spans="1:8" ht="15.75" hidden="1" thickBot="1" x14ac:dyDescent="0.25">
      <c r="A854" s="1577">
        <v>3636</v>
      </c>
      <c r="B854" s="1578">
        <v>5176</v>
      </c>
      <c r="C854" s="1629">
        <v>38100880</v>
      </c>
      <c r="D854" s="1579" t="s">
        <v>1119</v>
      </c>
      <c r="E854" s="1580"/>
      <c r="F854" s="1580"/>
      <c r="G854" s="1580"/>
      <c r="H854" s="1581" t="e">
        <f t="shared" si="70"/>
        <v>#DIV/0!</v>
      </c>
    </row>
    <row r="855" spans="1:8" ht="15.75" hidden="1" thickBot="1" x14ac:dyDescent="0.25">
      <c r="A855" s="1577">
        <v>3636</v>
      </c>
      <c r="B855" s="1578">
        <v>5176</v>
      </c>
      <c r="C855" s="1629">
        <v>38500881</v>
      </c>
      <c r="D855" s="1579" t="s">
        <v>1119</v>
      </c>
      <c r="E855" s="1580"/>
      <c r="F855" s="1580"/>
      <c r="G855" s="1580"/>
      <c r="H855" s="1581" t="e">
        <f t="shared" si="70"/>
        <v>#DIV/0!</v>
      </c>
    </row>
    <row r="856" spans="1:8" ht="30.75" hidden="1" thickBot="1" x14ac:dyDescent="0.25">
      <c r="A856" s="1577">
        <v>3123</v>
      </c>
      <c r="B856" s="1578">
        <v>6356</v>
      </c>
      <c r="C856" s="1629" t="s">
        <v>2127</v>
      </c>
      <c r="D856" s="1579" t="s">
        <v>1552</v>
      </c>
      <c r="E856" s="1580"/>
      <c r="F856" s="1580"/>
      <c r="G856" s="1580"/>
      <c r="H856" s="1581" t="e">
        <f t="shared" si="70"/>
        <v>#DIV/0!</v>
      </c>
    </row>
    <row r="857" spans="1:8" ht="30.75" hidden="1" thickBot="1" x14ac:dyDescent="0.25">
      <c r="A857" s="1577">
        <v>3123</v>
      </c>
      <c r="B857" s="1578">
        <v>6356</v>
      </c>
      <c r="C857" s="1629" t="s">
        <v>2126</v>
      </c>
      <c r="D857" s="1579" t="s">
        <v>1552</v>
      </c>
      <c r="E857" s="1580"/>
      <c r="F857" s="1580"/>
      <c r="G857" s="1580"/>
      <c r="H857" s="1583" t="e">
        <f t="shared" si="70"/>
        <v>#DIV/0!</v>
      </c>
    </row>
    <row r="858" spans="1:8" ht="16.5" thickTop="1" thickBot="1" x14ac:dyDescent="0.3">
      <c r="A858" s="3219" t="s">
        <v>690</v>
      </c>
      <c r="B858" s="3220"/>
      <c r="C858" s="3220"/>
      <c r="D858" s="3220"/>
      <c r="E858" s="1387">
        <f>SUM(E828:E857)</f>
        <v>0</v>
      </c>
      <c r="F858" s="1387">
        <f>SUM(F828:F857)</f>
        <v>571</v>
      </c>
      <c r="G858" s="1387">
        <f>SUM(G828:G857)</f>
        <v>571</v>
      </c>
      <c r="H858" s="1391">
        <f t="shared" si="70"/>
        <v>100</v>
      </c>
    </row>
    <row r="859" spans="1:8" ht="13.5" thickTop="1" x14ac:dyDescent="0.2"/>
    <row r="860" spans="1:8" ht="15" customHeight="1" x14ac:dyDescent="0.25">
      <c r="A860" s="3233" t="s">
        <v>1570</v>
      </c>
      <c r="B860" s="3151"/>
      <c r="C860" s="3151"/>
      <c r="D860" s="3151"/>
      <c r="E860" s="3151"/>
      <c r="F860" s="3151"/>
      <c r="G860" s="3151"/>
      <c r="H860" s="3151"/>
    </row>
    <row r="861" spans="1:8" ht="15.75" thickBot="1" x14ac:dyDescent="0.3">
      <c r="A861" s="1544" t="s">
        <v>514</v>
      </c>
      <c r="B861" s="1558"/>
      <c r="C861" s="1558"/>
      <c r="E861" s="1559"/>
      <c r="F861" s="1559"/>
      <c r="G861" s="1559"/>
      <c r="H861" s="1560" t="s">
        <v>148</v>
      </c>
    </row>
    <row r="862" spans="1:8" ht="25.5" thickTop="1" thickBot="1" x14ac:dyDescent="0.25">
      <c r="A862" s="1378" t="s">
        <v>149</v>
      </c>
      <c r="B862" s="1379" t="s">
        <v>688</v>
      </c>
      <c r="C862" s="1379" t="s">
        <v>345</v>
      </c>
      <c r="D862" s="1380" t="s">
        <v>151</v>
      </c>
      <c r="E862" s="1402" t="s">
        <v>569</v>
      </c>
      <c r="F862" s="1402" t="s">
        <v>570</v>
      </c>
      <c r="G862" s="1403" t="s">
        <v>797</v>
      </c>
      <c r="H862" s="1404" t="s">
        <v>798</v>
      </c>
    </row>
    <row r="863" spans="1:8" ht="14.25" thickTop="1" thickBot="1" x14ac:dyDescent="0.25">
      <c r="A863" s="1297">
        <v>1</v>
      </c>
      <c r="B863" s="1296">
        <v>2</v>
      </c>
      <c r="C863" s="1296">
        <v>3</v>
      </c>
      <c r="D863" s="1296">
        <v>4</v>
      </c>
      <c r="E863" s="1295">
        <v>5</v>
      </c>
      <c r="F863" s="1295">
        <v>6</v>
      </c>
      <c r="G863" s="1446">
        <v>7</v>
      </c>
      <c r="H863" s="1468" t="s">
        <v>54</v>
      </c>
    </row>
    <row r="864" spans="1:8" ht="15.75" hidden="1" thickTop="1" x14ac:dyDescent="0.2">
      <c r="A864" s="1572">
        <v>3636</v>
      </c>
      <c r="B864" s="1573">
        <v>5011</v>
      </c>
      <c r="C864" s="1582">
        <v>0</v>
      </c>
      <c r="D864" s="1574" t="s">
        <v>189</v>
      </c>
      <c r="E864" s="1575">
        <v>0</v>
      </c>
      <c r="F864" s="1575">
        <v>0</v>
      </c>
      <c r="G864" s="1575">
        <v>0</v>
      </c>
      <c r="H864" s="1576" t="e">
        <f t="shared" ref="H864:H871" si="71">G864/F864*100</f>
        <v>#DIV/0!</v>
      </c>
    </row>
    <row r="865" spans="1:8" ht="15.75" hidden="1" thickTop="1" x14ac:dyDescent="0.2">
      <c r="A865" s="1577">
        <v>3636</v>
      </c>
      <c r="B865" s="1578">
        <v>5011</v>
      </c>
      <c r="C865" s="1578">
        <v>38500881</v>
      </c>
      <c r="D865" s="1579" t="s">
        <v>189</v>
      </c>
      <c r="E865" s="1580">
        <v>0</v>
      </c>
      <c r="F865" s="1580">
        <v>0</v>
      </c>
      <c r="G865" s="1580">
        <v>0</v>
      </c>
      <c r="H865" s="1581" t="e">
        <f t="shared" si="71"/>
        <v>#DIV/0!</v>
      </c>
    </row>
    <row r="866" spans="1:8" ht="30.75" thickTop="1" x14ac:dyDescent="0.2">
      <c r="A866" s="1577">
        <v>3123</v>
      </c>
      <c r="B866" s="1578">
        <v>5336</v>
      </c>
      <c r="C866" s="2850" t="s">
        <v>1849</v>
      </c>
      <c r="D866" s="1579" t="s">
        <v>1131</v>
      </c>
      <c r="E866" s="1580">
        <v>0</v>
      </c>
      <c r="F866" s="1580">
        <f>12+109</f>
        <v>121</v>
      </c>
      <c r="G866" s="1580">
        <f>10+109</f>
        <v>119</v>
      </c>
      <c r="H866" s="1581">
        <f t="shared" si="71"/>
        <v>98.347107438016536</v>
      </c>
    </row>
    <row r="867" spans="1:8" ht="15" hidden="1" x14ac:dyDescent="0.2">
      <c r="A867" s="1577">
        <v>3636</v>
      </c>
      <c r="B867" s="1578">
        <v>5021</v>
      </c>
      <c r="C867" s="1629">
        <v>38500881</v>
      </c>
      <c r="D867" s="1579" t="s">
        <v>356</v>
      </c>
      <c r="E867" s="1580"/>
      <c r="F867" s="1580"/>
      <c r="G867" s="1580"/>
      <c r="H867" s="1581" t="e">
        <f t="shared" si="71"/>
        <v>#DIV/0!</v>
      </c>
    </row>
    <row r="868" spans="1:8" ht="30" hidden="1" x14ac:dyDescent="0.2">
      <c r="A868" s="1577">
        <v>3636</v>
      </c>
      <c r="B868" s="1578">
        <v>5031</v>
      </c>
      <c r="C868" s="1629">
        <v>38100880</v>
      </c>
      <c r="D868" s="1579" t="s">
        <v>1165</v>
      </c>
      <c r="E868" s="1580"/>
      <c r="F868" s="1580"/>
      <c r="G868" s="1580"/>
      <c r="H868" s="1581" t="e">
        <f t="shared" si="71"/>
        <v>#DIV/0!</v>
      </c>
    </row>
    <row r="869" spans="1:8" ht="30" hidden="1" x14ac:dyDescent="0.2">
      <c r="A869" s="1577">
        <v>3636</v>
      </c>
      <c r="B869" s="1578">
        <v>5031</v>
      </c>
      <c r="C869" s="1629">
        <v>38500881</v>
      </c>
      <c r="D869" s="1579" t="s">
        <v>1165</v>
      </c>
      <c r="E869" s="1580"/>
      <c r="F869" s="1580"/>
      <c r="G869" s="1580"/>
      <c r="H869" s="1581" t="e">
        <f t="shared" si="71"/>
        <v>#DIV/0!</v>
      </c>
    </row>
    <row r="870" spans="1:8" ht="30" hidden="1" x14ac:dyDescent="0.2">
      <c r="A870" s="1577">
        <v>3636</v>
      </c>
      <c r="B870" s="1578">
        <v>5032</v>
      </c>
      <c r="C870" s="1629">
        <v>38100880</v>
      </c>
      <c r="D870" s="1579" t="s">
        <v>1058</v>
      </c>
      <c r="E870" s="1580"/>
      <c r="F870" s="1580"/>
      <c r="G870" s="1580"/>
      <c r="H870" s="1581" t="e">
        <f t="shared" si="71"/>
        <v>#DIV/0!</v>
      </c>
    </row>
    <row r="871" spans="1:8" ht="30" hidden="1" x14ac:dyDescent="0.2">
      <c r="A871" s="1577">
        <v>3636</v>
      </c>
      <c r="B871" s="1578">
        <v>5032</v>
      </c>
      <c r="C871" s="1629">
        <v>38500881</v>
      </c>
      <c r="D871" s="1579" t="s">
        <v>1058</v>
      </c>
      <c r="E871" s="1580"/>
      <c r="F871" s="1580"/>
      <c r="G871" s="1580"/>
      <c r="H871" s="1581" t="e">
        <f t="shared" si="71"/>
        <v>#DIV/0!</v>
      </c>
    </row>
    <row r="872" spans="1:8" ht="15" hidden="1" x14ac:dyDescent="0.2">
      <c r="A872" s="1577">
        <v>3636</v>
      </c>
      <c r="B872" s="1578">
        <v>5139</v>
      </c>
      <c r="C872" s="1629">
        <v>38100880</v>
      </c>
      <c r="D872" s="1579" t="s">
        <v>249</v>
      </c>
      <c r="E872" s="1580"/>
      <c r="F872" s="1580"/>
      <c r="G872" s="1580"/>
      <c r="H872" s="1581">
        <v>0</v>
      </c>
    </row>
    <row r="873" spans="1:8" ht="15" hidden="1" x14ac:dyDescent="0.2">
      <c r="A873" s="1577">
        <v>3636</v>
      </c>
      <c r="B873" s="1578">
        <v>5139</v>
      </c>
      <c r="C873" s="1629">
        <v>38500881</v>
      </c>
      <c r="D873" s="1579" t="s">
        <v>249</v>
      </c>
      <c r="E873" s="1580"/>
      <c r="F873" s="1580"/>
      <c r="G873" s="1580"/>
      <c r="H873" s="1581" t="e">
        <f t="shared" ref="H873:H885" si="72">G873/F873*100</f>
        <v>#DIV/0!</v>
      </c>
    </row>
    <row r="874" spans="1:8" ht="15" hidden="1" x14ac:dyDescent="0.2">
      <c r="A874" s="1577">
        <v>3636</v>
      </c>
      <c r="B874" s="1578">
        <v>5162</v>
      </c>
      <c r="C874" s="1629">
        <v>38100880</v>
      </c>
      <c r="D874" s="1579" t="s">
        <v>780</v>
      </c>
      <c r="E874" s="1580"/>
      <c r="F874" s="1580"/>
      <c r="G874" s="1580"/>
      <c r="H874" s="1581" t="e">
        <f t="shared" si="72"/>
        <v>#DIV/0!</v>
      </c>
    </row>
    <row r="875" spans="1:8" ht="15" hidden="1" x14ac:dyDescent="0.2">
      <c r="A875" s="1577">
        <v>3636</v>
      </c>
      <c r="B875" s="1578">
        <v>5162</v>
      </c>
      <c r="C875" s="1629">
        <v>38500881</v>
      </c>
      <c r="D875" s="1579" t="s">
        <v>780</v>
      </c>
      <c r="E875" s="1580"/>
      <c r="F875" s="1580"/>
      <c r="G875" s="1580"/>
      <c r="H875" s="1581" t="e">
        <f t="shared" si="72"/>
        <v>#DIV/0!</v>
      </c>
    </row>
    <row r="876" spans="1:8" ht="15" hidden="1" x14ac:dyDescent="0.2">
      <c r="A876" s="1577">
        <v>3636</v>
      </c>
      <c r="B876" s="1578">
        <v>5164</v>
      </c>
      <c r="C876" s="1629">
        <v>38100880</v>
      </c>
      <c r="D876" s="1579" t="s">
        <v>157</v>
      </c>
      <c r="E876" s="1580"/>
      <c r="F876" s="1580"/>
      <c r="G876" s="1580"/>
      <c r="H876" s="1581" t="e">
        <f t="shared" si="72"/>
        <v>#DIV/0!</v>
      </c>
    </row>
    <row r="877" spans="1:8" ht="15" hidden="1" x14ac:dyDescent="0.2">
      <c r="A877" s="1577">
        <v>3636</v>
      </c>
      <c r="B877" s="1578">
        <v>5164</v>
      </c>
      <c r="C877" s="1629">
        <v>38500881</v>
      </c>
      <c r="D877" s="1579" t="s">
        <v>157</v>
      </c>
      <c r="E877" s="1580"/>
      <c r="F877" s="1580"/>
      <c r="G877" s="1580"/>
      <c r="H877" s="1581" t="e">
        <f t="shared" si="72"/>
        <v>#DIV/0!</v>
      </c>
    </row>
    <row r="878" spans="1:8" ht="30" x14ac:dyDescent="0.2">
      <c r="A878" s="1577">
        <v>3123</v>
      </c>
      <c r="B878" s="1578">
        <v>5336</v>
      </c>
      <c r="C878" s="2850" t="s">
        <v>1850</v>
      </c>
      <c r="D878" s="1579" t="s">
        <v>1131</v>
      </c>
      <c r="E878" s="1580">
        <v>0</v>
      </c>
      <c r="F878" s="1580">
        <f>65+616</f>
        <v>681</v>
      </c>
      <c r="G878" s="1580">
        <f>56+616</f>
        <v>672</v>
      </c>
      <c r="H878" s="1581">
        <f t="shared" si="72"/>
        <v>98.678414096916299</v>
      </c>
    </row>
    <row r="879" spans="1:8" ht="15" hidden="1" x14ac:dyDescent="0.2">
      <c r="A879" s="1577">
        <v>3123</v>
      </c>
      <c r="B879" s="1578">
        <v>5166</v>
      </c>
      <c r="C879" s="1629">
        <v>41100880</v>
      </c>
      <c r="D879" s="1579" t="s">
        <v>553</v>
      </c>
      <c r="E879" s="1580"/>
      <c r="F879" s="1580"/>
      <c r="G879" s="1580"/>
      <c r="H879" s="1581" t="e">
        <f t="shared" si="72"/>
        <v>#DIV/0!</v>
      </c>
    </row>
    <row r="880" spans="1:8" ht="15" hidden="1" x14ac:dyDescent="0.2">
      <c r="A880" s="1577">
        <v>3123</v>
      </c>
      <c r="B880" s="1578">
        <v>5166</v>
      </c>
      <c r="C880" s="1629">
        <v>41100882</v>
      </c>
      <c r="D880" s="1579" t="s">
        <v>553</v>
      </c>
      <c r="E880" s="1580"/>
      <c r="F880" s="1580"/>
      <c r="G880" s="1580"/>
      <c r="H880" s="1581" t="e">
        <f t="shared" si="72"/>
        <v>#DIV/0!</v>
      </c>
    </row>
    <row r="881" spans="1:8" ht="15" hidden="1" x14ac:dyDescent="0.2">
      <c r="A881" s="1577">
        <v>3123</v>
      </c>
      <c r="B881" s="1578">
        <v>5166</v>
      </c>
      <c r="C881" s="1629">
        <v>41500881</v>
      </c>
      <c r="D881" s="1579" t="s">
        <v>553</v>
      </c>
      <c r="E881" s="1580"/>
      <c r="F881" s="1580"/>
      <c r="G881" s="1580"/>
      <c r="H881" s="1581" t="e">
        <f t="shared" si="72"/>
        <v>#DIV/0!</v>
      </c>
    </row>
    <row r="882" spans="1:8" ht="15" hidden="1" x14ac:dyDescent="0.2">
      <c r="A882" s="1577">
        <v>3123</v>
      </c>
      <c r="B882" s="1578">
        <v>5167</v>
      </c>
      <c r="C882" s="1629">
        <v>38100880</v>
      </c>
      <c r="D882" s="1579" t="s">
        <v>810</v>
      </c>
      <c r="E882" s="1580"/>
      <c r="F882" s="1580"/>
      <c r="G882" s="1580"/>
      <c r="H882" s="1581" t="e">
        <f t="shared" si="72"/>
        <v>#DIV/0!</v>
      </c>
    </row>
    <row r="883" spans="1:8" ht="15" hidden="1" x14ac:dyDescent="0.2">
      <c r="A883" s="1577">
        <v>3123</v>
      </c>
      <c r="B883" s="1578">
        <v>5167</v>
      </c>
      <c r="C883" s="1629">
        <v>38500881</v>
      </c>
      <c r="D883" s="1579" t="s">
        <v>810</v>
      </c>
      <c r="E883" s="1580"/>
      <c r="F883" s="1580"/>
      <c r="G883" s="1580"/>
      <c r="H883" s="1581" t="e">
        <f t="shared" si="72"/>
        <v>#DIV/0!</v>
      </c>
    </row>
    <row r="884" spans="1:8" ht="15" hidden="1" x14ac:dyDescent="0.2">
      <c r="A884" s="1577">
        <v>3123</v>
      </c>
      <c r="B884" s="1578">
        <v>5169</v>
      </c>
      <c r="C884" s="1629">
        <v>38100880</v>
      </c>
      <c r="D884" s="1579" t="s">
        <v>769</v>
      </c>
      <c r="E884" s="1580"/>
      <c r="F884" s="1580"/>
      <c r="G884" s="1580"/>
      <c r="H884" s="1581" t="e">
        <f t="shared" si="72"/>
        <v>#DIV/0!</v>
      </c>
    </row>
    <row r="885" spans="1:8" ht="15" hidden="1" x14ac:dyDescent="0.2">
      <c r="A885" s="1577">
        <v>3123</v>
      </c>
      <c r="B885" s="1578">
        <v>5169</v>
      </c>
      <c r="C885" s="1629">
        <v>38500881</v>
      </c>
      <c r="D885" s="1579" t="s">
        <v>769</v>
      </c>
      <c r="E885" s="1580"/>
      <c r="F885" s="1580"/>
      <c r="G885" s="1580"/>
      <c r="H885" s="1581" t="e">
        <f t="shared" si="72"/>
        <v>#DIV/0!</v>
      </c>
    </row>
    <row r="886" spans="1:8" ht="15" hidden="1" x14ac:dyDescent="0.2">
      <c r="A886" s="1577">
        <v>3123</v>
      </c>
      <c r="B886" s="1578">
        <v>5173</v>
      </c>
      <c r="C886" s="2850">
        <v>0</v>
      </c>
      <c r="D886" s="1579" t="s">
        <v>1038</v>
      </c>
      <c r="E886" s="1580"/>
      <c r="F886" s="1580"/>
      <c r="G886" s="1580"/>
      <c r="H886" s="1581">
        <v>0</v>
      </c>
    </row>
    <row r="887" spans="1:8" ht="15" hidden="1" x14ac:dyDescent="0.2">
      <c r="A887" s="1577">
        <v>3123</v>
      </c>
      <c r="B887" s="1578">
        <v>5173</v>
      </c>
      <c r="C887" s="1629">
        <v>38500881</v>
      </c>
      <c r="D887" s="1579" t="s">
        <v>1038</v>
      </c>
      <c r="E887" s="1580"/>
      <c r="F887" s="1580"/>
      <c r="G887" s="1580"/>
      <c r="H887" s="1581" t="e">
        <f t="shared" ref="H887:H894" si="73">G887/F887*100</f>
        <v>#DIV/0!</v>
      </c>
    </row>
    <row r="888" spans="1:8" ht="15" hidden="1" x14ac:dyDescent="0.2">
      <c r="A888" s="1577">
        <v>3123</v>
      </c>
      <c r="B888" s="1578">
        <v>5175</v>
      </c>
      <c r="C888" s="1629">
        <v>38100880</v>
      </c>
      <c r="D888" s="1579" t="s">
        <v>605</v>
      </c>
      <c r="E888" s="1580"/>
      <c r="F888" s="1580"/>
      <c r="G888" s="1580"/>
      <c r="H888" s="1581" t="e">
        <f t="shared" si="73"/>
        <v>#DIV/0!</v>
      </c>
    </row>
    <row r="889" spans="1:8" ht="15" hidden="1" x14ac:dyDescent="0.2">
      <c r="A889" s="1577">
        <v>3123</v>
      </c>
      <c r="B889" s="1578">
        <v>5175</v>
      </c>
      <c r="C889" s="1629">
        <v>38500881</v>
      </c>
      <c r="D889" s="1579" t="s">
        <v>605</v>
      </c>
      <c r="E889" s="1580"/>
      <c r="F889" s="1580"/>
      <c r="G889" s="1580"/>
      <c r="H889" s="1581" t="e">
        <f t="shared" si="73"/>
        <v>#DIV/0!</v>
      </c>
    </row>
    <row r="890" spans="1:8" ht="15" hidden="1" x14ac:dyDescent="0.2">
      <c r="A890" s="1577">
        <v>3123</v>
      </c>
      <c r="B890" s="1578">
        <v>5176</v>
      </c>
      <c r="C890" s="1629">
        <v>38100880</v>
      </c>
      <c r="D890" s="1579" t="s">
        <v>1119</v>
      </c>
      <c r="E890" s="1580"/>
      <c r="F890" s="1580"/>
      <c r="G890" s="1580"/>
      <c r="H890" s="1581" t="e">
        <f t="shared" si="73"/>
        <v>#DIV/0!</v>
      </c>
    </row>
    <row r="891" spans="1:8" ht="15" hidden="1" x14ac:dyDescent="0.2">
      <c r="A891" s="1577">
        <v>3123</v>
      </c>
      <c r="B891" s="1578">
        <v>5176</v>
      </c>
      <c r="C891" s="1629">
        <v>38500881</v>
      </c>
      <c r="D891" s="1579" t="s">
        <v>1119</v>
      </c>
      <c r="E891" s="1580"/>
      <c r="F891" s="1580"/>
      <c r="G891" s="1580"/>
      <c r="H891" s="1581" t="e">
        <f t="shared" si="73"/>
        <v>#DIV/0!</v>
      </c>
    </row>
    <row r="892" spans="1:8" ht="30" x14ac:dyDescent="0.2">
      <c r="A892" s="1577">
        <v>3123</v>
      </c>
      <c r="B892" s="1578">
        <v>6356</v>
      </c>
      <c r="C892" s="1629" t="s">
        <v>2127</v>
      </c>
      <c r="D892" s="1579" t="s">
        <v>1552</v>
      </c>
      <c r="E892" s="1580">
        <v>0</v>
      </c>
      <c r="F892" s="1580">
        <v>6</v>
      </c>
      <c r="G892" s="1580">
        <v>6</v>
      </c>
      <c r="H892" s="1581">
        <f t="shared" si="73"/>
        <v>100</v>
      </c>
    </row>
    <row r="893" spans="1:8" ht="30.75" thickBot="1" x14ac:dyDescent="0.25">
      <c r="A893" s="1577">
        <v>3123</v>
      </c>
      <c r="B893" s="1578">
        <v>6356</v>
      </c>
      <c r="C893" s="1629" t="s">
        <v>2126</v>
      </c>
      <c r="D893" s="1579" t="s">
        <v>1552</v>
      </c>
      <c r="E893" s="1580">
        <v>0</v>
      </c>
      <c r="F893" s="1580">
        <v>33</v>
      </c>
      <c r="G893" s="1580">
        <v>33</v>
      </c>
      <c r="H893" s="1583">
        <f t="shared" si="73"/>
        <v>100</v>
      </c>
    </row>
    <row r="894" spans="1:8" ht="16.5" thickTop="1" thickBot="1" x14ac:dyDescent="0.3">
      <c r="A894" s="3219" t="s">
        <v>690</v>
      </c>
      <c r="B894" s="3220"/>
      <c r="C894" s="3220"/>
      <c r="D894" s="3220"/>
      <c r="E894" s="1387">
        <f>SUM(E864:E893)</f>
        <v>0</v>
      </c>
      <c r="F894" s="1387">
        <f>SUM(F864:F893)</f>
        <v>841</v>
      </c>
      <c r="G894" s="1387">
        <f>SUM(G864:G893)</f>
        <v>830</v>
      </c>
      <c r="H894" s="1391">
        <f t="shared" si="73"/>
        <v>98.692033293697975</v>
      </c>
    </row>
    <row r="895" spans="1:8" ht="13.5" thickTop="1" x14ac:dyDescent="0.2"/>
    <row r="896" spans="1:8" ht="12" hidden="1" customHeight="1" x14ac:dyDescent="0.25">
      <c r="A896" s="3233" t="s">
        <v>1571</v>
      </c>
      <c r="B896" s="3151"/>
      <c r="C896" s="3151"/>
      <c r="D896" s="3151"/>
      <c r="E896" s="3151"/>
      <c r="F896" s="3151"/>
      <c r="G896" s="3151"/>
      <c r="H896" s="3151"/>
    </row>
    <row r="897" spans="1:8" ht="15" hidden="1" x14ac:dyDescent="0.25">
      <c r="A897" s="1544" t="s">
        <v>1572</v>
      </c>
      <c r="B897" s="1558"/>
      <c r="C897" s="1558"/>
      <c r="E897" s="1559"/>
      <c r="F897" s="1559"/>
      <c r="G897" s="1559"/>
      <c r="H897" s="1560" t="s">
        <v>148</v>
      </c>
    </row>
    <row r="898" spans="1:8" ht="25.5" hidden="1" thickTop="1" thickBot="1" x14ac:dyDescent="0.25">
      <c r="A898" s="1378" t="s">
        <v>149</v>
      </c>
      <c r="B898" s="1379" t="s">
        <v>688</v>
      </c>
      <c r="C898" s="1379" t="s">
        <v>345</v>
      </c>
      <c r="D898" s="1380" t="s">
        <v>151</v>
      </c>
      <c r="E898" s="1402" t="s">
        <v>569</v>
      </c>
      <c r="F898" s="1402" t="s">
        <v>570</v>
      </c>
      <c r="G898" s="1403" t="s">
        <v>797</v>
      </c>
      <c r="H898" s="1404" t="s">
        <v>798</v>
      </c>
    </row>
    <row r="899" spans="1:8" ht="14.25" hidden="1" thickTop="1" thickBot="1" x14ac:dyDescent="0.25">
      <c r="A899" s="1297">
        <v>1</v>
      </c>
      <c r="B899" s="1296">
        <v>2</v>
      </c>
      <c r="C899" s="1296">
        <v>3</v>
      </c>
      <c r="D899" s="1296">
        <v>4</v>
      </c>
      <c r="E899" s="1295">
        <v>5</v>
      </c>
      <c r="F899" s="1295">
        <v>6</v>
      </c>
      <c r="G899" s="1446">
        <v>7</v>
      </c>
      <c r="H899" s="1468" t="s">
        <v>54</v>
      </c>
    </row>
    <row r="900" spans="1:8" ht="15.75" hidden="1" thickTop="1" x14ac:dyDescent="0.2">
      <c r="A900" s="1572">
        <v>3636</v>
      </c>
      <c r="B900" s="1573">
        <v>5011</v>
      </c>
      <c r="C900" s="1582">
        <v>0</v>
      </c>
      <c r="D900" s="1574" t="s">
        <v>189</v>
      </c>
      <c r="E900" s="1575">
        <v>0</v>
      </c>
      <c r="F900" s="1575">
        <v>0</v>
      </c>
      <c r="G900" s="1575">
        <v>0</v>
      </c>
      <c r="H900" s="1576" t="e">
        <f>G900/F900*100</f>
        <v>#DIV/0!</v>
      </c>
    </row>
    <row r="901" spans="1:8" ht="15" hidden="1" x14ac:dyDescent="0.2">
      <c r="A901" s="1577">
        <v>3636</v>
      </c>
      <c r="B901" s="1578">
        <v>5011</v>
      </c>
      <c r="C901" s="1578">
        <v>38500881</v>
      </c>
      <c r="D901" s="1579" t="s">
        <v>189</v>
      </c>
      <c r="E901" s="1580">
        <v>0</v>
      </c>
      <c r="F901" s="1580">
        <v>0</v>
      </c>
      <c r="G901" s="1580">
        <v>0</v>
      </c>
      <c r="H901" s="1581" t="e">
        <f>G901/F901*100</f>
        <v>#DIV/0!</v>
      </c>
    </row>
    <row r="902" spans="1:8" ht="30" hidden="1" x14ac:dyDescent="0.2">
      <c r="A902" s="1577">
        <v>3123</v>
      </c>
      <c r="B902" s="1578">
        <v>5336</v>
      </c>
      <c r="C902" s="1582">
        <v>32133019</v>
      </c>
      <c r="D902" s="1579" t="s">
        <v>1131</v>
      </c>
      <c r="E902" s="1580">
        <v>0</v>
      </c>
      <c r="F902" s="1580">
        <v>0</v>
      </c>
      <c r="G902" s="1580">
        <v>0</v>
      </c>
      <c r="H902" s="1581">
        <v>0</v>
      </c>
    </row>
    <row r="903" spans="1:8" ht="15" hidden="1" x14ac:dyDescent="0.2">
      <c r="A903" s="1577">
        <v>3636</v>
      </c>
      <c r="B903" s="1578">
        <v>5021</v>
      </c>
      <c r="C903" s="1578">
        <v>38500881</v>
      </c>
      <c r="D903" s="1579" t="s">
        <v>356</v>
      </c>
      <c r="E903" s="1580"/>
      <c r="F903" s="1580"/>
      <c r="G903" s="1580"/>
      <c r="H903" s="1581" t="e">
        <f>G903/F903*100</f>
        <v>#DIV/0!</v>
      </c>
    </row>
    <row r="904" spans="1:8" ht="30" hidden="1" x14ac:dyDescent="0.2">
      <c r="A904" s="1577">
        <v>3636</v>
      </c>
      <c r="B904" s="1578">
        <v>5031</v>
      </c>
      <c r="C904" s="1578">
        <v>38100880</v>
      </c>
      <c r="D904" s="1579" t="s">
        <v>1165</v>
      </c>
      <c r="E904" s="1580"/>
      <c r="F904" s="1580"/>
      <c r="G904" s="1580"/>
      <c r="H904" s="1581" t="e">
        <f>G904/F904*100</f>
        <v>#DIV/0!</v>
      </c>
    </row>
    <row r="905" spans="1:8" ht="30" hidden="1" x14ac:dyDescent="0.2">
      <c r="A905" s="1577">
        <v>3636</v>
      </c>
      <c r="B905" s="1578">
        <v>5031</v>
      </c>
      <c r="C905" s="1578">
        <v>38500881</v>
      </c>
      <c r="D905" s="1579" t="s">
        <v>1165</v>
      </c>
      <c r="E905" s="1580"/>
      <c r="F905" s="1580"/>
      <c r="G905" s="1580"/>
      <c r="H905" s="1581" t="e">
        <f>G905/F905*100</f>
        <v>#DIV/0!</v>
      </c>
    </row>
    <row r="906" spans="1:8" ht="30" hidden="1" x14ac:dyDescent="0.2">
      <c r="A906" s="1577">
        <v>3636</v>
      </c>
      <c r="B906" s="1578">
        <v>5032</v>
      </c>
      <c r="C906" s="1578">
        <v>38100880</v>
      </c>
      <c r="D906" s="1579" t="s">
        <v>1058</v>
      </c>
      <c r="E906" s="1580"/>
      <c r="F906" s="1580"/>
      <c r="G906" s="1580"/>
      <c r="H906" s="1581" t="e">
        <f>G906/F906*100</f>
        <v>#DIV/0!</v>
      </c>
    </row>
    <row r="907" spans="1:8" ht="30" hidden="1" x14ac:dyDescent="0.2">
      <c r="A907" s="1577">
        <v>3636</v>
      </c>
      <c r="B907" s="1578">
        <v>5032</v>
      </c>
      <c r="C907" s="1578">
        <v>38500881</v>
      </c>
      <c r="D907" s="1579" t="s">
        <v>1058</v>
      </c>
      <c r="E907" s="1580"/>
      <c r="F907" s="1580"/>
      <c r="G907" s="1580"/>
      <c r="H907" s="1581" t="e">
        <f>G907/F907*100</f>
        <v>#DIV/0!</v>
      </c>
    </row>
    <row r="908" spans="1:8" ht="15" hidden="1" x14ac:dyDescent="0.2">
      <c r="A908" s="1577">
        <v>3636</v>
      </c>
      <c r="B908" s="1578">
        <v>5139</v>
      </c>
      <c r="C908" s="1578">
        <v>38100880</v>
      </c>
      <c r="D908" s="1579" t="s">
        <v>249</v>
      </c>
      <c r="E908" s="1580"/>
      <c r="F908" s="1580"/>
      <c r="G908" s="1580"/>
      <c r="H908" s="1581">
        <v>0</v>
      </c>
    </row>
    <row r="909" spans="1:8" ht="15" hidden="1" x14ac:dyDescent="0.2">
      <c r="A909" s="1577">
        <v>3636</v>
      </c>
      <c r="B909" s="1578">
        <v>5139</v>
      </c>
      <c r="C909" s="1578">
        <v>38500881</v>
      </c>
      <c r="D909" s="1579" t="s">
        <v>249</v>
      </c>
      <c r="E909" s="1580"/>
      <c r="F909" s="1580"/>
      <c r="G909" s="1580"/>
      <c r="H909" s="1581" t="e">
        <f t="shared" ref="H909:H921" si="74">G909/F909*100</f>
        <v>#DIV/0!</v>
      </c>
    </row>
    <row r="910" spans="1:8" ht="15" hidden="1" x14ac:dyDescent="0.2">
      <c r="A910" s="1577">
        <v>3636</v>
      </c>
      <c r="B910" s="1578">
        <v>5162</v>
      </c>
      <c r="C910" s="1578">
        <v>38100880</v>
      </c>
      <c r="D910" s="1579" t="s">
        <v>780</v>
      </c>
      <c r="E910" s="1580"/>
      <c r="F910" s="1580"/>
      <c r="G910" s="1580"/>
      <c r="H910" s="1581" t="e">
        <f t="shared" si="74"/>
        <v>#DIV/0!</v>
      </c>
    </row>
    <row r="911" spans="1:8" ht="15" hidden="1" x14ac:dyDescent="0.2">
      <c r="A911" s="1577">
        <v>3636</v>
      </c>
      <c r="B911" s="1578">
        <v>5162</v>
      </c>
      <c r="C911" s="1578">
        <v>38500881</v>
      </c>
      <c r="D911" s="1579" t="s">
        <v>780</v>
      </c>
      <c r="E911" s="1580"/>
      <c r="F911" s="1580"/>
      <c r="G911" s="1580"/>
      <c r="H911" s="1581" t="e">
        <f t="shared" si="74"/>
        <v>#DIV/0!</v>
      </c>
    </row>
    <row r="912" spans="1:8" ht="15" hidden="1" x14ac:dyDescent="0.2">
      <c r="A912" s="1577">
        <v>3636</v>
      </c>
      <c r="B912" s="1578">
        <v>5164</v>
      </c>
      <c r="C912" s="1578">
        <v>38100880</v>
      </c>
      <c r="D912" s="1579" t="s">
        <v>157</v>
      </c>
      <c r="E912" s="1580"/>
      <c r="F912" s="1580"/>
      <c r="G912" s="1580"/>
      <c r="H912" s="1581" t="e">
        <f t="shared" si="74"/>
        <v>#DIV/0!</v>
      </c>
    </row>
    <row r="913" spans="1:8" ht="15" hidden="1" x14ac:dyDescent="0.2">
      <c r="A913" s="1577">
        <v>3636</v>
      </c>
      <c r="B913" s="1578">
        <v>5164</v>
      </c>
      <c r="C913" s="1578">
        <v>38500881</v>
      </c>
      <c r="D913" s="1579" t="s">
        <v>157</v>
      </c>
      <c r="E913" s="1580"/>
      <c r="F913" s="1580"/>
      <c r="G913" s="1580"/>
      <c r="H913" s="1581" t="e">
        <f t="shared" si="74"/>
        <v>#DIV/0!</v>
      </c>
    </row>
    <row r="914" spans="1:8" ht="30" hidden="1" x14ac:dyDescent="0.2">
      <c r="A914" s="1577">
        <v>3123</v>
      </c>
      <c r="B914" s="1578">
        <v>5336</v>
      </c>
      <c r="C914" s="1582">
        <v>32533019</v>
      </c>
      <c r="D914" s="1579" t="s">
        <v>1131</v>
      </c>
      <c r="E914" s="1580">
        <v>0</v>
      </c>
      <c r="F914" s="1580"/>
      <c r="G914" s="1580">
        <v>0</v>
      </c>
      <c r="H914" s="1581" t="e">
        <f t="shared" si="74"/>
        <v>#DIV/0!</v>
      </c>
    </row>
    <row r="915" spans="1:8" ht="15" hidden="1" x14ac:dyDescent="0.2">
      <c r="A915" s="1577">
        <v>6223</v>
      </c>
      <c r="B915" s="1578">
        <v>5166</v>
      </c>
      <c r="C915" s="1578">
        <v>41100880</v>
      </c>
      <c r="D915" s="1579" t="s">
        <v>553</v>
      </c>
      <c r="E915" s="1580"/>
      <c r="F915" s="1580"/>
      <c r="G915" s="1580"/>
      <c r="H915" s="1581" t="e">
        <f t="shared" si="74"/>
        <v>#DIV/0!</v>
      </c>
    </row>
    <row r="916" spans="1:8" ht="15" hidden="1" x14ac:dyDescent="0.2">
      <c r="A916" s="1577">
        <v>6223</v>
      </c>
      <c r="B916" s="1578">
        <v>5166</v>
      </c>
      <c r="C916" s="1578">
        <v>41100882</v>
      </c>
      <c r="D916" s="1579" t="s">
        <v>553</v>
      </c>
      <c r="E916" s="1580"/>
      <c r="F916" s="1580"/>
      <c r="G916" s="1580"/>
      <c r="H916" s="1581" t="e">
        <f t="shared" si="74"/>
        <v>#DIV/0!</v>
      </c>
    </row>
    <row r="917" spans="1:8" ht="15" hidden="1" x14ac:dyDescent="0.2">
      <c r="A917" s="1577">
        <v>6223</v>
      </c>
      <c r="B917" s="1578">
        <v>5166</v>
      </c>
      <c r="C917" s="1578">
        <v>41500881</v>
      </c>
      <c r="D917" s="1579" t="s">
        <v>553</v>
      </c>
      <c r="E917" s="1580"/>
      <c r="F917" s="1580"/>
      <c r="G917" s="1580"/>
      <c r="H917" s="1581" t="e">
        <f t="shared" si="74"/>
        <v>#DIV/0!</v>
      </c>
    </row>
    <row r="918" spans="1:8" ht="15" hidden="1" x14ac:dyDescent="0.2">
      <c r="A918" s="1577">
        <v>3636</v>
      </c>
      <c r="B918" s="1578">
        <v>5167</v>
      </c>
      <c r="C918" s="1578">
        <v>38100880</v>
      </c>
      <c r="D918" s="1579" t="s">
        <v>810</v>
      </c>
      <c r="E918" s="1580"/>
      <c r="F918" s="1580"/>
      <c r="G918" s="1580"/>
      <c r="H918" s="1581" t="e">
        <f t="shared" si="74"/>
        <v>#DIV/0!</v>
      </c>
    </row>
    <row r="919" spans="1:8" ht="15" hidden="1" x14ac:dyDescent="0.2">
      <c r="A919" s="1577">
        <v>3636</v>
      </c>
      <c r="B919" s="1578">
        <v>5167</v>
      </c>
      <c r="C919" s="1578">
        <v>38500881</v>
      </c>
      <c r="D919" s="1579" t="s">
        <v>810</v>
      </c>
      <c r="E919" s="1580"/>
      <c r="F919" s="1580"/>
      <c r="G919" s="1580"/>
      <c r="H919" s="1581" t="e">
        <f t="shared" si="74"/>
        <v>#DIV/0!</v>
      </c>
    </row>
    <row r="920" spans="1:8" ht="15" hidden="1" x14ac:dyDescent="0.2">
      <c r="A920" s="1577">
        <v>3636</v>
      </c>
      <c r="B920" s="1578">
        <v>5169</v>
      </c>
      <c r="C920" s="1578">
        <v>38100880</v>
      </c>
      <c r="D920" s="1579" t="s">
        <v>769</v>
      </c>
      <c r="E920" s="1580"/>
      <c r="F920" s="1580"/>
      <c r="G920" s="1580"/>
      <c r="H920" s="1581" t="e">
        <f t="shared" si="74"/>
        <v>#DIV/0!</v>
      </c>
    </row>
    <row r="921" spans="1:8" ht="15" hidden="1" x14ac:dyDescent="0.2">
      <c r="A921" s="1577">
        <v>3636</v>
      </c>
      <c r="B921" s="1578">
        <v>5169</v>
      </c>
      <c r="C921" s="1578">
        <v>38500881</v>
      </c>
      <c r="D921" s="1579" t="s">
        <v>769</v>
      </c>
      <c r="E921" s="1580"/>
      <c r="F921" s="1580"/>
      <c r="G921" s="1580"/>
      <c r="H921" s="1581" t="e">
        <f t="shared" si="74"/>
        <v>#DIV/0!</v>
      </c>
    </row>
    <row r="922" spans="1:8" ht="15" hidden="1" x14ac:dyDescent="0.2">
      <c r="A922" s="1577">
        <v>6223</v>
      </c>
      <c r="B922" s="1578">
        <v>5173</v>
      </c>
      <c r="C922" s="1582">
        <v>0</v>
      </c>
      <c r="D922" s="1579" t="s">
        <v>1038</v>
      </c>
      <c r="E922" s="1580"/>
      <c r="F922" s="1580"/>
      <c r="G922" s="1580"/>
      <c r="H922" s="1581">
        <v>0</v>
      </c>
    </row>
    <row r="923" spans="1:8" ht="15" hidden="1" x14ac:dyDescent="0.2">
      <c r="A923" s="1577">
        <v>3636</v>
      </c>
      <c r="B923" s="1578">
        <v>5173</v>
      </c>
      <c r="C923" s="1578">
        <v>38500881</v>
      </c>
      <c r="D923" s="1579" t="s">
        <v>1038</v>
      </c>
      <c r="E923" s="1580">
        <v>0</v>
      </c>
      <c r="F923" s="1580"/>
      <c r="G923" s="1580"/>
      <c r="H923" s="1581" t="e">
        <f t="shared" ref="H923:H930" si="75">G923/F923*100</f>
        <v>#DIV/0!</v>
      </c>
    </row>
    <row r="924" spans="1:8" ht="15" hidden="1" x14ac:dyDescent="0.2">
      <c r="A924" s="1577">
        <v>3636</v>
      </c>
      <c r="B924" s="1578">
        <v>5175</v>
      </c>
      <c r="C924" s="1578">
        <v>38100880</v>
      </c>
      <c r="D924" s="1579" t="s">
        <v>605</v>
      </c>
      <c r="E924" s="1580">
        <v>0</v>
      </c>
      <c r="F924" s="1580"/>
      <c r="G924" s="1580"/>
      <c r="H924" s="1581" t="e">
        <f t="shared" si="75"/>
        <v>#DIV/0!</v>
      </c>
    </row>
    <row r="925" spans="1:8" ht="15" hidden="1" x14ac:dyDescent="0.2">
      <c r="A925" s="1577">
        <v>3636</v>
      </c>
      <c r="B925" s="1578">
        <v>5175</v>
      </c>
      <c r="C925" s="1578">
        <v>38500881</v>
      </c>
      <c r="D925" s="1579" t="s">
        <v>605</v>
      </c>
      <c r="E925" s="1580">
        <v>0</v>
      </c>
      <c r="F925" s="1580"/>
      <c r="G925" s="1580"/>
      <c r="H925" s="1581" t="e">
        <f t="shared" si="75"/>
        <v>#DIV/0!</v>
      </c>
    </row>
    <row r="926" spans="1:8" ht="15" hidden="1" x14ac:dyDescent="0.2">
      <c r="A926" s="1577">
        <v>3636</v>
      </c>
      <c r="B926" s="1578">
        <v>5176</v>
      </c>
      <c r="C926" s="1578">
        <v>38100880</v>
      </c>
      <c r="D926" s="1579" t="s">
        <v>1119</v>
      </c>
      <c r="E926" s="1580">
        <v>0</v>
      </c>
      <c r="F926" s="1580"/>
      <c r="G926" s="1580"/>
      <c r="H926" s="1581" t="e">
        <f t="shared" si="75"/>
        <v>#DIV/0!</v>
      </c>
    </row>
    <row r="927" spans="1:8" ht="15" hidden="1" x14ac:dyDescent="0.2">
      <c r="A927" s="1577">
        <v>3636</v>
      </c>
      <c r="B927" s="1578">
        <v>5176</v>
      </c>
      <c r="C927" s="1578">
        <v>38500881</v>
      </c>
      <c r="D927" s="1579" t="s">
        <v>1119</v>
      </c>
      <c r="E927" s="1580">
        <v>0</v>
      </c>
      <c r="F927" s="1580"/>
      <c r="G927" s="1580"/>
      <c r="H927" s="1581" t="e">
        <f t="shared" si="75"/>
        <v>#DIV/0!</v>
      </c>
    </row>
    <row r="928" spans="1:8" ht="15" hidden="1" x14ac:dyDescent="0.2">
      <c r="A928" s="1577">
        <v>3636</v>
      </c>
      <c r="B928" s="1578">
        <v>6901</v>
      </c>
      <c r="C928" s="1578">
        <v>38100880</v>
      </c>
      <c r="D928" s="1579" t="s">
        <v>391</v>
      </c>
      <c r="E928" s="1580">
        <v>0</v>
      </c>
      <c r="F928" s="1580">
        <v>0</v>
      </c>
      <c r="G928" s="1580">
        <v>0</v>
      </c>
      <c r="H928" s="1581" t="e">
        <f t="shared" si="75"/>
        <v>#DIV/0!</v>
      </c>
    </row>
    <row r="929" spans="1:8" ht="15.75" hidden="1" thickBot="1" x14ac:dyDescent="0.25">
      <c r="A929" s="1577">
        <v>3636</v>
      </c>
      <c r="B929" s="1578">
        <v>5363</v>
      </c>
      <c r="C929" s="1578">
        <v>38500881</v>
      </c>
      <c r="D929" s="1579" t="s">
        <v>498</v>
      </c>
      <c r="E929" s="1580">
        <v>0</v>
      </c>
      <c r="F929" s="1580">
        <v>0</v>
      </c>
      <c r="G929" s="1580">
        <v>0</v>
      </c>
      <c r="H929" s="1583" t="e">
        <f t="shared" si="75"/>
        <v>#DIV/0!</v>
      </c>
    </row>
    <row r="930" spans="1:8" ht="16.5" hidden="1" thickTop="1" thickBot="1" x14ac:dyDescent="0.3">
      <c r="A930" s="3219" t="s">
        <v>690</v>
      </c>
      <c r="B930" s="3220"/>
      <c r="C930" s="3220"/>
      <c r="D930" s="3220"/>
      <c r="E930" s="1387">
        <f>SUM(E900:E929)</f>
        <v>0</v>
      </c>
      <c r="F930" s="1387">
        <f>SUM(F900:F929)</f>
        <v>0</v>
      </c>
      <c r="G930" s="1387">
        <f>SUM(G900:G929)</f>
        <v>0</v>
      </c>
      <c r="H930" s="1391" t="e">
        <f t="shared" si="75"/>
        <v>#DIV/0!</v>
      </c>
    </row>
    <row r="931" spans="1:8" ht="15.75" customHeight="1" x14ac:dyDescent="0.25">
      <c r="A931" s="3233" t="s">
        <v>296</v>
      </c>
      <c r="B931" s="3151"/>
      <c r="C931" s="3151"/>
      <c r="D931" s="3151"/>
      <c r="E931" s="3151"/>
      <c r="F931" s="3151"/>
      <c r="G931" s="3151"/>
      <c r="H931" s="3151"/>
    </row>
    <row r="932" spans="1:8" ht="15.75" thickBot="1" x14ac:dyDescent="0.3">
      <c r="A932" s="1544" t="s">
        <v>1521</v>
      </c>
      <c r="B932" s="1558"/>
      <c r="C932" s="1558"/>
      <c r="E932" s="1559"/>
      <c r="F932" s="1559"/>
      <c r="G932" s="1559"/>
      <c r="H932" s="1560" t="s">
        <v>148</v>
      </c>
    </row>
    <row r="933" spans="1:8" ht="25.5" thickTop="1" thickBot="1" x14ac:dyDescent="0.25">
      <c r="A933" s="1378" t="s">
        <v>149</v>
      </c>
      <c r="B933" s="1379" t="s">
        <v>688</v>
      </c>
      <c r="C933" s="1379" t="s">
        <v>345</v>
      </c>
      <c r="D933" s="1380" t="s">
        <v>151</v>
      </c>
      <c r="E933" s="1402" t="s">
        <v>569</v>
      </c>
      <c r="F933" s="1402" t="s">
        <v>570</v>
      </c>
      <c r="G933" s="1403" t="s">
        <v>797</v>
      </c>
      <c r="H933" s="1404" t="s">
        <v>798</v>
      </c>
    </row>
    <row r="934" spans="1:8" ht="14.25" thickTop="1" thickBot="1" x14ac:dyDescent="0.25">
      <c r="A934" s="1297">
        <v>1</v>
      </c>
      <c r="B934" s="1296">
        <v>2</v>
      </c>
      <c r="C934" s="1296">
        <v>3</v>
      </c>
      <c r="D934" s="1296">
        <v>4</v>
      </c>
      <c r="E934" s="1295">
        <v>5</v>
      </c>
      <c r="F934" s="1295">
        <v>6</v>
      </c>
      <c r="G934" s="1446">
        <v>7</v>
      </c>
      <c r="H934" s="1468" t="s">
        <v>54</v>
      </c>
    </row>
    <row r="935" spans="1:8" ht="15.75" hidden="1" thickTop="1" x14ac:dyDescent="0.2">
      <c r="A935" s="1572">
        <v>3636</v>
      </c>
      <c r="B935" s="1573">
        <v>5011</v>
      </c>
      <c r="C935" s="1582">
        <v>0</v>
      </c>
      <c r="D935" s="1574" t="s">
        <v>189</v>
      </c>
      <c r="E935" s="1575">
        <v>0</v>
      </c>
      <c r="F935" s="1575">
        <v>0</v>
      </c>
      <c r="G935" s="1575">
        <v>0</v>
      </c>
      <c r="H935" s="1576" t="e">
        <f t="shared" ref="H935:H942" si="76">G935/F935*100</f>
        <v>#DIV/0!</v>
      </c>
    </row>
    <row r="936" spans="1:8" ht="15.75" hidden="1" thickTop="1" x14ac:dyDescent="0.2">
      <c r="A936" s="1577">
        <v>3636</v>
      </c>
      <c r="B936" s="1578">
        <v>5011</v>
      </c>
      <c r="C936" s="1578">
        <v>38500881</v>
      </c>
      <c r="D936" s="1579" t="s">
        <v>189</v>
      </c>
      <c r="E936" s="1580">
        <v>0</v>
      </c>
      <c r="F936" s="1580">
        <v>0</v>
      </c>
      <c r="G936" s="1580">
        <v>0</v>
      </c>
      <c r="H936" s="1581" t="e">
        <f t="shared" si="76"/>
        <v>#DIV/0!</v>
      </c>
    </row>
    <row r="937" spans="1:8" ht="30.75" thickTop="1" x14ac:dyDescent="0.2">
      <c r="A937" s="1577">
        <v>3122</v>
      </c>
      <c r="B937" s="1578">
        <v>5336</v>
      </c>
      <c r="C937" s="2850" t="s">
        <v>1849</v>
      </c>
      <c r="D937" s="1579" t="s">
        <v>1131</v>
      </c>
      <c r="E937" s="1580">
        <v>0</v>
      </c>
      <c r="F937" s="1580">
        <f>7+68</f>
        <v>75</v>
      </c>
      <c r="G937" s="1580">
        <f>7+68</f>
        <v>75</v>
      </c>
      <c r="H937" s="1581">
        <f t="shared" si="76"/>
        <v>100</v>
      </c>
    </row>
    <row r="938" spans="1:8" ht="15" hidden="1" x14ac:dyDescent="0.2">
      <c r="A938" s="1577">
        <v>3636</v>
      </c>
      <c r="B938" s="1578">
        <v>5021</v>
      </c>
      <c r="C938" s="1629">
        <v>38500881</v>
      </c>
      <c r="D938" s="1579" t="s">
        <v>356</v>
      </c>
      <c r="E938" s="1580"/>
      <c r="F938" s="1580"/>
      <c r="G938" s="1580"/>
      <c r="H938" s="1581" t="e">
        <f t="shared" si="76"/>
        <v>#DIV/0!</v>
      </c>
    </row>
    <row r="939" spans="1:8" ht="30" hidden="1" x14ac:dyDescent="0.2">
      <c r="A939" s="1577">
        <v>3636</v>
      </c>
      <c r="B939" s="1578">
        <v>5031</v>
      </c>
      <c r="C939" s="1629">
        <v>38100880</v>
      </c>
      <c r="D939" s="1579" t="s">
        <v>1165</v>
      </c>
      <c r="E939" s="1580"/>
      <c r="F939" s="1580"/>
      <c r="G939" s="1580"/>
      <c r="H939" s="1581" t="e">
        <f t="shared" si="76"/>
        <v>#DIV/0!</v>
      </c>
    </row>
    <row r="940" spans="1:8" ht="30" hidden="1" x14ac:dyDescent="0.2">
      <c r="A940" s="1577">
        <v>3636</v>
      </c>
      <c r="B940" s="1578">
        <v>5031</v>
      </c>
      <c r="C940" s="1629">
        <v>38500881</v>
      </c>
      <c r="D940" s="1579" t="s">
        <v>1165</v>
      </c>
      <c r="E940" s="1580"/>
      <c r="F940" s="1580"/>
      <c r="G940" s="1580"/>
      <c r="H940" s="1581" t="e">
        <f t="shared" si="76"/>
        <v>#DIV/0!</v>
      </c>
    </row>
    <row r="941" spans="1:8" ht="30" hidden="1" x14ac:dyDescent="0.2">
      <c r="A941" s="1577">
        <v>3636</v>
      </c>
      <c r="B941" s="1578">
        <v>5032</v>
      </c>
      <c r="C941" s="1629">
        <v>38100880</v>
      </c>
      <c r="D941" s="1579" t="s">
        <v>1058</v>
      </c>
      <c r="E941" s="1580"/>
      <c r="F941" s="1580"/>
      <c r="G941" s="1580"/>
      <c r="H941" s="1581" t="e">
        <f t="shared" si="76"/>
        <v>#DIV/0!</v>
      </c>
    </row>
    <row r="942" spans="1:8" ht="30" hidden="1" x14ac:dyDescent="0.2">
      <c r="A942" s="1577">
        <v>3636</v>
      </c>
      <c r="B942" s="1578">
        <v>5032</v>
      </c>
      <c r="C942" s="1629">
        <v>38500881</v>
      </c>
      <c r="D942" s="1579" t="s">
        <v>1058</v>
      </c>
      <c r="E942" s="1580"/>
      <c r="F942" s="1580"/>
      <c r="G942" s="1580"/>
      <c r="H942" s="1581" t="e">
        <f t="shared" si="76"/>
        <v>#DIV/0!</v>
      </c>
    </row>
    <row r="943" spans="1:8" ht="15" hidden="1" x14ac:dyDescent="0.2">
      <c r="A943" s="1577">
        <v>3636</v>
      </c>
      <c r="B943" s="1578">
        <v>5139</v>
      </c>
      <c r="C943" s="1629">
        <v>38100880</v>
      </c>
      <c r="D943" s="1579" t="s">
        <v>249</v>
      </c>
      <c r="E943" s="1580"/>
      <c r="F943" s="1580"/>
      <c r="G943" s="1580"/>
      <c r="H943" s="1581">
        <v>0</v>
      </c>
    </row>
    <row r="944" spans="1:8" ht="15" hidden="1" x14ac:dyDescent="0.2">
      <c r="A944" s="1577">
        <v>3636</v>
      </c>
      <c r="B944" s="1578">
        <v>5139</v>
      </c>
      <c r="C944" s="1629">
        <v>38500881</v>
      </c>
      <c r="D944" s="1579" t="s">
        <v>249</v>
      </c>
      <c r="E944" s="1580"/>
      <c r="F944" s="1580"/>
      <c r="G944" s="1580"/>
      <c r="H944" s="1581" t="e">
        <f t="shared" ref="H944:H956" si="77">G944/F944*100</f>
        <v>#DIV/0!</v>
      </c>
    </row>
    <row r="945" spans="1:8" ht="15" hidden="1" x14ac:dyDescent="0.2">
      <c r="A945" s="1577">
        <v>3636</v>
      </c>
      <c r="B945" s="1578">
        <v>5162</v>
      </c>
      <c r="C945" s="1629">
        <v>38100880</v>
      </c>
      <c r="D945" s="1579" t="s">
        <v>780</v>
      </c>
      <c r="E945" s="1580"/>
      <c r="F945" s="1580"/>
      <c r="G945" s="1580"/>
      <c r="H945" s="1581" t="e">
        <f t="shared" si="77"/>
        <v>#DIV/0!</v>
      </c>
    </row>
    <row r="946" spans="1:8" ht="15" hidden="1" x14ac:dyDescent="0.2">
      <c r="A946" s="1577">
        <v>3636</v>
      </c>
      <c r="B946" s="1578">
        <v>5162</v>
      </c>
      <c r="C946" s="1629">
        <v>38500881</v>
      </c>
      <c r="D946" s="1579" t="s">
        <v>780</v>
      </c>
      <c r="E946" s="1580"/>
      <c r="F946" s="1580"/>
      <c r="G946" s="1580"/>
      <c r="H946" s="1581" t="e">
        <f t="shared" si="77"/>
        <v>#DIV/0!</v>
      </c>
    </row>
    <row r="947" spans="1:8" ht="15" hidden="1" x14ac:dyDescent="0.2">
      <c r="A947" s="1577">
        <v>3636</v>
      </c>
      <c r="B947" s="1578">
        <v>5164</v>
      </c>
      <c r="C947" s="1629">
        <v>38100880</v>
      </c>
      <c r="D947" s="1579" t="s">
        <v>157</v>
      </c>
      <c r="E947" s="1580"/>
      <c r="F947" s="1580"/>
      <c r="G947" s="1580"/>
      <c r="H947" s="1581" t="e">
        <f t="shared" si="77"/>
        <v>#DIV/0!</v>
      </c>
    </row>
    <row r="948" spans="1:8" ht="15" hidden="1" x14ac:dyDescent="0.2">
      <c r="A948" s="1577">
        <v>3636</v>
      </c>
      <c r="B948" s="1578">
        <v>5164</v>
      </c>
      <c r="C948" s="1629">
        <v>38500881</v>
      </c>
      <c r="D948" s="1579" t="s">
        <v>157</v>
      </c>
      <c r="E948" s="1580"/>
      <c r="F948" s="1580"/>
      <c r="G948" s="1580"/>
      <c r="H948" s="1581" t="e">
        <f t="shared" si="77"/>
        <v>#DIV/0!</v>
      </c>
    </row>
    <row r="949" spans="1:8" ht="30" x14ac:dyDescent="0.2">
      <c r="A949" s="1577">
        <v>3122</v>
      </c>
      <c r="B949" s="1578">
        <v>5336</v>
      </c>
      <c r="C949" s="2850" t="s">
        <v>1850</v>
      </c>
      <c r="D949" s="1579" t="s">
        <v>1131</v>
      </c>
      <c r="E949" s="1580">
        <v>0</v>
      </c>
      <c r="F949" s="1580">
        <f>41+383</f>
        <v>424</v>
      </c>
      <c r="G949" s="1580">
        <f>41+383</f>
        <v>424</v>
      </c>
      <c r="H949" s="1581">
        <f t="shared" si="77"/>
        <v>100</v>
      </c>
    </row>
    <row r="950" spans="1:8" ht="15" hidden="1" x14ac:dyDescent="0.2">
      <c r="A950" s="1577">
        <v>3122</v>
      </c>
      <c r="B950" s="1578">
        <v>5166</v>
      </c>
      <c r="C950" s="1629">
        <v>41100880</v>
      </c>
      <c r="D950" s="1579" t="s">
        <v>553</v>
      </c>
      <c r="E950" s="1580"/>
      <c r="F950" s="1580"/>
      <c r="G950" s="1580"/>
      <c r="H950" s="1581" t="e">
        <f t="shared" si="77"/>
        <v>#DIV/0!</v>
      </c>
    </row>
    <row r="951" spans="1:8" ht="15" hidden="1" x14ac:dyDescent="0.2">
      <c r="A951" s="1577">
        <v>3122</v>
      </c>
      <c r="B951" s="1578">
        <v>5166</v>
      </c>
      <c r="C951" s="1629">
        <v>41100882</v>
      </c>
      <c r="D951" s="1579" t="s">
        <v>553</v>
      </c>
      <c r="E951" s="1580"/>
      <c r="F951" s="1580"/>
      <c r="G951" s="1580"/>
      <c r="H951" s="1581" t="e">
        <f t="shared" si="77"/>
        <v>#DIV/0!</v>
      </c>
    </row>
    <row r="952" spans="1:8" ht="15" hidden="1" x14ac:dyDescent="0.2">
      <c r="A952" s="1577">
        <v>3122</v>
      </c>
      <c r="B952" s="1578">
        <v>5166</v>
      </c>
      <c r="C952" s="1629">
        <v>41500881</v>
      </c>
      <c r="D952" s="1579" t="s">
        <v>553</v>
      </c>
      <c r="E952" s="1580"/>
      <c r="F952" s="1580"/>
      <c r="G952" s="1580"/>
      <c r="H952" s="1581" t="e">
        <f t="shared" si="77"/>
        <v>#DIV/0!</v>
      </c>
    </row>
    <row r="953" spans="1:8" ht="15" hidden="1" x14ac:dyDescent="0.2">
      <c r="A953" s="1577">
        <v>3122</v>
      </c>
      <c r="B953" s="1578">
        <v>5167</v>
      </c>
      <c r="C953" s="1629">
        <v>38100880</v>
      </c>
      <c r="D953" s="1579" t="s">
        <v>810</v>
      </c>
      <c r="E953" s="1580"/>
      <c r="F953" s="1580"/>
      <c r="G953" s="1580"/>
      <c r="H953" s="1581" t="e">
        <f t="shared" si="77"/>
        <v>#DIV/0!</v>
      </c>
    </row>
    <row r="954" spans="1:8" ht="15" hidden="1" x14ac:dyDescent="0.2">
      <c r="A954" s="1577">
        <v>3122</v>
      </c>
      <c r="B954" s="1578">
        <v>5167</v>
      </c>
      <c r="C954" s="1629">
        <v>38500881</v>
      </c>
      <c r="D954" s="1579" t="s">
        <v>810</v>
      </c>
      <c r="E954" s="1580"/>
      <c r="F954" s="1580"/>
      <c r="G954" s="1580"/>
      <c r="H954" s="1581" t="e">
        <f t="shared" si="77"/>
        <v>#DIV/0!</v>
      </c>
    </row>
    <row r="955" spans="1:8" ht="15" hidden="1" x14ac:dyDescent="0.2">
      <c r="A955" s="1577">
        <v>3122</v>
      </c>
      <c r="B955" s="1578">
        <v>5169</v>
      </c>
      <c r="C955" s="1629">
        <v>38100880</v>
      </c>
      <c r="D955" s="1579" t="s">
        <v>769</v>
      </c>
      <c r="E955" s="1580"/>
      <c r="F955" s="1580"/>
      <c r="G955" s="1580"/>
      <c r="H955" s="1581" t="e">
        <f t="shared" si="77"/>
        <v>#DIV/0!</v>
      </c>
    </row>
    <row r="956" spans="1:8" ht="15" hidden="1" x14ac:dyDescent="0.2">
      <c r="A956" s="1577">
        <v>3122</v>
      </c>
      <c r="B956" s="1578">
        <v>5169</v>
      </c>
      <c r="C956" s="1629">
        <v>38500881</v>
      </c>
      <c r="D956" s="1579" t="s">
        <v>769</v>
      </c>
      <c r="E956" s="1580"/>
      <c r="F956" s="1580"/>
      <c r="G956" s="1580"/>
      <c r="H956" s="1581" t="e">
        <f t="shared" si="77"/>
        <v>#DIV/0!</v>
      </c>
    </row>
    <row r="957" spans="1:8" ht="15" hidden="1" x14ac:dyDescent="0.2">
      <c r="A957" s="1577">
        <v>3122</v>
      </c>
      <c r="B957" s="1578">
        <v>5173</v>
      </c>
      <c r="C957" s="2850">
        <v>0</v>
      </c>
      <c r="D957" s="1579" t="s">
        <v>1038</v>
      </c>
      <c r="E957" s="1580"/>
      <c r="F957" s="1580"/>
      <c r="G957" s="1580"/>
      <c r="H957" s="1581">
        <v>0</v>
      </c>
    </row>
    <row r="958" spans="1:8" ht="15" hidden="1" x14ac:dyDescent="0.2">
      <c r="A958" s="1577">
        <v>3122</v>
      </c>
      <c r="B958" s="1578">
        <v>5173</v>
      </c>
      <c r="C958" s="1629">
        <v>38500881</v>
      </c>
      <c r="D958" s="1579" t="s">
        <v>1038</v>
      </c>
      <c r="E958" s="1580"/>
      <c r="F958" s="1580"/>
      <c r="G958" s="1580"/>
      <c r="H958" s="1581" t="e">
        <f>G958/F958*100</f>
        <v>#DIV/0!</v>
      </c>
    </row>
    <row r="959" spans="1:8" ht="15" hidden="1" x14ac:dyDescent="0.2">
      <c r="A959" s="1577">
        <v>3122</v>
      </c>
      <c r="B959" s="1578">
        <v>5175</v>
      </c>
      <c r="C959" s="1629">
        <v>38100880</v>
      </c>
      <c r="D959" s="1579" t="s">
        <v>605</v>
      </c>
      <c r="E959" s="1580"/>
      <c r="F959" s="1580"/>
      <c r="G959" s="1580"/>
      <c r="H959" s="1581" t="e">
        <f>G959/F959*100</f>
        <v>#DIV/0!</v>
      </c>
    </row>
    <row r="960" spans="1:8" ht="15" hidden="1" x14ac:dyDescent="0.2">
      <c r="A960" s="1577">
        <v>3122</v>
      </c>
      <c r="B960" s="1578">
        <v>5175</v>
      </c>
      <c r="C960" s="1629">
        <v>38500881</v>
      </c>
      <c r="D960" s="1579" t="s">
        <v>605</v>
      </c>
      <c r="E960" s="1580"/>
      <c r="F960" s="1580"/>
      <c r="G960" s="1580"/>
      <c r="H960" s="1581" t="e">
        <f>G960/F960*100</f>
        <v>#DIV/0!</v>
      </c>
    </row>
    <row r="961" spans="1:8" ht="15" hidden="1" x14ac:dyDescent="0.2">
      <c r="A961" s="1577">
        <v>3122</v>
      </c>
      <c r="B961" s="1578">
        <v>5176</v>
      </c>
      <c r="C961" s="1629">
        <v>38100880</v>
      </c>
      <c r="D961" s="1579" t="s">
        <v>1119</v>
      </c>
      <c r="E961" s="1580"/>
      <c r="F961" s="1580"/>
      <c r="G961" s="1580"/>
      <c r="H961" s="1581" t="e">
        <f>G961/F961*100</f>
        <v>#DIV/0!</v>
      </c>
    </row>
    <row r="962" spans="1:8" ht="15" hidden="1" x14ac:dyDescent="0.2">
      <c r="A962" s="1577">
        <v>3122</v>
      </c>
      <c r="B962" s="1578">
        <v>5176</v>
      </c>
      <c r="C962" s="1629">
        <v>38500881</v>
      </c>
      <c r="D962" s="1579" t="s">
        <v>1119</v>
      </c>
      <c r="E962" s="1580"/>
      <c r="F962" s="1580"/>
      <c r="G962" s="1580"/>
      <c r="H962" s="1581" t="e">
        <f>G962/F962*100</f>
        <v>#DIV/0!</v>
      </c>
    </row>
    <row r="963" spans="1:8" ht="30" x14ac:dyDescent="0.2">
      <c r="A963" s="1577">
        <v>3122</v>
      </c>
      <c r="B963" s="1578">
        <v>6356</v>
      </c>
      <c r="C963" s="1629" t="s">
        <v>2127</v>
      </c>
      <c r="D963" s="1579" t="s">
        <v>1552</v>
      </c>
      <c r="E963" s="1580">
        <v>0</v>
      </c>
      <c r="F963" s="1580">
        <v>0</v>
      </c>
      <c r="G963" s="1580">
        <v>0</v>
      </c>
      <c r="H963" s="1581">
        <v>0</v>
      </c>
    </row>
    <row r="964" spans="1:8" ht="30.75" thickBot="1" x14ac:dyDescent="0.25">
      <c r="A964" s="1577">
        <v>3122</v>
      </c>
      <c r="B964" s="1578">
        <v>6356</v>
      </c>
      <c r="C964" s="1629" t="s">
        <v>2126</v>
      </c>
      <c r="D964" s="1579" t="s">
        <v>1552</v>
      </c>
      <c r="E964" s="1580">
        <v>0</v>
      </c>
      <c r="F964" s="1580">
        <v>1</v>
      </c>
      <c r="G964" s="1580">
        <v>1</v>
      </c>
      <c r="H964" s="1583">
        <f>G964/F964*100</f>
        <v>100</v>
      </c>
    </row>
    <row r="965" spans="1:8" ht="16.5" thickTop="1" thickBot="1" x14ac:dyDescent="0.3">
      <c r="A965" s="3219" t="s">
        <v>690</v>
      </c>
      <c r="B965" s="3220"/>
      <c r="C965" s="3220"/>
      <c r="D965" s="3220"/>
      <c r="E965" s="1387">
        <f>SUM(E935:E964)</f>
        <v>0</v>
      </c>
      <c r="F965" s="1387">
        <f>SUM(F935:F964)</f>
        <v>500</v>
      </c>
      <c r="G965" s="1387">
        <f>SUM(G935:G964)</f>
        <v>500</v>
      </c>
      <c r="H965" s="1391">
        <f>G965/F965*100</f>
        <v>100</v>
      </c>
    </row>
    <row r="966" spans="1:8" ht="13.5" thickTop="1" x14ac:dyDescent="0.2"/>
    <row r="967" spans="1:8" ht="14.25" customHeight="1" x14ac:dyDescent="0.25">
      <c r="A967" s="3233" t="s">
        <v>1573</v>
      </c>
      <c r="B967" s="3151"/>
      <c r="C967" s="3151"/>
      <c r="D967" s="3151"/>
      <c r="E967" s="3151"/>
      <c r="F967" s="3151"/>
      <c r="G967" s="3151"/>
      <c r="H967" s="3151"/>
    </row>
    <row r="968" spans="1:8" ht="15.75" thickBot="1" x14ac:dyDescent="0.3">
      <c r="A968" s="1544" t="s">
        <v>1574</v>
      </c>
      <c r="B968" s="1558"/>
      <c r="C968" s="1558"/>
      <c r="E968" s="1559"/>
      <c r="F968" s="1559"/>
      <c r="G968" s="1559"/>
      <c r="H968" s="1560" t="s">
        <v>148</v>
      </c>
    </row>
    <row r="969" spans="1:8" ht="25.5" thickTop="1" thickBot="1" x14ac:dyDescent="0.25">
      <c r="A969" s="1378" t="s">
        <v>149</v>
      </c>
      <c r="B969" s="1379" t="s">
        <v>688</v>
      </c>
      <c r="C969" s="1379" t="s">
        <v>345</v>
      </c>
      <c r="D969" s="1380" t="s">
        <v>151</v>
      </c>
      <c r="E969" s="1402" t="s">
        <v>569</v>
      </c>
      <c r="F969" s="1402" t="s">
        <v>570</v>
      </c>
      <c r="G969" s="1403" t="s">
        <v>797</v>
      </c>
      <c r="H969" s="1404" t="s">
        <v>798</v>
      </c>
    </row>
    <row r="970" spans="1:8" ht="14.25" thickTop="1" thickBot="1" x14ac:dyDescent="0.25">
      <c r="A970" s="1297">
        <v>1</v>
      </c>
      <c r="B970" s="1296">
        <v>2</v>
      </c>
      <c r="C970" s="1296">
        <v>3</v>
      </c>
      <c r="D970" s="1296">
        <v>4</v>
      </c>
      <c r="E970" s="1295">
        <v>5</v>
      </c>
      <c r="F970" s="1295">
        <v>6</v>
      </c>
      <c r="G970" s="1446">
        <v>7</v>
      </c>
      <c r="H970" s="1468" t="s">
        <v>54</v>
      </c>
    </row>
    <row r="971" spans="1:8" ht="15.75" hidden="1" thickTop="1" x14ac:dyDescent="0.2">
      <c r="A971" s="1572">
        <v>3636</v>
      </c>
      <c r="B971" s="1573">
        <v>5011</v>
      </c>
      <c r="C971" s="1582">
        <v>0</v>
      </c>
      <c r="D971" s="1574" t="s">
        <v>189</v>
      </c>
      <c r="E971" s="1575">
        <v>0</v>
      </c>
      <c r="F971" s="1575">
        <v>0</v>
      </c>
      <c r="G971" s="1575">
        <v>0</v>
      </c>
      <c r="H971" s="1576" t="e">
        <f t="shared" ref="H971:H978" si="78">G971/F971*100</f>
        <v>#DIV/0!</v>
      </c>
    </row>
    <row r="972" spans="1:8" ht="15.75" hidden="1" thickTop="1" x14ac:dyDescent="0.2">
      <c r="A972" s="1577">
        <v>3636</v>
      </c>
      <c r="B972" s="1578">
        <v>5011</v>
      </c>
      <c r="C972" s="1578">
        <v>38500881</v>
      </c>
      <c r="D972" s="1579" t="s">
        <v>189</v>
      </c>
      <c r="E972" s="1580">
        <v>0</v>
      </c>
      <c r="F972" s="1580">
        <v>0</v>
      </c>
      <c r="G972" s="1580">
        <v>0</v>
      </c>
      <c r="H972" s="1581" t="e">
        <f t="shared" si="78"/>
        <v>#DIV/0!</v>
      </c>
    </row>
    <row r="973" spans="1:8" ht="30.75" thickTop="1" x14ac:dyDescent="0.2">
      <c r="A973" s="1577">
        <v>3123</v>
      </c>
      <c r="B973" s="1578">
        <v>5336</v>
      </c>
      <c r="C973" s="2850" t="s">
        <v>1849</v>
      </c>
      <c r="D973" s="1579" t="s">
        <v>1131</v>
      </c>
      <c r="E973" s="1580">
        <v>0</v>
      </c>
      <c r="F973" s="1580">
        <f>12+104</f>
        <v>116</v>
      </c>
      <c r="G973" s="1580">
        <f>12+104</f>
        <v>116</v>
      </c>
      <c r="H973" s="1581">
        <f t="shared" si="78"/>
        <v>100</v>
      </c>
    </row>
    <row r="974" spans="1:8" ht="15" hidden="1" x14ac:dyDescent="0.2">
      <c r="A974" s="1577">
        <v>3636</v>
      </c>
      <c r="B974" s="1578">
        <v>5021</v>
      </c>
      <c r="C974" s="1629">
        <v>38500881</v>
      </c>
      <c r="D974" s="1579" t="s">
        <v>356</v>
      </c>
      <c r="E974" s="1580"/>
      <c r="F974" s="1580"/>
      <c r="G974" s="1580"/>
      <c r="H974" s="1581" t="e">
        <f t="shared" si="78"/>
        <v>#DIV/0!</v>
      </c>
    </row>
    <row r="975" spans="1:8" ht="30" hidden="1" x14ac:dyDescent="0.2">
      <c r="A975" s="1577">
        <v>3636</v>
      </c>
      <c r="B975" s="1578">
        <v>5031</v>
      </c>
      <c r="C975" s="1629">
        <v>38100880</v>
      </c>
      <c r="D975" s="1579" t="s">
        <v>1165</v>
      </c>
      <c r="E975" s="1580"/>
      <c r="F975" s="1580"/>
      <c r="G975" s="1580"/>
      <c r="H975" s="1581" t="e">
        <f t="shared" si="78"/>
        <v>#DIV/0!</v>
      </c>
    </row>
    <row r="976" spans="1:8" ht="30" hidden="1" x14ac:dyDescent="0.2">
      <c r="A976" s="1577">
        <v>3636</v>
      </c>
      <c r="B976" s="1578">
        <v>5031</v>
      </c>
      <c r="C976" s="1629">
        <v>38500881</v>
      </c>
      <c r="D976" s="1579" t="s">
        <v>1165</v>
      </c>
      <c r="E976" s="1580"/>
      <c r="F976" s="1580"/>
      <c r="G976" s="1580"/>
      <c r="H976" s="1581" t="e">
        <f t="shared" si="78"/>
        <v>#DIV/0!</v>
      </c>
    </row>
    <row r="977" spans="1:8" ht="30" hidden="1" x14ac:dyDescent="0.2">
      <c r="A977" s="1577">
        <v>3636</v>
      </c>
      <c r="B977" s="1578">
        <v>5032</v>
      </c>
      <c r="C977" s="1629">
        <v>38100880</v>
      </c>
      <c r="D977" s="1579" t="s">
        <v>1058</v>
      </c>
      <c r="E977" s="1580"/>
      <c r="F977" s="1580"/>
      <c r="G977" s="1580"/>
      <c r="H977" s="1581" t="e">
        <f t="shared" si="78"/>
        <v>#DIV/0!</v>
      </c>
    </row>
    <row r="978" spans="1:8" ht="30" hidden="1" x14ac:dyDescent="0.2">
      <c r="A978" s="1577">
        <v>3636</v>
      </c>
      <c r="B978" s="1578">
        <v>5032</v>
      </c>
      <c r="C978" s="1629">
        <v>38500881</v>
      </c>
      <c r="D978" s="1579" t="s">
        <v>1058</v>
      </c>
      <c r="E978" s="1580"/>
      <c r="F978" s="1580"/>
      <c r="G978" s="1580"/>
      <c r="H978" s="1581" t="e">
        <f t="shared" si="78"/>
        <v>#DIV/0!</v>
      </c>
    </row>
    <row r="979" spans="1:8" ht="15" hidden="1" x14ac:dyDescent="0.2">
      <c r="A979" s="1577">
        <v>3636</v>
      </c>
      <c r="B979" s="1578">
        <v>5139</v>
      </c>
      <c r="C979" s="1629">
        <v>38100880</v>
      </c>
      <c r="D979" s="1579" t="s">
        <v>249</v>
      </c>
      <c r="E979" s="1580"/>
      <c r="F979" s="1580"/>
      <c r="G979" s="1580"/>
      <c r="H979" s="1581">
        <v>0</v>
      </c>
    </row>
    <row r="980" spans="1:8" ht="15" hidden="1" x14ac:dyDescent="0.2">
      <c r="A980" s="1577">
        <v>3636</v>
      </c>
      <c r="B980" s="1578">
        <v>5139</v>
      </c>
      <c r="C980" s="1629">
        <v>38500881</v>
      </c>
      <c r="D980" s="1579" t="s">
        <v>249</v>
      </c>
      <c r="E980" s="1580"/>
      <c r="F980" s="1580"/>
      <c r="G980" s="1580"/>
      <c r="H980" s="1581" t="e">
        <f t="shared" ref="H980:H992" si="79">G980/F980*100</f>
        <v>#DIV/0!</v>
      </c>
    </row>
    <row r="981" spans="1:8" ht="15" hidden="1" x14ac:dyDescent="0.2">
      <c r="A981" s="1577">
        <v>3636</v>
      </c>
      <c r="B981" s="1578">
        <v>5162</v>
      </c>
      <c r="C981" s="1629">
        <v>38100880</v>
      </c>
      <c r="D981" s="1579" t="s">
        <v>780</v>
      </c>
      <c r="E981" s="1580"/>
      <c r="F981" s="1580"/>
      <c r="G981" s="1580"/>
      <c r="H981" s="1581" t="e">
        <f t="shared" si="79"/>
        <v>#DIV/0!</v>
      </c>
    </row>
    <row r="982" spans="1:8" ht="15" hidden="1" x14ac:dyDescent="0.2">
      <c r="A982" s="1577">
        <v>3636</v>
      </c>
      <c r="B982" s="1578">
        <v>5162</v>
      </c>
      <c r="C982" s="1629">
        <v>38500881</v>
      </c>
      <c r="D982" s="1579" t="s">
        <v>780</v>
      </c>
      <c r="E982" s="1580"/>
      <c r="F982" s="1580"/>
      <c r="G982" s="1580"/>
      <c r="H982" s="1581" t="e">
        <f t="shared" si="79"/>
        <v>#DIV/0!</v>
      </c>
    </row>
    <row r="983" spans="1:8" ht="15" hidden="1" x14ac:dyDescent="0.2">
      <c r="A983" s="1577">
        <v>3636</v>
      </c>
      <c r="B983" s="1578">
        <v>5164</v>
      </c>
      <c r="C983" s="1629">
        <v>38100880</v>
      </c>
      <c r="D983" s="1579" t="s">
        <v>157</v>
      </c>
      <c r="E983" s="1580"/>
      <c r="F983" s="1580"/>
      <c r="G983" s="1580"/>
      <c r="H983" s="1581" t="e">
        <f t="shared" si="79"/>
        <v>#DIV/0!</v>
      </c>
    </row>
    <row r="984" spans="1:8" ht="15" hidden="1" x14ac:dyDescent="0.2">
      <c r="A984" s="1577">
        <v>3636</v>
      </c>
      <c r="B984" s="1578">
        <v>5164</v>
      </c>
      <c r="C984" s="1629">
        <v>38500881</v>
      </c>
      <c r="D984" s="1579" t="s">
        <v>157</v>
      </c>
      <c r="E984" s="1580"/>
      <c r="F984" s="1580"/>
      <c r="G984" s="1580"/>
      <c r="H984" s="1581" t="e">
        <f t="shared" si="79"/>
        <v>#DIV/0!</v>
      </c>
    </row>
    <row r="985" spans="1:8" ht="30" x14ac:dyDescent="0.2">
      <c r="A985" s="1577">
        <v>3123</v>
      </c>
      <c r="B985" s="1578">
        <v>5336</v>
      </c>
      <c r="C985" s="2850" t="s">
        <v>1850</v>
      </c>
      <c r="D985" s="1579" t="s">
        <v>1131</v>
      </c>
      <c r="E985" s="1580">
        <v>0</v>
      </c>
      <c r="F985" s="1580">
        <f>70+592</f>
        <v>662</v>
      </c>
      <c r="G985" s="1580">
        <f>70+591</f>
        <v>661</v>
      </c>
      <c r="H985" s="1581">
        <f t="shared" si="79"/>
        <v>99.848942598187307</v>
      </c>
    </row>
    <row r="986" spans="1:8" ht="15" hidden="1" x14ac:dyDescent="0.2">
      <c r="A986" s="1577">
        <v>3123</v>
      </c>
      <c r="B986" s="1578">
        <v>5166</v>
      </c>
      <c r="C986" s="1629">
        <v>41100880</v>
      </c>
      <c r="D986" s="1579" t="s">
        <v>553</v>
      </c>
      <c r="E986" s="1580"/>
      <c r="F986" s="1580"/>
      <c r="G986" s="1580"/>
      <c r="H986" s="1581" t="e">
        <f t="shared" si="79"/>
        <v>#DIV/0!</v>
      </c>
    </row>
    <row r="987" spans="1:8" ht="15" hidden="1" x14ac:dyDescent="0.2">
      <c r="A987" s="1577">
        <v>3123</v>
      </c>
      <c r="B987" s="1578">
        <v>5166</v>
      </c>
      <c r="C987" s="1629">
        <v>41100882</v>
      </c>
      <c r="D987" s="1579" t="s">
        <v>553</v>
      </c>
      <c r="E987" s="1580"/>
      <c r="F987" s="1580"/>
      <c r="G987" s="1580"/>
      <c r="H987" s="1581" t="e">
        <f t="shared" si="79"/>
        <v>#DIV/0!</v>
      </c>
    </row>
    <row r="988" spans="1:8" ht="15" hidden="1" x14ac:dyDescent="0.2">
      <c r="A988" s="1577">
        <v>3123</v>
      </c>
      <c r="B988" s="1578">
        <v>5166</v>
      </c>
      <c r="C988" s="1629">
        <v>41500881</v>
      </c>
      <c r="D988" s="1579" t="s">
        <v>553</v>
      </c>
      <c r="E988" s="1580"/>
      <c r="F988" s="1580"/>
      <c r="G988" s="1580"/>
      <c r="H988" s="1581" t="e">
        <f t="shared" si="79"/>
        <v>#DIV/0!</v>
      </c>
    </row>
    <row r="989" spans="1:8" ht="15" hidden="1" x14ac:dyDescent="0.2">
      <c r="A989" s="1577">
        <v>3123</v>
      </c>
      <c r="B989" s="1578">
        <v>5167</v>
      </c>
      <c r="C989" s="1629">
        <v>38100880</v>
      </c>
      <c r="D989" s="1579" t="s">
        <v>810</v>
      </c>
      <c r="E989" s="1580"/>
      <c r="F989" s="1580"/>
      <c r="G989" s="1580"/>
      <c r="H989" s="1581" t="e">
        <f t="shared" si="79"/>
        <v>#DIV/0!</v>
      </c>
    </row>
    <row r="990" spans="1:8" ht="15" hidden="1" x14ac:dyDescent="0.2">
      <c r="A990" s="1577">
        <v>3123</v>
      </c>
      <c r="B990" s="1578">
        <v>5167</v>
      </c>
      <c r="C990" s="1629">
        <v>38500881</v>
      </c>
      <c r="D990" s="1579" t="s">
        <v>810</v>
      </c>
      <c r="E990" s="1580"/>
      <c r="F990" s="1580"/>
      <c r="G990" s="1580"/>
      <c r="H990" s="1581" t="e">
        <f t="shared" si="79"/>
        <v>#DIV/0!</v>
      </c>
    </row>
    <row r="991" spans="1:8" ht="15" hidden="1" x14ac:dyDescent="0.2">
      <c r="A991" s="1577">
        <v>3123</v>
      </c>
      <c r="B991" s="1578">
        <v>5169</v>
      </c>
      <c r="C991" s="1629">
        <v>38100880</v>
      </c>
      <c r="D991" s="1579" t="s">
        <v>769</v>
      </c>
      <c r="E991" s="1580"/>
      <c r="F991" s="1580"/>
      <c r="G991" s="1580"/>
      <c r="H991" s="1581" t="e">
        <f t="shared" si="79"/>
        <v>#DIV/0!</v>
      </c>
    </row>
    <row r="992" spans="1:8" ht="15" hidden="1" x14ac:dyDescent="0.2">
      <c r="A992" s="1577">
        <v>3123</v>
      </c>
      <c r="B992" s="1578">
        <v>5169</v>
      </c>
      <c r="C992" s="1629">
        <v>38500881</v>
      </c>
      <c r="D992" s="1579" t="s">
        <v>769</v>
      </c>
      <c r="E992" s="1580"/>
      <c r="F992" s="1580"/>
      <c r="G992" s="1580"/>
      <c r="H992" s="1581" t="e">
        <f t="shared" si="79"/>
        <v>#DIV/0!</v>
      </c>
    </row>
    <row r="993" spans="1:8" ht="15" hidden="1" x14ac:dyDescent="0.2">
      <c r="A993" s="1577">
        <v>3123</v>
      </c>
      <c r="B993" s="1578">
        <v>5173</v>
      </c>
      <c r="C993" s="2850">
        <v>0</v>
      </c>
      <c r="D993" s="1579" t="s">
        <v>1038</v>
      </c>
      <c r="E993" s="1580"/>
      <c r="F993" s="1580"/>
      <c r="G993" s="1580"/>
      <c r="H993" s="1581">
        <v>0</v>
      </c>
    </row>
    <row r="994" spans="1:8" ht="15" hidden="1" x14ac:dyDescent="0.2">
      <c r="A994" s="1577">
        <v>3123</v>
      </c>
      <c r="B994" s="1578">
        <v>5173</v>
      </c>
      <c r="C994" s="1629">
        <v>38500881</v>
      </c>
      <c r="D994" s="1579" t="s">
        <v>1038</v>
      </c>
      <c r="E994" s="1580"/>
      <c r="F994" s="1580"/>
      <c r="G994" s="1580"/>
      <c r="H994" s="1581" t="e">
        <f t="shared" ref="H994:H1001" si="80">G994/F994*100</f>
        <v>#DIV/0!</v>
      </c>
    </row>
    <row r="995" spans="1:8" ht="15" hidden="1" x14ac:dyDescent="0.2">
      <c r="A995" s="1577">
        <v>3123</v>
      </c>
      <c r="B995" s="1578">
        <v>5175</v>
      </c>
      <c r="C995" s="1629">
        <v>38100880</v>
      </c>
      <c r="D995" s="1579" t="s">
        <v>605</v>
      </c>
      <c r="E995" s="1580"/>
      <c r="F995" s="1580"/>
      <c r="G995" s="1580"/>
      <c r="H995" s="1581" t="e">
        <f t="shared" si="80"/>
        <v>#DIV/0!</v>
      </c>
    </row>
    <row r="996" spans="1:8" ht="15" hidden="1" x14ac:dyDescent="0.2">
      <c r="A996" s="1577">
        <v>3123</v>
      </c>
      <c r="B996" s="1578">
        <v>5175</v>
      </c>
      <c r="C996" s="1629">
        <v>38500881</v>
      </c>
      <c r="D996" s="1579" t="s">
        <v>605</v>
      </c>
      <c r="E996" s="1580"/>
      <c r="F996" s="1580"/>
      <c r="G996" s="1580"/>
      <c r="H996" s="1581" t="e">
        <f t="shared" si="80"/>
        <v>#DIV/0!</v>
      </c>
    </row>
    <row r="997" spans="1:8" ht="15" hidden="1" x14ac:dyDescent="0.2">
      <c r="A997" s="1577">
        <v>3123</v>
      </c>
      <c r="B997" s="1578">
        <v>5176</v>
      </c>
      <c r="C997" s="1629">
        <v>38100880</v>
      </c>
      <c r="D997" s="1579" t="s">
        <v>1119</v>
      </c>
      <c r="E997" s="1580"/>
      <c r="F997" s="1580"/>
      <c r="G997" s="1580"/>
      <c r="H997" s="1581" t="e">
        <f t="shared" si="80"/>
        <v>#DIV/0!</v>
      </c>
    </row>
    <row r="998" spans="1:8" ht="15" hidden="1" x14ac:dyDescent="0.2">
      <c r="A998" s="1577">
        <v>3123</v>
      </c>
      <c r="B998" s="1578">
        <v>5176</v>
      </c>
      <c r="C998" s="1629">
        <v>38500881</v>
      </c>
      <c r="D998" s="1579" t="s">
        <v>1119</v>
      </c>
      <c r="E998" s="1580"/>
      <c r="F998" s="1580"/>
      <c r="G998" s="1580"/>
      <c r="H998" s="1581" t="e">
        <f t="shared" si="80"/>
        <v>#DIV/0!</v>
      </c>
    </row>
    <row r="999" spans="1:8" ht="30" x14ac:dyDescent="0.2">
      <c r="A999" s="1577">
        <v>3123</v>
      </c>
      <c r="B999" s="1578">
        <v>6356</v>
      </c>
      <c r="C999" s="1629" t="s">
        <v>2127</v>
      </c>
      <c r="D999" s="1579" t="s">
        <v>1552</v>
      </c>
      <c r="E999" s="1580">
        <v>0</v>
      </c>
      <c r="F999" s="1580">
        <v>21</v>
      </c>
      <c r="G999" s="1580">
        <v>21</v>
      </c>
      <c r="H999" s="1581">
        <f t="shared" si="80"/>
        <v>100</v>
      </c>
    </row>
    <row r="1000" spans="1:8" ht="30.75" thickBot="1" x14ac:dyDescent="0.25">
      <c r="A1000" s="1577">
        <v>3123</v>
      </c>
      <c r="B1000" s="1578">
        <v>6356</v>
      </c>
      <c r="C1000" s="1629" t="s">
        <v>2126</v>
      </c>
      <c r="D1000" s="1579" t="s">
        <v>1552</v>
      </c>
      <c r="E1000" s="1580">
        <v>0</v>
      </c>
      <c r="F1000" s="1580">
        <v>121</v>
      </c>
      <c r="G1000" s="1580">
        <v>117</v>
      </c>
      <c r="H1000" s="1583">
        <f t="shared" si="80"/>
        <v>96.694214876033058</v>
      </c>
    </row>
    <row r="1001" spans="1:8" ht="16.5" thickTop="1" thickBot="1" x14ac:dyDescent="0.3">
      <c r="A1001" s="3219" t="s">
        <v>690</v>
      </c>
      <c r="B1001" s="3220"/>
      <c r="C1001" s="3220"/>
      <c r="D1001" s="3220"/>
      <c r="E1001" s="1387">
        <f>SUM(E971:E1000)</f>
        <v>0</v>
      </c>
      <c r="F1001" s="1387">
        <f>SUM(F971:F1000)</f>
        <v>920</v>
      </c>
      <c r="G1001" s="1387">
        <f>SUM(G971:G1000)</f>
        <v>915</v>
      </c>
      <c r="H1001" s="1391">
        <f t="shared" si="80"/>
        <v>99.456521739130437</v>
      </c>
    </row>
    <row r="1002" spans="1:8" ht="13.5" thickTop="1" x14ac:dyDescent="0.2"/>
    <row r="1003" spans="1:8" ht="14.25" customHeight="1" x14ac:dyDescent="0.25">
      <c r="A1003" s="3233" t="s">
        <v>297</v>
      </c>
      <c r="B1003" s="3151"/>
      <c r="C1003" s="3151"/>
      <c r="D1003" s="3151"/>
      <c r="E1003" s="3151"/>
      <c r="F1003" s="3151"/>
      <c r="G1003" s="3151"/>
      <c r="H1003" s="3151"/>
    </row>
    <row r="1004" spans="1:8" ht="15.75" thickBot="1" x14ac:dyDescent="0.3">
      <c r="A1004" s="1544" t="s">
        <v>938</v>
      </c>
      <c r="B1004" s="1558"/>
      <c r="C1004" s="1558"/>
      <c r="E1004" s="1559"/>
      <c r="F1004" s="1559"/>
      <c r="G1004" s="1559"/>
      <c r="H1004" s="1560" t="s">
        <v>148</v>
      </c>
    </row>
    <row r="1005" spans="1:8" ht="25.5" thickTop="1" thickBot="1" x14ac:dyDescent="0.25">
      <c r="A1005" s="1378" t="s">
        <v>149</v>
      </c>
      <c r="B1005" s="1379" t="s">
        <v>688</v>
      </c>
      <c r="C1005" s="1379" t="s">
        <v>345</v>
      </c>
      <c r="D1005" s="1380" t="s">
        <v>151</v>
      </c>
      <c r="E1005" s="1402" t="s">
        <v>569</v>
      </c>
      <c r="F1005" s="1402" t="s">
        <v>570</v>
      </c>
      <c r="G1005" s="1403" t="s">
        <v>797</v>
      </c>
      <c r="H1005" s="1404" t="s">
        <v>798</v>
      </c>
    </row>
    <row r="1006" spans="1:8" ht="14.25" thickTop="1" thickBot="1" x14ac:dyDescent="0.25">
      <c r="A1006" s="1297">
        <v>1</v>
      </c>
      <c r="B1006" s="1296">
        <v>2</v>
      </c>
      <c r="C1006" s="1296">
        <v>3</v>
      </c>
      <c r="D1006" s="1296">
        <v>4</v>
      </c>
      <c r="E1006" s="1295">
        <v>5</v>
      </c>
      <c r="F1006" s="1295">
        <v>6</v>
      </c>
      <c r="G1006" s="1446">
        <v>7</v>
      </c>
      <c r="H1006" s="1468" t="s">
        <v>54</v>
      </c>
    </row>
    <row r="1007" spans="1:8" ht="15.75" hidden="1" thickTop="1" x14ac:dyDescent="0.2">
      <c r="A1007" s="1572">
        <v>3636</v>
      </c>
      <c r="B1007" s="1573">
        <v>5011</v>
      </c>
      <c r="C1007" s="1582">
        <v>0</v>
      </c>
      <c r="D1007" s="1574" t="s">
        <v>189</v>
      </c>
      <c r="E1007" s="1575">
        <v>0</v>
      </c>
      <c r="F1007" s="1575">
        <v>0</v>
      </c>
      <c r="G1007" s="1575">
        <v>0</v>
      </c>
      <c r="H1007" s="1576" t="e">
        <f t="shared" ref="H1007:H1014" si="81">G1007/F1007*100</f>
        <v>#DIV/0!</v>
      </c>
    </row>
    <row r="1008" spans="1:8" ht="15.75" hidden="1" thickTop="1" x14ac:dyDescent="0.2">
      <c r="A1008" s="1577">
        <v>3636</v>
      </c>
      <c r="B1008" s="1578">
        <v>5011</v>
      </c>
      <c r="C1008" s="1578">
        <v>38500881</v>
      </c>
      <c r="D1008" s="1579" t="s">
        <v>189</v>
      </c>
      <c r="E1008" s="1580">
        <v>0</v>
      </c>
      <c r="F1008" s="1580">
        <v>0</v>
      </c>
      <c r="G1008" s="1580">
        <v>0</v>
      </c>
      <c r="H1008" s="1581" t="e">
        <f t="shared" si="81"/>
        <v>#DIV/0!</v>
      </c>
    </row>
    <row r="1009" spans="1:8" ht="30.75" thickTop="1" x14ac:dyDescent="0.2">
      <c r="A1009" s="1577">
        <v>3123</v>
      </c>
      <c r="B1009" s="1578">
        <v>5336</v>
      </c>
      <c r="C1009" s="2850" t="s">
        <v>1849</v>
      </c>
      <c r="D1009" s="1579" t="s">
        <v>1131</v>
      </c>
      <c r="E1009" s="1580">
        <v>0</v>
      </c>
      <c r="F1009" s="1580">
        <f>7+72</f>
        <v>79</v>
      </c>
      <c r="G1009" s="1580">
        <f>4+72</f>
        <v>76</v>
      </c>
      <c r="H1009" s="1581">
        <f t="shared" si="81"/>
        <v>96.202531645569621</v>
      </c>
    </row>
    <row r="1010" spans="1:8" ht="15" hidden="1" x14ac:dyDescent="0.2">
      <c r="A1010" s="1577">
        <v>3636</v>
      </c>
      <c r="B1010" s="1578">
        <v>5021</v>
      </c>
      <c r="C1010" s="1629">
        <v>38500881</v>
      </c>
      <c r="D1010" s="1579" t="s">
        <v>356</v>
      </c>
      <c r="E1010" s="1580"/>
      <c r="F1010" s="1580"/>
      <c r="G1010" s="1580"/>
      <c r="H1010" s="1581" t="e">
        <f t="shared" si="81"/>
        <v>#DIV/0!</v>
      </c>
    </row>
    <row r="1011" spans="1:8" ht="30" hidden="1" x14ac:dyDescent="0.2">
      <c r="A1011" s="1577">
        <v>3636</v>
      </c>
      <c r="B1011" s="1578">
        <v>5031</v>
      </c>
      <c r="C1011" s="1629">
        <v>38100880</v>
      </c>
      <c r="D1011" s="1579" t="s">
        <v>1165</v>
      </c>
      <c r="E1011" s="1580"/>
      <c r="F1011" s="1580"/>
      <c r="G1011" s="1580"/>
      <c r="H1011" s="1581" t="e">
        <f t="shared" si="81"/>
        <v>#DIV/0!</v>
      </c>
    </row>
    <row r="1012" spans="1:8" ht="30" hidden="1" x14ac:dyDescent="0.2">
      <c r="A1012" s="1577">
        <v>3636</v>
      </c>
      <c r="B1012" s="1578">
        <v>5031</v>
      </c>
      <c r="C1012" s="1629">
        <v>38500881</v>
      </c>
      <c r="D1012" s="1579" t="s">
        <v>1165</v>
      </c>
      <c r="E1012" s="1580"/>
      <c r="F1012" s="1580"/>
      <c r="G1012" s="1580"/>
      <c r="H1012" s="1581" t="e">
        <f t="shared" si="81"/>
        <v>#DIV/0!</v>
      </c>
    </row>
    <row r="1013" spans="1:8" ht="30" hidden="1" x14ac:dyDescent="0.2">
      <c r="A1013" s="1577">
        <v>3636</v>
      </c>
      <c r="B1013" s="1578">
        <v>5032</v>
      </c>
      <c r="C1013" s="1629">
        <v>38100880</v>
      </c>
      <c r="D1013" s="1579" t="s">
        <v>1058</v>
      </c>
      <c r="E1013" s="1580"/>
      <c r="F1013" s="1580"/>
      <c r="G1013" s="1580"/>
      <c r="H1013" s="1581" t="e">
        <f t="shared" si="81"/>
        <v>#DIV/0!</v>
      </c>
    </row>
    <row r="1014" spans="1:8" ht="30" hidden="1" x14ac:dyDescent="0.2">
      <c r="A1014" s="1577">
        <v>3636</v>
      </c>
      <c r="B1014" s="1578">
        <v>5032</v>
      </c>
      <c r="C1014" s="1629">
        <v>38500881</v>
      </c>
      <c r="D1014" s="1579" t="s">
        <v>1058</v>
      </c>
      <c r="E1014" s="1580"/>
      <c r="F1014" s="1580"/>
      <c r="G1014" s="1580"/>
      <c r="H1014" s="1581" t="e">
        <f t="shared" si="81"/>
        <v>#DIV/0!</v>
      </c>
    </row>
    <row r="1015" spans="1:8" ht="15" hidden="1" x14ac:dyDescent="0.2">
      <c r="A1015" s="1577">
        <v>3636</v>
      </c>
      <c r="B1015" s="1578">
        <v>5139</v>
      </c>
      <c r="C1015" s="1629">
        <v>38100880</v>
      </c>
      <c r="D1015" s="1579" t="s">
        <v>249</v>
      </c>
      <c r="E1015" s="1580"/>
      <c r="F1015" s="1580"/>
      <c r="G1015" s="1580"/>
      <c r="H1015" s="1581">
        <v>0</v>
      </c>
    </row>
    <row r="1016" spans="1:8" ht="15" hidden="1" x14ac:dyDescent="0.2">
      <c r="A1016" s="1577">
        <v>3636</v>
      </c>
      <c r="B1016" s="1578">
        <v>5139</v>
      </c>
      <c r="C1016" s="1629">
        <v>38500881</v>
      </c>
      <c r="D1016" s="1579" t="s">
        <v>249</v>
      </c>
      <c r="E1016" s="1580"/>
      <c r="F1016" s="1580"/>
      <c r="G1016" s="1580"/>
      <c r="H1016" s="1581" t="e">
        <f t="shared" ref="H1016:H1028" si="82">G1016/F1016*100</f>
        <v>#DIV/0!</v>
      </c>
    </row>
    <row r="1017" spans="1:8" ht="15" hidden="1" x14ac:dyDescent="0.2">
      <c r="A1017" s="1577">
        <v>3636</v>
      </c>
      <c r="B1017" s="1578">
        <v>5162</v>
      </c>
      <c r="C1017" s="1629">
        <v>38100880</v>
      </c>
      <c r="D1017" s="1579" t="s">
        <v>780</v>
      </c>
      <c r="E1017" s="1580"/>
      <c r="F1017" s="1580"/>
      <c r="G1017" s="1580"/>
      <c r="H1017" s="1581" t="e">
        <f t="shared" si="82"/>
        <v>#DIV/0!</v>
      </c>
    </row>
    <row r="1018" spans="1:8" ht="15" hidden="1" x14ac:dyDescent="0.2">
      <c r="A1018" s="1577">
        <v>3636</v>
      </c>
      <c r="B1018" s="1578">
        <v>5162</v>
      </c>
      <c r="C1018" s="1629">
        <v>38500881</v>
      </c>
      <c r="D1018" s="1579" t="s">
        <v>780</v>
      </c>
      <c r="E1018" s="1580"/>
      <c r="F1018" s="1580"/>
      <c r="G1018" s="1580"/>
      <c r="H1018" s="1581" t="e">
        <f t="shared" si="82"/>
        <v>#DIV/0!</v>
      </c>
    </row>
    <row r="1019" spans="1:8" ht="15" hidden="1" x14ac:dyDescent="0.2">
      <c r="A1019" s="1577">
        <v>3636</v>
      </c>
      <c r="B1019" s="1578">
        <v>5164</v>
      </c>
      <c r="C1019" s="1629">
        <v>38100880</v>
      </c>
      <c r="D1019" s="1579" t="s">
        <v>157</v>
      </c>
      <c r="E1019" s="1580"/>
      <c r="F1019" s="1580"/>
      <c r="G1019" s="1580"/>
      <c r="H1019" s="1581" t="e">
        <f t="shared" si="82"/>
        <v>#DIV/0!</v>
      </c>
    </row>
    <row r="1020" spans="1:8" ht="15" hidden="1" x14ac:dyDescent="0.2">
      <c r="A1020" s="1577">
        <v>3636</v>
      </c>
      <c r="B1020" s="1578">
        <v>5164</v>
      </c>
      <c r="C1020" s="1629">
        <v>38500881</v>
      </c>
      <c r="D1020" s="1579" t="s">
        <v>157</v>
      </c>
      <c r="E1020" s="1580"/>
      <c r="F1020" s="1580"/>
      <c r="G1020" s="1580"/>
      <c r="H1020" s="1581" t="e">
        <f t="shared" si="82"/>
        <v>#DIV/0!</v>
      </c>
    </row>
    <row r="1021" spans="1:8" ht="30.75" thickBot="1" x14ac:dyDescent="0.25">
      <c r="A1021" s="1577">
        <v>3123</v>
      </c>
      <c r="B1021" s="1578">
        <v>5336</v>
      </c>
      <c r="C1021" s="2850" t="s">
        <v>1850</v>
      </c>
      <c r="D1021" s="1579" t="s">
        <v>1131</v>
      </c>
      <c r="E1021" s="1580">
        <v>0</v>
      </c>
      <c r="F1021" s="1580">
        <f>38+410</f>
        <v>448</v>
      </c>
      <c r="G1021" s="1580">
        <f>25+410</f>
        <v>435</v>
      </c>
      <c r="H1021" s="1581">
        <f t="shared" si="82"/>
        <v>97.098214285714292</v>
      </c>
    </row>
    <row r="1022" spans="1:8" ht="15.75" hidden="1" thickBot="1" x14ac:dyDescent="0.25">
      <c r="A1022" s="1577">
        <v>3123</v>
      </c>
      <c r="B1022" s="1578">
        <v>5166</v>
      </c>
      <c r="C1022" s="1578">
        <v>41100880</v>
      </c>
      <c r="D1022" s="1579" t="s">
        <v>553</v>
      </c>
      <c r="E1022" s="1580"/>
      <c r="F1022" s="1580"/>
      <c r="G1022" s="1580"/>
      <c r="H1022" s="1581" t="e">
        <f t="shared" si="82"/>
        <v>#DIV/0!</v>
      </c>
    </row>
    <row r="1023" spans="1:8" ht="15.75" hidden="1" thickBot="1" x14ac:dyDescent="0.25">
      <c r="A1023" s="1577">
        <v>3123</v>
      </c>
      <c r="B1023" s="1578">
        <v>5166</v>
      </c>
      <c r="C1023" s="1578">
        <v>41100882</v>
      </c>
      <c r="D1023" s="1579" t="s">
        <v>553</v>
      </c>
      <c r="E1023" s="1580"/>
      <c r="F1023" s="1580"/>
      <c r="G1023" s="1580"/>
      <c r="H1023" s="1581" t="e">
        <f t="shared" si="82"/>
        <v>#DIV/0!</v>
      </c>
    </row>
    <row r="1024" spans="1:8" ht="15.75" hidden="1" thickBot="1" x14ac:dyDescent="0.25">
      <c r="A1024" s="1577">
        <v>3123</v>
      </c>
      <c r="B1024" s="1578">
        <v>5166</v>
      </c>
      <c r="C1024" s="1578">
        <v>41500881</v>
      </c>
      <c r="D1024" s="1579" t="s">
        <v>553</v>
      </c>
      <c r="E1024" s="1580"/>
      <c r="F1024" s="1580"/>
      <c r="G1024" s="1580"/>
      <c r="H1024" s="1581" t="e">
        <f t="shared" si="82"/>
        <v>#DIV/0!</v>
      </c>
    </row>
    <row r="1025" spans="1:8" ht="15.75" hidden="1" thickBot="1" x14ac:dyDescent="0.25">
      <c r="A1025" s="1577">
        <v>3123</v>
      </c>
      <c r="B1025" s="1578">
        <v>5167</v>
      </c>
      <c r="C1025" s="1578">
        <v>38100880</v>
      </c>
      <c r="D1025" s="1579" t="s">
        <v>810</v>
      </c>
      <c r="E1025" s="1580"/>
      <c r="F1025" s="1580"/>
      <c r="G1025" s="1580"/>
      <c r="H1025" s="1581" t="e">
        <f t="shared" si="82"/>
        <v>#DIV/0!</v>
      </c>
    </row>
    <row r="1026" spans="1:8" ht="15.75" hidden="1" thickBot="1" x14ac:dyDescent="0.25">
      <c r="A1026" s="1577">
        <v>3123</v>
      </c>
      <c r="B1026" s="1578">
        <v>5167</v>
      </c>
      <c r="C1026" s="1578">
        <v>38500881</v>
      </c>
      <c r="D1026" s="1579" t="s">
        <v>810</v>
      </c>
      <c r="E1026" s="1580"/>
      <c r="F1026" s="1580"/>
      <c r="G1026" s="1580"/>
      <c r="H1026" s="1581" t="e">
        <f t="shared" si="82"/>
        <v>#DIV/0!</v>
      </c>
    </row>
    <row r="1027" spans="1:8" ht="15.75" hidden="1" thickBot="1" x14ac:dyDescent="0.25">
      <c r="A1027" s="1577">
        <v>3123</v>
      </c>
      <c r="B1027" s="1578">
        <v>5169</v>
      </c>
      <c r="C1027" s="1578">
        <v>38100880</v>
      </c>
      <c r="D1027" s="1579" t="s">
        <v>769</v>
      </c>
      <c r="E1027" s="1580"/>
      <c r="F1027" s="1580"/>
      <c r="G1027" s="1580"/>
      <c r="H1027" s="1581" t="e">
        <f t="shared" si="82"/>
        <v>#DIV/0!</v>
      </c>
    </row>
    <row r="1028" spans="1:8" ht="15.75" hidden="1" thickBot="1" x14ac:dyDescent="0.25">
      <c r="A1028" s="1577">
        <v>3123</v>
      </c>
      <c r="B1028" s="1578">
        <v>5169</v>
      </c>
      <c r="C1028" s="1578">
        <v>38500881</v>
      </c>
      <c r="D1028" s="1579" t="s">
        <v>769</v>
      </c>
      <c r="E1028" s="1580"/>
      <c r="F1028" s="1580"/>
      <c r="G1028" s="1580"/>
      <c r="H1028" s="1581" t="e">
        <f t="shared" si="82"/>
        <v>#DIV/0!</v>
      </c>
    </row>
    <row r="1029" spans="1:8" ht="15.75" hidden="1" thickBot="1" x14ac:dyDescent="0.25">
      <c r="A1029" s="1577">
        <v>3123</v>
      </c>
      <c r="B1029" s="1578">
        <v>5173</v>
      </c>
      <c r="C1029" s="1582">
        <v>0</v>
      </c>
      <c r="D1029" s="1579" t="s">
        <v>1038</v>
      </c>
      <c r="E1029" s="1580"/>
      <c r="F1029" s="1580"/>
      <c r="G1029" s="1580"/>
      <c r="H1029" s="1581">
        <v>0</v>
      </c>
    </row>
    <row r="1030" spans="1:8" ht="15.75" hidden="1" thickBot="1" x14ac:dyDescent="0.25">
      <c r="A1030" s="1577">
        <v>3123</v>
      </c>
      <c r="B1030" s="1578">
        <v>5173</v>
      </c>
      <c r="C1030" s="1578">
        <v>38500881</v>
      </c>
      <c r="D1030" s="1579" t="s">
        <v>1038</v>
      </c>
      <c r="E1030" s="1580">
        <v>0</v>
      </c>
      <c r="F1030" s="1580"/>
      <c r="G1030" s="1580"/>
      <c r="H1030" s="1581" t="e">
        <f t="shared" ref="H1030:H1037" si="83">G1030/F1030*100</f>
        <v>#DIV/0!</v>
      </c>
    </row>
    <row r="1031" spans="1:8" ht="15.75" hidden="1" thickBot="1" x14ac:dyDescent="0.25">
      <c r="A1031" s="1577">
        <v>3123</v>
      </c>
      <c r="B1031" s="1578">
        <v>5175</v>
      </c>
      <c r="C1031" s="1578">
        <v>38100880</v>
      </c>
      <c r="D1031" s="1579" t="s">
        <v>605</v>
      </c>
      <c r="E1031" s="1580">
        <v>0</v>
      </c>
      <c r="F1031" s="1580"/>
      <c r="G1031" s="1580"/>
      <c r="H1031" s="1581" t="e">
        <f t="shared" si="83"/>
        <v>#DIV/0!</v>
      </c>
    </row>
    <row r="1032" spans="1:8" ht="15.75" hidden="1" thickBot="1" x14ac:dyDescent="0.25">
      <c r="A1032" s="1577">
        <v>3123</v>
      </c>
      <c r="B1032" s="1578">
        <v>5175</v>
      </c>
      <c r="C1032" s="1578">
        <v>38500881</v>
      </c>
      <c r="D1032" s="1579" t="s">
        <v>605</v>
      </c>
      <c r="E1032" s="1580">
        <v>0</v>
      </c>
      <c r="F1032" s="1580"/>
      <c r="G1032" s="1580"/>
      <c r="H1032" s="1581" t="e">
        <f t="shared" si="83"/>
        <v>#DIV/0!</v>
      </c>
    </row>
    <row r="1033" spans="1:8" ht="15.75" hidden="1" thickBot="1" x14ac:dyDescent="0.25">
      <c r="A1033" s="1577">
        <v>3123</v>
      </c>
      <c r="B1033" s="1578">
        <v>5176</v>
      </c>
      <c r="C1033" s="1578">
        <v>38100880</v>
      </c>
      <c r="D1033" s="1579" t="s">
        <v>1119</v>
      </c>
      <c r="E1033" s="1580">
        <v>0</v>
      </c>
      <c r="F1033" s="1580"/>
      <c r="G1033" s="1580"/>
      <c r="H1033" s="1581" t="e">
        <f t="shared" si="83"/>
        <v>#DIV/0!</v>
      </c>
    </row>
    <row r="1034" spans="1:8" ht="15.75" hidden="1" thickBot="1" x14ac:dyDescent="0.25">
      <c r="A1034" s="1577">
        <v>3123</v>
      </c>
      <c r="B1034" s="1578">
        <v>5176</v>
      </c>
      <c r="C1034" s="1578">
        <v>38500881</v>
      </c>
      <c r="D1034" s="1579" t="s">
        <v>1119</v>
      </c>
      <c r="E1034" s="1580">
        <v>0</v>
      </c>
      <c r="F1034" s="1580"/>
      <c r="G1034" s="1580"/>
      <c r="H1034" s="1581" t="e">
        <f t="shared" si="83"/>
        <v>#DIV/0!</v>
      </c>
    </row>
    <row r="1035" spans="1:8" ht="30.75" hidden="1" thickBot="1" x14ac:dyDescent="0.25">
      <c r="A1035" s="1577">
        <v>3123</v>
      </c>
      <c r="B1035" s="1578">
        <v>6356</v>
      </c>
      <c r="C1035" s="1578">
        <v>32133910</v>
      </c>
      <c r="D1035" s="1579" t="s">
        <v>1552</v>
      </c>
      <c r="E1035" s="1580">
        <v>0</v>
      </c>
      <c r="F1035" s="1580">
        <v>0</v>
      </c>
      <c r="G1035" s="1580">
        <v>0</v>
      </c>
      <c r="H1035" s="1581" t="e">
        <f t="shared" si="83"/>
        <v>#DIV/0!</v>
      </c>
    </row>
    <row r="1036" spans="1:8" ht="30.75" hidden="1" thickBot="1" x14ac:dyDescent="0.25">
      <c r="A1036" s="1577">
        <v>3123</v>
      </c>
      <c r="B1036" s="1578">
        <v>6356</v>
      </c>
      <c r="C1036" s="1578">
        <v>32533910</v>
      </c>
      <c r="D1036" s="1579" t="s">
        <v>1552</v>
      </c>
      <c r="E1036" s="1580">
        <v>0</v>
      </c>
      <c r="F1036" s="1580">
        <v>0</v>
      </c>
      <c r="G1036" s="1580">
        <v>0</v>
      </c>
      <c r="H1036" s="1583" t="e">
        <f t="shared" si="83"/>
        <v>#DIV/0!</v>
      </c>
    </row>
    <row r="1037" spans="1:8" ht="16.5" thickTop="1" thickBot="1" x14ac:dyDescent="0.3">
      <c r="A1037" s="3219" t="s">
        <v>690</v>
      </c>
      <c r="B1037" s="3220"/>
      <c r="C1037" s="3220"/>
      <c r="D1037" s="3220"/>
      <c r="E1037" s="1387">
        <f>SUM(E1007:E1036)</f>
        <v>0</v>
      </c>
      <c r="F1037" s="1387">
        <f>SUM(F1007:F1036)</f>
        <v>527</v>
      </c>
      <c r="G1037" s="1387">
        <f>SUM(G1007:G1036)</f>
        <v>511</v>
      </c>
      <c r="H1037" s="1391">
        <f t="shared" si="83"/>
        <v>96.963946869070199</v>
      </c>
    </row>
    <row r="1038" spans="1:8" ht="13.5" thickTop="1" x14ac:dyDescent="0.2"/>
    <row r="1039" spans="1:8" ht="13.5" customHeight="1" x14ac:dyDescent="0.25">
      <c r="A1039" s="3233" t="s">
        <v>1291</v>
      </c>
      <c r="B1039" s="3151"/>
      <c r="C1039" s="3151"/>
      <c r="D1039" s="3151"/>
      <c r="E1039" s="3151"/>
      <c r="F1039" s="3151"/>
      <c r="G1039" s="3151"/>
      <c r="H1039" s="3151"/>
    </row>
    <row r="1040" spans="1:8" ht="15.75" thickBot="1" x14ac:dyDescent="0.3">
      <c r="A1040" s="1544" t="s">
        <v>1575</v>
      </c>
      <c r="B1040" s="1558"/>
      <c r="C1040" s="1558"/>
      <c r="E1040" s="1559"/>
      <c r="F1040" s="1559"/>
      <c r="G1040" s="1559"/>
      <c r="H1040" s="1560" t="s">
        <v>148</v>
      </c>
    </row>
    <row r="1041" spans="1:8" ht="25.5" thickTop="1" thickBot="1" x14ac:dyDescent="0.25">
      <c r="A1041" s="1378" t="s">
        <v>149</v>
      </c>
      <c r="B1041" s="1379" t="s">
        <v>688</v>
      </c>
      <c r="C1041" s="1379" t="s">
        <v>345</v>
      </c>
      <c r="D1041" s="1380" t="s">
        <v>151</v>
      </c>
      <c r="E1041" s="1402" t="s">
        <v>569</v>
      </c>
      <c r="F1041" s="1402" t="s">
        <v>570</v>
      </c>
      <c r="G1041" s="1403" t="s">
        <v>797</v>
      </c>
      <c r="H1041" s="1404" t="s">
        <v>798</v>
      </c>
    </row>
    <row r="1042" spans="1:8" ht="14.25" thickTop="1" thickBot="1" x14ac:dyDescent="0.25">
      <c r="A1042" s="1297">
        <v>1</v>
      </c>
      <c r="B1042" s="1296">
        <v>2</v>
      </c>
      <c r="C1042" s="1296">
        <v>3</v>
      </c>
      <c r="D1042" s="1296">
        <v>4</v>
      </c>
      <c r="E1042" s="1295">
        <v>5</v>
      </c>
      <c r="F1042" s="1295">
        <v>6</v>
      </c>
      <c r="G1042" s="1446">
        <v>7</v>
      </c>
      <c r="H1042" s="1468" t="s">
        <v>54</v>
      </c>
    </row>
    <row r="1043" spans="1:8" ht="15.75" hidden="1" thickTop="1" x14ac:dyDescent="0.2">
      <c r="A1043" s="1572">
        <v>3636</v>
      </c>
      <c r="B1043" s="1573">
        <v>5011</v>
      </c>
      <c r="C1043" s="1582">
        <v>0</v>
      </c>
      <c r="D1043" s="1574" t="s">
        <v>189</v>
      </c>
      <c r="E1043" s="1575">
        <v>0</v>
      </c>
      <c r="F1043" s="1575">
        <v>0</v>
      </c>
      <c r="G1043" s="1575">
        <v>0</v>
      </c>
      <c r="H1043" s="1576" t="e">
        <f t="shared" ref="H1043:H1050" si="84">G1043/F1043*100</f>
        <v>#DIV/0!</v>
      </c>
    </row>
    <row r="1044" spans="1:8" ht="15.75" hidden="1" thickTop="1" x14ac:dyDescent="0.2">
      <c r="A1044" s="1577">
        <v>3636</v>
      </c>
      <c r="B1044" s="1578">
        <v>5011</v>
      </c>
      <c r="C1044" s="1578">
        <v>38500881</v>
      </c>
      <c r="D1044" s="1579" t="s">
        <v>189</v>
      </c>
      <c r="E1044" s="1580">
        <v>0</v>
      </c>
      <c r="F1044" s="1580">
        <v>0</v>
      </c>
      <c r="G1044" s="1580">
        <v>0</v>
      </c>
      <c r="H1044" s="1581" t="e">
        <f t="shared" si="84"/>
        <v>#DIV/0!</v>
      </c>
    </row>
    <row r="1045" spans="1:8" ht="30.75" thickTop="1" x14ac:dyDescent="0.2">
      <c r="A1045" s="1577">
        <v>3123</v>
      </c>
      <c r="B1045" s="1578">
        <v>5336</v>
      </c>
      <c r="C1045" s="2850" t="s">
        <v>1849</v>
      </c>
      <c r="D1045" s="1579" t="s">
        <v>1131</v>
      </c>
      <c r="E1045" s="1580">
        <v>0</v>
      </c>
      <c r="F1045" s="1580">
        <f>21+145</f>
        <v>166</v>
      </c>
      <c r="G1045" s="1580">
        <f>20+145</f>
        <v>165</v>
      </c>
      <c r="H1045" s="1581">
        <f t="shared" si="84"/>
        <v>99.397590361445793</v>
      </c>
    </row>
    <row r="1046" spans="1:8" ht="15" hidden="1" x14ac:dyDescent="0.2">
      <c r="A1046" s="1577">
        <v>3636</v>
      </c>
      <c r="B1046" s="1578">
        <v>5021</v>
      </c>
      <c r="C1046" s="1629">
        <v>38500881</v>
      </c>
      <c r="D1046" s="1579" t="s">
        <v>356</v>
      </c>
      <c r="E1046" s="1580"/>
      <c r="F1046" s="1580"/>
      <c r="G1046" s="1580"/>
      <c r="H1046" s="1581" t="e">
        <f t="shared" si="84"/>
        <v>#DIV/0!</v>
      </c>
    </row>
    <row r="1047" spans="1:8" ht="30" hidden="1" x14ac:dyDescent="0.2">
      <c r="A1047" s="1577">
        <v>3636</v>
      </c>
      <c r="B1047" s="1578">
        <v>5031</v>
      </c>
      <c r="C1047" s="1629">
        <v>38100880</v>
      </c>
      <c r="D1047" s="1579" t="s">
        <v>1165</v>
      </c>
      <c r="E1047" s="1580"/>
      <c r="F1047" s="1580"/>
      <c r="G1047" s="1580"/>
      <c r="H1047" s="1581" t="e">
        <f t="shared" si="84"/>
        <v>#DIV/0!</v>
      </c>
    </row>
    <row r="1048" spans="1:8" ht="30" hidden="1" x14ac:dyDescent="0.2">
      <c r="A1048" s="1577">
        <v>3636</v>
      </c>
      <c r="B1048" s="1578">
        <v>5031</v>
      </c>
      <c r="C1048" s="1629">
        <v>38500881</v>
      </c>
      <c r="D1048" s="1579" t="s">
        <v>1165</v>
      </c>
      <c r="E1048" s="1580"/>
      <c r="F1048" s="1580"/>
      <c r="G1048" s="1580"/>
      <c r="H1048" s="1581" t="e">
        <f t="shared" si="84"/>
        <v>#DIV/0!</v>
      </c>
    </row>
    <row r="1049" spans="1:8" ht="30" hidden="1" x14ac:dyDescent="0.2">
      <c r="A1049" s="1577">
        <v>3636</v>
      </c>
      <c r="B1049" s="1578">
        <v>5032</v>
      </c>
      <c r="C1049" s="1629">
        <v>38100880</v>
      </c>
      <c r="D1049" s="1579" t="s">
        <v>1058</v>
      </c>
      <c r="E1049" s="1580"/>
      <c r="F1049" s="1580"/>
      <c r="G1049" s="1580"/>
      <c r="H1049" s="1581" t="e">
        <f t="shared" si="84"/>
        <v>#DIV/0!</v>
      </c>
    </row>
    <row r="1050" spans="1:8" ht="30" hidden="1" x14ac:dyDescent="0.2">
      <c r="A1050" s="1577">
        <v>3636</v>
      </c>
      <c r="B1050" s="1578">
        <v>5032</v>
      </c>
      <c r="C1050" s="1629">
        <v>38500881</v>
      </c>
      <c r="D1050" s="1579" t="s">
        <v>1058</v>
      </c>
      <c r="E1050" s="1580"/>
      <c r="F1050" s="1580"/>
      <c r="G1050" s="1580"/>
      <c r="H1050" s="1581" t="e">
        <f t="shared" si="84"/>
        <v>#DIV/0!</v>
      </c>
    </row>
    <row r="1051" spans="1:8" ht="15" hidden="1" x14ac:dyDescent="0.2">
      <c r="A1051" s="1577">
        <v>3636</v>
      </c>
      <c r="B1051" s="1578">
        <v>5139</v>
      </c>
      <c r="C1051" s="1629">
        <v>38100880</v>
      </c>
      <c r="D1051" s="1579" t="s">
        <v>249</v>
      </c>
      <c r="E1051" s="1580"/>
      <c r="F1051" s="1580"/>
      <c r="G1051" s="1580"/>
      <c r="H1051" s="1581">
        <v>0</v>
      </c>
    </row>
    <row r="1052" spans="1:8" ht="15" hidden="1" x14ac:dyDescent="0.2">
      <c r="A1052" s="1577">
        <v>3636</v>
      </c>
      <c r="B1052" s="1578">
        <v>5139</v>
      </c>
      <c r="C1052" s="1629">
        <v>38500881</v>
      </c>
      <c r="D1052" s="1579" t="s">
        <v>249</v>
      </c>
      <c r="E1052" s="1580"/>
      <c r="F1052" s="1580"/>
      <c r="G1052" s="1580"/>
      <c r="H1052" s="1581" t="e">
        <f t="shared" ref="H1052:H1064" si="85">G1052/F1052*100</f>
        <v>#DIV/0!</v>
      </c>
    </row>
    <row r="1053" spans="1:8" ht="15" hidden="1" x14ac:dyDescent="0.2">
      <c r="A1053" s="1577">
        <v>3636</v>
      </c>
      <c r="B1053" s="1578">
        <v>5162</v>
      </c>
      <c r="C1053" s="1629">
        <v>38100880</v>
      </c>
      <c r="D1053" s="1579" t="s">
        <v>780</v>
      </c>
      <c r="E1053" s="1580"/>
      <c r="F1053" s="1580"/>
      <c r="G1053" s="1580"/>
      <c r="H1053" s="1581" t="e">
        <f t="shared" si="85"/>
        <v>#DIV/0!</v>
      </c>
    </row>
    <row r="1054" spans="1:8" ht="15" hidden="1" x14ac:dyDescent="0.2">
      <c r="A1054" s="1577">
        <v>3636</v>
      </c>
      <c r="B1054" s="1578">
        <v>5162</v>
      </c>
      <c r="C1054" s="1629">
        <v>38500881</v>
      </c>
      <c r="D1054" s="1579" t="s">
        <v>780</v>
      </c>
      <c r="E1054" s="1580"/>
      <c r="F1054" s="1580"/>
      <c r="G1054" s="1580"/>
      <c r="H1054" s="1581" t="e">
        <f t="shared" si="85"/>
        <v>#DIV/0!</v>
      </c>
    </row>
    <row r="1055" spans="1:8" ht="15" hidden="1" x14ac:dyDescent="0.2">
      <c r="A1055" s="1577">
        <v>3636</v>
      </c>
      <c r="B1055" s="1578">
        <v>5164</v>
      </c>
      <c r="C1055" s="1629">
        <v>38100880</v>
      </c>
      <c r="D1055" s="1579" t="s">
        <v>157</v>
      </c>
      <c r="E1055" s="1580"/>
      <c r="F1055" s="1580"/>
      <c r="G1055" s="1580"/>
      <c r="H1055" s="1581" t="e">
        <f t="shared" si="85"/>
        <v>#DIV/0!</v>
      </c>
    </row>
    <row r="1056" spans="1:8" ht="15" hidden="1" x14ac:dyDescent="0.2">
      <c r="A1056" s="1577">
        <v>3636</v>
      </c>
      <c r="B1056" s="1578">
        <v>5164</v>
      </c>
      <c r="C1056" s="1629">
        <v>38500881</v>
      </c>
      <c r="D1056" s="1579" t="s">
        <v>157</v>
      </c>
      <c r="E1056" s="1580"/>
      <c r="F1056" s="1580"/>
      <c r="G1056" s="1580"/>
      <c r="H1056" s="1581" t="e">
        <f t="shared" si="85"/>
        <v>#DIV/0!</v>
      </c>
    </row>
    <row r="1057" spans="1:8" ht="30" x14ac:dyDescent="0.2">
      <c r="A1057" s="1577">
        <v>3123</v>
      </c>
      <c r="B1057" s="1578">
        <v>5336</v>
      </c>
      <c r="C1057" s="2850" t="s">
        <v>1850</v>
      </c>
      <c r="D1057" s="1579" t="s">
        <v>1131</v>
      </c>
      <c r="E1057" s="1580">
        <v>0</v>
      </c>
      <c r="F1057" s="1580">
        <f>120+822</f>
        <v>942</v>
      </c>
      <c r="G1057" s="1580">
        <f>115+822</f>
        <v>937</v>
      </c>
      <c r="H1057" s="1581">
        <f t="shared" si="85"/>
        <v>99.469214437367299</v>
      </c>
    </row>
    <row r="1058" spans="1:8" ht="15" hidden="1" x14ac:dyDescent="0.2">
      <c r="A1058" s="1577">
        <v>6223</v>
      </c>
      <c r="B1058" s="1578">
        <v>5166</v>
      </c>
      <c r="C1058" s="1629">
        <v>41100880</v>
      </c>
      <c r="D1058" s="1579" t="s">
        <v>553</v>
      </c>
      <c r="E1058" s="1580"/>
      <c r="F1058" s="1580"/>
      <c r="G1058" s="1580"/>
      <c r="H1058" s="1581" t="e">
        <f t="shared" si="85"/>
        <v>#DIV/0!</v>
      </c>
    </row>
    <row r="1059" spans="1:8" ht="15" hidden="1" x14ac:dyDescent="0.2">
      <c r="A1059" s="1577">
        <v>6223</v>
      </c>
      <c r="B1059" s="1578">
        <v>5166</v>
      </c>
      <c r="C1059" s="1629">
        <v>41100882</v>
      </c>
      <c r="D1059" s="1579" t="s">
        <v>553</v>
      </c>
      <c r="E1059" s="1580"/>
      <c r="F1059" s="1580"/>
      <c r="G1059" s="1580"/>
      <c r="H1059" s="1581" t="e">
        <f t="shared" si="85"/>
        <v>#DIV/0!</v>
      </c>
    </row>
    <row r="1060" spans="1:8" ht="15" hidden="1" x14ac:dyDescent="0.2">
      <c r="A1060" s="1577">
        <v>6223</v>
      </c>
      <c r="B1060" s="1578">
        <v>5166</v>
      </c>
      <c r="C1060" s="1629">
        <v>41500881</v>
      </c>
      <c r="D1060" s="1579" t="s">
        <v>553</v>
      </c>
      <c r="E1060" s="1580"/>
      <c r="F1060" s="1580"/>
      <c r="G1060" s="1580"/>
      <c r="H1060" s="1581" t="e">
        <f t="shared" si="85"/>
        <v>#DIV/0!</v>
      </c>
    </row>
    <row r="1061" spans="1:8" ht="15" hidden="1" x14ac:dyDescent="0.2">
      <c r="A1061" s="1577">
        <v>3636</v>
      </c>
      <c r="B1061" s="1578">
        <v>5167</v>
      </c>
      <c r="C1061" s="1629">
        <v>38100880</v>
      </c>
      <c r="D1061" s="1579" t="s">
        <v>810</v>
      </c>
      <c r="E1061" s="1580"/>
      <c r="F1061" s="1580"/>
      <c r="G1061" s="1580"/>
      <c r="H1061" s="1581" t="e">
        <f t="shared" si="85"/>
        <v>#DIV/0!</v>
      </c>
    </row>
    <row r="1062" spans="1:8" ht="15" hidden="1" x14ac:dyDescent="0.2">
      <c r="A1062" s="1577">
        <v>3636</v>
      </c>
      <c r="B1062" s="1578">
        <v>5167</v>
      </c>
      <c r="C1062" s="1629">
        <v>38500881</v>
      </c>
      <c r="D1062" s="1579" t="s">
        <v>810</v>
      </c>
      <c r="E1062" s="1580"/>
      <c r="F1062" s="1580"/>
      <c r="G1062" s="1580"/>
      <c r="H1062" s="1581" t="e">
        <f t="shared" si="85"/>
        <v>#DIV/0!</v>
      </c>
    </row>
    <row r="1063" spans="1:8" ht="15" hidden="1" x14ac:dyDescent="0.2">
      <c r="A1063" s="1577">
        <v>3636</v>
      </c>
      <c r="B1063" s="1578">
        <v>5169</v>
      </c>
      <c r="C1063" s="1629">
        <v>38100880</v>
      </c>
      <c r="D1063" s="1579" t="s">
        <v>769</v>
      </c>
      <c r="E1063" s="1580"/>
      <c r="F1063" s="1580"/>
      <c r="G1063" s="1580"/>
      <c r="H1063" s="1581" t="e">
        <f t="shared" si="85"/>
        <v>#DIV/0!</v>
      </c>
    </row>
    <row r="1064" spans="1:8" ht="15" hidden="1" x14ac:dyDescent="0.2">
      <c r="A1064" s="1577">
        <v>3636</v>
      </c>
      <c r="B1064" s="1578">
        <v>5169</v>
      </c>
      <c r="C1064" s="1629">
        <v>38500881</v>
      </c>
      <c r="D1064" s="1579" t="s">
        <v>769</v>
      </c>
      <c r="E1064" s="1580"/>
      <c r="F1064" s="1580"/>
      <c r="G1064" s="1580"/>
      <c r="H1064" s="1581" t="e">
        <f t="shared" si="85"/>
        <v>#DIV/0!</v>
      </c>
    </row>
    <row r="1065" spans="1:8" ht="15" hidden="1" x14ac:dyDescent="0.2">
      <c r="A1065" s="1577">
        <v>6223</v>
      </c>
      <c r="B1065" s="1578">
        <v>5173</v>
      </c>
      <c r="C1065" s="2850">
        <v>0</v>
      </c>
      <c r="D1065" s="1579" t="s">
        <v>1038</v>
      </c>
      <c r="E1065" s="1580"/>
      <c r="F1065" s="1580"/>
      <c r="G1065" s="1580"/>
      <c r="H1065" s="1581">
        <v>0</v>
      </c>
    </row>
    <row r="1066" spans="1:8" ht="15" hidden="1" x14ac:dyDescent="0.2">
      <c r="A1066" s="1577">
        <v>3636</v>
      </c>
      <c r="B1066" s="1578">
        <v>5173</v>
      </c>
      <c r="C1066" s="1629">
        <v>38500881</v>
      </c>
      <c r="D1066" s="1579" t="s">
        <v>1038</v>
      </c>
      <c r="E1066" s="1580"/>
      <c r="F1066" s="1580"/>
      <c r="G1066" s="1580"/>
      <c r="H1066" s="1581" t="e">
        <f t="shared" ref="H1066:H1073" si="86">G1066/F1066*100</f>
        <v>#DIV/0!</v>
      </c>
    </row>
    <row r="1067" spans="1:8" ht="15" hidden="1" x14ac:dyDescent="0.2">
      <c r="A1067" s="1577">
        <v>3636</v>
      </c>
      <c r="B1067" s="1578">
        <v>5175</v>
      </c>
      <c r="C1067" s="1629">
        <v>38100880</v>
      </c>
      <c r="D1067" s="1579" t="s">
        <v>605</v>
      </c>
      <c r="E1067" s="1580"/>
      <c r="F1067" s="1580"/>
      <c r="G1067" s="1580"/>
      <c r="H1067" s="1581" t="e">
        <f t="shared" si="86"/>
        <v>#DIV/0!</v>
      </c>
    </row>
    <row r="1068" spans="1:8" ht="15" hidden="1" x14ac:dyDescent="0.2">
      <c r="A1068" s="1577">
        <v>3636</v>
      </c>
      <c r="B1068" s="1578">
        <v>5175</v>
      </c>
      <c r="C1068" s="1629">
        <v>38500881</v>
      </c>
      <c r="D1068" s="1579" t="s">
        <v>605</v>
      </c>
      <c r="E1068" s="1580"/>
      <c r="F1068" s="1580"/>
      <c r="G1068" s="1580"/>
      <c r="H1068" s="1581" t="e">
        <f t="shared" si="86"/>
        <v>#DIV/0!</v>
      </c>
    </row>
    <row r="1069" spans="1:8" ht="15" hidden="1" x14ac:dyDescent="0.2">
      <c r="A1069" s="1577">
        <v>3636</v>
      </c>
      <c r="B1069" s="1578">
        <v>5176</v>
      </c>
      <c r="C1069" s="1629">
        <v>38100880</v>
      </c>
      <c r="D1069" s="1579" t="s">
        <v>1119</v>
      </c>
      <c r="E1069" s="1580"/>
      <c r="F1069" s="1580"/>
      <c r="G1069" s="1580"/>
      <c r="H1069" s="1581" t="e">
        <f t="shared" si="86"/>
        <v>#DIV/0!</v>
      </c>
    </row>
    <row r="1070" spans="1:8" ht="15" hidden="1" x14ac:dyDescent="0.2">
      <c r="A1070" s="1577">
        <v>3636</v>
      </c>
      <c r="B1070" s="1578">
        <v>5176</v>
      </c>
      <c r="C1070" s="1629">
        <v>38500881</v>
      </c>
      <c r="D1070" s="1579" t="s">
        <v>1119</v>
      </c>
      <c r="E1070" s="1580"/>
      <c r="F1070" s="1580"/>
      <c r="G1070" s="1580"/>
      <c r="H1070" s="1581" t="e">
        <f t="shared" si="86"/>
        <v>#DIV/0!</v>
      </c>
    </row>
    <row r="1071" spans="1:8" ht="30" x14ac:dyDescent="0.2">
      <c r="A1071" s="1577">
        <v>3123</v>
      </c>
      <c r="B1071" s="1578">
        <v>6356</v>
      </c>
      <c r="C1071" s="1629" t="s">
        <v>2127</v>
      </c>
      <c r="D1071" s="1579" t="s">
        <v>1552</v>
      </c>
      <c r="E1071" s="1580">
        <v>0</v>
      </c>
      <c r="F1071" s="1580">
        <v>2</v>
      </c>
      <c r="G1071" s="1580">
        <v>2</v>
      </c>
      <c r="H1071" s="1581">
        <f t="shared" si="86"/>
        <v>100</v>
      </c>
    </row>
    <row r="1072" spans="1:8" ht="30.75" thickBot="1" x14ac:dyDescent="0.25">
      <c r="A1072" s="1577">
        <v>3123</v>
      </c>
      <c r="B1072" s="1578">
        <v>6356</v>
      </c>
      <c r="C1072" s="1629" t="s">
        <v>2126</v>
      </c>
      <c r="D1072" s="1579" t="s">
        <v>1552</v>
      </c>
      <c r="E1072" s="1580">
        <v>0</v>
      </c>
      <c r="F1072" s="1580">
        <v>10</v>
      </c>
      <c r="G1072" s="1580">
        <v>10</v>
      </c>
      <c r="H1072" s="1583">
        <f t="shared" si="86"/>
        <v>100</v>
      </c>
    </row>
    <row r="1073" spans="1:8" ht="16.5" thickTop="1" thickBot="1" x14ac:dyDescent="0.3">
      <c r="A1073" s="3219" t="s">
        <v>690</v>
      </c>
      <c r="B1073" s="3220"/>
      <c r="C1073" s="3220"/>
      <c r="D1073" s="3220"/>
      <c r="E1073" s="1387">
        <f>SUM(E1043:E1072)</f>
        <v>0</v>
      </c>
      <c r="F1073" s="1387">
        <f>SUM(F1043:F1072)</f>
        <v>1120</v>
      </c>
      <c r="G1073" s="1387">
        <f>SUM(G1043:G1072)</f>
        <v>1114</v>
      </c>
      <c r="H1073" s="1391">
        <f t="shared" si="86"/>
        <v>99.464285714285722</v>
      </c>
    </row>
    <row r="1074" spans="1:8" ht="13.5" thickTop="1" x14ac:dyDescent="0.2"/>
    <row r="1075" spans="1:8" ht="13.5" customHeight="1" x14ac:dyDescent="0.25">
      <c r="A1075" s="3233" t="s">
        <v>1576</v>
      </c>
      <c r="B1075" s="3151"/>
      <c r="C1075" s="3151"/>
      <c r="D1075" s="3151"/>
      <c r="E1075" s="3151"/>
      <c r="F1075" s="3151"/>
      <c r="G1075" s="3151"/>
      <c r="H1075" s="3151"/>
    </row>
    <row r="1076" spans="1:8" ht="15.75" thickBot="1" x14ac:dyDescent="0.3">
      <c r="A1076" s="1544" t="s">
        <v>1031</v>
      </c>
      <c r="B1076" s="1558"/>
      <c r="C1076" s="1558"/>
      <c r="E1076" s="1559"/>
      <c r="F1076" s="1559"/>
      <c r="G1076" s="1559"/>
      <c r="H1076" s="1560" t="s">
        <v>148</v>
      </c>
    </row>
    <row r="1077" spans="1:8" ht="25.5" thickTop="1" thickBot="1" x14ac:dyDescent="0.25">
      <c r="A1077" s="1378" t="s">
        <v>149</v>
      </c>
      <c r="B1077" s="1379" t="s">
        <v>688</v>
      </c>
      <c r="C1077" s="1379" t="s">
        <v>345</v>
      </c>
      <c r="D1077" s="1380" t="s">
        <v>151</v>
      </c>
      <c r="E1077" s="1402" t="s">
        <v>569</v>
      </c>
      <c r="F1077" s="1402" t="s">
        <v>570</v>
      </c>
      <c r="G1077" s="1403" t="s">
        <v>797</v>
      </c>
      <c r="H1077" s="1404" t="s">
        <v>798</v>
      </c>
    </row>
    <row r="1078" spans="1:8" ht="14.25" thickTop="1" thickBot="1" x14ac:dyDescent="0.25">
      <c r="A1078" s="1297">
        <v>1</v>
      </c>
      <c r="B1078" s="1296">
        <v>2</v>
      </c>
      <c r="C1078" s="1296">
        <v>3</v>
      </c>
      <c r="D1078" s="1296">
        <v>4</v>
      </c>
      <c r="E1078" s="1295">
        <v>5</v>
      </c>
      <c r="F1078" s="1295">
        <v>6</v>
      </c>
      <c r="G1078" s="1446">
        <v>7</v>
      </c>
      <c r="H1078" s="1468" t="s">
        <v>54</v>
      </c>
    </row>
    <row r="1079" spans="1:8" ht="30.75" thickTop="1" x14ac:dyDescent="0.2">
      <c r="A1079" s="1577">
        <v>3124</v>
      </c>
      <c r="B1079" s="1578">
        <v>5336</v>
      </c>
      <c r="C1079" s="2850" t="s">
        <v>1849</v>
      </c>
      <c r="D1079" s="1579" t="s">
        <v>1131</v>
      </c>
      <c r="E1079" s="1580">
        <v>0</v>
      </c>
      <c r="F1079" s="1580">
        <f>10+112</f>
        <v>122</v>
      </c>
      <c r="G1079" s="1580">
        <f>7+112</f>
        <v>119</v>
      </c>
      <c r="H1079" s="1581">
        <f t="shared" ref="H1079:H1087" si="87">G1079/F1079*100</f>
        <v>97.540983606557376</v>
      </c>
    </row>
    <row r="1080" spans="1:8" ht="30" x14ac:dyDescent="0.2">
      <c r="A1080" s="1577">
        <v>3124</v>
      </c>
      <c r="B1080" s="1578">
        <v>5336</v>
      </c>
      <c r="C1080" s="2850" t="s">
        <v>1850</v>
      </c>
      <c r="D1080" s="1579" t="s">
        <v>1131</v>
      </c>
      <c r="E1080" s="1580">
        <v>0</v>
      </c>
      <c r="F1080" s="1580">
        <f>54+632</f>
        <v>686</v>
      </c>
      <c r="G1080" s="1580">
        <f>40+632</f>
        <v>672</v>
      </c>
      <c r="H1080" s="1581">
        <f t="shared" si="87"/>
        <v>97.959183673469383</v>
      </c>
    </row>
    <row r="1081" spans="1:8" ht="15" hidden="1" x14ac:dyDescent="0.2">
      <c r="A1081" s="1577">
        <v>3124</v>
      </c>
      <c r="B1081" s="1578">
        <v>5166</v>
      </c>
      <c r="C1081" s="1629">
        <v>41100880</v>
      </c>
      <c r="D1081" s="1579" t="s">
        <v>553</v>
      </c>
      <c r="E1081" s="1580"/>
      <c r="F1081" s="1580"/>
      <c r="G1081" s="1580"/>
      <c r="H1081" s="1581" t="e">
        <f t="shared" si="87"/>
        <v>#DIV/0!</v>
      </c>
    </row>
    <row r="1082" spans="1:8" ht="15" hidden="1" x14ac:dyDescent="0.2">
      <c r="A1082" s="1577">
        <v>3124</v>
      </c>
      <c r="B1082" s="1578">
        <v>5166</v>
      </c>
      <c r="C1082" s="1629">
        <v>41100882</v>
      </c>
      <c r="D1082" s="1579" t="s">
        <v>553</v>
      </c>
      <c r="E1082" s="1580"/>
      <c r="F1082" s="1580"/>
      <c r="G1082" s="1580"/>
      <c r="H1082" s="1581" t="e">
        <f t="shared" si="87"/>
        <v>#DIV/0!</v>
      </c>
    </row>
    <row r="1083" spans="1:8" ht="15" hidden="1" x14ac:dyDescent="0.2">
      <c r="A1083" s="1577">
        <v>3124</v>
      </c>
      <c r="B1083" s="1578">
        <v>5166</v>
      </c>
      <c r="C1083" s="1629">
        <v>41500881</v>
      </c>
      <c r="D1083" s="1579" t="s">
        <v>553</v>
      </c>
      <c r="E1083" s="1580"/>
      <c r="F1083" s="1580"/>
      <c r="G1083" s="1580"/>
      <c r="H1083" s="1581" t="e">
        <f t="shared" si="87"/>
        <v>#DIV/0!</v>
      </c>
    </row>
    <row r="1084" spans="1:8" ht="15" hidden="1" x14ac:dyDescent="0.2">
      <c r="A1084" s="1577">
        <v>3124</v>
      </c>
      <c r="B1084" s="1578">
        <v>5167</v>
      </c>
      <c r="C1084" s="1629">
        <v>38100880</v>
      </c>
      <c r="D1084" s="1579" t="s">
        <v>810</v>
      </c>
      <c r="E1084" s="1580"/>
      <c r="F1084" s="1580"/>
      <c r="G1084" s="1580"/>
      <c r="H1084" s="1581" t="e">
        <f t="shared" si="87"/>
        <v>#DIV/0!</v>
      </c>
    </row>
    <row r="1085" spans="1:8" ht="15" hidden="1" x14ac:dyDescent="0.2">
      <c r="A1085" s="1577">
        <v>3124</v>
      </c>
      <c r="B1085" s="1578">
        <v>5167</v>
      </c>
      <c r="C1085" s="1629">
        <v>38500881</v>
      </c>
      <c r="D1085" s="1579" t="s">
        <v>810</v>
      </c>
      <c r="E1085" s="1580"/>
      <c r="F1085" s="1580"/>
      <c r="G1085" s="1580"/>
      <c r="H1085" s="1581" t="e">
        <f t="shared" si="87"/>
        <v>#DIV/0!</v>
      </c>
    </row>
    <row r="1086" spans="1:8" ht="15" hidden="1" x14ac:dyDescent="0.2">
      <c r="A1086" s="1577">
        <v>3124</v>
      </c>
      <c r="B1086" s="1578">
        <v>5169</v>
      </c>
      <c r="C1086" s="1629">
        <v>38100880</v>
      </c>
      <c r="D1086" s="1579" t="s">
        <v>769</v>
      </c>
      <c r="E1086" s="1580"/>
      <c r="F1086" s="1580"/>
      <c r="G1086" s="1580"/>
      <c r="H1086" s="1581" t="e">
        <f t="shared" si="87"/>
        <v>#DIV/0!</v>
      </c>
    </row>
    <row r="1087" spans="1:8" ht="15" hidden="1" x14ac:dyDescent="0.2">
      <c r="A1087" s="1577">
        <v>3124</v>
      </c>
      <c r="B1087" s="1578">
        <v>5169</v>
      </c>
      <c r="C1087" s="1629">
        <v>38500881</v>
      </c>
      <c r="D1087" s="1579" t="s">
        <v>769</v>
      </c>
      <c r="E1087" s="1580"/>
      <c r="F1087" s="1580"/>
      <c r="G1087" s="1580"/>
      <c r="H1087" s="1581" t="e">
        <f t="shared" si="87"/>
        <v>#DIV/0!</v>
      </c>
    </row>
    <row r="1088" spans="1:8" ht="15" hidden="1" x14ac:dyDescent="0.2">
      <c r="A1088" s="1577">
        <v>3124</v>
      </c>
      <c r="B1088" s="1578">
        <v>5173</v>
      </c>
      <c r="C1088" s="2850">
        <v>0</v>
      </c>
      <c r="D1088" s="1579" t="s">
        <v>1038</v>
      </c>
      <c r="E1088" s="1580"/>
      <c r="F1088" s="1580"/>
      <c r="G1088" s="1580"/>
      <c r="H1088" s="1581">
        <v>0</v>
      </c>
    </row>
    <row r="1089" spans="1:8" ht="15" hidden="1" x14ac:dyDescent="0.2">
      <c r="A1089" s="1577">
        <v>3124</v>
      </c>
      <c r="B1089" s="1578">
        <v>5173</v>
      </c>
      <c r="C1089" s="1629">
        <v>38500881</v>
      </c>
      <c r="D1089" s="1579" t="s">
        <v>1038</v>
      </c>
      <c r="E1089" s="1580"/>
      <c r="F1089" s="1580"/>
      <c r="G1089" s="1580"/>
      <c r="H1089" s="1581" t="e">
        <f t="shared" ref="H1089:H1096" si="88">G1089/F1089*100</f>
        <v>#DIV/0!</v>
      </c>
    </row>
    <row r="1090" spans="1:8" ht="15" hidden="1" x14ac:dyDescent="0.2">
      <c r="A1090" s="1577">
        <v>3124</v>
      </c>
      <c r="B1090" s="1578">
        <v>5175</v>
      </c>
      <c r="C1090" s="1629">
        <v>38100880</v>
      </c>
      <c r="D1090" s="1579" t="s">
        <v>605</v>
      </c>
      <c r="E1090" s="1580"/>
      <c r="F1090" s="1580"/>
      <c r="G1090" s="1580"/>
      <c r="H1090" s="1581" t="e">
        <f t="shared" si="88"/>
        <v>#DIV/0!</v>
      </c>
    </row>
    <row r="1091" spans="1:8" ht="15" hidden="1" x14ac:dyDescent="0.2">
      <c r="A1091" s="1577">
        <v>3124</v>
      </c>
      <c r="B1091" s="1578">
        <v>5175</v>
      </c>
      <c r="C1091" s="1629">
        <v>38500881</v>
      </c>
      <c r="D1091" s="1579" t="s">
        <v>605</v>
      </c>
      <c r="E1091" s="1580"/>
      <c r="F1091" s="1580"/>
      <c r="G1091" s="1580"/>
      <c r="H1091" s="1581" t="e">
        <f t="shared" si="88"/>
        <v>#DIV/0!</v>
      </c>
    </row>
    <row r="1092" spans="1:8" ht="15" hidden="1" x14ac:dyDescent="0.2">
      <c r="A1092" s="1577">
        <v>3124</v>
      </c>
      <c r="B1092" s="1578">
        <v>5176</v>
      </c>
      <c r="C1092" s="1629">
        <v>38100880</v>
      </c>
      <c r="D1092" s="1579" t="s">
        <v>1119</v>
      </c>
      <c r="E1092" s="1580"/>
      <c r="F1092" s="1580"/>
      <c r="G1092" s="1580"/>
      <c r="H1092" s="1581" t="e">
        <f t="shared" si="88"/>
        <v>#DIV/0!</v>
      </c>
    </row>
    <row r="1093" spans="1:8" ht="15" hidden="1" x14ac:dyDescent="0.2">
      <c r="A1093" s="1577">
        <v>3124</v>
      </c>
      <c r="B1093" s="1578">
        <v>5176</v>
      </c>
      <c r="C1093" s="1629">
        <v>38500881</v>
      </c>
      <c r="D1093" s="1579" t="s">
        <v>1119</v>
      </c>
      <c r="E1093" s="1580"/>
      <c r="F1093" s="1580"/>
      <c r="G1093" s="1580"/>
      <c r="H1093" s="1581" t="e">
        <f t="shared" si="88"/>
        <v>#DIV/0!</v>
      </c>
    </row>
    <row r="1094" spans="1:8" ht="30" x14ac:dyDescent="0.2">
      <c r="A1094" s="1577">
        <v>3124</v>
      </c>
      <c r="B1094" s="1578">
        <v>6356</v>
      </c>
      <c r="C1094" s="1629" t="s">
        <v>2127</v>
      </c>
      <c r="D1094" s="1579" t="s">
        <v>1552</v>
      </c>
      <c r="E1094" s="1580">
        <v>0</v>
      </c>
      <c r="F1094" s="1580">
        <v>29</v>
      </c>
      <c r="G1094" s="1580">
        <v>26</v>
      </c>
      <c r="H1094" s="1581">
        <f t="shared" si="88"/>
        <v>89.65517241379311</v>
      </c>
    </row>
    <row r="1095" spans="1:8" ht="30.75" thickBot="1" x14ac:dyDescent="0.25">
      <c r="A1095" s="1577">
        <v>3124</v>
      </c>
      <c r="B1095" s="1578">
        <v>6356</v>
      </c>
      <c r="C1095" s="1629" t="s">
        <v>2126</v>
      </c>
      <c r="D1095" s="1579" t="s">
        <v>1552</v>
      </c>
      <c r="E1095" s="1580">
        <v>0</v>
      </c>
      <c r="F1095" s="1580">
        <v>163</v>
      </c>
      <c r="G1095" s="1580">
        <v>146</v>
      </c>
      <c r="H1095" s="1583">
        <f t="shared" si="88"/>
        <v>89.570552147239269</v>
      </c>
    </row>
    <row r="1096" spans="1:8" ht="16.5" thickTop="1" thickBot="1" x14ac:dyDescent="0.3">
      <c r="A1096" s="3219" t="s">
        <v>690</v>
      </c>
      <c r="B1096" s="3220"/>
      <c r="C1096" s="3220"/>
      <c r="D1096" s="3220"/>
      <c r="E1096" s="1387">
        <f>SUM(E1079:E1095)</f>
        <v>0</v>
      </c>
      <c r="F1096" s="1387">
        <f>SUM(F1079:F1095)</f>
        <v>1000</v>
      </c>
      <c r="G1096" s="1387">
        <f>SUM(G1079:G1095)</f>
        <v>963</v>
      </c>
      <c r="H1096" s="1391">
        <f t="shared" si="88"/>
        <v>96.3</v>
      </c>
    </row>
    <row r="1097" spans="1:8" ht="13.5" thickTop="1" x14ac:dyDescent="0.2"/>
    <row r="1098" spans="1:8" ht="13.5" customHeight="1" x14ac:dyDescent="0.25">
      <c r="A1098" s="3233" t="s">
        <v>1735</v>
      </c>
      <c r="B1098" s="3151"/>
      <c r="C1098" s="3151"/>
      <c r="D1098" s="3151"/>
      <c r="E1098" s="3151"/>
      <c r="F1098" s="3151"/>
      <c r="G1098" s="3151"/>
      <c r="H1098" s="3151"/>
    </row>
    <row r="1099" spans="1:8" ht="15.75" thickBot="1" x14ac:dyDescent="0.3">
      <c r="A1099" s="1544" t="s">
        <v>916</v>
      </c>
      <c r="B1099" s="1558"/>
      <c r="C1099" s="1558"/>
      <c r="E1099" s="1559"/>
      <c r="F1099" s="1559"/>
      <c r="G1099" s="1559"/>
      <c r="H1099" s="1560" t="s">
        <v>148</v>
      </c>
    </row>
    <row r="1100" spans="1:8" ht="25.5" thickTop="1" thickBot="1" x14ac:dyDescent="0.25">
      <c r="A1100" s="1378" t="s">
        <v>149</v>
      </c>
      <c r="B1100" s="1379" t="s">
        <v>688</v>
      </c>
      <c r="C1100" s="1379" t="s">
        <v>345</v>
      </c>
      <c r="D1100" s="1380" t="s">
        <v>151</v>
      </c>
      <c r="E1100" s="1402" t="s">
        <v>569</v>
      </c>
      <c r="F1100" s="1402" t="s">
        <v>570</v>
      </c>
      <c r="G1100" s="1403" t="s">
        <v>797</v>
      </c>
      <c r="H1100" s="1404" t="s">
        <v>798</v>
      </c>
    </row>
    <row r="1101" spans="1:8" ht="14.25" thickTop="1" thickBot="1" x14ac:dyDescent="0.25">
      <c r="A1101" s="1297">
        <v>1</v>
      </c>
      <c r="B1101" s="1296">
        <v>2</v>
      </c>
      <c r="C1101" s="1296">
        <v>3</v>
      </c>
      <c r="D1101" s="1296">
        <v>4</v>
      </c>
      <c r="E1101" s="1295">
        <v>5</v>
      </c>
      <c r="F1101" s="1295">
        <v>6</v>
      </c>
      <c r="G1101" s="1446">
        <v>7</v>
      </c>
      <c r="H1101" s="1468" t="s">
        <v>54</v>
      </c>
    </row>
    <row r="1102" spans="1:8" ht="30.75" thickTop="1" x14ac:dyDescent="0.2">
      <c r="A1102" s="1577">
        <v>3123</v>
      </c>
      <c r="B1102" s="1578">
        <v>5336</v>
      </c>
      <c r="C1102" s="2850" t="s">
        <v>1849</v>
      </c>
      <c r="D1102" s="1579" t="s">
        <v>1131</v>
      </c>
      <c r="E1102" s="1580">
        <v>0</v>
      </c>
      <c r="F1102" s="1580">
        <f>9+67</f>
        <v>76</v>
      </c>
      <c r="G1102" s="1580">
        <f>9+67</f>
        <v>76</v>
      </c>
      <c r="H1102" s="1581">
        <f t="shared" ref="H1102:H1110" si="89">G1102/F1102*100</f>
        <v>100</v>
      </c>
    </row>
    <row r="1103" spans="1:8" ht="30.75" thickBot="1" x14ac:dyDescent="0.25">
      <c r="A1103" s="1577">
        <v>3123</v>
      </c>
      <c r="B1103" s="1578">
        <v>5336</v>
      </c>
      <c r="C1103" s="2850" t="s">
        <v>1850</v>
      </c>
      <c r="D1103" s="1579" t="s">
        <v>1131</v>
      </c>
      <c r="E1103" s="1580">
        <v>0</v>
      </c>
      <c r="F1103" s="1580">
        <f>48+379</f>
        <v>427</v>
      </c>
      <c r="G1103" s="1580">
        <f>48+379</f>
        <v>427</v>
      </c>
      <c r="H1103" s="1581">
        <f t="shared" si="89"/>
        <v>100</v>
      </c>
    </row>
    <row r="1104" spans="1:8" ht="15.75" hidden="1" thickBot="1" x14ac:dyDescent="0.25">
      <c r="A1104" s="1577">
        <v>3124</v>
      </c>
      <c r="B1104" s="1578">
        <v>5166</v>
      </c>
      <c r="C1104" s="1578">
        <v>41100880</v>
      </c>
      <c r="D1104" s="1579" t="s">
        <v>553</v>
      </c>
      <c r="E1104" s="1580"/>
      <c r="F1104" s="1580"/>
      <c r="G1104" s="1580"/>
      <c r="H1104" s="1581" t="e">
        <f t="shared" si="89"/>
        <v>#DIV/0!</v>
      </c>
    </row>
    <row r="1105" spans="1:8" ht="15.75" hidden="1" thickBot="1" x14ac:dyDescent="0.25">
      <c r="A1105" s="1577">
        <v>3124</v>
      </c>
      <c r="B1105" s="1578">
        <v>5166</v>
      </c>
      <c r="C1105" s="1578">
        <v>41100882</v>
      </c>
      <c r="D1105" s="1579" t="s">
        <v>553</v>
      </c>
      <c r="E1105" s="1580"/>
      <c r="F1105" s="1580"/>
      <c r="G1105" s="1580"/>
      <c r="H1105" s="1581" t="e">
        <f t="shared" si="89"/>
        <v>#DIV/0!</v>
      </c>
    </row>
    <row r="1106" spans="1:8" ht="15.75" hidden="1" thickBot="1" x14ac:dyDescent="0.25">
      <c r="A1106" s="1577">
        <v>3124</v>
      </c>
      <c r="B1106" s="1578">
        <v>5166</v>
      </c>
      <c r="C1106" s="1578">
        <v>41500881</v>
      </c>
      <c r="D1106" s="1579" t="s">
        <v>553</v>
      </c>
      <c r="E1106" s="1580"/>
      <c r="F1106" s="1580"/>
      <c r="G1106" s="1580"/>
      <c r="H1106" s="1581" t="e">
        <f t="shared" si="89"/>
        <v>#DIV/0!</v>
      </c>
    </row>
    <row r="1107" spans="1:8" ht="15.75" hidden="1" thickBot="1" x14ac:dyDescent="0.25">
      <c r="A1107" s="1577">
        <v>3124</v>
      </c>
      <c r="B1107" s="1578">
        <v>5167</v>
      </c>
      <c r="C1107" s="1578">
        <v>38100880</v>
      </c>
      <c r="D1107" s="1579" t="s">
        <v>810</v>
      </c>
      <c r="E1107" s="1580"/>
      <c r="F1107" s="1580"/>
      <c r="G1107" s="1580"/>
      <c r="H1107" s="1581" t="e">
        <f t="shared" si="89"/>
        <v>#DIV/0!</v>
      </c>
    </row>
    <row r="1108" spans="1:8" ht="15.75" hidden="1" thickBot="1" x14ac:dyDescent="0.25">
      <c r="A1108" s="1577">
        <v>3124</v>
      </c>
      <c r="B1108" s="1578">
        <v>5167</v>
      </c>
      <c r="C1108" s="1578">
        <v>38500881</v>
      </c>
      <c r="D1108" s="1579" t="s">
        <v>810</v>
      </c>
      <c r="E1108" s="1580"/>
      <c r="F1108" s="1580"/>
      <c r="G1108" s="1580"/>
      <c r="H1108" s="1581" t="e">
        <f t="shared" si="89"/>
        <v>#DIV/0!</v>
      </c>
    </row>
    <row r="1109" spans="1:8" ht="15.75" hidden="1" thickBot="1" x14ac:dyDescent="0.25">
      <c r="A1109" s="1577">
        <v>3124</v>
      </c>
      <c r="B1109" s="1578">
        <v>5169</v>
      </c>
      <c r="C1109" s="1578">
        <v>38100880</v>
      </c>
      <c r="D1109" s="1579" t="s">
        <v>769</v>
      </c>
      <c r="E1109" s="1580"/>
      <c r="F1109" s="1580"/>
      <c r="G1109" s="1580"/>
      <c r="H1109" s="1581" t="e">
        <f t="shared" si="89"/>
        <v>#DIV/0!</v>
      </c>
    </row>
    <row r="1110" spans="1:8" ht="15.75" hidden="1" thickBot="1" x14ac:dyDescent="0.25">
      <c r="A1110" s="1577">
        <v>3124</v>
      </c>
      <c r="B1110" s="1578">
        <v>5169</v>
      </c>
      <c r="C1110" s="1578">
        <v>38500881</v>
      </c>
      <c r="D1110" s="1579" t="s">
        <v>769</v>
      </c>
      <c r="E1110" s="1580"/>
      <c r="F1110" s="1580"/>
      <c r="G1110" s="1580"/>
      <c r="H1110" s="1581" t="e">
        <f t="shared" si="89"/>
        <v>#DIV/0!</v>
      </c>
    </row>
    <row r="1111" spans="1:8" ht="15.75" hidden="1" thickBot="1" x14ac:dyDescent="0.25">
      <c r="A1111" s="1577">
        <v>3124</v>
      </c>
      <c r="B1111" s="1578">
        <v>5173</v>
      </c>
      <c r="C1111" s="1582">
        <v>0</v>
      </c>
      <c r="D1111" s="1579" t="s">
        <v>1038</v>
      </c>
      <c r="E1111" s="1580"/>
      <c r="F1111" s="1580"/>
      <c r="G1111" s="1580"/>
      <c r="H1111" s="1581">
        <v>0</v>
      </c>
    </row>
    <row r="1112" spans="1:8" ht="15.75" hidden="1" thickBot="1" x14ac:dyDescent="0.25">
      <c r="A1112" s="1577">
        <v>3124</v>
      </c>
      <c r="B1112" s="1578">
        <v>5173</v>
      </c>
      <c r="C1112" s="1578">
        <v>38500881</v>
      </c>
      <c r="D1112" s="1579" t="s">
        <v>1038</v>
      </c>
      <c r="E1112" s="1580">
        <v>0</v>
      </c>
      <c r="F1112" s="1580"/>
      <c r="G1112" s="1580"/>
      <c r="H1112" s="1581" t="e">
        <f t="shared" ref="H1112:H1119" si="90">G1112/F1112*100</f>
        <v>#DIV/0!</v>
      </c>
    </row>
    <row r="1113" spans="1:8" ht="15.75" hidden="1" thickBot="1" x14ac:dyDescent="0.25">
      <c r="A1113" s="1577">
        <v>3124</v>
      </c>
      <c r="B1113" s="1578">
        <v>5175</v>
      </c>
      <c r="C1113" s="1578">
        <v>38100880</v>
      </c>
      <c r="D1113" s="1579" t="s">
        <v>605</v>
      </c>
      <c r="E1113" s="1580">
        <v>0</v>
      </c>
      <c r="F1113" s="1580"/>
      <c r="G1113" s="1580"/>
      <c r="H1113" s="1581" t="e">
        <f t="shared" si="90"/>
        <v>#DIV/0!</v>
      </c>
    </row>
    <row r="1114" spans="1:8" ht="15.75" hidden="1" thickBot="1" x14ac:dyDescent="0.25">
      <c r="A1114" s="1577">
        <v>3124</v>
      </c>
      <c r="B1114" s="1578">
        <v>5175</v>
      </c>
      <c r="C1114" s="1578">
        <v>38500881</v>
      </c>
      <c r="D1114" s="1579" t="s">
        <v>605</v>
      </c>
      <c r="E1114" s="1580">
        <v>0</v>
      </c>
      <c r="F1114" s="1580"/>
      <c r="G1114" s="1580"/>
      <c r="H1114" s="1581" t="e">
        <f t="shared" si="90"/>
        <v>#DIV/0!</v>
      </c>
    </row>
    <row r="1115" spans="1:8" ht="15.75" hidden="1" thickBot="1" x14ac:dyDescent="0.25">
      <c r="A1115" s="1577">
        <v>3124</v>
      </c>
      <c r="B1115" s="1578">
        <v>5176</v>
      </c>
      <c r="C1115" s="1578">
        <v>38100880</v>
      </c>
      <c r="D1115" s="1579" t="s">
        <v>1119</v>
      </c>
      <c r="E1115" s="1580">
        <v>0</v>
      </c>
      <c r="F1115" s="1580"/>
      <c r="G1115" s="1580"/>
      <c r="H1115" s="1581" t="e">
        <f t="shared" si="90"/>
        <v>#DIV/0!</v>
      </c>
    </row>
    <row r="1116" spans="1:8" ht="15.75" hidden="1" thickBot="1" x14ac:dyDescent="0.25">
      <c r="A1116" s="1577">
        <v>3124</v>
      </c>
      <c r="B1116" s="1578">
        <v>5176</v>
      </c>
      <c r="C1116" s="1578">
        <v>38500881</v>
      </c>
      <c r="D1116" s="1579" t="s">
        <v>1119</v>
      </c>
      <c r="E1116" s="1580">
        <v>0</v>
      </c>
      <c r="F1116" s="1580"/>
      <c r="G1116" s="1580"/>
      <c r="H1116" s="1581" t="e">
        <f t="shared" si="90"/>
        <v>#DIV/0!</v>
      </c>
    </row>
    <row r="1117" spans="1:8" ht="30.75" hidden="1" thickBot="1" x14ac:dyDescent="0.25">
      <c r="A1117" s="1577">
        <v>3124</v>
      </c>
      <c r="B1117" s="1578">
        <v>6356</v>
      </c>
      <c r="C1117" s="1578">
        <v>32133910</v>
      </c>
      <c r="D1117" s="1579" t="s">
        <v>1552</v>
      </c>
      <c r="E1117" s="1580">
        <v>0</v>
      </c>
      <c r="F1117" s="1580"/>
      <c r="G1117" s="1580"/>
      <c r="H1117" s="1581" t="e">
        <f t="shared" si="90"/>
        <v>#DIV/0!</v>
      </c>
    </row>
    <row r="1118" spans="1:8" ht="30.75" hidden="1" thickBot="1" x14ac:dyDescent="0.25">
      <c r="A1118" s="1577">
        <v>3124</v>
      </c>
      <c r="B1118" s="1578">
        <v>6356</v>
      </c>
      <c r="C1118" s="1578">
        <v>32533910</v>
      </c>
      <c r="D1118" s="1579" t="s">
        <v>1552</v>
      </c>
      <c r="E1118" s="1580">
        <v>0</v>
      </c>
      <c r="F1118" s="1580"/>
      <c r="G1118" s="1580"/>
      <c r="H1118" s="1583" t="e">
        <f t="shared" si="90"/>
        <v>#DIV/0!</v>
      </c>
    </row>
    <row r="1119" spans="1:8" ht="16.5" thickTop="1" thickBot="1" x14ac:dyDescent="0.3">
      <c r="A1119" s="3219" t="s">
        <v>690</v>
      </c>
      <c r="B1119" s="3220"/>
      <c r="C1119" s="3220"/>
      <c r="D1119" s="3220"/>
      <c r="E1119" s="1387">
        <f>SUM(E1102:E1118)</f>
        <v>0</v>
      </c>
      <c r="F1119" s="1387">
        <f>SUM(F1102:F1118)</f>
        <v>503</v>
      </c>
      <c r="G1119" s="1387">
        <f>SUM(G1102:G1118)</f>
        <v>503</v>
      </c>
      <c r="H1119" s="1391">
        <f t="shared" si="90"/>
        <v>100</v>
      </c>
    </row>
    <row r="1120" spans="1:8" ht="15.75" thickTop="1" x14ac:dyDescent="0.25">
      <c r="A1120" s="1544"/>
      <c r="B1120" s="1558"/>
      <c r="C1120" s="1558"/>
      <c r="E1120" s="1559"/>
      <c r="F1120" s="1559"/>
      <c r="G1120" s="1559"/>
      <c r="H1120" s="1560"/>
    </row>
    <row r="1121" spans="1:8" ht="12" hidden="1" customHeight="1" x14ac:dyDescent="0.25">
      <c r="A1121" s="3233" t="s">
        <v>1577</v>
      </c>
      <c r="B1121" s="3151"/>
      <c r="C1121" s="3151"/>
      <c r="D1121" s="3151"/>
      <c r="E1121" s="3151"/>
      <c r="F1121" s="3151"/>
      <c r="G1121" s="3151"/>
      <c r="H1121" s="3151"/>
    </row>
    <row r="1122" spans="1:8" ht="15.75" hidden="1" customHeight="1" thickBot="1" x14ac:dyDescent="0.3">
      <c r="A1122" s="1544" t="s">
        <v>1578</v>
      </c>
      <c r="B1122" s="1558"/>
      <c r="C1122" s="1558"/>
      <c r="E1122" s="1559"/>
      <c r="F1122" s="1559"/>
      <c r="G1122" s="1559"/>
      <c r="H1122" s="1560" t="s">
        <v>148</v>
      </c>
    </row>
    <row r="1123" spans="1:8" ht="25.5" hidden="1" customHeight="1" thickTop="1" thickBot="1" x14ac:dyDescent="0.25">
      <c r="A1123" s="1378" t="s">
        <v>149</v>
      </c>
      <c r="B1123" s="1379" t="s">
        <v>688</v>
      </c>
      <c r="C1123" s="1379" t="s">
        <v>345</v>
      </c>
      <c r="D1123" s="1380" t="s">
        <v>151</v>
      </c>
      <c r="E1123" s="1402" t="s">
        <v>569</v>
      </c>
      <c r="F1123" s="1402" t="s">
        <v>570</v>
      </c>
      <c r="G1123" s="1403" t="s">
        <v>797</v>
      </c>
      <c r="H1123" s="1404" t="s">
        <v>798</v>
      </c>
    </row>
    <row r="1124" spans="1:8" ht="14.25" hidden="1" customHeight="1" thickTop="1" thickBot="1" x14ac:dyDescent="0.25">
      <c r="A1124" s="1297">
        <v>1</v>
      </c>
      <c r="B1124" s="1296">
        <v>2</v>
      </c>
      <c r="C1124" s="1296">
        <v>3</v>
      </c>
      <c r="D1124" s="1296">
        <v>4</v>
      </c>
      <c r="E1124" s="1295">
        <v>5</v>
      </c>
      <c r="F1124" s="1295">
        <v>6</v>
      </c>
      <c r="G1124" s="1446">
        <v>7</v>
      </c>
      <c r="H1124" s="1468" t="s">
        <v>54</v>
      </c>
    </row>
    <row r="1125" spans="1:8" ht="30.75" hidden="1" customHeight="1" thickTop="1" x14ac:dyDescent="0.2">
      <c r="A1125" s="1577">
        <v>3123</v>
      </c>
      <c r="B1125" s="1578">
        <v>5336</v>
      </c>
      <c r="C1125" s="2850" t="s">
        <v>1849</v>
      </c>
      <c r="D1125" s="1579" t="s">
        <v>1131</v>
      </c>
      <c r="E1125" s="1580"/>
      <c r="F1125" s="1580"/>
      <c r="G1125" s="1580"/>
      <c r="H1125" s="1581" t="e">
        <f t="shared" ref="H1125:H1133" si="91">G1125/F1125*100</f>
        <v>#DIV/0!</v>
      </c>
    </row>
    <row r="1126" spans="1:8" ht="30" hidden="1" customHeight="1" x14ac:dyDescent="0.2">
      <c r="A1126" s="1577">
        <v>3123</v>
      </c>
      <c r="B1126" s="1578">
        <v>5336</v>
      </c>
      <c r="C1126" s="2850" t="s">
        <v>1850</v>
      </c>
      <c r="D1126" s="1579" t="s">
        <v>1131</v>
      </c>
      <c r="E1126" s="1580"/>
      <c r="F1126" s="1580"/>
      <c r="G1126" s="1580"/>
      <c r="H1126" s="1581" t="e">
        <f t="shared" si="91"/>
        <v>#DIV/0!</v>
      </c>
    </row>
    <row r="1127" spans="1:8" ht="15" hidden="1" customHeight="1" x14ac:dyDescent="0.2">
      <c r="A1127" s="1577">
        <v>3123</v>
      </c>
      <c r="B1127" s="1578">
        <v>5166</v>
      </c>
      <c r="C1127" s="1629">
        <v>41100880</v>
      </c>
      <c r="D1127" s="1579" t="s">
        <v>553</v>
      </c>
      <c r="E1127" s="1580"/>
      <c r="F1127" s="1580"/>
      <c r="G1127" s="1580"/>
      <c r="H1127" s="1581" t="e">
        <f t="shared" si="91"/>
        <v>#DIV/0!</v>
      </c>
    </row>
    <row r="1128" spans="1:8" ht="15" hidden="1" customHeight="1" x14ac:dyDescent="0.2">
      <c r="A1128" s="1577">
        <v>3123</v>
      </c>
      <c r="B1128" s="1578">
        <v>5166</v>
      </c>
      <c r="C1128" s="1629">
        <v>41100882</v>
      </c>
      <c r="D1128" s="1579" t="s">
        <v>553</v>
      </c>
      <c r="E1128" s="1580"/>
      <c r="F1128" s="1580"/>
      <c r="G1128" s="1580"/>
      <c r="H1128" s="1581" t="e">
        <f t="shared" si="91"/>
        <v>#DIV/0!</v>
      </c>
    </row>
    <row r="1129" spans="1:8" ht="15" hidden="1" customHeight="1" x14ac:dyDescent="0.2">
      <c r="A1129" s="1577">
        <v>3123</v>
      </c>
      <c r="B1129" s="1578">
        <v>5166</v>
      </c>
      <c r="C1129" s="1629">
        <v>41500881</v>
      </c>
      <c r="D1129" s="1579" t="s">
        <v>553</v>
      </c>
      <c r="E1129" s="1580"/>
      <c r="F1129" s="1580"/>
      <c r="G1129" s="1580"/>
      <c r="H1129" s="1581" t="e">
        <f t="shared" si="91"/>
        <v>#DIV/0!</v>
      </c>
    </row>
    <row r="1130" spans="1:8" ht="15" hidden="1" customHeight="1" x14ac:dyDescent="0.2">
      <c r="A1130" s="1577">
        <v>3123</v>
      </c>
      <c r="B1130" s="1578">
        <v>5167</v>
      </c>
      <c r="C1130" s="1629">
        <v>38100880</v>
      </c>
      <c r="D1130" s="1579" t="s">
        <v>810</v>
      </c>
      <c r="E1130" s="1580"/>
      <c r="F1130" s="1580"/>
      <c r="G1130" s="1580"/>
      <c r="H1130" s="1581" t="e">
        <f t="shared" si="91"/>
        <v>#DIV/0!</v>
      </c>
    </row>
    <row r="1131" spans="1:8" ht="15" hidden="1" customHeight="1" x14ac:dyDescent="0.2">
      <c r="A1131" s="1577">
        <v>3123</v>
      </c>
      <c r="B1131" s="1578">
        <v>5167</v>
      </c>
      <c r="C1131" s="1629">
        <v>38500881</v>
      </c>
      <c r="D1131" s="1579" t="s">
        <v>810</v>
      </c>
      <c r="E1131" s="1580"/>
      <c r="F1131" s="1580"/>
      <c r="G1131" s="1580"/>
      <c r="H1131" s="1581" t="e">
        <f t="shared" si="91"/>
        <v>#DIV/0!</v>
      </c>
    </row>
    <row r="1132" spans="1:8" ht="15" hidden="1" customHeight="1" x14ac:dyDescent="0.2">
      <c r="A1132" s="1577">
        <v>3123</v>
      </c>
      <c r="B1132" s="1578">
        <v>5169</v>
      </c>
      <c r="C1132" s="1629">
        <v>38100880</v>
      </c>
      <c r="D1132" s="1579" t="s">
        <v>769</v>
      </c>
      <c r="E1132" s="1580"/>
      <c r="F1132" s="1580"/>
      <c r="G1132" s="1580"/>
      <c r="H1132" s="1581" t="e">
        <f t="shared" si="91"/>
        <v>#DIV/0!</v>
      </c>
    </row>
    <row r="1133" spans="1:8" ht="15" hidden="1" customHeight="1" x14ac:dyDescent="0.2">
      <c r="A1133" s="1577">
        <v>3123</v>
      </c>
      <c r="B1133" s="1578">
        <v>5169</v>
      </c>
      <c r="C1133" s="1629">
        <v>38500881</v>
      </c>
      <c r="D1133" s="1579" t="s">
        <v>769</v>
      </c>
      <c r="E1133" s="1580"/>
      <c r="F1133" s="1580"/>
      <c r="G1133" s="1580"/>
      <c r="H1133" s="1581" t="e">
        <f t="shared" si="91"/>
        <v>#DIV/0!</v>
      </c>
    </row>
    <row r="1134" spans="1:8" ht="15" hidden="1" customHeight="1" x14ac:dyDescent="0.2">
      <c r="A1134" s="1577">
        <v>3123</v>
      </c>
      <c r="B1134" s="1578">
        <v>5173</v>
      </c>
      <c r="C1134" s="2850">
        <v>0</v>
      </c>
      <c r="D1134" s="1579" t="s">
        <v>1038</v>
      </c>
      <c r="E1134" s="1580"/>
      <c r="F1134" s="1580"/>
      <c r="G1134" s="1580"/>
      <c r="H1134" s="1581">
        <v>0</v>
      </c>
    </row>
    <row r="1135" spans="1:8" ht="15" hidden="1" customHeight="1" x14ac:dyDescent="0.2">
      <c r="A1135" s="1577">
        <v>3123</v>
      </c>
      <c r="B1135" s="1578">
        <v>5173</v>
      </c>
      <c r="C1135" s="1629">
        <v>38500881</v>
      </c>
      <c r="D1135" s="1579" t="s">
        <v>1038</v>
      </c>
      <c r="E1135" s="1580"/>
      <c r="F1135" s="1580"/>
      <c r="G1135" s="1580"/>
      <c r="H1135" s="1581" t="e">
        <f t="shared" ref="H1135:H1142" si="92">G1135/F1135*100</f>
        <v>#DIV/0!</v>
      </c>
    </row>
    <row r="1136" spans="1:8" ht="15" hidden="1" customHeight="1" x14ac:dyDescent="0.2">
      <c r="A1136" s="1577">
        <v>3123</v>
      </c>
      <c r="B1136" s="1578">
        <v>5175</v>
      </c>
      <c r="C1136" s="1629">
        <v>38100880</v>
      </c>
      <c r="D1136" s="1579" t="s">
        <v>605</v>
      </c>
      <c r="E1136" s="1580"/>
      <c r="F1136" s="1580"/>
      <c r="G1136" s="1580"/>
      <c r="H1136" s="1581" t="e">
        <f t="shared" si="92"/>
        <v>#DIV/0!</v>
      </c>
    </row>
    <row r="1137" spans="1:8" ht="15" hidden="1" customHeight="1" x14ac:dyDescent="0.2">
      <c r="A1137" s="1577">
        <v>3123</v>
      </c>
      <c r="B1137" s="1578">
        <v>5175</v>
      </c>
      <c r="C1137" s="1629">
        <v>38500881</v>
      </c>
      <c r="D1137" s="1579" t="s">
        <v>605</v>
      </c>
      <c r="E1137" s="1580"/>
      <c r="F1137" s="1580"/>
      <c r="G1137" s="1580"/>
      <c r="H1137" s="1581" t="e">
        <f t="shared" si="92"/>
        <v>#DIV/0!</v>
      </c>
    </row>
    <row r="1138" spans="1:8" ht="15" hidden="1" customHeight="1" x14ac:dyDescent="0.2">
      <c r="A1138" s="1577">
        <v>3123</v>
      </c>
      <c r="B1138" s="1578">
        <v>5176</v>
      </c>
      <c r="C1138" s="1629">
        <v>38100880</v>
      </c>
      <c r="D1138" s="1579" t="s">
        <v>1119</v>
      </c>
      <c r="E1138" s="1580"/>
      <c r="F1138" s="1580"/>
      <c r="G1138" s="1580"/>
      <c r="H1138" s="1581" t="e">
        <f t="shared" si="92"/>
        <v>#DIV/0!</v>
      </c>
    </row>
    <row r="1139" spans="1:8" ht="15" hidden="1" customHeight="1" x14ac:dyDescent="0.2">
      <c r="A1139" s="1577">
        <v>3123</v>
      </c>
      <c r="B1139" s="1578">
        <v>5176</v>
      </c>
      <c r="C1139" s="1629">
        <v>38500881</v>
      </c>
      <c r="D1139" s="1579" t="s">
        <v>1119</v>
      </c>
      <c r="E1139" s="1580"/>
      <c r="F1139" s="1580"/>
      <c r="G1139" s="1580"/>
      <c r="H1139" s="1581" t="e">
        <f t="shared" si="92"/>
        <v>#DIV/0!</v>
      </c>
    </row>
    <row r="1140" spans="1:8" ht="30" hidden="1" customHeight="1" x14ac:dyDescent="0.2">
      <c r="A1140" s="1577">
        <v>3123</v>
      </c>
      <c r="B1140" s="1578">
        <v>6356</v>
      </c>
      <c r="C1140" s="1629" t="s">
        <v>2127</v>
      </c>
      <c r="D1140" s="1579" t="s">
        <v>1552</v>
      </c>
      <c r="E1140" s="1580"/>
      <c r="F1140" s="1580"/>
      <c r="G1140" s="1580"/>
      <c r="H1140" s="1581" t="e">
        <f t="shared" si="92"/>
        <v>#DIV/0!</v>
      </c>
    </row>
    <row r="1141" spans="1:8" ht="30.75" hidden="1" customHeight="1" thickBot="1" x14ac:dyDescent="0.25">
      <c r="A1141" s="1577">
        <v>3123</v>
      </c>
      <c r="B1141" s="1578">
        <v>6356</v>
      </c>
      <c r="C1141" s="1629" t="s">
        <v>2126</v>
      </c>
      <c r="D1141" s="1579" t="s">
        <v>1552</v>
      </c>
      <c r="E1141" s="1580"/>
      <c r="F1141" s="1580"/>
      <c r="G1141" s="1580"/>
      <c r="H1141" s="1583" t="e">
        <f t="shared" si="92"/>
        <v>#DIV/0!</v>
      </c>
    </row>
    <row r="1142" spans="1:8" ht="16.5" hidden="1" customHeight="1" thickTop="1" thickBot="1" x14ac:dyDescent="0.3">
      <c r="A1142" s="3219" t="s">
        <v>690</v>
      </c>
      <c r="B1142" s="3220"/>
      <c r="C1142" s="3220"/>
      <c r="D1142" s="3220"/>
      <c r="E1142" s="1387">
        <f>SUM(E1125:E1141)</f>
        <v>0</v>
      </c>
      <c r="F1142" s="1387">
        <f>SUM(F1125:F1141)</f>
        <v>0</v>
      </c>
      <c r="G1142" s="1387">
        <f>SUM(G1125:G1141)</f>
        <v>0</v>
      </c>
      <c r="H1142" s="1391" t="e">
        <f t="shared" si="92"/>
        <v>#DIV/0!</v>
      </c>
    </row>
    <row r="1143" spans="1:8" ht="13.5" hidden="1" customHeight="1" thickTop="1" x14ac:dyDescent="0.2"/>
    <row r="1144" spans="1:8" ht="13.5" customHeight="1" x14ac:dyDescent="0.25">
      <c r="A1144" s="3233" t="s">
        <v>1579</v>
      </c>
      <c r="B1144" s="3151"/>
      <c r="C1144" s="3151"/>
      <c r="D1144" s="3151"/>
      <c r="E1144" s="3151"/>
      <c r="F1144" s="3151"/>
      <c r="G1144" s="3151"/>
      <c r="H1144" s="3151"/>
    </row>
    <row r="1145" spans="1:8" ht="15.75" thickBot="1" x14ac:dyDescent="0.3">
      <c r="A1145" s="1544" t="s">
        <v>869</v>
      </c>
      <c r="B1145" s="1558"/>
      <c r="C1145" s="1558"/>
      <c r="E1145" s="1559"/>
      <c r="F1145" s="1559"/>
      <c r="G1145" s="1559"/>
      <c r="H1145" s="1560" t="s">
        <v>148</v>
      </c>
    </row>
    <row r="1146" spans="1:8" ht="25.5" thickTop="1" thickBot="1" x14ac:dyDescent="0.25">
      <c r="A1146" s="1378" t="s">
        <v>149</v>
      </c>
      <c r="B1146" s="1379" t="s">
        <v>688</v>
      </c>
      <c r="C1146" s="1379" t="s">
        <v>345</v>
      </c>
      <c r="D1146" s="1380" t="s">
        <v>151</v>
      </c>
      <c r="E1146" s="1402" t="s">
        <v>569</v>
      </c>
      <c r="F1146" s="1402" t="s">
        <v>570</v>
      </c>
      <c r="G1146" s="1403" t="s">
        <v>797</v>
      </c>
      <c r="H1146" s="1404" t="s">
        <v>798</v>
      </c>
    </row>
    <row r="1147" spans="1:8" ht="14.25" thickTop="1" thickBot="1" x14ac:dyDescent="0.25">
      <c r="A1147" s="1297">
        <v>1</v>
      </c>
      <c r="B1147" s="1296">
        <v>2</v>
      </c>
      <c r="C1147" s="1296">
        <v>3</v>
      </c>
      <c r="D1147" s="1296">
        <v>4</v>
      </c>
      <c r="E1147" s="1295">
        <v>5</v>
      </c>
      <c r="F1147" s="1295">
        <v>6</v>
      </c>
      <c r="G1147" s="1446">
        <v>7</v>
      </c>
      <c r="H1147" s="1468" t="s">
        <v>54</v>
      </c>
    </row>
    <row r="1148" spans="1:8" ht="38.25" customHeight="1" thickTop="1" x14ac:dyDescent="0.2">
      <c r="A1148" s="1577">
        <v>3122</v>
      </c>
      <c r="B1148" s="1578">
        <v>5213</v>
      </c>
      <c r="C1148" s="2850" t="s">
        <v>1849</v>
      </c>
      <c r="D1148" s="1579" t="s">
        <v>1580</v>
      </c>
      <c r="E1148" s="1580">
        <v>0</v>
      </c>
      <c r="F1148" s="1580">
        <f>10+90</f>
        <v>100</v>
      </c>
      <c r="G1148" s="1580">
        <f>10+90</f>
        <v>100</v>
      </c>
      <c r="H1148" s="1581">
        <f t="shared" ref="H1148:H1156" si="93">G1148/F1148*100</f>
        <v>100</v>
      </c>
    </row>
    <row r="1149" spans="1:8" ht="36" customHeight="1" thickBot="1" x14ac:dyDescent="0.25">
      <c r="A1149" s="1577">
        <v>3122</v>
      </c>
      <c r="B1149" s="1578">
        <v>5213</v>
      </c>
      <c r="C1149" s="2850" t="s">
        <v>1850</v>
      </c>
      <c r="D1149" s="1579" t="s">
        <v>1580</v>
      </c>
      <c r="E1149" s="1580">
        <v>0</v>
      </c>
      <c r="F1149" s="1580">
        <f>54+508</f>
        <v>562</v>
      </c>
      <c r="G1149" s="1580">
        <f>54+508</f>
        <v>562</v>
      </c>
      <c r="H1149" s="1581">
        <f t="shared" si="93"/>
        <v>100</v>
      </c>
    </row>
    <row r="1150" spans="1:8" ht="15.75" hidden="1" thickBot="1" x14ac:dyDescent="0.25">
      <c r="A1150" s="1577">
        <v>6223</v>
      </c>
      <c r="B1150" s="1578">
        <v>5166</v>
      </c>
      <c r="C1150" s="1578">
        <v>41100880</v>
      </c>
      <c r="D1150" s="1579" t="s">
        <v>553</v>
      </c>
      <c r="E1150" s="1580"/>
      <c r="F1150" s="1580"/>
      <c r="G1150" s="1580"/>
      <c r="H1150" s="1581" t="e">
        <f t="shared" si="93"/>
        <v>#DIV/0!</v>
      </c>
    </row>
    <row r="1151" spans="1:8" ht="15.75" hidden="1" thickBot="1" x14ac:dyDescent="0.25">
      <c r="A1151" s="1577">
        <v>6223</v>
      </c>
      <c r="B1151" s="1578">
        <v>5166</v>
      </c>
      <c r="C1151" s="1578">
        <v>41100882</v>
      </c>
      <c r="D1151" s="1579" t="s">
        <v>553</v>
      </c>
      <c r="E1151" s="1580"/>
      <c r="F1151" s="1580"/>
      <c r="G1151" s="1580"/>
      <c r="H1151" s="1581" t="e">
        <f t="shared" si="93"/>
        <v>#DIV/0!</v>
      </c>
    </row>
    <row r="1152" spans="1:8" ht="15.75" hidden="1" thickBot="1" x14ac:dyDescent="0.25">
      <c r="A1152" s="1577">
        <v>6223</v>
      </c>
      <c r="B1152" s="1578">
        <v>5166</v>
      </c>
      <c r="C1152" s="1578">
        <v>41500881</v>
      </c>
      <c r="D1152" s="1579" t="s">
        <v>553</v>
      </c>
      <c r="E1152" s="1580"/>
      <c r="F1152" s="1580"/>
      <c r="G1152" s="1580"/>
      <c r="H1152" s="1581" t="e">
        <f t="shared" si="93"/>
        <v>#DIV/0!</v>
      </c>
    </row>
    <row r="1153" spans="1:8" ht="15.75" hidden="1" thickBot="1" x14ac:dyDescent="0.25">
      <c r="A1153" s="1577">
        <v>3636</v>
      </c>
      <c r="B1153" s="1578">
        <v>5167</v>
      </c>
      <c r="C1153" s="1578">
        <v>38100880</v>
      </c>
      <c r="D1153" s="1579" t="s">
        <v>810</v>
      </c>
      <c r="E1153" s="1580"/>
      <c r="F1153" s="1580"/>
      <c r="G1153" s="1580"/>
      <c r="H1153" s="1581" t="e">
        <f t="shared" si="93"/>
        <v>#DIV/0!</v>
      </c>
    </row>
    <row r="1154" spans="1:8" ht="15.75" hidden="1" thickBot="1" x14ac:dyDescent="0.25">
      <c r="A1154" s="1577">
        <v>3636</v>
      </c>
      <c r="B1154" s="1578">
        <v>5167</v>
      </c>
      <c r="C1154" s="1578">
        <v>38500881</v>
      </c>
      <c r="D1154" s="1579" t="s">
        <v>810</v>
      </c>
      <c r="E1154" s="1580"/>
      <c r="F1154" s="1580"/>
      <c r="G1154" s="1580"/>
      <c r="H1154" s="1581" t="e">
        <f t="shared" si="93"/>
        <v>#DIV/0!</v>
      </c>
    </row>
    <row r="1155" spans="1:8" ht="15.75" hidden="1" thickBot="1" x14ac:dyDescent="0.25">
      <c r="A1155" s="1577">
        <v>3636</v>
      </c>
      <c r="B1155" s="1578">
        <v>5169</v>
      </c>
      <c r="C1155" s="1578">
        <v>38100880</v>
      </c>
      <c r="D1155" s="1579" t="s">
        <v>769</v>
      </c>
      <c r="E1155" s="1580"/>
      <c r="F1155" s="1580"/>
      <c r="G1155" s="1580"/>
      <c r="H1155" s="1581" t="e">
        <f t="shared" si="93"/>
        <v>#DIV/0!</v>
      </c>
    </row>
    <row r="1156" spans="1:8" ht="15.75" hidden="1" thickBot="1" x14ac:dyDescent="0.25">
      <c r="A1156" s="1577">
        <v>3636</v>
      </c>
      <c r="B1156" s="1578">
        <v>5169</v>
      </c>
      <c r="C1156" s="1578">
        <v>38500881</v>
      </c>
      <c r="D1156" s="1579" t="s">
        <v>769</v>
      </c>
      <c r="E1156" s="1580"/>
      <c r="F1156" s="1580"/>
      <c r="G1156" s="1580"/>
      <c r="H1156" s="1581" t="e">
        <f t="shared" si="93"/>
        <v>#DIV/0!</v>
      </c>
    </row>
    <row r="1157" spans="1:8" ht="15.75" hidden="1" thickBot="1" x14ac:dyDescent="0.25">
      <c r="A1157" s="1577">
        <v>6223</v>
      </c>
      <c r="B1157" s="1578">
        <v>5173</v>
      </c>
      <c r="C1157" s="1582">
        <v>0</v>
      </c>
      <c r="D1157" s="1579" t="s">
        <v>1038</v>
      </c>
      <c r="E1157" s="1580"/>
      <c r="F1157" s="1580"/>
      <c r="G1157" s="1580"/>
      <c r="H1157" s="1581">
        <v>0</v>
      </c>
    </row>
    <row r="1158" spans="1:8" ht="15.75" hidden="1" thickBot="1" x14ac:dyDescent="0.25">
      <c r="A1158" s="1577">
        <v>3636</v>
      </c>
      <c r="B1158" s="1578">
        <v>5173</v>
      </c>
      <c r="C1158" s="1578">
        <v>38500881</v>
      </c>
      <c r="D1158" s="1579" t="s">
        <v>1038</v>
      </c>
      <c r="E1158" s="1580">
        <v>0</v>
      </c>
      <c r="F1158" s="1580"/>
      <c r="G1158" s="1580"/>
      <c r="H1158" s="1581" t="e">
        <f t="shared" ref="H1158:H1165" si="94">G1158/F1158*100</f>
        <v>#DIV/0!</v>
      </c>
    </row>
    <row r="1159" spans="1:8" ht="15.75" hidden="1" thickBot="1" x14ac:dyDescent="0.25">
      <c r="A1159" s="1577">
        <v>3636</v>
      </c>
      <c r="B1159" s="1578">
        <v>5175</v>
      </c>
      <c r="C1159" s="1578">
        <v>38100880</v>
      </c>
      <c r="D1159" s="1579" t="s">
        <v>605</v>
      </c>
      <c r="E1159" s="1580">
        <v>0</v>
      </c>
      <c r="F1159" s="1580"/>
      <c r="G1159" s="1580"/>
      <c r="H1159" s="1581" t="e">
        <f t="shared" si="94"/>
        <v>#DIV/0!</v>
      </c>
    </row>
    <row r="1160" spans="1:8" ht="15.75" hidden="1" thickBot="1" x14ac:dyDescent="0.25">
      <c r="A1160" s="1577">
        <v>3636</v>
      </c>
      <c r="B1160" s="1578">
        <v>5175</v>
      </c>
      <c r="C1160" s="1578">
        <v>38500881</v>
      </c>
      <c r="D1160" s="1579" t="s">
        <v>605</v>
      </c>
      <c r="E1160" s="1580">
        <v>0</v>
      </c>
      <c r="F1160" s="1580"/>
      <c r="G1160" s="1580"/>
      <c r="H1160" s="1581" t="e">
        <f t="shared" si="94"/>
        <v>#DIV/0!</v>
      </c>
    </row>
    <row r="1161" spans="1:8" ht="15.75" hidden="1" thickBot="1" x14ac:dyDescent="0.25">
      <c r="A1161" s="1577">
        <v>3636</v>
      </c>
      <c r="B1161" s="1578">
        <v>5176</v>
      </c>
      <c r="C1161" s="1578">
        <v>38100880</v>
      </c>
      <c r="D1161" s="1579" t="s">
        <v>1119</v>
      </c>
      <c r="E1161" s="1580">
        <v>0</v>
      </c>
      <c r="F1161" s="1580"/>
      <c r="G1161" s="1580"/>
      <c r="H1161" s="1581" t="e">
        <f t="shared" si="94"/>
        <v>#DIV/0!</v>
      </c>
    </row>
    <row r="1162" spans="1:8" ht="15.75" hidden="1" thickBot="1" x14ac:dyDescent="0.25">
      <c r="A1162" s="1577">
        <v>3636</v>
      </c>
      <c r="B1162" s="1578">
        <v>5176</v>
      </c>
      <c r="C1162" s="1578">
        <v>38500881</v>
      </c>
      <c r="D1162" s="1579" t="s">
        <v>1119</v>
      </c>
      <c r="E1162" s="1580">
        <v>0</v>
      </c>
      <c r="F1162" s="1580"/>
      <c r="G1162" s="1580"/>
      <c r="H1162" s="1581" t="e">
        <f t="shared" si="94"/>
        <v>#DIV/0!</v>
      </c>
    </row>
    <row r="1163" spans="1:8" ht="15.75" hidden="1" thickBot="1" x14ac:dyDescent="0.25">
      <c r="A1163" s="1577">
        <v>3636</v>
      </c>
      <c r="B1163" s="1578">
        <v>6901</v>
      </c>
      <c r="C1163" s="1578">
        <v>38100880</v>
      </c>
      <c r="D1163" s="1579" t="s">
        <v>391</v>
      </c>
      <c r="E1163" s="1580">
        <v>0</v>
      </c>
      <c r="F1163" s="1580">
        <v>0</v>
      </c>
      <c r="G1163" s="1580">
        <v>0</v>
      </c>
      <c r="H1163" s="1581" t="e">
        <f t="shared" si="94"/>
        <v>#DIV/0!</v>
      </c>
    </row>
    <row r="1164" spans="1:8" ht="15.75" hidden="1" thickBot="1" x14ac:dyDescent="0.25">
      <c r="A1164" s="1577">
        <v>3636</v>
      </c>
      <c r="B1164" s="1578">
        <v>5363</v>
      </c>
      <c r="C1164" s="1578">
        <v>38500881</v>
      </c>
      <c r="D1164" s="1579" t="s">
        <v>498</v>
      </c>
      <c r="E1164" s="1580">
        <v>0</v>
      </c>
      <c r="F1164" s="1580">
        <v>0</v>
      </c>
      <c r="G1164" s="1580">
        <v>0</v>
      </c>
      <c r="H1164" s="1583" t="e">
        <f t="shared" si="94"/>
        <v>#DIV/0!</v>
      </c>
    </row>
    <row r="1165" spans="1:8" ht="16.5" thickTop="1" thickBot="1" x14ac:dyDescent="0.3">
      <c r="A1165" s="3219" t="s">
        <v>690</v>
      </c>
      <c r="B1165" s="3220"/>
      <c r="C1165" s="3220"/>
      <c r="D1165" s="3220"/>
      <c r="E1165" s="1387">
        <f>SUM(E1148:E1164)</f>
        <v>0</v>
      </c>
      <c r="F1165" s="1387">
        <f>SUM(F1148:F1164)</f>
        <v>662</v>
      </c>
      <c r="G1165" s="1387">
        <f>SUM(G1148:G1164)</f>
        <v>662</v>
      </c>
      <c r="H1165" s="1391">
        <f t="shared" si="94"/>
        <v>100</v>
      </c>
    </row>
    <row r="1166" spans="1:8" ht="13.5" thickTop="1" x14ac:dyDescent="0.2"/>
    <row r="1167" spans="1:8" ht="15.75" customHeight="1" x14ac:dyDescent="0.25">
      <c r="A1167" s="3233" t="s">
        <v>846</v>
      </c>
      <c r="B1167" s="3151"/>
      <c r="C1167" s="3151"/>
      <c r="D1167" s="3151"/>
      <c r="E1167" s="3151"/>
      <c r="F1167" s="3151"/>
      <c r="G1167" s="3151"/>
      <c r="H1167" s="3151"/>
    </row>
    <row r="1168" spans="1:8" ht="15.75" thickBot="1" x14ac:dyDescent="0.3">
      <c r="A1168" s="1544" t="s">
        <v>870</v>
      </c>
      <c r="B1168" s="1558"/>
      <c r="C1168" s="1558"/>
      <c r="E1168" s="1559"/>
      <c r="F1168" s="1559"/>
      <c r="G1168" s="1559"/>
      <c r="H1168" s="1560" t="s">
        <v>148</v>
      </c>
    </row>
    <row r="1169" spans="1:8" ht="25.5" thickTop="1" thickBot="1" x14ac:dyDescent="0.25">
      <c r="A1169" s="1378" t="s">
        <v>149</v>
      </c>
      <c r="B1169" s="1379" t="s">
        <v>688</v>
      </c>
      <c r="C1169" s="1379" t="s">
        <v>345</v>
      </c>
      <c r="D1169" s="1380" t="s">
        <v>151</v>
      </c>
      <c r="E1169" s="1402" t="s">
        <v>569</v>
      </c>
      <c r="F1169" s="1402" t="s">
        <v>570</v>
      </c>
      <c r="G1169" s="1403" t="s">
        <v>797</v>
      </c>
      <c r="H1169" s="1404" t="s">
        <v>798</v>
      </c>
    </row>
    <row r="1170" spans="1:8" ht="14.25" thickTop="1" thickBot="1" x14ac:dyDescent="0.25">
      <c r="A1170" s="1297">
        <v>1</v>
      </c>
      <c r="B1170" s="1296">
        <v>2</v>
      </c>
      <c r="C1170" s="1296">
        <v>3</v>
      </c>
      <c r="D1170" s="1296">
        <v>4</v>
      </c>
      <c r="E1170" s="1295">
        <v>5</v>
      </c>
      <c r="F1170" s="1295">
        <v>6</v>
      </c>
      <c r="G1170" s="1446">
        <v>7</v>
      </c>
      <c r="H1170" s="1468" t="s">
        <v>54</v>
      </c>
    </row>
    <row r="1171" spans="1:8" ht="37.5" customHeight="1" thickTop="1" x14ac:dyDescent="0.2">
      <c r="A1171" s="1577">
        <v>3123</v>
      </c>
      <c r="B1171" s="1578">
        <v>5213</v>
      </c>
      <c r="C1171" s="2850" t="s">
        <v>1849</v>
      </c>
      <c r="D1171" s="1579" t="s">
        <v>1580</v>
      </c>
      <c r="E1171" s="1580">
        <v>0</v>
      </c>
      <c r="F1171" s="1580">
        <f>8+63</f>
        <v>71</v>
      </c>
      <c r="G1171" s="1580">
        <f>7+63</f>
        <v>70</v>
      </c>
      <c r="H1171" s="1581">
        <f t="shared" ref="H1171:H1179" si="95">G1171/F1171*100</f>
        <v>98.591549295774655</v>
      </c>
    </row>
    <row r="1172" spans="1:8" ht="37.5" customHeight="1" x14ac:dyDescent="0.2">
      <c r="A1172" s="1577">
        <v>3123</v>
      </c>
      <c r="B1172" s="1578">
        <v>5213</v>
      </c>
      <c r="C1172" s="2850" t="s">
        <v>1850</v>
      </c>
      <c r="D1172" s="1579" t="s">
        <v>1580</v>
      </c>
      <c r="E1172" s="1580">
        <v>0</v>
      </c>
      <c r="F1172" s="1580">
        <f>48+359</f>
        <v>407</v>
      </c>
      <c r="G1172" s="1580">
        <f>41+359</f>
        <v>400</v>
      </c>
      <c r="H1172" s="1581">
        <f t="shared" si="95"/>
        <v>98.280098280098287</v>
      </c>
    </row>
    <row r="1173" spans="1:8" ht="15" hidden="1" x14ac:dyDescent="0.2">
      <c r="A1173" s="1577">
        <v>6223</v>
      </c>
      <c r="B1173" s="1578">
        <v>5166</v>
      </c>
      <c r="C1173" s="1629">
        <v>41100880</v>
      </c>
      <c r="D1173" s="1579" t="s">
        <v>553</v>
      </c>
      <c r="E1173" s="1580"/>
      <c r="F1173" s="1580"/>
      <c r="G1173" s="1580"/>
      <c r="H1173" s="1581" t="e">
        <f t="shared" si="95"/>
        <v>#DIV/0!</v>
      </c>
    </row>
    <row r="1174" spans="1:8" ht="15" hidden="1" x14ac:dyDescent="0.2">
      <c r="A1174" s="1577">
        <v>6223</v>
      </c>
      <c r="B1174" s="1578">
        <v>5166</v>
      </c>
      <c r="C1174" s="1629">
        <v>41100882</v>
      </c>
      <c r="D1174" s="1579" t="s">
        <v>553</v>
      </c>
      <c r="E1174" s="1580"/>
      <c r="F1174" s="1580"/>
      <c r="G1174" s="1580"/>
      <c r="H1174" s="1581" t="e">
        <f t="shared" si="95"/>
        <v>#DIV/0!</v>
      </c>
    </row>
    <row r="1175" spans="1:8" ht="15" hidden="1" x14ac:dyDescent="0.2">
      <c r="A1175" s="1577">
        <v>6223</v>
      </c>
      <c r="B1175" s="1578">
        <v>5166</v>
      </c>
      <c r="C1175" s="1629">
        <v>41500881</v>
      </c>
      <c r="D1175" s="1579" t="s">
        <v>553</v>
      </c>
      <c r="E1175" s="1580"/>
      <c r="F1175" s="1580"/>
      <c r="G1175" s="1580"/>
      <c r="H1175" s="1581" t="e">
        <f t="shared" si="95"/>
        <v>#DIV/0!</v>
      </c>
    </row>
    <row r="1176" spans="1:8" ht="15" hidden="1" x14ac:dyDescent="0.2">
      <c r="A1176" s="1577">
        <v>3636</v>
      </c>
      <c r="B1176" s="1578">
        <v>5167</v>
      </c>
      <c r="C1176" s="1629">
        <v>38100880</v>
      </c>
      <c r="D1176" s="1579" t="s">
        <v>810</v>
      </c>
      <c r="E1176" s="1580"/>
      <c r="F1176" s="1580"/>
      <c r="G1176" s="1580"/>
      <c r="H1176" s="1581" t="e">
        <f t="shared" si="95"/>
        <v>#DIV/0!</v>
      </c>
    </row>
    <row r="1177" spans="1:8" ht="15" hidden="1" x14ac:dyDescent="0.2">
      <c r="A1177" s="1577">
        <v>3636</v>
      </c>
      <c r="B1177" s="1578">
        <v>5167</v>
      </c>
      <c r="C1177" s="1629">
        <v>38500881</v>
      </c>
      <c r="D1177" s="1579" t="s">
        <v>810</v>
      </c>
      <c r="E1177" s="1580"/>
      <c r="F1177" s="1580"/>
      <c r="G1177" s="1580"/>
      <c r="H1177" s="1581" t="e">
        <f t="shared" si="95"/>
        <v>#DIV/0!</v>
      </c>
    </row>
    <row r="1178" spans="1:8" ht="15" hidden="1" x14ac:dyDescent="0.2">
      <c r="A1178" s="1577">
        <v>3636</v>
      </c>
      <c r="B1178" s="1578">
        <v>5169</v>
      </c>
      <c r="C1178" s="1629">
        <v>38100880</v>
      </c>
      <c r="D1178" s="1579" t="s">
        <v>769</v>
      </c>
      <c r="E1178" s="1580"/>
      <c r="F1178" s="1580"/>
      <c r="G1178" s="1580"/>
      <c r="H1178" s="1581" t="e">
        <f t="shared" si="95"/>
        <v>#DIV/0!</v>
      </c>
    </row>
    <row r="1179" spans="1:8" ht="15" hidden="1" x14ac:dyDescent="0.2">
      <c r="A1179" s="1577">
        <v>3636</v>
      </c>
      <c r="B1179" s="1578">
        <v>5169</v>
      </c>
      <c r="C1179" s="1629">
        <v>38500881</v>
      </c>
      <c r="D1179" s="1579" t="s">
        <v>769</v>
      </c>
      <c r="E1179" s="1580"/>
      <c r="F1179" s="1580"/>
      <c r="G1179" s="1580"/>
      <c r="H1179" s="1581" t="e">
        <f t="shared" si="95"/>
        <v>#DIV/0!</v>
      </c>
    </row>
    <row r="1180" spans="1:8" ht="15" hidden="1" x14ac:dyDescent="0.2">
      <c r="A1180" s="1577">
        <v>6223</v>
      </c>
      <c r="B1180" s="1578">
        <v>5173</v>
      </c>
      <c r="C1180" s="2850">
        <v>0</v>
      </c>
      <c r="D1180" s="1579" t="s">
        <v>1038</v>
      </c>
      <c r="E1180" s="1580"/>
      <c r="F1180" s="1580"/>
      <c r="G1180" s="1580"/>
      <c r="H1180" s="1581">
        <v>0</v>
      </c>
    </row>
    <row r="1181" spans="1:8" ht="15" hidden="1" x14ac:dyDescent="0.2">
      <c r="A1181" s="1577">
        <v>3636</v>
      </c>
      <c r="B1181" s="1578">
        <v>5173</v>
      </c>
      <c r="C1181" s="1629">
        <v>38500881</v>
      </c>
      <c r="D1181" s="1579" t="s">
        <v>1038</v>
      </c>
      <c r="E1181" s="1580"/>
      <c r="F1181" s="1580"/>
      <c r="G1181" s="1580"/>
      <c r="H1181" s="1581" t="e">
        <f t="shared" ref="H1181:H1188" si="96">G1181/F1181*100</f>
        <v>#DIV/0!</v>
      </c>
    </row>
    <row r="1182" spans="1:8" ht="15" hidden="1" x14ac:dyDescent="0.2">
      <c r="A1182" s="1577">
        <v>3636</v>
      </c>
      <c r="B1182" s="1578">
        <v>5175</v>
      </c>
      <c r="C1182" s="1629">
        <v>38100880</v>
      </c>
      <c r="D1182" s="1579" t="s">
        <v>605</v>
      </c>
      <c r="E1182" s="1580"/>
      <c r="F1182" s="1580"/>
      <c r="G1182" s="1580"/>
      <c r="H1182" s="1581" t="e">
        <f t="shared" si="96"/>
        <v>#DIV/0!</v>
      </c>
    </row>
    <row r="1183" spans="1:8" ht="15" hidden="1" x14ac:dyDescent="0.2">
      <c r="A1183" s="1577">
        <v>3636</v>
      </c>
      <c r="B1183" s="1578">
        <v>5175</v>
      </c>
      <c r="C1183" s="1629">
        <v>38500881</v>
      </c>
      <c r="D1183" s="1579" t="s">
        <v>605</v>
      </c>
      <c r="E1183" s="1580"/>
      <c r="F1183" s="1580"/>
      <c r="G1183" s="1580"/>
      <c r="H1183" s="1581" t="e">
        <f t="shared" si="96"/>
        <v>#DIV/0!</v>
      </c>
    </row>
    <row r="1184" spans="1:8" ht="15" hidden="1" x14ac:dyDescent="0.2">
      <c r="A1184" s="1577">
        <v>3636</v>
      </c>
      <c r="B1184" s="1578">
        <v>5176</v>
      </c>
      <c r="C1184" s="1629">
        <v>38100880</v>
      </c>
      <c r="D1184" s="1579" t="s">
        <v>1119</v>
      </c>
      <c r="E1184" s="1580"/>
      <c r="F1184" s="1580"/>
      <c r="G1184" s="1580"/>
      <c r="H1184" s="1581" t="e">
        <f t="shared" si="96"/>
        <v>#DIV/0!</v>
      </c>
    </row>
    <row r="1185" spans="1:8" ht="15" hidden="1" x14ac:dyDescent="0.2">
      <c r="A1185" s="1577">
        <v>3636</v>
      </c>
      <c r="B1185" s="1578">
        <v>5176</v>
      </c>
      <c r="C1185" s="1629">
        <v>38500881</v>
      </c>
      <c r="D1185" s="1579" t="s">
        <v>1119</v>
      </c>
      <c r="E1185" s="1580"/>
      <c r="F1185" s="1580"/>
      <c r="G1185" s="1580"/>
      <c r="H1185" s="1581" t="e">
        <f t="shared" si="96"/>
        <v>#DIV/0!</v>
      </c>
    </row>
    <row r="1186" spans="1:8" ht="30" x14ac:dyDescent="0.2">
      <c r="A1186" s="1577">
        <v>3123</v>
      </c>
      <c r="B1186" s="1709">
        <v>6313</v>
      </c>
      <c r="C1186" s="2856" t="s">
        <v>2127</v>
      </c>
      <c r="D1186" s="1710" t="s">
        <v>1552</v>
      </c>
      <c r="E1186" s="1580">
        <v>0</v>
      </c>
      <c r="F1186" s="1580">
        <v>4</v>
      </c>
      <c r="G1186" s="1580">
        <v>4</v>
      </c>
      <c r="H1186" s="1581">
        <f t="shared" si="96"/>
        <v>100</v>
      </c>
    </row>
    <row r="1187" spans="1:8" ht="30.75" thickBot="1" x14ac:dyDescent="0.25">
      <c r="A1187" s="1577">
        <v>3123</v>
      </c>
      <c r="B1187" s="1709">
        <v>6313</v>
      </c>
      <c r="C1187" s="2856" t="s">
        <v>2126</v>
      </c>
      <c r="D1187" s="1710" t="s">
        <v>1552</v>
      </c>
      <c r="E1187" s="1580">
        <v>0</v>
      </c>
      <c r="F1187" s="1580">
        <v>24</v>
      </c>
      <c r="G1187" s="1580">
        <v>24</v>
      </c>
      <c r="H1187" s="1583">
        <f t="shared" si="96"/>
        <v>100</v>
      </c>
    </row>
    <row r="1188" spans="1:8" ht="16.5" thickTop="1" thickBot="1" x14ac:dyDescent="0.3">
      <c r="A1188" s="3219" t="s">
        <v>690</v>
      </c>
      <c r="B1188" s="3220"/>
      <c r="C1188" s="3220"/>
      <c r="D1188" s="3220"/>
      <c r="E1188" s="1387">
        <f>SUM(E1171:E1187)</f>
        <v>0</v>
      </c>
      <c r="F1188" s="1387">
        <f>SUM(F1171:F1187)</f>
        <v>506</v>
      </c>
      <c r="G1188" s="1387">
        <f>SUM(G1171:G1187)</f>
        <v>498</v>
      </c>
      <c r="H1188" s="1391">
        <f t="shared" si="96"/>
        <v>98.418972332015812</v>
      </c>
    </row>
    <row r="1189" spans="1:8" ht="13.5" thickTop="1" x14ac:dyDescent="0.2"/>
    <row r="1190" spans="1:8" ht="14.25" customHeight="1" x14ac:dyDescent="0.25">
      <c r="A1190" s="3233" t="s">
        <v>1581</v>
      </c>
      <c r="B1190" s="3151"/>
      <c r="C1190" s="3151"/>
      <c r="D1190" s="3151"/>
      <c r="E1190" s="3151"/>
      <c r="F1190" s="3151"/>
      <c r="G1190" s="3151"/>
      <c r="H1190" s="3151"/>
    </row>
    <row r="1191" spans="1:8" ht="15.75" thickBot="1" x14ac:dyDescent="0.3">
      <c r="A1191" s="1544" t="s">
        <v>1466</v>
      </c>
      <c r="B1191" s="1558"/>
      <c r="C1191" s="1558"/>
      <c r="E1191" s="1559"/>
      <c r="F1191" s="1559"/>
      <c r="G1191" s="1559"/>
      <c r="H1191" s="1560" t="s">
        <v>148</v>
      </c>
    </row>
    <row r="1192" spans="1:8" ht="25.5" thickTop="1" thickBot="1" x14ac:dyDescent="0.25">
      <c r="A1192" s="1378" t="s">
        <v>149</v>
      </c>
      <c r="B1192" s="1379" t="s">
        <v>688</v>
      </c>
      <c r="C1192" s="1379" t="s">
        <v>345</v>
      </c>
      <c r="D1192" s="1380" t="s">
        <v>151</v>
      </c>
      <c r="E1192" s="1402" t="s">
        <v>569</v>
      </c>
      <c r="F1192" s="1402" t="s">
        <v>570</v>
      </c>
      <c r="G1192" s="1403" t="s">
        <v>797</v>
      </c>
      <c r="H1192" s="1404" t="s">
        <v>798</v>
      </c>
    </row>
    <row r="1193" spans="1:8" ht="14.25" thickTop="1" thickBot="1" x14ac:dyDescent="0.25">
      <c r="A1193" s="1297">
        <v>1</v>
      </c>
      <c r="B1193" s="1296">
        <v>2</v>
      </c>
      <c r="C1193" s="1296">
        <v>3</v>
      </c>
      <c r="D1193" s="1296">
        <v>4</v>
      </c>
      <c r="E1193" s="1295">
        <v>5</v>
      </c>
      <c r="F1193" s="1295">
        <v>6</v>
      </c>
      <c r="G1193" s="1446">
        <v>7</v>
      </c>
      <c r="H1193" s="1468" t="s">
        <v>54</v>
      </c>
    </row>
    <row r="1194" spans="1:8" ht="26.25" thickTop="1" x14ac:dyDescent="0.2">
      <c r="A1194" s="1577">
        <v>3299</v>
      </c>
      <c r="B1194" s="1578">
        <v>5011</v>
      </c>
      <c r="C1194" s="2850" t="s">
        <v>1849</v>
      </c>
      <c r="D1194" s="1579" t="s">
        <v>189</v>
      </c>
      <c r="E1194" s="1580">
        <v>0</v>
      </c>
      <c r="F1194" s="1580">
        <v>446</v>
      </c>
      <c r="G1194" s="1580">
        <f>50+386</f>
        <v>436</v>
      </c>
      <c r="H1194" s="1581">
        <f t="shared" ref="H1194:H1201" si="97">G1194/F1194*100</f>
        <v>97.757847533632287</v>
      </c>
    </row>
    <row r="1195" spans="1:8" ht="25.5" x14ac:dyDescent="0.2">
      <c r="A1195" s="1577">
        <v>3299</v>
      </c>
      <c r="B1195" s="1578">
        <v>5011</v>
      </c>
      <c r="C1195" s="2850" t="s">
        <v>1850</v>
      </c>
      <c r="D1195" s="1579" t="s">
        <v>189</v>
      </c>
      <c r="E1195" s="1580">
        <v>0</v>
      </c>
      <c r="F1195" s="1580">
        <v>2521</v>
      </c>
      <c r="G1195" s="1580">
        <f>287+2186</f>
        <v>2473</v>
      </c>
      <c r="H1195" s="1581">
        <f t="shared" si="97"/>
        <v>98.095993653312178</v>
      </c>
    </row>
    <row r="1196" spans="1:8" ht="25.5" x14ac:dyDescent="0.2">
      <c r="A1196" s="1577">
        <v>3299</v>
      </c>
      <c r="B1196" s="1578">
        <v>5021</v>
      </c>
      <c r="C1196" s="2850" t="s">
        <v>1849</v>
      </c>
      <c r="D1196" s="1579" t="s">
        <v>356</v>
      </c>
      <c r="E1196" s="1580">
        <v>0</v>
      </c>
      <c r="F1196" s="1580">
        <f>2+44</f>
        <v>46</v>
      </c>
      <c r="G1196" s="1580">
        <f>2+44</f>
        <v>46</v>
      </c>
      <c r="H1196" s="1581">
        <f t="shared" si="97"/>
        <v>100</v>
      </c>
    </row>
    <row r="1197" spans="1:8" ht="25.5" x14ac:dyDescent="0.2">
      <c r="A1197" s="1577">
        <v>3299</v>
      </c>
      <c r="B1197" s="1578">
        <v>5021</v>
      </c>
      <c r="C1197" s="2850" t="s">
        <v>1850</v>
      </c>
      <c r="D1197" s="1579" t="s">
        <v>356</v>
      </c>
      <c r="E1197" s="1580">
        <v>0</v>
      </c>
      <c r="F1197" s="1580">
        <f>10+251</f>
        <v>261</v>
      </c>
      <c r="G1197" s="1580">
        <f>10+251</f>
        <v>261</v>
      </c>
      <c r="H1197" s="1581">
        <f t="shared" si="97"/>
        <v>100</v>
      </c>
    </row>
    <row r="1198" spans="1:8" ht="30" x14ac:dyDescent="0.2">
      <c r="A1198" s="1577">
        <v>3299</v>
      </c>
      <c r="B1198" s="1578">
        <v>5031</v>
      </c>
      <c r="C1198" s="2850" t="s">
        <v>1849</v>
      </c>
      <c r="D1198" s="1579" t="s">
        <v>1165</v>
      </c>
      <c r="E1198" s="1580">
        <v>0</v>
      </c>
      <c r="F1198" s="1580">
        <f>13+99</f>
        <v>112</v>
      </c>
      <c r="G1198" s="1580">
        <f>13+96</f>
        <v>109</v>
      </c>
      <c r="H1198" s="1581">
        <f t="shared" si="97"/>
        <v>97.321428571428569</v>
      </c>
    </row>
    <row r="1199" spans="1:8" ht="30" x14ac:dyDescent="0.2">
      <c r="A1199" s="1577">
        <v>3299</v>
      </c>
      <c r="B1199" s="1578">
        <v>5031</v>
      </c>
      <c r="C1199" s="2850" t="s">
        <v>1850</v>
      </c>
      <c r="D1199" s="1579" t="s">
        <v>1165</v>
      </c>
      <c r="E1199" s="1580">
        <v>0</v>
      </c>
      <c r="F1199" s="1580">
        <v>634</v>
      </c>
      <c r="G1199" s="1580">
        <f>72+547</f>
        <v>619</v>
      </c>
      <c r="H1199" s="1581">
        <f t="shared" si="97"/>
        <v>97.634069400630921</v>
      </c>
    </row>
    <row r="1200" spans="1:8" ht="30" x14ac:dyDescent="0.2">
      <c r="A1200" s="1577">
        <v>3299</v>
      </c>
      <c r="B1200" s="1578">
        <v>5032</v>
      </c>
      <c r="C1200" s="2850" t="s">
        <v>1849</v>
      </c>
      <c r="D1200" s="1579" t="s">
        <v>1058</v>
      </c>
      <c r="E1200" s="1580">
        <v>0</v>
      </c>
      <c r="F1200" s="1580">
        <f>4+36</f>
        <v>40</v>
      </c>
      <c r="G1200" s="1580">
        <f>4+35</f>
        <v>39</v>
      </c>
      <c r="H1200" s="1581">
        <f t="shared" si="97"/>
        <v>97.5</v>
      </c>
    </row>
    <row r="1201" spans="1:8" ht="30" x14ac:dyDescent="0.2">
      <c r="A1201" s="1577">
        <v>3299</v>
      </c>
      <c r="B1201" s="1578">
        <v>5032</v>
      </c>
      <c r="C1201" s="2850" t="s">
        <v>1850</v>
      </c>
      <c r="D1201" s="1579" t="s">
        <v>1058</v>
      </c>
      <c r="E1201" s="1580">
        <v>0</v>
      </c>
      <c r="F1201" s="1580">
        <f>25+202</f>
        <v>227</v>
      </c>
      <c r="G1201" s="1580">
        <f>25+198</f>
        <v>223</v>
      </c>
      <c r="H1201" s="1581">
        <f t="shared" si="97"/>
        <v>98.23788546255507</v>
      </c>
    </row>
    <row r="1202" spans="1:8" ht="15" hidden="1" x14ac:dyDescent="0.2">
      <c r="A1202" s="1577">
        <v>3299</v>
      </c>
      <c r="B1202" s="1578">
        <v>5038</v>
      </c>
      <c r="C1202" s="2850">
        <v>32133019</v>
      </c>
      <c r="D1202" s="1579" t="s">
        <v>1582</v>
      </c>
      <c r="E1202" s="1580"/>
      <c r="F1202" s="1580"/>
      <c r="G1202" s="1580"/>
      <c r="H1202" s="1581">
        <v>0</v>
      </c>
    </row>
    <row r="1203" spans="1:8" ht="15" hidden="1" x14ac:dyDescent="0.2">
      <c r="A1203" s="1577">
        <v>3299</v>
      </c>
      <c r="B1203" s="1578">
        <v>5038</v>
      </c>
      <c r="C1203" s="2850">
        <v>32533019</v>
      </c>
      <c r="D1203" s="1579" t="s">
        <v>1582</v>
      </c>
      <c r="E1203" s="1580"/>
      <c r="F1203" s="1580"/>
      <c r="G1203" s="1580"/>
      <c r="H1203" s="1581" t="e">
        <f>G1203/F1203*100</f>
        <v>#DIV/0!</v>
      </c>
    </row>
    <row r="1204" spans="1:8" ht="25.5" x14ac:dyDescent="0.2">
      <c r="A1204" s="1577">
        <v>3299</v>
      </c>
      <c r="B1204" s="1578">
        <v>5132</v>
      </c>
      <c r="C1204" s="2850" t="s">
        <v>1849</v>
      </c>
      <c r="D1204" s="1579" t="s">
        <v>1611</v>
      </c>
      <c r="E1204" s="1580">
        <v>0</v>
      </c>
      <c r="F1204" s="1580">
        <v>0</v>
      </c>
      <c r="G1204" s="1580">
        <v>0</v>
      </c>
      <c r="H1204" s="1581">
        <v>0</v>
      </c>
    </row>
    <row r="1205" spans="1:8" ht="25.5" x14ac:dyDescent="0.2">
      <c r="A1205" s="1577">
        <v>3299</v>
      </c>
      <c r="B1205" s="1578">
        <v>5132</v>
      </c>
      <c r="C1205" s="2850" t="s">
        <v>1850</v>
      </c>
      <c r="D1205" s="1579" t="s">
        <v>1611</v>
      </c>
      <c r="E1205" s="1580">
        <v>0</v>
      </c>
      <c r="F1205" s="1580">
        <v>2</v>
      </c>
      <c r="G1205" s="1580">
        <v>0</v>
      </c>
      <c r="H1205" s="1581">
        <f>G1205/F1205*100</f>
        <v>0</v>
      </c>
    </row>
    <row r="1206" spans="1:8" ht="25.5" x14ac:dyDescent="0.2">
      <c r="A1206" s="1577">
        <v>3299</v>
      </c>
      <c r="B1206" s="1578">
        <v>5139</v>
      </c>
      <c r="C1206" s="2850" t="s">
        <v>1849</v>
      </c>
      <c r="D1206" s="1579" t="s">
        <v>566</v>
      </c>
      <c r="E1206" s="1580">
        <v>0</v>
      </c>
      <c r="F1206" s="1580">
        <v>8</v>
      </c>
      <c r="G1206" s="1580">
        <v>8</v>
      </c>
      <c r="H1206" s="1581">
        <f>G1206/F1206*100</f>
        <v>100</v>
      </c>
    </row>
    <row r="1207" spans="1:8" ht="25.5" x14ac:dyDescent="0.2">
      <c r="A1207" s="1577">
        <v>3299</v>
      </c>
      <c r="B1207" s="1578">
        <v>5139</v>
      </c>
      <c r="C1207" s="2850" t="s">
        <v>1850</v>
      </c>
      <c r="D1207" s="1579" t="s">
        <v>566</v>
      </c>
      <c r="E1207" s="1580">
        <v>0</v>
      </c>
      <c r="F1207" s="1580">
        <v>45</v>
      </c>
      <c r="G1207" s="1580">
        <v>45</v>
      </c>
      <c r="H1207" s="1581">
        <f>G1207/F1207*100</f>
        <v>100</v>
      </c>
    </row>
    <row r="1208" spans="1:8" ht="25.5" x14ac:dyDescent="0.2">
      <c r="A1208" s="1577">
        <v>3299</v>
      </c>
      <c r="B1208" s="1578">
        <v>5162</v>
      </c>
      <c r="C1208" s="2850" t="s">
        <v>1849</v>
      </c>
      <c r="D1208" s="1579" t="s">
        <v>780</v>
      </c>
      <c r="E1208" s="1580">
        <v>0</v>
      </c>
      <c r="F1208" s="1580">
        <v>0</v>
      </c>
      <c r="G1208" s="1580">
        <v>0</v>
      </c>
      <c r="H1208" s="1581">
        <v>0</v>
      </c>
    </row>
    <row r="1209" spans="1:8" ht="25.5" x14ac:dyDescent="0.2">
      <c r="A1209" s="1577">
        <v>3299</v>
      </c>
      <c r="B1209" s="1578">
        <v>5162</v>
      </c>
      <c r="C1209" s="2850" t="s">
        <v>1850</v>
      </c>
      <c r="D1209" s="1579" t="s">
        <v>780</v>
      </c>
      <c r="E1209" s="1580">
        <v>0</v>
      </c>
      <c r="F1209" s="1580">
        <v>2</v>
      </c>
      <c r="G1209" s="1580">
        <v>1</v>
      </c>
      <c r="H1209" s="1581">
        <f>G1209/F1209*100</f>
        <v>50</v>
      </c>
    </row>
    <row r="1210" spans="1:8" ht="25.5" x14ac:dyDescent="0.2">
      <c r="A1210" s="1577">
        <v>3299</v>
      </c>
      <c r="B1210" s="1578">
        <v>5163</v>
      </c>
      <c r="C1210" s="2850" t="s">
        <v>1849</v>
      </c>
      <c r="D1210" s="1579" t="s">
        <v>807</v>
      </c>
      <c r="E1210" s="1580">
        <v>0</v>
      </c>
      <c r="F1210" s="1580">
        <v>0</v>
      </c>
      <c r="G1210" s="1580">
        <v>0</v>
      </c>
      <c r="H1210" s="1581">
        <v>0</v>
      </c>
    </row>
    <row r="1211" spans="1:8" ht="25.5" x14ac:dyDescent="0.2">
      <c r="A1211" s="1577">
        <v>3299</v>
      </c>
      <c r="B1211" s="1578">
        <v>5163</v>
      </c>
      <c r="C1211" s="2850" t="s">
        <v>1850</v>
      </c>
      <c r="D1211" s="1579" t="s">
        <v>807</v>
      </c>
      <c r="E1211" s="1580">
        <v>0</v>
      </c>
      <c r="F1211" s="1580">
        <v>2</v>
      </c>
      <c r="G1211" s="1580">
        <v>1</v>
      </c>
      <c r="H1211" s="1581">
        <f t="shared" ref="H1211:H1221" si="98">G1211/F1211*100</f>
        <v>50</v>
      </c>
    </row>
    <row r="1212" spans="1:8" ht="25.5" x14ac:dyDescent="0.2">
      <c r="A1212" s="1577">
        <v>3299</v>
      </c>
      <c r="B1212" s="1578">
        <v>5164</v>
      </c>
      <c r="C1212" s="2850" t="s">
        <v>1849</v>
      </c>
      <c r="D1212" s="1579" t="s">
        <v>157</v>
      </c>
      <c r="E1212" s="1580">
        <v>0</v>
      </c>
      <c r="F1212" s="1580">
        <f>9+72</f>
        <v>81</v>
      </c>
      <c r="G1212" s="1580">
        <f>8+72</f>
        <v>80</v>
      </c>
      <c r="H1212" s="1581">
        <f t="shared" si="98"/>
        <v>98.76543209876543</v>
      </c>
    </row>
    <row r="1213" spans="1:8" ht="25.5" x14ac:dyDescent="0.2">
      <c r="A1213" s="1577">
        <v>3299</v>
      </c>
      <c r="B1213" s="1578">
        <v>5164</v>
      </c>
      <c r="C1213" s="2850" t="s">
        <v>1850</v>
      </c>
      <c r="D1213" s="1579" t="s">
        <v>157</v>
      </c>
      <c r="E1213" s="1580">
        <v>0</v>
      </c>
      <c r="F1213" s="1580">
        <f>53+410</f>
        <v>463</v>
      </c>
      <c r="G1213" s="1580">
        <f>48+410</f>
        <v>458</v>
      </c>
      <c r="H1213" s="1581">
        <f t="shared" si="98"/>
        <v>98.920086393088553</v>
      </c>
    </row>
    <row r="1214" spans="1:8" ht="25.5" x14ac:dyDescent="0.2">
      <c r="A1214" s="1577">
        <v>3299</v>
      </c>
      <c r="B1214" s="1578">
        <v>5166</v>
      </c>
      <c r="C1214" s="2850" t="s">
        <v>1849</v>
      </c>
      <c r="D1214" s="1579" t="s">
        <v>553</v>
      </c>
      <c r="E1214" s="1580">
        <v>0</v>
      </c>
      <c r="F1214" s="1580">
        <v>10</v>
      </c>
      <c r="G1214" s="1580">
        <v>10</v>
      </c>
      <c r="H1214" s="1581">
        <f t="shared" si="98"/>
        <v>100</v>
      </c>
    </row>
    <row r="1215" spans="1:8" ht="25.5" x14ac:dyDescent="0.2">
      <c r="A1215" s="1577">
        <v>3299</v>
      </c>
      <c r="B1215" s="1578">
        <v>5166</v>
      </c>
      <c r="C1215" s="2850" t="s">
        <v>1850</v>
      </c>
      <c r="D1215" s="1579" t="s">
        <v>553</v>
      </c>
      <c r="E1215" s="1580">
        <v>0</v>
      </c>
      <c r="F1215" s="1580">
        <v>56</v>
      </c>
      <c r="G1215" s="1580">
        <v>56</v>
      </c>
      <c r="H1215" s="1581">
        <f t="shared" si="98"/>
        <v>100</v>
      </c>
    </row>
    <row r="1216" spans="1:8" ht="25.5" hidden="1" x14ac:dyDescent="0.2">
      <c r="A1216" s="1577">
        <v>3299</v>
      </c>
      <c r="B1216" s="1578">
        <v>5167</v>
      </c>
      <c r="C1216" s="2850" t="s">
        <v>1849</v>
      </c>
      <c r="D1216" s="1579" t="s">
        <v>810</v>
      </c>
      <c r="E1216" s="1580"/>
      <c r="F1216" s="1580"/>
      <c r="G1216" s="1580"/>
      <c r="H1216" s="1581" t="e">
        <f t="shared" si="98"/>
        <v>#DIV/0!</v>
      </c>
    </row>
    <row r="1217" spans="1:8" ht="25.5" hidden="1" x14ac:dyDescent="0.2">
      <c r="A1217" s="1577">
        <v>3299</v>
      </c>
      <c r="B1217" s="1578">
        <v>5167</v>
      </c>
      <c r="C1217" s="2850" t="s">
        <v>1850</v>
      </c>
      <c r="D1217" s="1579" t="s">
        <v>810</v>
      </c>
      <c r="E1217" s="1580"/>
      <c r="F1217" s="1580"/>
      <c r="G1217" s="1580"/>
      <c r="H1217" s="1581" t="e">
        <f t="shared" si="98"/>
        <v>#DIV/0!</v>
      </c>
    </row>
    <row r="1218" spans="1:8" ht="30" x14ac:dyDescent="0.2">
      <c r="A1218" s="1577">
        <v>3299</v>
      </c>
      <c r="B1218" s="1578">
        <v>5168</v>
      </c>
      <c r="C1218" s="2850" t="s">
        <v>1849</v>
      </c>
      <c r="D1218" s="1579" t="s">
        <v>1650</v>
      </c>
      <c r="E1218" s="1580">
        <v>0</v>
      </c>
      <c r="F1218" s="1580">
        <v>63</v>
      </c>
      <c r="G1218" s="1580">
        <v>63</v>
      </c>
      <c r="H1218" s="1581">
        <f t="shared" si="98"/>
        <v>100</v>
      </c>
    </row>
    <row r="1219" spans="1:8" ht="30" x14ac:dyDescent="0.2">
      <c r="A1219" s="1577">
        <v>3299</v>
      </c>
      <c r="B1219" s="1578">
        <v>5168</v>
      </c>
      <c r="C1219" s="2850" t="s">
        <v>1850</v>
      </c>
      <c r="D1219" s="1579" t="s">
        <v>1650</v>
      </c>
      <c r="E1219" s="1580">
        <v>0</v>
      </c>
      <c r="F1219" s="1580">
        <v>359</v>
      </c>
      <c r="G1219" s="1580">
        <v>359</v>
      </c>
      <c r="H1219" s="1581">
        <f t="shared" si="98"/>
        <v>100</v>
      </c>
    </row>
    <row r="1220" spans="1:8" ht="25.5" x14ac:dyDescent="0.2">
      <c r="A1220" s="1577">
        <v>3299</v>
      </c>
      <c r="B1220" s="1578">
        <v>5169</v>
      </c>
      <c r="C1220" s="2855" t="s">
        <v>1849</v>
      </c>
      <c r="D1220" s="1579" t="s">
        <v>769</v>
      </c>
      <c r="E1220" s="1580">
        <v>0</v>
      </c>
      <c r="F1220" s="1580">
        <f>11+56</f>
        <v>67</v>
      </c>
      <c r="G1220" s="1580">
        <f>11+56</f>
        <v>67</v>
      </c>
      <c r="H1220" s="1581">
        <f t="shared" si="98"/>
        <v>100</v>
      </c>
    </row>
    <row r="1221" spans="1:8" ht="25.5" x14ac:dyDescent="0.2">
      <c r="A1221" s="1577">
        <v>3299</v>
      </c>
      <c r="B1221" s="1578">
        <v>5169</v>
      </c>
      <c r="C1221" s="2855" t="s">
        <v>1850</v>
      </c>
      <c r="D1221" s="1579" t="s">
        <v>769</v>
      </c>
      <c r="E1221" s="1580">
        <v>0</v>
      </c>
      <c r="F1221" s="1580">
        <f>62+318</f>
        <v>380</v>
      </c>
      <c r="G1221" s="1580">
        <f>62+318</f>
        <v>380</v>
      </c>
      <c r="H1221" s="1581">
        <f t="shared" si="98"/>
        <v>100</v>
      </c>
    </row>
    <row r="1222" spans="1:8" ht="15" hidden="1" x14ac:dyDescent="0.2">
      <c r="A1222" s="1577">
        <v>3299</v>
      </c>
      <c r="B1222" s="1578">
        <v>5172</v>
      </c>
      <c r="C1222" s="2855">
        <v>32133019</v>
      </c>
      <c r="D1222" s="1579" t="s">
        <v>812</v>
      </c>
      <c r="E1222" s="1580"/>
      <c r="F1222" s="1580"/>
      <c r="G1222" s="1580"/>
      <c r="H1222" s="1581">
        <v>0</v>
      </c>
    </row>
    <row r="1223" spans="1:8" ht="15" hidden="1" x14ac:dyDescent="0.2">
      <c r="A1223" s="1577">
        <v>3299</v>
      </c>
      <c r="B1223" s="1578">
        <v>5172</v>
      </c>
      <c r="C1223" s="2855">
        <v>32533019</v>
      </c>
      <c r="D1223" s="1579" t="s">
        <v>812</v>
      </c>
      <c r="E1223" s="1580"/>
      <c r="F1223" s="1580"/>
      <c r="G1223" s="1580"/>
      <c r="H1223" s="1581">
        <v>0</v>
      </c>
    </row>
    <row r="1224" spans="1:8" ht="25.5" x14ac:dyDescent="0.2">
      <c r="A1224" s="1577">
        <v>3299</v>
      </c>
      <c r="B1224" s="1578">
        <v>5173</v>
      </c>
      <c r="C1224" s="2850" t="s">
        <v>1849</v>
      </c>
      <c r="D1224" s="1579" t="s">
        <v>1038</v>
      </c>
      <c r="E1224" s="1580">
        <v>0</v>
      </c>
      <c r="F1224" s="1580">
        <v>2</v>
      </c>
      <c r="G1224" s="1580">
        <v>2</v>
      </c>
      <c r="H1224" s="1581">
        <f>G1224/F1224*100</f>
        <v>100</v>
      </c>
    </row>
    <row r="1225" spans="1:8" ht="25.5" x14ac:dyDescent="0.2">
      <c r="A1225" s="1577">
        <v>3299</v>
      </c>
      <c r="B1225" s="1578">
        <v>5173</v>
      </c>
      <c r="C1225" s="2850" t="s">
        <v>1850</v>
      </c>
      <c r="D1225" s="1579" t="s">
        <v>1038</v>
      </c>
      <c r="E1225" s="1580">
        <v>0</v>
      </c>
      <c r="F1225" s="1580">
        <v>12</v>
      </c>
      <c r="G1225" s="1580">
        <v>12</v>
      </c>
      <c r="H1225" s="1581">
        <f>G1225/F1225*100</f>
        <v>100</v>
      </c>
    </row>
    <row r="1226" spans="1:8" ht="25.5" x14ac:dyDescent="0.2">
      <c r="A1226" s="1577">
        <v>3299</v>
      </c>
      <c r="B1226" s="1578">
        <v>5175</v>
      </c>
      <c r="C1226" s="2850" t="s">
        <v>1849</v>
      </c>
      <c r="D1226" s="1579" t="s">
        <v>605</v>
      </c>
      <c r="E1226" s="1580">
        <v>0</v>
      </c>
      <c r="F1226" s="1580">
        <v>30</v>
      </c>
      <c r="G1226" s="1580">
        <v>30</v>
      </c>
      <c r="H1226" s="1581">
        <f>G1226/F1226*100</f>
        <v>100</v>
      </c>
    </row>
    <row r="1227" spans="1:8" ht="25.5" x14ac:dyDescent="0.2">
      <c r="A1227" s="1577">
        <v>3299</v>
      </c>
      <c r="B1227" s="1578">
        <v>5175</v>
      </c>
      <c r="C1227" s="2850" t="s">
        <v>1850</v>
      </c>
      <c r="D1227" s="1579" t="s">
        <v>605</v>
      </c>
      <c r="E1227" s="1580">
        <v>0</v>
      </c>
      <c r="F1227" s="1580">
        <v>170</v>
      </c>
      <c r="G1227" s="1580">
        <v>170</v>
      </c>
      <c r="H1227" s="1581">
        <f>G1227/F1227*100</f>
        <v>100</v>
      </c>
    </row>
    <row r="1228" spans="1:8" ht="25.5" x14ac:dyDescent="0.2">
      <c r="A1228" s="1577">
        <v>3299</v>
      </c>
      <c r="B1228" s="1578">
        <v>5901</v>
      </c>
      <c r="C1228" s="2850" t="s">
        <v>1849</v>
      </c>
      <c r="D1228" s="1579" t="s">
        <v>547</v>
      </c>
      <c r="E1228" s="1580">
        <v>0</v>
      </c>
      <c r="F1228" s="1580">
        <v>52</v>
      </c>
      <c r="G1228" s="1580">
        <v>0</v>
      </c>
      <c r="H1228" s="1581">
        <v>0</v>
      </c>
    </row>
    <row r="1229" spans="1:8" ht="25.5" x14ac:dyDescent="0.2">
      <c r="A1229" s="1577">
        <v>3299</v>
      </c>
      <c r="B1229" s="1578">
        <v>5901</v>
      </c>
      <c r="C1229" s="2850" t="s">
        <v>1850</v>
      </c>
      <c r="D1229" s="1579" t="s">
        <v>547</v>
      </c>
      <c r="E1229" s="1580">
        <v>0</v>
      </c>
      <c r="F1229" s="1580">
        <f>123+167</f>
        <v>290</v>
      </c>
      <c r="G1229" s="1580">
        <v>0</v>
      </c>
      <c r="H1229" s="1581">
        <f t="shared" ref="H1229:H1236" si="99">G1229/F1229*100</f>
        <v>0</v>
      </c>
    </row>
    <row r="1230" spans="1:8" ht="25.5" x14ac:dyDescent="0.2">
      <c r="A1230" s="1577">
        <v>3299</v>
      </c>
      <c r="B1230" s="1578">
        <v>6111</v>
      </c>
      <c r="C1230" s="2850" t="s">
        <v>2127</v>
      </c>
      <c r="D1230" s="1579" t="s">
        <v>812</v>
      </c>
      <c r="E1230" s="1580">
        <v>0</v>
      </c>
      <c r="F1230" s="1580">
        <v>113</v>
      </c>
      <c r="G1230" s="1580">
        <v>113</v>
      </c>
      <c r="H1230" s="1581">
        <f t="shared" si="99"/>
        <v>100</v>
      </c>
    </row>
    <row r="1231" spans="1:8" ht="25.5" x14ac:dyDescent="0.2">
      <c r="A1231" s="1577">
        <v>3299</v>
      </c>
      <c r="B1231" s="1578">
        <v>6111</v>
      </c>
      <c r="C1231" s="2850" t="s">
        <v>2126</v>
      </c>
      <c r="D1231" s="1579" t="s">
        <v>812</v>
      </c>
      <c r="E1231" s="1580">
        <v>0</v>
      </c>
      <c r="F1231" s="1580">
        <v>639</v>
      </c>
      <c r="G1231" s="1580">
        <v>639</v>
      </c>
      <c r="H1231" s="1581">
        <f t="shared" si="99"/>
        <v>100</v>
      </c>
    </row>
    <row r="1232" spans="1:8" ht="25.5" hidden="1" x14ac:dyDescent="0.2">
      <c r="A1232" s="1577">
        <v>3299</v>
      </c>
      <c r="B1232" s="1578">
        <v>6901</v>
      </c>
      <c r="C1232" s="2850" t="s">
        <v>1849</v>
      </c>
      <c r="D1232" s="1579" t="s">
        <v>391</v>
      </c>
      <c r="E1232" s="1580"/>
      <c r="F1232" s="1580"/>
      <c r="G1232" s="1580"/>
      <c r="H1232" s="1581" t="e">
        <f t="shared" si="99"/>
        <v>#DIV/0!</v>
      </c>
    </row>
    <row r="1233" spans="1:9" ht="25.5" hidden="1" x14ac:dyDescent="0.2">
      <c r="A1233" s="1577">
        <v>3299</v>
      </c>
      <c r="B1233" s="1578">
        <v>6901</v>
      </c>
      <c r="C1233" s="2850" t="s">
        <v>2127</v>
      </c>
      <c r="D1233" s="1579" t="s">
        <v>391</v>
      </c>
      <c r="E1233" s="1580"/>
      <c r="F1233" s="1580"/>
      <c r="G1233" s="1580"/>
      <c r="H1233" s="1581" t="e">
        <f t="shared" si="99"/>
        <v>#DIV/0!</v>
      </c>
    </row>
    <row r="1234" spans="1:9" ht="25.5" x14ac:dyDescent="0.2">
      <c r="A1234" s="1577">
        <v>3299</v>
      </c>
      <c r="B1234" s="1578">
        <v>6901</v>
      </c>
      <c r="C1234" s="2850" t="s">
        <v>2127</v>
      </c>
      <c r="D1234" s="1579" t="s">
        <v>391</v>
      </c>
      <c r="E1234" s="1580">
        <v>0</v>
      </c>
      <c r="F1234" s="1580">
        <v>11</v>
      </c>
      <c r="G1234" s="1580">
        <v>0</v>
      </c>
      <c r="H1234" s="1581">
        <f t="shared" si="99"/>
        <v>0</v>
      </c>
    </row>
    <row r="1235" spans="1:9" ht="26.25" thickBot="1" x14ac:dyDescent="0.25">
      <c r="A1235" s="1577">
        <v>3299</v>
      </c>
      <c r="B1235" s="1578">
        <v>6901</v>
      </c>
      <c r="C1235" s="2850" t="s">
        <v>2126</v>
      </c>
      <c r="D1235" s="1579" t="s">
        <v>391</v>
      </c>
      <c r="E1235" s="1580">
        <v>0</v>
      </c>
      <c r="F1235" s="1580">
        <v>68</v>
      </c>
      <c r="G1235" s="1580">
        <v>0</v>
      </c>
      <c r="H1235" s="1581">
        <f t="shared" si="99"/>
        <v>0</v>
      </c>
    </row>
    <row r="1236" spans="1:9" ht="16.5" thickTop="1" thickBot="1" x14ac:dyDescent="0.3">
      <c r="A1236" s="3219" t="s">
        <v>690</v>
      </c>
      <c r="B1236" s="3220"/>
      <c r="C1236" s="3220"/>
      <c r="D1236" s="3220"/>
      <c r="E1236" s="1387">
        <f>SUM(E1194:E1235)</f>
        <v>0</v>
      </c>
      <c r="F1236" s="1387">
        <f>SUM(F1194:F1235)</f>
        <v>7212</v>
      </c>
      <c r="G1236" s="1387">
        <f>SUM(G1194:G1235)</f>
        <v>6700</v>
      </c>
      <c r="H1236" s="1391">
        <f t="shared" si="99"/>
        <v>92.900721020521345</v>
      </c>
    </row>
    <row r="1237" spans="1:9" ht="13.5" thickTop="1" x14ac:dyDescent="0.2"/>
    <row r="1238" spans="1:9" hidden="1" x14ac:dyDescent="0.2"/>
    <row r="1239" spans="1:9" hidden="1" x14ac:dyDescent="0.2"/>
    <row r="1240" spans="1:9" hidden="1" x14ac:dyDescent="0.2"/>
    <row r="1242" spans="1:9" ht="15.75" thickBot="1" x14ac:dyDescent="0.3">
      <c r="A1242" s="1544" t="s">
        <v>229</v>
      </c>
      <c r="B1242" s="1558"/>
      <c r="C1242" s="1558"/>
      <c r="D1242" s="1558"/>
      <c r="F1242" s="1559"/>
      <c r="G1242" s="1559"/>
      <c r="H1242" s="1560" t="s">
        <v>148</v>
      </c>
      <c r="I1242" s="1631"/>
    </row>
    <row r="1243" spans="1:9" ht="25.5" thickTop="1" thickBot="1" x14ac:dyDescent="0.25">
      <c r="A1243" s="1561" t="s">
        <v>149</v>
      </c>
      <c r="B1243" s="1562" t="s">
        <v>688</v>
      </c>
      <c r="C1243" s="1562" t="s">
        <v>345</v>
      </c>
      <c r="D1243" s="1563" t="s">
        <v>151</v>
      </c>
      <c r="E1243" s="1564" t="s">
        <v>569</v>
      </c>
      <c r="F1243" s="1564" t="s">
        <v>570</v>
      </c>
      <c r="G1243" s="1565" t="s">
        <v>797</v>
      </c>
      <c r="H1243" s="1566" t="s">
        <v>798</v>
      </c>
    </row>
    <row r="1244" spans="1:9" ht="14.25" thickTop="1" thickBot="1" x14ac:dyDescent="0.25">
      <c r="A1244" s="1567">
        <v>1</v>
      </c>
      <c r="B1244" s="1568">
        <v>2</v>
      </c>
      <c r="C1244" s="1568">
        <v>3</v>
      </c>
      <c r="D1244" s="1568">
        <v>5</v>
      </c>
      <c r="E1244" s="1569">
        <v>6</v>
      </c>
      <c r="F1244" s="1569">
        <v>7</v>
      </c>
      <c r="G1244" s="1570">
        <v>8</v>
      </c>
      <c r="H1244" s="1586" t="s">
        <v>689</v>
      </c>
    </row>
    <row r="1245" spans="1:9" s="1553" customFormat="1" ht="15.75" thickTop="1" x14ac:dyDescent="0.25">
      <c r="A1245" s="1628">
        <v>6409</v>
      </c>
      <c r="B1245" s="1599">
        <v>5909</v>
      </c>
      <c r="C1245" s="1683">
        <v>0</v>
      </c>
      <c r="D1245" s="1600" t="s">
        <v>1396</v>
      </c>
      <c r="E1245" s="1575">
        <v>0</v>
      </c>
      <c r="F1245" s="1575">
        <v>0</v>
      </c>
      <c r="G1245" s="1587">
        <v>0</v>
      </c>
      <c r="H1245" s="1576">
        <v>0</v>
      </c>
    </row>
    <row r="1246" spans="1:9" s="1553" customFormat="1" ht="15.75" thickBot="1" x14ac:dyDescent="0.25">
      <c r="A1246" s="1577">
        <v>6330</v>
      </c>
      <c r="B1246" s="1578">
        <v>5345</v>
      </c>
      <c r="C1246" s="1582">
        <v>0</v>
      </c>
      <c r="D1246" s="1579" t="s">
        <v>693</v>
      </c>
      <c r="E1246" s="1580">
        <v>0</v>
      </c>
      <c r="F1246" s="1580">
        <v>0</v>
      </c>
      <c r="G1246" s="1588">
        <v>20587</v>
      </c>
      <c r="H1246" s="1581">
        <v>0</v>
      </c>
    </row>
    <row r="1247" spans="1:9" ht="16.5" thickTop="1" thickBot="1" x14ac:dyDescent="0.3">
      <c r="A1247" s="1589" t="s">
        <v>690</v>
      </c>
      <c r="B1247" s="1590"/>
      <c r="C1247" s="1590"/>
      <c r="D1247" s="1591"/>
      <c r="E1247" s="1584">
        <f>SUM(E1245:E1246)</f>
        <v>0</v>
      </c>
      <c r="F1247" s="1584">
        <f>SUM(F1245:F1246)</f>
        <v>0</v>
      </c>
      <c r="G1247" s="1584">
        <f>SUM(G1245:G1246)</f>
        <v>20587</v>
      </c>
      <c r="H1247" s="1585">
        <v>0</v>
      </c>
    </row>
    <row r="1248" spans="1:9" ht="13.5" thickTop="1" x14ac:dyDescent="0.2"/>
    <row r="1251" spans="1:12" ht="16.5" x14ac:dyDescent="0.25">
      <c r="A1251" s="1605" t="s">
        <v>423</v>
      </c>
      <c r="B1251" s="1606"/>
      <c r="C1251" s="1607"/>
      <c r="D1251" s="1608"/>
      <c r="E1251" s="1609">
        <f>SUM(E1252:E1254)</f>
        <v>0</v>
      </c>
      <c r="F1251" s="1609">
        <f>F1252+F1253+F1254+F1255</f>
        <v>27132</v>
      </c>
      <c r="G1251" s="1609">
        <f>G1252+G1253+G1254+G1255</f>
        <v>47096</v>
      </c>
      <c r="H1251" s="1610">
        <v>61.717249327698809</v>
      </c>
      <c r="J1251" s="1611">
        <f>J1252+J1253+J1254</f>
        <v>0</v>
      </c>
      <c r="K1251" s="1611">
        <f>K1252+K1253+K1254</f>
        <v>27131655.27</v>
      </c>
      <c r="L1251" s="1611">
        <f>L1252+L1253+L1254</f>
        <v>47096293.609999999</v>
      </c>
    </row>
    <row r="1252" spans="1:12" ht="15" x14ac:dyDescent="0.2">
      <c r="A1252" s="1612" t="s">
        <v>242</v>
      </c>
      <c r="B1252" s="1613"/>
      <c r="C1252" s="1614"/>
      <c r="D1252" s="1615"/>
      <c r="E1252" s="1616">
        <f>E15+E27+E51+E63+E87+E99+E110+E122+E146+E158+E182+E194+E218+E230+E254+E266+E290+E302+E326+E338+E362+E374+E398+E410+E434+E446+E470+E482+E506+E518+E542+E554+E578+E590+E614+E626+E650+E662+E686+E698+E722+E734+E758+E770+E794+E806+E830+E842+E866+E878+E902+E914+E937+E949+E973+E985+E1009+E1021+E1045+E1057+E1079+E1080+E1125+E1126+E1148+E1149+E1171+E1172+E1194+E1195+E1196+E1197+E1198+E1199+E1200+E1201+E1202+E1203+E1204+E1205+E1206+E1207+E1210+E1211+E1220+E1221+E1222+E1223+E1224+E1225+E1228+E1229+E1102+E1103+E1212+E1213+E1214+E1215+E1216+E1217+E1218+E1219+E1226+E1227+E1245</f>
        <v>0</v>
      </c>
      <c r="F1252" s="1616">
        <f>F15+F27+F51+F63+F87+F99+F110+F122+F146+F158+F182+F194+F218+F230+F254+F266+F290+F302+F326+F338+F362+F374+F398+F410+F434+F446+F470+F482+F506+F518+F542+F554+F578+F590+F614+F626+F650+F662+F686+F698+F722+F734+F758+F770+F794+F806+F830+F842+F866+F878+F902+F914+F937+F949+F973+F985+F1009+F1021+F1045+F1057+F1079+F1080+F1125+F1126+F1148+F1149+F1171+F1172+F1194+F1195+F1196+F1197+F1198+F1199+F1200+F1201+F1202+F1203+F1204+F1205+F1206+F1207+F1210+F1211+F1220+F1221+F1222+F1223+F1224+F1225+F1228+F1229+F1102+F1103+F1212+F1213+F1214+F1215+F1216+F1217+F1218+F1219+F1226+F1227+F1245</f>
        <v>24568</v>
      </c>
      <c r="G1252" s="1616">
        <f>G15+G27+G51+G63+G87+G99+G110+G122+G146+G158+G182+G194+G218+G230+G254+G266+G290+G302+G326+G338+G362+G374+G398+G410+G434+G446+G470+G482+G506+G518+G542+G554+G578+G590+G614+G626+G650+G662+G686+G698+G722+G734+G758+G770+G794+G806+G830+G842+G866+G878+G902+G914+G937+G949+G973+G985+G1009+G1021+G1045+G1057+G1079+G1080+G1125+G1126+G1148+G1149+G1171+G1172+G1194+G1195+G1196+G1197+G1198+G1199+G1200+G1201+G1202+G1203+G1204+G1205+G1206+G1207+G1210+G1211+G1220+G1221+G1222+G1223+G1224+G1225+G1228+G1229+G1102+G1103+G1212+G1213+G1214+G1215+G1216+G1217+G1218+G1219+G1226+G1227+G1245</f>
        <v>24055</v>
      </c>
      <c r="H1252" s="1617">
        <v>61.717249327698809</v>
      </c>
      <c r="J1252" s="1618">
        <v>0</v>
      </c>
      <c r="K1252" s="1618">
        <v>24567662.66</v>
      </c>
      <c r="L1252" s="1618">
        <f>44642304.12-20586889.42</f>
        <v>24055414.699999996</v>
      </c>
    </row>
    <row r="1253" spans="1:12" ht="15" x14ac:dyDescent="0.2">
      <c r="A1253" s="1612" t="s">
        <v>243</v>
      </c>
      <c r="B1253" s="1619"/>
      <c r="C1253" s="1614"/>
      <c r="D1253" s="1620"/>
      <c r="E1253" s="1616">
        <f>E172+E173+E208+E209+E244+E245+E280+E281+E388+E389+E424+E425+E460+E461+E496+E497+E532+E533+E640+E641+E748+E749+E784+E785+E820+E821+E892+E893+E963+E964+E999+E1000+E1035+E1036+E1094+E1095+E1140+E1141+E1186+E1187+E100+E101+E136+E137+E316+E317+E352+E353+E568+E569+E604+E605+E676+E677+E712+E713+E856+E857+E1071+E1072+E1230+E1231+E1232+E1233+E1234+E1235+E40+E41</f>
        <v>0</v>
      </c>
      <c r="F1253" s="1616">
        <f>F172+F173+F208+F209+F244+F245+F280+F281+F388+F389+F424+F425+F460+F461+F496+F497+F532+F533+F640+F641+F748+F749+F784+F785+F820+F821+F892+F893+F963+F964+F999+F1000+F1035+F1036+F1094+F1095+F1140+F1141+F1186+F1187+F100+F101+F136+F137+F316+F317+F352+F353+F568+F569+F604+F605+F676+F677+F712+F713+F856+F857+F1071+F1072+F1230+F1231+F1232+F1233+F1234+F1235+F40+F41</f>
        <v>2564</v>
      </c>
      <c r="G1253" s="1616">
        <f>G172+G173+G208+G209+G244+G245+G280+G281+G388+G389+G424+G425+G460+G461+G496+G497+G532+G533+G640+G641+G748+G749+G784+G785+G820+G821+G892+G893+G963+G964+G999+G1000+G1035+G1036+G1094+G1095+G1140+G1141+G1186+G1187+G100+G101+G136+G137+G316+G317+G352+G353+G568+G569+G604+G605+G676+G677+G712+G713+G856+G857+G1071+G1072+G1230+G1231+G1232+G1233+G1234+G1235+G40+G41</f>
        <v>2454</v>
      </c>
      <c r="H1253" s="1617">
        <v>0</v>
      </c>
      <c r="J1253" s="1618">
        <v>0</v>
      </c>
      <c r="K1253" s="1618">
        <v>2563992.61</v>
      </c>
      <c r="L1253" s="1618">
        <v>2453989.4900000002</v>
      </c>
    </row>
    <row r="1254" spans="1:12" ht="15" x14ac:dyDescent="0.2">
      <c r="A1254" s="1612" t="s">
        <v>424</v>
      </c>
      <c r="B1254" s="1619"/>
      <c r="C1254" s="1614"/>
      <c r="D1254" s="1620"/>
      <c r="E1254" s="1616">
        <f>E1246</f>
        <v>0</v>
      </c>
      <c r="F1254" s="1616">
        <f>F1246</f>
        <v>0</v>
      </c>
      <c r="G1254" s="1616">
        <f>G1246</f>
        <v>20587</v>
      </c>
      <c r="H1254" s="1617">
        <v>0</v>
      </c>
      <c r="J1254" s="1618">
        <v>0</v>
      </c>
      <c r="K1254" s="1618">
        <v>0</v>
      </c>
      <c r="L1254" s="1618">
        <v>20586889.420000002</v>
      </c>
    </row>
    <row r="1255" spans="1:12" ht="16.5" customHeight="1" x14ac:dyDescent="0.2">
      <c r="A1255" s="1612"/>
      <c r="B1255" s="1619"/>
      <c r="C1255" s="1614"/>
      <c r="D1255" s="1620"/>
      <c r="E1255" s="1616"/>
      <c r="F1255" s="1616"/>
      <c r="G1255" s="1616"/>
      <c r="H1255" s="1621"/>
    </row>
    <row r="1256" spans="1:12" ht="57.75" customHeight="1" thickBot="1" x14ac:dyDescent="0.4">
      <c r="A1256" s="3222" t="s">
        <v>1581</v>
      </c>
      <c r="B1256" s="3222"/>
      <c r="C1256" s="3222"/>
      <c r="D1256" s="3222"/>
      <c r="E1256" s="1622">
        <f>SUM(E1251)</f>
        <v>0</v>
      </c>
      <c r="F1256" s="1622">
        <f>SUM(F1251)</f>
        <v>27132</v>
      </c>
      <c r="G1256" s="1622">
        <f>SUM(G1251)</f>
        <v>47096</v>
      </c>
      <c r="H1256" s="1623">
        <f>G1256/F1256*100</f>
        <v>173.58101135190918</v>
      </c>
    </row>
    <row r="1257" spans="1:12" ht="13.5" thickTop="1" x14ac:dyDescent="0.2"/>
  </sheetData>
  <mergeCells count="73">
    <mergeCell ref="A102:D102"/>
    <mergeCell ref="A9:H9"/>
    <mergeCell ref="A43:D43"/>
    <mergeCell ref="A45:H45"/>
    <mergeCell ref="A79:D79"/>
    <mergeCell ref="A81:H81"/>
    <mergeCell ref="A318:D318"/>
    <mergeCell ref="A104:H104"/>
    <mergeCell ref="A138:D138"/>
    <mergeCell ref="A140:H140"/>
    <mergeCell ref="A174:D174"/>
    <mergeCell ref="A176:H176"/>
    <mergeCell ref="A210:D210"/>
    <mergeCell ref="A212:H212"/>
    <mergeCell ref="A246:D246"/>
    <mergeCell ref="A248:H248"/>
    <mergeCell ref="A282:D282"/>
    <mergeCell ref="A284:H284"/>
    <mergeCell ref="A534:D534"/>
    <mergeCell ref="A320:H320"/>
    <mergeCell ref="A354:D354"/>
    <mergeCell ref="A356:H356"/>
    <mergeCell ref="A390:D390"/>
    <mergeCell ref="A392:H392"/>
    <mergeCell ref="A426:D426"/>
    <mergeCell ref="A428:H428"/>
    <mergeCell ref="A462:D462"/>
    <mergeCell ref="A464:H464"/>
    <mergeCell ref="A498:D498"/>
    <mergeCell ref="A500:H500"/>
    <mergeCell ref="A642:D642"/>
    <mergeCell ref="A644:H644"/>
    <mergeCell ref="A678:D678"/>
    <mergeCell ref="A680:H680"/>
    <mergeCell ref="A714:D714"/>
    <mergeCell ref="A716:H716"/>
    <mergeCell ref="A894:D894"/>
    <mergeCell ref="A896:H896"/>
    <mergeCell ref="A930:D930"/>
    <mergeCell ref="A931:H931"/>
    <mergeCell ref="A750:D750"/>
    <mergeCell ref="A536:H536"/>
    <mergeCell ref="A570:D570"/>
    <mergeCell ref="A572:H572"/>
    <mergeCell ref="A606:D606"/>
    <mergeCell ref="A608:H608"/>
    <mergeCell ref="A965:D965"/>
    <mergeCell ref="A752:H752"/>
    <mergeCell ref="A786:D786"/>
    <mergeCell ref="A788:H788"/>
    <mergeCell ref="A822:D822"/>
    <mergeCell ref="A824:H824"/>
    <mergeCell ref="A858:D858"/>
    <mergeCell ref="A860:H860"/>
    <mergeCell ref="A1142:D1142"/>
    <mergeCell ref="A967:H967"/>
    <mergeCell ref="A1001:D1001"/>
    <mergeCell ref="A1003:H1003"/>
    <mergeCell ref="A1037:D1037"/>
    <mergeCell ref="A1039:H1039"/>
    <mergeCell ref="A1073:D1073"/>
    <mergeCell ref="A1075:H1075"/>
    <mergeCell ref="A1096:D1096"/>
    <mergeCell ref="A1098:H1098"/>
    <mergeCell ref="A1119:D1119"/>
    <mergeCell ref="A1121:H1121"/>
    <mergeCell ref="A1256:D1256"/>
    <mergeCell ref="A1144:H1144"/>
    <mergeCell ref="A1165:D1165"/>
    <mergeCell ref="A1167:H1167"/>
    <mergeCell ref="A1188:D1188"/>
    <mergeCell ref="A1190:H1190"/>
    <mergeCell ref="A1236:D1236"/>
  </mergeCells>
  <pageMargins left="0.70866141732283472" right="0.70866141732283472" top="0.78740157480314965" bottom="0.78740157480314965" header="0.31496062992125984" footer="0.31496062992125984"/>
  <pageSetup paperSize="9" scale="65" firstPageNumber="172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rowBreaks count="7" manualBreakCount="7">
    <brk id="174" max="7" man="1"/>
    <brk id="355" max="7" man="1"/>
    <brk id="607" max="7" man="1"/>
    <brk id="823" max="7" man="1"/>
    <brk id="1038" max="7" man="1"/>
    <brk id="1188" max="7" man="1"/>
    <brk id="1241" max="7" man="1"/>
  </rowBreaks>
  <colBreaks count="1" manualBreakCount="1">
    <brk id="8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6"/>
  <sheetViews>
    <sheetView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5.5703125" style="1551" customWidth="1"/>
    <col min="2" max="2" width="6.7109375" style="1551" customWidth="1"/>
    <col min="3" max="3" width="9.85546875" style="1551" customWidth="1"/>
    <col min="4" max="4" width="47.85546875" style="1551" customWidth="1"/>
    <col min="5" max="5" width="15.42578125" style="1551" customWidth="1"/>
    <col min="6" max="6" width="15.5703125" style="1551" customWidth="1"/>
    <col min="7" max="7" width="15.85546875" style="1551" customWidth="1"/>
    <col min="8" max="8" width="8.7109375" style="1551" customWidth="1"/>
    <col min="9" max="10" width="9.140625" style="1551"/>
    <col min="11" max="11" width="16" style="1551" bestFit="1" customWidth="1"/>
    <col min="12" max="12" width="17" style="1551" customWidth="1"/>
    <col min="13" max="256" width="9.140625" style="1551"/>
    <col min="257" max="257" width="5.5703125" style="1551" customWidth="1"/>
    <col min="258" max="258" width="6.7109375" style="1551" customWidth="1"/>
    <col min="259" max="259" width="8.85546875" style="1551" customWidth="1"/>
    <col min="260" max="260" width="47.85546875" style="1551" customWidth="1"/>
    <col min="261" max="261" width="12.85546875" style="1551" customWidth="1"/>
    <col min="262" max="262" width="15.5703125" style="1551" customWidth="1"/>
    <col min="263" max="263" width="15.85546875" style="1551" customWidth="1"/>
    <col min="264" max="264" width="6.42578125" style="1551" customWidth="1"/>
    <col min="265" max="266" width="9.140625" style="1551"/>
    <col min="267" max="268" width="14.7109375" style="1551" bestFit="1" customWidth="1"/>
    <col min="269" max="512" width="9.140625" style="1551"/>
    <col min="513" max="513" width="5.5703125" style="1551" customWidth="1"/>
    <col min="514" max="514" width="6.7109375" style="1551" customWidth="1"/>
    <col min="515" max="515" width="8.85546875" style="1551" customWidth="1"/>
    <col min="516" max="516" width="47.85546875" style="1551" customWidth="1"/>
    <col min="517" max="517" width="12.85546875" style="1551" customWidth="1"/>
    <col min="518" max="518" width="15.5703125" style="1551" customWidth="1"/>
    <col min="519" max="519" width="15.85546875" style="1551" customWidth="1"/>
    <col min="520" max="520" width="6.42578125" style="1551" customWidth="1"/>
    <col min="521" max="522" width="9.140625" style="1551"/>
    <col min="523" max="524" width="14.7109375" style="1551" bestFit="1" customWidth="1"/>
    <col min="525" max="768" width="9.140625" style="1551"/>
    <col min="769" max="769" width="5.5703125" style="1551" customWidth="1"/>
    <col min="770" max="770" width="6.7109375" style="1551" customWidth="1"/>
    <col min="771" max="771" width="8.85546875" style="1551" customWidth="1"/>
    <col min="772" max="772" width="47.85546875" style="1551" customWidth="1"/>
    <col min="773" max="773" width="12.85546875" style="1551" customWidth="1"/>
    <col min="774" max="774" width="15.5703125" style="1551" customWidth="1"/>
    <col min="775" max="775" width="15.85546875" style="1551" customWidth="1"/>
    <col min="776" max="776" width="6.42578125" style="1551" customWidth="1"/>
    <col min="777" max="778" width="9.140625" style="1551"/>
    <col min="779" max="780" width="14.7109375" style="1551" bestFit="1" customWidth="1"/>
    <col min="781" max="1024" width="9.140625" style="1551"/>
    <col min="1025" max="1025" width="5.5703125" style="1551" customWidth="1"/>
    <col min="1026" max="1026" width="6.7109375" style="1551" customWidth="1"/>
    <col min="1027" max="1027" width="8.85546875" style="1551" customWidth="1"/>
    <col min="1028" max="1028" width="47.85546875" style="1551" customWidth="1"/>
    <col min="1029" max="1029" width="12.85546875" style="1551" customWidth="1"/>
    <col min="1030" max="1030" width="15.5703125" style="1551" customWidth="1"/>
    <col min="1031" max="1031" width="15.85546875" style="1551" customWidth="1"/>
    <col min="1032" max="1032" width="6.42578125" style="1551" customWidth="1"/>
    <col min="1033" max="1034" width="9.140625" style="1551"/>
    <col min="1035" max="1036" width="14.7109375" style="1551" bestFit="1" customWidth="1"/>
    <col min="1037" max="1280" width="9.140625" style="1551"/>
    <col min="1281" max="1281" width="5.5703125" style="1551" customWidth="1"/>
    <col min="1282" max="1282" width="6.7109375" style="1551" customWidth="1"/>
    <col min="1283" max="1283" width="8.85546875" style="1551" customWidth="1"/>
    <col min="1284" max="1284" width="47.85546875" style="1551" customWidth="1"/>
    <col min="1285" max="1285" width="12.85546875" style="1551" customWidth="1"/>
    <col min="1286" max="1286" width="15.5703125" style="1551" customWidth="1"/>
    <col min="1287" max="1287" width="15.85546875" style="1551" customWidth="1"/>
    <col min="1288" max="1288" width="6.42578125" style="1551" customWidth="1"/>
    <col min="1289" max="1290" width="9.140625" style="1551"/>
    <col min="1291" max="1292" width="14.7109375" style="1551" bestFit="1" customWidth="1"/>
    <col min="1293" max="1536" width="9.140625" style="1551"/>
    <col min="1537" max="1537" width="5.5703125" style="1551" customWidth="1"/>
    <col min="1538" max="1538" width="6.7109375" style="1551" customWidth="1"/>
    <col min="1539" max="1539" width="8.85546875" style="1551" customWidth="1"/>
    <col min="1540" max="1540" width="47.85546875" style="1551" customWidth="1"/>
    <col min="1541" max="1541" width="12.85546875" style="1551" customWidth="1"/>
    <col min="1542" max="1542" width="15.5703125" style="1551" customWidth="1"/>
    <col min="1543" max="1543" width="15.85546875" style="1551" customWidth="1"/>
    <col min="1544" max="1544" width="6.42578125" style="1551" customWidth="1"/>
    <col min="1545" max="1546" width="9.140625" style="1551"/>
    <col min="1547" max="1548" width="14.7109375" style="1551" bestFit="1" customWidth="1"/>
    <col min="1549" max="1792" width="9.140625" style="1551"/>
    <col min="1793" max="1793" width="5.5703125" style="1551" customWidth="1"/>
    <col min="1794" max="1794" width="6.7109375" style="1551" customWidth="1"/>
    <col min="1795" max="1795" width="8.85546875" style="1551" customWidth="1"/>
    <col min="1796" max="1796" width="47.85546875" style="1551" customWidth="1"/>
    <col min="1797" max="1797" width="12.85546875" style="1551" customWidth="1"/>
    <col min="1798" max="1798" width="15.5703125" style="1551" customWidth="1"/>
    <col min="1799" max="1799" width="15.85546875" style="1551" customWidth="1"/>
    <col min="1800" max="1800" width="6.42578125" style="1551" customWidth="1"/>
    <col min="1801" max="1802" width="9.140625" style="1551"/>
    <col min="1803" max="1804" width="14.7109375" style="1551" bestFit="1" customWidth="1"/>
    <col min="1805" max="2048" width="9.140625" style="1551"/>
    <col min="2049" max="2049" width="5.5703125" style="1551" customWidth="1"/>
    <col min="2050" max="2050" width="6.7109375" style="1551" customWidth="1"/>
    <col min="2051" max="2051" width="8.85546875" style="1551" customWidth="1"/>
    <col min="2052" max="2052" width="47.85546875" style="1551" customWidth="1"/>
    <col min="2053" max="2053" width="12.85546875" style="1551" customWidth="1"/>
    <col min="2054" max="2054" width="15.5703125" style="1551" customWidth="1"/>
    <col min="2055" max="2055" width="15.85546875" style="1551" customWidth="1"/>
    <col min="2056" max="2056" width="6.42578125" style="1551" customWidth="1"/>
    <col min="2057" max="2058" width="9.140625" style="1551"/>
    <col min="2059" max="2060" width="14.7109375" style="1551" bestFit="1" customWidth="1"/>
    <col min="2061" max="2304" width="9.140625" style="1551"/>
    <col min="2305" max="2305" width="5.5703125" style="1551" customWidth="1"/>
    <col min="2306" max="2306" width="6.7109375" style="1551" customWidth="1"/>
    <col min="2307" max="2307" width="8.85546875" style="1551" customWidth="1"/>
    <col min="2308" max="2308" width="47.85546875" style="1551" customWidth="1"/>
    <col min="2309" max="2309" width="12.85546875" style="1551" customWidth="1"/>
    <col min="2310" max="2310" width="15.5703125" style="1551" customWidth="1"/>
    <col min="2311" max="2311" width="15.85546875" style="1551" customWidth="1"/>
    <col min="2312" max="2312" width="6.42578125" style="1551" customWidth="1"/>
    <col min="2313" max="2314" width="9.140625" style="1551"/>
    <col min="2315" max="2316" width="14.7109375" style="1551" bestFit="1" customWidth="1"/>
    <col min="2317" max="2560" width="9.140625" style="1551"/>
    <col min="2561" max="2561" width="5.5703125" style="1551" customWidth="1"/>
    <col min="2562" max="2562" width="6.7109375" style="1551" customWidth="1"/>
    <col min="2563" max="2563" width="8.85546875" style="1551" customWidth="1"/>
    <col min="2564" max="2564" width="47.85546875" style="1551" customWidth="1"/>
    <col min="2565" max="2565" width="12.85546875" style="1551" customWidth="1"/>
    <col min="2566" max="2566" width="15.5703125" style="1551" customWidth="1"/>
    <col min="2567" max="2567" width="15.85546875" style="1551" customWidth="1"/>
    <col min="2568" max="2568" width="6.42578125" style="1551" customWidth="1"/>
    <col min="2569" max="2570" width="9.140625" style="1551"/>
    <col min="2571" max="2572" width="14.7109375" style="1551" bestFit="1" customWidth="1"/>
    <col min="2573" max="2816" width="9.140625" style="1551"/>
    <col min="2817" max="2817" width="5.5703125" style="1551" customWidth="1"/>
    <col min="2818" max="2818" width="6.7109375" style="1551" customWidth="1"/>
    <col min="2819" max="2819" width="8.85546875" style="1551" customWidth="1"/>
    <col min="2820" max="2820" width="47.85546875" style="1551" customWidth="1"/>
    <col min="2821" max="2821" width="12.85546875" style="1551" customWidth="1"/>
    <col min="2822" max="2822" width="15.5703125" style="1551" customWidth="1"/>
    <col min="2823" max="2823" width="15.85546875" style="1551" customWidth="1"/>
    <col min="2824" max="2824" width="6.42578125" style="1551" customWidth="1"/>
    <col min="2825" max="2826" width="9.140625" style="1551"/>
    <col min="2827" max="2828" width="14.7109375" style="1551" bestFit="1" customWidth="1"/>
    <col min="2829" max="3072" width="9.140625" style="1551"/>
    <col min="3073" max="3073" width="5.5703125" style="1551" customWidth="1"/>
    <col min="3074" max="3074" width="6.7109375" style="1551" customWidth="1"/>
    <col min="3075" max="3075" width="8.85546875" style="1551" customWidth="1"/>
    <col min="3076" max="3076" width="47.85546875" style="1551" customWidth="1"/>
    <col min="3077" max="3077" width="12.85546875" style="1551" customWidth="1"/>
    <col min="3078" max="3078" width="15.5703125" style="1551" customWidth="1"/>
    <col min="3079" max="3079" width="15.85546875" style="1551" customWidth="1"/>
    <col min="3080" max="3080" width="6.42578125" style="1551" customWidth="1"/>
    <col min="3081" max="3082" width="9.140625" style="1551"/>
    <col min="3083" max="3084" width="14.7109375" style="1551" bestFit="1" customWidth="1"/>
    <col min="3085" max="3328" width="9.140625" style="1551"/>
    <col min="3329" max="3329" width="5.5703125" style="1551" customWidth="1"/>
    <col min="3330" max="3330" width="6.7109375" style="1551" customWidth="1"/>
    <col min="3331" max="3331" width="8.85546875" style="1551" customWidth="1"/>
    <col min="3332" max="3332" width="47.85546875" style="1551" customWidth="1"/>
    <col min="3333" max="3333" width="12.85546875" style="1551" customWidth="1"/>
    <col min="3334" max="3334" width="15.5703125" style="1551" customWidth="1"/>
    <col min="3335" max="3335" width="15.85546875" style="1551" customWidth="1"/>
    <col min="3336" max="3336" width="6.42578125" style="1551" customWidth="1"/>
    <col min="3337" max="3338" width="9.140625" style="1551"/>
    <col min="3339" max="3340" width="14.7109375" style="1551" bestFit="1" customWidth="1"/>
    <col min="3341" max="3584" width="9.140625" style="1551"/>
    <col min="3585" max="3585" width="5.5703125" style="1551" customWidth="1"/>
    <col min="3586" max="3586" width="6.7109375" style="1551" customWidth="1"/>
    <col min="3587" max="3587" width="8.85546875" style="1551" customWidth="1"/>
    <col min="3588" max="3588" width="47.85546875" style="1551" customWidth="1"/>
    <col min="3589" max="3589" width="12.85546875" style="1551" customWidth="1"/>
    <col min="3590" max="3590" width="15.5703125" style="1551" customWidth="1"/>
    <col min="3591" max="3591" width="15.85546875" style="1551" customWidth="1"/>
    <col min="3592" max="3592" width="6.42578125" style="1551" customWidth="1"/>
    <col min="3593" max="3594" width="9.140625" style="1551"/>
    <col min="3595" max="3596" width="14.7109375" style="1551" bestFit="1" customWidth="1"/>
    <col min="3597" max="3840" width="9.140625" style="1551"/>
    <col min="3841" max="3841" width="5.5703125" style="1551" customWidth="1"/>
    <col min="3842" max="3842" width="6.7109375" style="1551" customWidth="1"/>
    <col min="3843" max="3843" width="8.85546875" style="1551" customWidth="1"/>
    <col min="3844" max="3844" width="47.85546875" style="1551" customWidth="1"/>
    <col min="3845" max="3845" width="12.85546875" style="1551" customWidth="1"/>
    <col min="3846" max="3846" width="15.5703125" style="1551" customWidth="1"/>
    <col min="3847" max="3847" width="15.85546875" style="1551" customWidth="1"/>
    <col min="3848" max="3848" width="6.42578125" style="1551" customWidth="1"/>
    <col min="3849" max="3850" width="9.140625" style="1551"/>
    <col min="3851" max="3852" width="14.7109375" style="1551" bestFit="1" customWidth="1"/>
    <col min="3853" max="4096" width="9.140625" style="1551"/>
    <col min="4097" max="4097" width="5.5703125" style="1551" customWidth="1"/>
    <col min="4098" max="4098" width="6.7109375" style="1551" customWidth="1"/>
    <col min="4099" max="4099" width="8.85546875" style="1551" customWidth="1"/>
    <col min="4100" max="4100" width="47.85546875" style="1551" customWidth="1"/>
    <col min="4101" max="4101" width="12.85546875" style="1551" customWidth="1"/>
    <col min="4102" max="4102" width="15.5703125" style="1551" customWidth="1"/>
    <col min="4103" max="4103" width="15.85546875" style="1551" customWidth="1"/>
    <col min="4104" max="4104" width="6.42578125" style="1551" customWidth="1"/>
    <col min="4105" max="4106" width="9.140625" style="1551"/>
    <col min="4107" max="4108" width="14.7109375" style="1551" bestFit="1" customWidth="1"/>
    <col min="4109" max="4352" width="9.140625" style="1551"/>
    <col min="4353" max="4353" width="5.5703125" style="1551" customWidth="1"/>
    <col min="4354" max="4354" width="6.7109375" style="1551" customWidth="1"/>
    <col min="4355" max="4355" width="8.85546875" style="1551" customWidth="1"/>
    <col min="4356" max="4356" width="47.85546875" style="1551" customWidth="1"/>
    <col min="4357" max="4357" width="12.85546875" style="1551" customWidth="1"/>
    <col min="4358" max="4358" width="15.5703125" style="1551" customWidth="1"/>
    <col min="4359" max="4359" width="15.85546875" style="1551" customWidth="1"/>
    <col min="4360" max="4360" width="6.42578125" style="1551" customWidth="1"/>
    <col min="4361" max="4362" width="9.140625" style="1551"/>
    <col min="4363" max="4364" width="14.7109375" style="1551" bestFit="1" customWidth="1"/>
    <col min="4365" max="4608" width="9.140625" style="1551"/>
    <col min="4609" max="4609" width="5.5703125" style="1551" customWidth="1"/>
    <col min="4610" max="4610" width="6.7109375" style="1551" customWidth="1"/>
    <col min="4611" max="4611" width="8.85546875" style="1551" customWidth="1"/>
    <col min="4612" max="4612" width="47.85546875" style="1551" customWidth="1"/>
    <col min="4613" max="4613" width="12.85546875" style="1551" customWidth="1"/>
    <col min="4614" max="4614" width="15.5703125" style="1551" customWidth="1"/>
    <col min="4615" max="4615" width="15.85546875" style="1551" customWidth="1"/>
    <col min="4616" max="4616" width="6.42578125" style="1551" customWidth="1"/>
    <col min="4617" max="4618" width="9.140625" style="1551"/>
    <col min="4619" max="4620" width="14.7109375" style="1551" bestFit="1" customWidth="1"/>
    <col min="4621" max="4864" width="9.140625" style="1551"/>
    <col min="4865" max="4865" width="5.5703125" style="1551" customWidth="1"/>
    <col min="4866" max="4866" width="6.7109375" style="1551" customWidth="1"/>
    <col min="4867" max="4867" width="8.85546875" style="1551" customWidth="1"/>
    <col min="4868" max="4868" width="47.85546875" style="1551" customWidth="1"/>
    <col min="4869" max="4869" width="12.85546875" style="1551" customWidth="1"/>
    <col min="4870" max="4870" width="15.5703125" style="1551" customWidth="1"/>
    <col min="4871" max="4871" width="15.85546875" style="1551" customWidth="1"/>
    <col min="4872" max="4872" width="6.42578125" style="1551" customWidth="1"/>
    <col min="4873" max="4874" width="9.140625" style="1551"/>
    <col min="4875" max="4876" width="14.7109375" style="1551" bestFit="1" customWidth="1"/>
    <col min="4877" max="5120" width="9.140625" style="1551"/>
    <col min="5121" max="5121" width="5.5703125" style="1551" customWidth="1"/>
    <col min="5122" max="5122" width="6.7109375" style="1551" customWidth="1"/>
    <col min="5123" max="5123" width="8.85546875" style="1551" customWidth="1"/>
    <col min="5124" max="5124" width="47.85546875" style="1551" customWidth="1"/>
    <col min="5125" max="5125" width="12.85546875" style="1551" customWidth="1"/>
    <col min="5126" max="5126" width="15.5703125" style="1551" customWidth="1"/>
    <col min="5127" max="5127" width="15.85546875" style="1551" customWidth="1"/>
    <col min="5128" max="5128" width="6.42578125" style="1551" customWidth="1"/>
    <col min="5129" max="5130" width="9.140625" style="1551"/>
    <col min="5131" max="5132" width="14.7109375" style="1551" bestFit="1" customWidth="1"/>
    <col min="5133" max="5376" width="9.140625" style="1551"/>
    <col min="5377" max="5377" width="5.5703125" style="1551" customWidth="1"/>
    <col min="5378" max="5378" width="6.7109375" style="1551" customWidth="1"/>
    <col min="5379" max="5379" width="8.85546875" style="1551" customWidth="1"/>
    <col min="5380" max="5380" width="47.85546875" style="1551" customWidth="1"/>
    <col min="5381" max="5381" width="12.85546875" style="1551" customWidth="1"/>
    <col min="5382" max="5382" width="15.5703125" style="1551" customWidth="1"/>
    <col min="5383" max="5383" width="15.85546875" style="1551" customWidth="1"/>
    <col min="5384" max="5384" width="6.42578125" style="1551" customWidth="1"/>
    <col min="5385" max="5386" width="9.140625" style="1551"/>
    <col min="5387" max="5388" width="14.7109375" style="1551" bestFit="1" customWidth="1"/>
    <col min="5389" max="5632" width="9.140625" style="1551"/>
    <col min="5633" max="5633" width="5.5703125" style="1551" customWidth="1"/>
    <col min="5634" max="5634" width="6.7109375" style="1551" customWidth="1"/>
    <col min="5635" max="5635" width="8.85546875" style="1551" customWidth="1"/>
    <col min="5636" max="5636" width="47.85546875" style="1551" customWidth="1"/>
    <col min="5637" max="5637" width="12.85546875" style="1551" customWidth="1"/>
    <col min="5638" max="5638" width="15.5703125" style="1551" customWidth="1"/>
    <col min="5639" max="5639" width="15.85546875" style="1551" customWidth="1"/>
    <col min="5640" max="5640" width="6.42578125" style="1551" customWidth="1"/>
    <col min="5641" max="5642" width="9.140625" style="1551"/>
    <col min="5643" max="5644" width="14.7109375" style="1551" bestFit="1" customWidth="1"/>
    <col min="5645" max="5888" width="9.140625" style="1551"/>
    <col min="5889" max="5889" width="5.5703125" style="1551" customWidth="1"/>
    <col min="5890" max="5890" width="6.7109375" style="1551" customWidth="1"/>
    <col min="5891" max="5891" width="8.85546875" style="1551" customWidth="1"/>
    <col min="5892" max="5892" width="47.85546875" style="1551" customWidth="1"/>
    <col min="5893" max="5893" width="12.85546875" style="1551" customWidth="1"/>
    <col min="5894" max="5894" width="15.5703125" style="1551" customWidth="1"/>
    <col min="5895" max="5895" width="15.85546875" style="1551" customWidth="1"/>
    <col min="5896" max="5896" width="6.42578125" style="1551" customWidth="1"/>
    <col min="5897" max="5898" width="9.140625" style="1551"/>
    <col min="5899" max="5900" width="14.7109375" style="1551" bestFit="1" customWidth="1"/>
    <col min="5901" max="6144" width="9.140625" style="1551"/>
    <col min="6145" max="6145" width="5.5703125" style="1551" customWidth="1"/>
    <col min="6146" max="6146" width="6.7109375" style="1551" customWidth="1"/>
    <col min="6147" max="6147" width="8.85546875" style="1551" customWidth="1"/>
    <col min="6148" max="6148" width="47.85546875" style="1551" customWidth="1"/>
    <col min="6149" max="6149" width="12.85546875" style="1551" customWidth="1"/>
    <col min="6150" max="6150" width="15.5703125" style="1551" customWidth="1"/>
    <col min="6151" max="6151" width="15.85546875" style="1551" customWidth="1"/>
    <col min="6152" max="6152" width="6.42578125" style="1551" customWidth="1"/>
    <col min="6153" max="6154" width="9.140625" style="1551"/>
    <col min="6155" max="6156" width="14.7109375" style="1551" bestFit="1" customWidth="1"/>
    <col min="6157" max="6400" width="9.140625" style="1551"/>
    <col min="6401" max="6401" width="5.5703125" style="1551" customWidth="1"/>
    <col min="6402" max="6402" width="6.7109375" style="1551" customWidth="1"/>
    <col min="6403" max="6403" width="8.85546875" style="1551" customWidth="1"/>
    <col min="6404" max="6404" width="47.85546875" style="1551" customWidth="1"/>
    <col min="6405" max="6405" width="12.85546875" style="1551" customWidth="1"/>
    <col min="6406" max="6406" width="15.5703125" style="1551" customWidth="1"/>
    <col min="6407" max="6407" width="15.85546875" style="1551" customWidth="1"/>
    <col min="6408" max="6408" width="6.42578125" style="1551" customWidth="1"/>
    <col min="6409" max="6410" width="9.140625" style="1551"/>
    <col min="6411" max="6412" width="14.7109375" style="1551" bestFit="1" customWidth="1"/>
    <col min="6413" max="6656" width="9.140625" style="1551"/>
    <col min="6657" max="6657" width="5.5703125" style="1551" customWidth="1"/>
    <col min="6658" max="6658" width="6.7109375" style="1551" customWidth="1"/>
    <col min="6659" max="6659" width="8.85546875" style="1551" customWidth="1"/>
    <col min="6660" max="6660" width="47.85546875" style="1551" customWidth="1"/>
    <col min="6661" max="6661" width="12.85546875" style="1551" customWidth="1"/>
    <col min="6662" max="6662" width="15.5703125" style="1551" customWidth="1"/>
    <col min="6663" max="6663" width="15.85546875" style="1551" customWidth="1"/>
    <col min="6664" max="6664" width="6.42578125" style="1551" customWidth="1"/>
    <col min="6665" max="6666" width="9.140625" style="1551"/>
    <col min="6667" max="6668" width="14.7109375" style="1551" bestFit="1" customWidth="1"/>
    <col min="6669" max="6912" width="9.140625" style="1551"/>
    <col min="6913" max="6913" width="5.5703125" style="1551" customWidth="1"/>
    <col min="6914" max="6914" width="6.7109375" style="1551" customWidth="1"/>
    <col min="6915" max="6915" width="8.85546875" style="1551" customWidth="1"/>
    <col min="6916" max="6916" width="47.85546875" style="1551" customWidth="1"/>
    <col min="6917" max="6917" width="12.85546875" style="1551" customWidth="1"/>
    <col min="6918" max="6918" width="15.5703125" style="1551" customWidth="1"/>
    <col min="6919" max="6919" width="15.85546875" style="1551" customWidth="1"/>
    <col min="6920" max="6920" width="6.42578125" style="1551" customWidth="1"/>
    <col min="6921" max="6922" width="9.140625" style="1551"/>
    <col min="6923" max="6924" width="14.7109375" style="1551" bestFit="1" customWidth="1"/>
    <col min="6925" max="7168" width="9.140625" style="1551"/>
    <col min="7169" max="7169" width="5.5703125" style="1551" customWidth="1"/>
    <col min="7170" max="7170" width="6.7109375" style="1551" customWidth="1"/>
    <col min="7171" max="7171" width="8.85546875" style="1551" customWidth="1"/>
    <col min="7172" max="7172" width="47.85546875" style="1551" customWidth="1"/>
    <col min="7173" max="7173" width="12.85546875" style="1551" customWidth="1"/>
    <col min="7174" max="7174" width="15.5703125" style="1551" customWidth="1"/>
    <col min="7175" max="7175" width="15.85546875" style="1551" customWidth="1"/>
    <col min="7176" max="7176" width="6.42578125" style="1551" customWidth="1"/>
    <col min="7177" max="7178" width="9.140625" style="1551"/>
    <col min="7179" max="7180" width="14.7109375" style="1551" bestFit="1" customWidth="1"/>
    <col min="7181" max="7424" width="9.140625" style="1551"/>
    <col min="7425" max="7425" width="5.5703125" style="1551" customWidth="1"/>
    <col min="7426" max="7426" width="6.7109375" style="1551" customWidth="1"/>
    <col min="7427" max="7427" width="8.85546875" style="1551" customWidth="1"/>
    <col min="7428" max="7428" width="47.85546875" style="1551" customWidth="1"/>
    <col min="7429" max="7429" width="12.85546875" style="1551" customWidth="1"/>
    <col min="7430" max="7430" width="15.5703125" style="1551" customWidth="1"/>
    <col min="7431" max="7431" width="15.85546875" style="1551" customWidth="1"/>
    <col min="7432" max="7432" width="6.42578125" style="1551" customWidth="1"/>
    <col min="7433" max="7434" width="9.140625" style="1551"/>
    <col min="7435" max="7436" width="14.7109375" style="1551" bestFit="1" customWidth="1"/>
    <col min="7437" max="7680" width="9.140625" style="1551"/>
    <col min="7681" max="7681" width="5.5703125" style="1551" customWidth="1"/>
    <col min="7682" max="7682" width="6.7109375" style="1551" customWidth="1"/>
    <col min="7683" max="7683" width="8.85546875" style="1551" customWidth="1"/>
    <col min="7684" max="7684" width="47.85546875" style="1551" customWidth="1"/>
    <col min="7685" max="7685" width="12.85546875" style="1551" customWidth="1"/>
    <col min="7686" max="7686" width="15.5703125" style="1551" customWidth="1"/>
    <col min="7687" max="7687" width="15.85546875" style="1551" customWidth="1"/>
    <col min="7688" max="7688" width="6.42578125" style="1551" customWidth="1"/>
    <col min="7689" max="7690" width="9.140625" style="1551"/>
    <col min="7691" max="7692" width="14.7109375" style="1551" bestFit="1" customWidth="1"/>
    <col min="7693" max="7936" width="9.140625" style="1551"/>
    <col min="7937" max="7937" width="5.5703125" style="1551" customWidth="1"/>
    <col min="7938" max="7938" width="6.7109375" style="1551" customWidth="1"/>
    <col min="7939" max="7939" width="8.85546875" style="1551" customWidth="1"/>
    <col min="7940" max="7940" width="47.85546875" style="1551" customWidth="1"/>
    <col min="7941" max="7941" width="12.85546875" style="1551" customWidth="1"/>
    <col min="7942" max="7942" width="15.5703125" style="1551" customWidth="1"/>
    <col min="7943" max="7943" width="15.85546875" style="1551" customWidth="1"/>
    <col min="7944" max="7944" width="6.42578125" style="1551" customWidth="1"/>
    <col min="7945" max="7946" width="9.140625" style="1551"/>
    <col min="7947" max="7948" width="14.7109375" style="1551" bestFit="1" customWidth="1"/>
    <col min="7949" max="8192" width="9.140625" style="1551"/>
    <col min="8193" max="8193" width="5.5703125" style="1551" customWidth="1"/>
    <col min="8194" max="8194" width="6.7109375" style="1551" customWidth="1"/>
    <col min="8195" max="8195" width="8.85546875" style="1551" customWidth="1"/>
    <col min="8196" max="8196" width="47.85546875" style="1551" customWidth="1"/>
    <col min="8197" max="8197" width="12.85546875" style="1551" customWidth="1"/>
    <col min="8198" max="8198" width="15.5703125" style="1551" customWidth="1"/>
    <col min="8199" max="8199" width="15.85546875" style="1551" customWidth="1"/>
    <col min="8200" max="8200" width="6.42578125" style="1551" customWidth="1"/>
    <col min="8201" max="8202" width="9.140625" style="1551"/>
    <col min="8203" max="8204" width="14.7109375" style="1551" bestFit="1" customWidth="1"/>
    <col min="8205" max="8448" width="9.140625" style="1551"/>
    <col min="8449" max="8449" width="5.5703125" style="1551" customWidth="1"/>
    <col min="8450" max="8450" width="6.7109375" style="1551" customWidth="1"/>
    <col min="8451" max="8451" width="8.85546875" style="1551" customWidth="1"/>
    <col min="8452" max="8452" width="47.85546875" style="1551" customWidth="1"/>
    <col min="8453" max="8453" width="12.85546875" style="1551" customWidth="1"/>
    <col min="8454" max="8454" width="15.5703125" style="1551" customWidth="1"/>
    <col min="8455" max="8455" width="15.85546875" style="1551" customWidth="1"/>
    <col min="8456" max="8456" width="6.42578125" style="1551" customWidth="1"/>
    <col min="8457" max="8458" width="9.140625" style="1551"/>
    <col min="8459" max="8460" width="14.7109375" style="1551" bestFit="1" customWidth="1"/>
    <col min="8461" max="8704" width="9.140625" style="1551"/>
    <col min="8705" max="8705" width="5.5703125" style="1551" customWidth="1"/>
    <col min="8706" max="8706" width="6.7109375" style="1551" customWidth="1"/>
    <col min="8707" max="8707" width="8.85546875" style="1551" customWidth="1"/>
    <col min="8708" max="8708" width="47.85546875" style="1551" customWidth="1"/>
    <col min="8709" max="8709" width="12.85546875" style="1551" customWidth="1"/>
    <col min="8710" max="8710" width="15.5703125" style="1551" customWidth="1"/>
    <col min="8711" max="8711" width="15.85546875" style="1551" customWidth="1"/>
    <col min="8712" max="8712" width="6.42578125" style="1551" customWidth="1"/>
    <col min="8713" max="8714" width="9.140625" style="1551"/>
    <col min="8715" max="8716" width="14.7109375" style="1551" bestFit="1" customWidth="1"/>
    <col min="8717" max="8960" width="9.140625" style="1551"/>
    <col min="8961" max="8961" width="5.5703125" style="1551" customWidth="1"/>
    <col min="8962" max="8962" width="6.7109375" style="1551" customWidth="1"/>
    <col min="8963" max="8963" width="8.85546875" style="1551" customWidth="1"/>
    <col min="8964" max="8964" width="47.85546875" style="1551" customWidth="1"/>
    <col min="8965" max="8965" width="12.85546875" style="1551" customWidth="1"/>
    <col min="8966" max="8966" width="15.5703125" style="1551" customWidth="1"/>
    <col min="8967" max="8967" width="15.85546875" style="1551" customWidth="1"/>
    <col min="8968" max="8968" width="6.42578125" style="1551" customWidth="1"/>
    <col min="8969" max="8970" width="9.140625" style="1551"/>
    <col min="8971" max="8972" width="14.7109375" style="1551" bestFit="1" customWidth="1"/>
    <col min="8973" max="9216" width="9.140625" style="1551"/>
    <col min="9217" max="9217" width="5.5703125" style="1551" customWidth="1"/>
    <col min="9218" max="9218" width="6.7109375" style="1551" customWidth="1"/>
    <col min="9219" max="9219" width="8.85546875" style="1551" customWidth="1"/>
    <col min="9220" max="9220" width="47.85546875" style="1551" customWidth="1"/>
    <col min="9221" max="9221" width="12.85546875" style="1551" customWidth="1"/>
    <col min="9222" max="9222" width="15.5703125" style="1551" customWidth="1"/>
    <col min="9223" max="9223" width="15.85546875" style="1551" customWidth="1"/>
    <col min="9224" max="9224" width="6.42578125" style="1551" customWidth="1"/>
    <col min="9225" max="9226" width="9.140625" style="1551"/>
    <col min="9227" max="9228" width="14.7109375" style="1551" bestFit="1" customWidth="1"/>
    <col min="9229" max="9472" width="9.140625" style="1551"/>
    <col min="9473" max="9473" width="5.5703125" style="1551" customWidth="1"/>
    <col min="9474" max="9474" width="6.7109375" style="1551" customWidth="1"/>
    <col min="9475" max="9475" width="8.85546875" style="1551" customWidth="1"/>
    <col min="9476" max="9476" width="47.85546875" style="1551" customWidth="1"/>
    <col min="9477" max="9477" width="12.85546875" style="1551" customWidth="1"/>
    <col min="9478" max="9478" width="15.5703125" style="1551" customWidth="1"/>
    <col min="9479" max="9479" width="15.85546875" style="1551" customWidth="1"/>
    <col min="9480" max="9480" width="6.42578125" style="1551" customWidth="1"/>
    <col min="9481" max="9482" width="9.140625" style="1551"/>
    <col min="9483" max="9484" width="14.7109375" style="1551" bestFit="1" customWidth="1"/>
    <col min="9485" max="9728" width="9.140625" style="1551"/>
    <col min="9729" max="9729" width="5.5703125" style="1551" customWidth="1"/>
    <col min="9730" max="9730" width="6.7109375" style="1551" customWidth="1"/>
    <col min="9731" max="9731" width="8.85546875" style="1551" customWidth="1"/>
    <col min="9732" max="9732" width="47.85546875" style="1551" customWidth="1"/>
    <col min="9733" max="9733" width="12.85546875" style="1551" customWidth="1"/>
    <col min="9734" max="9734" width="15.5703125" style="1551" customWidth="1"/>
    <col min="9735" max="9735" width="15.85546875" style="1551" customWidth="1"/>
    <col min="9736" max="9736" width="6.42578125" style="1551" customWidth="1"/>
    <col min="9737" max="9738" width="9.140625" style="1551"/>
    <col min="9739" max="9740" width="14.7109375" style="1551" bestFit="1" customWidth="1"/>
    <col min="9741" max="9984" width="9.140625" style="1551"/>
    <col min="9985" max="9985" width="5.5703125" style="1551" customWidth="1"/>
    <col min="9986" max="9986" width="6.7109375" style="1551" customWidth="1"/>
    <col min="9987" max="9987" width="8.85546875" style="1551" customWidth="1"/>
    <col min="9988" max="9988" width="47.85546875" style="1551" customWidth="1"/>
    <col min="9989" max="9989" width="12.85546875" style="1551" customWidth="1"/>
    <col min="9990" max="9990" width="15.5703125" style="1551" customWidth="1"/>
    <col min="9991" max="9991" width="15.85546875" style="1551" customWidth="1"/>
    <col min="9992" max="9992" width="6.42578125" style="1551" customWidth="1"/>
    <col min="9993" max="9994" width="9.140625" style="1551"/>
    <col min="9995" max="9996" width="14.7109375" style="1551" bestFit="1" customWidth="1"/>
    <col min="9997" max="10240" width="9.140625" style="1551"/>
    <col min="10241" max="10241" width="5.5703125" style="1551" customWidth="1"/>
    <col min="10242" max="10242" width="6.7109375" style="1551" customWidth="1"/>
    <col min="10243" max="10243" width="8.85546875" style="1551" customWidth="1"/>
    <col min="10244" max="10244" width="47.85546875" style="1551" customWidth="1"/>
    <col min="10245" max="10245" width="12.85546875" style="1551" customWidth="1"/>
    <col min="10246" max="10246" width="15.5703125" style="1551" customWidth="1"/>
    <col min="10247" max="10247" width="15.85546875" style="1551" customWidth="1"/>
    <col min="10248" max="10248" width="6.42578125" style="1551" customWidth="1"/>
    <col min="10249" max="10250" width="9.140625" style="1551"/>
    <col min="10251" max="10252" width="14.7109375" style="1551" bestFit="1" customWidth="1"/>
    <col min="10253" max="10496" width="9.140625" style="1551"/>
    <col min="10497" max="10497" width="5.5703125" style="1551" customWidth="1"/>
    <col min="10498" max="10498" width="6.7109375" style="1551" customWidth="1"/>
    <col min="10499" max="10499" width="8.85546875" style="1551" customWidth="1"/>
    <col min="10500" max="10500" width="47.85546875" style="1551" customWidth="1"/>
    <col min="10501" max="10501" width="12.85546875" style="1551" customWidth="1"/>
    <col min="10502" max="10502" width="15.5703125" style="1551" customWidth="1"/>
    <col min="10503" max="10503" width="15.85546875" style="1551" customWidth="1"/>
    <col min="10504" max="10504" width="6.42578125" style="1551" customWidth="1"/>
    <col min="10505" max="10506" width="9.140625" style="1551"/>
    <col min="10507" max="10508" width="14.7109375" style="1551" bestFit="1" customWidth="1"/>
    <col min="10509" max="10752" width="9.140625" style="1551"/>
    <col min="10753" max="10753" width="5.5703125" style="1551" customWidth="1"/>
    <col min="10754" max="10754" width="6.7109375" style="1551" customWidth="1"/>
    <col min="10755" max="10755" width="8.85546875" style="1551" customWidth="1"/>
    <col min="10756" max="10756" width="47.85546875" style="1551" customWidth="1"/>
    <col min="10757" max="10757" width="12.85546875" style="1551" customWidth="1"/>
    <col min="10758" max="10758" width="15.5703125" style="1551" customWidth="1"/>
    <col min="10759" max="10759" width="15.85546875" style="1551" customWidth="1"/>
    <col min="10760" max="10760" width="6.42578125" style="1551" customWidth="1"/>
    <col min="10761" max="10762" width="9.140625" style="1551"/>
    <col min="10763" max="10764" width="14.7109375" style="1551" bestFit="1" customWidth="1"/>
    <col min="10765" max="11008" width="9.140625" style="1551"/>
    <col min="11009" max="11009" width="5.5703125" style="1551" customWidth="1"/>
    <col min="11010" max="11010" width="6.7109375" style="1551" customWidth="1"/>
    <col min="11011" max="11011" width="8.85546875" style="1551" customWidth="1"/>
    <col min="11012" max="11012" width="47.85546875" style="1551" customWidth="1"/>
    <col min="11013" max="11013" width="12.85546875" style="1551" customWidth="1"/>
    <col min="11014" max="11014" width="15.5703125" style="1551" customWidth="1"/>
    <col min="11015" max="11015" width="15.85546875" style="1551" customWidth="1"/>
    <col min="11016" max="11016" width="6.42578125" style="1551" customWidth="1"/>
    <col min="11017" max="11018" width="9.140625" style="1551"/>
    <col min="11019" max="11020" width="14.7109375" style="1551" bestFit="1" customWidth="1"/>
    <col min="11021" max="11264" width="9.140625" style="1551"/>
    <col min="11265" max="11265" width="5.5703125" style="1551" customWidth="1"/>
    <col min="11266" max="11266" width="6.7109375" style="1551" customWidth="1"/>
    <col min="11267" max="11267" width="8.85546875" style="1551" customWidth="1"/>
    <col min="11268" max="11268" width="47.85546875" style="1551" customWidth="1"/>
    <col min="11269" max="11269" width="12.85546875" style="1551" customWidth="1"/>
    <col min="11270" max="11270" width="15.5703125" style="1551" customWidth="1"/>
    <col min="11271" max="11271" width="15.85546875" style="1551" customWidth="1"/>
    <col min="11272" max="11272" width="6.42578125" style="1551" customWidth="1"/>
    <col min="11273" max="11274" width="9.140625" style="1551"/>
    <col min="11275" max="11276" width="14.7109375" style="1551" bestFit="1" customWidth="1"/>
    <col min="11277" max="11520" width="9.140625" style="1551"/>
    <col min="11521" max="11521" width="5.5703125" style="1551" customWidth="1"/>
    <col min="11522" max="11522" width="6.7109375" style="1551" customWidth="1"/>
    <col min="11523" max="11523" width="8.85546875" style="1551" customWidth="1"/>
    <col min="11524" max="11524" width="47.85546875" style="1551" customWidth="1"/>
    <col min="11525" max="11525" width="12.85546875" style="1551" customWidth="1"/>
    <col min="11526" max="11526" width="15.5703125" style="1551" customWidth="1"/>
    <col min="11527" max="11527" width="15.85546875" style="1551" customWidth="1"/>
    <col min="11528" max="11528" width="6.42578125" style="1551" customWidth="1"/>
    <col min="11529" max="11530" width="9.140625" style="1551"/>
    <col min="11531" max="11532" width="14.7109375" style="1551" bestFit="1" customWidth="1"/>
    <col min="11533" max="11776" width="9.140625" style="1551"/>
    <col min="11777" max="11777" width="5.5703125" style="1551" customWidth="1"/>
    <col min="11778" max="11778" width="6.7109375" style="1551" customWidth="1"/>
    <col min="11779" max="11779" width="8.85546875" style="1551" customWidth="1"/>
    <col min="11780" max="11780" width="47.85546875" style="1551" customWidth="1"/>
    <col min="11781" max="11781" width="12.85546875" style="1551" customWidth="1"/>
    <col min="11782" max="11782" width="15.5703125" style="1551" customWidth="1"/>
    <col min="11783" max="11783" width="15.85546875" style="1551" customWidth="1"/>
    <col min="11784" max="11784" width="6.42578125" style="1551" customWidth="1"/>
    <col min="11785" max="11786" width="9.140625" style="1551"/>
    <col min="11787" max="11788" width="14.7109375" style="1551" bestFit="1" customWidth="1"/>
    <col min="11789" max="12032" width="9.140625" style="1551"/>
    <col min="12033" max="12033" width="5.5703125" style="1551" customWidth="1"/>
    <col min="12034" max="12034" width="6.7109375" style="1551" customWidth="1"/>
    <col min="12035" max="12035" width="8.85546875" style="1551" customWidth="1"/>
    <col min="12036" max="12036" width="47.85546875" style="1551" customWidth="1"/>
    <col min="12037" max="12037" width="12.85546875" style="1551" customWidth="1"/>
    <col min="12038" max="12038" width="15.5703125" style="1551" customWidth="1"/>
    <col min="12039" max="12039" width="15.85546875" style="1551" customWidth="1"/>
    <col min="12040" max="12040" width="6.42578125" style="1551" customWidth="1"/>
    <col min="12041" max="12042" width="9.140625" style="1551"/>
    <col min="12043" max="12044" width="14.7109375" style="1551" bestFit="1" customWidth="1"/>
    <col min="12045" max="12288" width="9.140625" style="1551"/>
    <col min="12289" max="12289" width="5.5703125" style="1551" customWidth="1"/>
    <col min="12290" max="12290" width="6.7109375" style="1551" customWidth="1"/>
    <col min="12291" max="12291" width="8.85546875" style="1551" customWidth="1"/>
    <col min="12292" max="12292" width="47.85546875" style="1551" customWidth="1"/>
    <col min="12293" max="12293" width="12.85546875" style="1551" customWidth="1"/>
    <col min="12294" max="12294" width="15.5703125" style="1551" customWidth="1"/>
    <col min="12295" max="12295" width="15.85546875" style="1551" customWidth="1"/>
    <col min="12296" max="12296" width="6.42578125" style="1551" customWidth="1"/>
    <col min="12297" max="12298" width="9.140625" style="1551"/>
    <col min="12299" max="12300" width="14.7109375" style="1551" bestFit="1" customWidth="1"/>
    <col min="12301" max="12544" width="9.140625" style="1551"/>
    <col min="12545" max="12545" width="5.5703125" style="1551" customWidth="1"/>
    <col min="12546" max="12546" width="6.7109375" style="1551" customWidth="1"/>
    <col min="12547" max="12547" width="8.85546875" style="1551" customWidth="1"/>
    <col min="12548" max="12548" width="47.85546875" style="1551" customWidth="1"/>
    <col min="12549" max="12549" width="12.85546875" style="1551" customWidth="1"/>
    <col min="12550" max="12550" width="15.5703125" style="1551" customWidth="1"/>
    <col min="12551" max="12551" width="15.85546875" style="1551" customWidth="1"/>
    <col min="12552" max="12552" width="6.42578125" style="1551" customWidth="1"/>
    <col min="12553" max="12554" width="9.140625" style="1551"/>
    <col min="12555" max="12556" width="14.7109375" style="1551" bestFit="1" customWidth="1"/>
    <col min="12557" max="12800" width="9.140625" style="1551"/>
    <col min="12801" max="12801" width="5.5703125" style="1551" customWidth="1"/>
    <col min="12802" max="12802" width="6.7109375" style="1551" customWidth="1"/>
    <col min="12803" max="12803" width="8.85546875" style="1551" customWidth="1"/>
    <col min="12804" max="12804" width="47.85546875" style="1551" customWidth="1"/>
    <col min="12805" max="12805" width="12.85546875" style="1551" customWidth="1"/>
    <col min="12806" max="12806" width="15.5703125" style="1551" customWidth="1"/>
    <col min="12807" max="12807" width="15.85546875" style="1551" customWidth="1"/>
    <col min="12808" max="12808" width="6.42578125" style="1551" customWidth="1"/>
    <col min="12809" max="12810" width="9.140625" style="1551"/>
    <col min="12811" max="12812" width="14.7109375" style="1551" bestFit="1" customWidth="1"/>
    <col min="12813" max="13056" width="9.140625" style="1551"/>
    <col min="13057" max="13057" width="5.5703125" style="1551" customWidth="1"/>
    <col min="13058" max="13058" width="6.7109375" style="1551" customWidth="1"/>
    <col min="13059" max="13059" width="8.85546875" style="1551" customWidth="1"/>
    <col min="13060" max="13060" width="47.85546875" style="1551" customWidth="1"/>
    <col min="13061" max="13061" width="12.85546875" style="1551" customWidth="1"/>
    <col min="13062" max="13062" width="15.5703125" style="1551" customWidth="1"/>
    <col min="13063" max="13063" width="15.85546875" style="1551" customWidth="1"/>
    <col min="13064" max="13064" width="6.42578125" style="1551" customWidth="1"/>
    <col min="13065" max="13066" width="9.140625" style="1551"/>
    <col min="13067" max="13068" width="14.7109375" style="1551" bestFit="1" customWidth="1"/>
    <col min="13069" max="13312" width="9.140625" style="1551"/>
    <col min="13313" max="13313" width="5.5703125" style="1551" customWidth="1"/>
    <col min="13314" max="13314" width="6.7109375" style="1551" customWidth="1"/>
    <col min="13315" max="13315" width="8.85546875" style="1551" customWidth="1"/>
    <col min="13316" max="13316" width="47.85546875" style="1551" customWidth="1"/>
    <col min="13317" max="13317" width="12.85546875" style="1551" customWidth="1"/>
    <col min="13318" max="13318" width="15.5703125" style="1551" customWidth="1"/>
    <col min="13319" max="13319" width="15.85546875" style="1551" customWidth="1"/>
    <col min="13320" max="13320" width="6.42578125" style="1551" customWidth="1"/>
    <col min="13321" max="13322" width="9.140625" style="1551"/>
    <col min="13323" max="13324" width="14.7109375" style="1551" bestFit="1" customWidth="1"/>
    <col min="13325" max="13568" width="9.140625" style="1551"/>
    <col min="13569" max="13569" width="5.5703125" style="1551" customWidth="1"/>
    <col min="13570" max="13570" width="6.7109375" style="1551" customWidth="1"/>
    <col min="13571" max="13571" width="8.85546875" style="1551" customWidth="1"/>
    <col min="13572" max="13572" width="47.85546875" style="1551" customWidth="1"/>
    <col min="13573" max="13573" width="12.85546875" style="1551" customWidth="1"/>
    <col min="13574" max="13574" width="15.5703125" style="1551" customWidth="1"/>
    <col min="13575" max="13575" width="15.85546875" style="1551" customWidth="1"/>
    <col min="13576" max="13576" width="6.42578125" style="1551" customWidth="1"/>
    <col min="13577" max="13578" width="9.140625" style="1551"/>
    <col min="13579" max="13580" width="14.7109375" style="1551" bestFit="1" customWidth="1"/>
    <col min="13581" max="13824" width="9.140625" style="1551"/>
    <col min="13825" max="13825" width="5.5703125" style="1551" customWidth="1"/>
    <col min="13826" max="13826" width="6.7109375" style="1551" customWidth="1"/>
    <col min="13827" max="13827" width="8.85546875" style="1551" customWidth="1"/>
    <col min="13828" max="13828" width="47.85546875" style="1551" customWidth="1"/>
    <col min="13829" max="13829" width="12.85546875" style="1551" customWidth="1"/>
    <col min="13830" max="13830" width="15.5703125" style="1551" customWidth="1"/>
    <col min="13831" max="13831" width="15.85546875" style="1551" customWidth="1"/>
    <col min="13832" max="13832" width="6.42578125" style="1551" customWidth="1"/>
    <col min="13833" max="13834" width="9.140625" style="1551"/>
    <col min="13835" max="13836" width="14.7109375" style="1551" bestFit="1" customWidth="1"/>
    <col min="13837" max="14080" width="9.140625" style="1551"/>
    <col min="14081" max="14081" width="5.5703125" style="1551" customWidth="1"/>
    <col min="14082" max="14082" width="6.7109375" style="1551" customWidth="1"/>
    <col min="14083" max="14083" width="8.85546875" style="1551" customWidth="1"/>
    <col min="14084" max="14084" width="47.85546875" style="1551" customWidth="1"/>
    <col min="14085" max="14085" width="12.85546875" style="1551" customWidth="1"/>
    <col min="14086" max="14086" width="15.5703125" style="1551" customWidth="1"/>
    <col min="14087" max="14087" width="15.85546875" style="1551" customWidth="1"/>
    <col min="14088" max="14088" width="6.42578125" style="1551" customWidth="1"/>
    <col min="14089" max="14090" width="9.140625" style="1551"/>
    <col min="14091" max="14092" width="14.7109375" style="1551" bestFit="1" customWidth="1"/>
    <col min="14093" max="14336" width="9.140625" style="1551"/>
    <col min="14337" max="14337" width="5.5703125" style="1551" customWidth="1"/>
    <col min="14338" max="14338" width="6.7109375" style="1551" customWidth="1"/>
    <col min="14339" max="14339" width="8.85546875" style="1551" customWidth="1"/>
    <col min="14340" max="14340" width="47.85546875" style="1551" customWidth="1"/>
    <col min="14341" max="14341" width="12.85546875" style="1551" customWidth="1"/>
    <col min="14342" max="14342" width="15.5703125" style="1551" customWidth="1"/>
    <col min="14343" max="14343" width="15.85546875" style="1551" customWidth="1"/>
    <col min="14344" max="14344" width="6.42578125" style="1551" customWidth="1"/>
    <col min="14345" max="14346" width="9.140625" style="1551"/>
    <col min="14347" max="14348" width="14.7109375" style="1551" bestFit="1" customWidth="1"/>
    <col min="14349" max="14592" width="9.140625" style="1551"/>
    <col min="14593" max="14593" width="5.5703125" style="1551" customWidth="1"/>
    <col min="14594" max="14594" width="6.7109375" style="1551" customWidth="1"/>
    <col min="14595" max="14595" width="8.85546875" style="1551" customWidth="1"/>
    <col min="14596" max="14596" width="47.85546875" style="1551" customWidth="1"/>
    <col min="14597" max="14597" width="12.85546875" style="1551" customWidth="1"/>
    <col min="14598" max="14598" width="15.5703125" style="1551" customWidth="1"/>
    <col min="14599" max="14599" width="15.85546875" style="1551" customWidth="1"/>
    <col min="14600" max="14600" width="6.42578125" style="1551" customWidth="1"/>
    <col min="14601" max="14602" width="9.140625" style="1551"/>
    <col min="14603" max="14604" width="14.7109375" style="1551" bestFit="1" customWidth="1"/>
    <col min="14605" max="14848" width="9.140625" style="1551"/>
    <col min="14849" max="14849" width="5.5703125" style="1551" customWidth="1"/>
    <col min="14850" max="14850" width="6.7109375" style="1551" customWidth="1"/>
    <col min="14851" max="14851" width="8.85546875" style="1551" customWidth="1"/>
    <col min="14852" max="14852" width="47.85546875" style="1551" customWidth="1"/>
    <col min="14853" max="14853" width="12.85546875" style="1551" customWidth="1"/>
    <col min="14854" max="14854" width="15.5703125" style="1551" customWidth="1"/>
    <col min="14855" max="14855" width="15.85546875" style="1551" customWidth="1"/>
    <col min="14856" max="14856" width="6.42578125" style="1551" customWidth="1"/>
    <col min="14857" max="14858" width="9.140625" style="1551"/>
    <col min="14859" max="14860" width="14.7109375" style="1551" bestFit="1" customWidth="1"/>
    <col min="14861" max="15104" width="9.140625" style="1551"/>
    <col min="15105" max="15105" width="5.5703125" style="1551" customWidth="1"/>
    <col min="15106" max="15106" width="6.7109375" style="1551" customWidth="1"/>
    <col min="15107" max="15107" width="8.85546875" style="1551" customWidth="1"/>
    <col min="15108" max="15108" width="47.85546875" style="1551" customWidth="1"/>
    <col min="15109" max="15109" width="12.85546875" style="1551" customWidth="1"/>
    <col min="15110" max="15110" width="15.5703125" style="1551" customWidth="1"/>
    <col min="15111" max="15111" width="15.85546875" style="1551" customWidth="1"/>
    <col min="15112" max="15112" width="6.42578125" style="1551" customWidth="1"/>
    <col min="15113" max="15114" width="9.140625" style="1551"/>
    <col min="15115" max="15116" width="14.7109375" style="1551" bestFit="1" customWidth="1"/>
    <col min="15117" max="15360" width="9.140625" style="1551"/>
    <col min="15361" max="15361" width="5.5703125" style="1551" customWidth="1"/>
    <col min="15362" max="15362" width="6.7109375" style="1551" customWidth="1"/>
    <col min="15363" max="15363" width="8.85546875" style="1551" customWidth="1"/>
    <col min="15364" max="15364" width="47.85546875" style="1551" customWidth="1"/>
    <col min="15365" max="15365" width="12.85546875" style="1551" customWidth="1"/>
    <col min="15366" max="15366" width="15.5703125" style="1551" customWidth="1"/>
    <col min="15367" max="15367" width="15.85546875" style="1551" customWidth="1"/>
    <col min="15368" max="15368" width="6.42578125" style="1551" customWidth="1"/>
    <col min="15369" max="15370" width="9.140625" style="1551"/>
    <col min="15371" max="15372" width="14.7109375" style="1551" bestFit="1" customWidth="1"/>
    <col min="15373" max="15616" width="9.140625" style="1551"/>
    <col min="15617" max="15617" width="5.5703125" style="1551" customWidth="1"/>
    <col min="15618" max="15618" width="6.7109375" style="1551" customWidth="1"/>
    <col min="15619" max="15619" width="8.85546875" style="1551" customWidth="1"/>
    <col min="15620" max="15620" width="47.85546875" style="1551" customWidth="1"/>
    <col min="15621" max="15621" width="12.85546875" style="1551" customWidth="1"/>
    <col min="15622" max="15622" width="15.5703125" style="1551" customWidth="1"/>
    <col min="15623" max="15623" width="15.85546875" style="1551" customWidth="1"/>
    <col min="15624" max="15624" width="6.42578125" style="1551" customWidth="1"/>
    <col min="15625" max="15626" width="9.140625" style="1551"/>
    <col min="15627" max="15628" width="14.7109375" style="1551" bestFit="1" customWidth="1"/>
    <col min="15629" max="15872" width="9.140625" style="1551"/>
    <col min="15873" max="15873" width="5.5703125" style="1551" customWidth="1"/>
    <col min="15874" max="15874" width="6.7109375" style="1551" customWidth="1"/>
    <col min="15875" max="15875" width="8.85546875" style="1551" customWidth="1"/>
    <col min="15876" max="15876" width="47.85546875" style="1551" customWidth="1"/>
    <col min="15877" max="15877" width="12.85546875" style="1551" customWidth="1"/>
    <col min="15878" max="15878" width="15.5703125" style="1551" customWidth="1"/>
    <col min="15879" max="15879" width="15.85546875" style="1551" customWidth="1"/>
    <col min="15880" max="15880" width="6.42578125" style="1551" customWidth="1"/>
    <col min="15881" max="15882" width="9.140625" style="1551"/>
    <col min="15883" max="15884" width="14.7109375" style="1551" bestFit="1" customWidth="1"/>
    <col min="15885" max="16128" width="9.140625" style="1551"/>
    <col min="16129" max="16129" width="5.5703125" style="1551" customWidth="1"/>
    <col min="16130" max="16130" width="6.7109375" style="1551" customWidth="1"/>
    <col min="16131" max="16131" width="8.85546875" style="1551" customWidth="1"/>
    <col min="16132" max="16132" width="47.85546875" style="1551" customWidth="1"/>
    <col min="16133" max="16133" width="12.85546875" style="1551" customWidth="1"/>
    <col min="16134" max="16134" width="15.5703125" style="1551" customWidth="1"/>
    <col min="16135" max="16135" width="15.85546875" style="1551" customWidth="1"/>
    <col min="16136" max="16136" width="6.42578125" style="1551" customWidth="1"/>
    <col min="16137" max="16138" width="9.140625" style="1551"/>
    <col min="16139" max="16140" width="14.7109375" style="1551" bestFit="1" customWidth="1"/>
    <col min="16141" max="16384" width="9.140625" style="1551"/>
  </cols>
  <sheetData>
    <row r="1" spans="1:9" ht="18.75" thickBot="1" x14ac:dyDescent="0.3">
      <c r="A1" s="1545" t="s">
        <v>2131</v>
      </c>
      <c r="B1" s="1546"/>
      <c r="C1" s="1547"/>
      <c r="D1" s="1548"/>
      <c r="E1" s="1549"/>
      <c r="F1" s="1548"/>
      <c r="G1" s="1550"/>
      <c r="H1" s="1545"/>
    </row>
    <row r="2" spans="1:9" ht="18" x14ac:dyDescent="0.25">
      <c r="A2" s="1552"/>
      <c r="B2" s="1553"/>
      <c r="C2" s="1553"/>
      <c r="D2" s="1553"/>
      <c r="E2" s="1553"/>
      <c r="F2" s="1553"/>
      <c r="G2" s="1553"/>
      <c r="H2" s="1554" t="s">
        <v>2130</v>
      </c>
    </row>
    <row r="3" spans="1:9" ht="18" x14ac:dyDescent="0.25">
      <c r="A3" s="1555" t="s">
        <v>336</v>
      </c>
      <c r="B3" s="1553"/>
      <c r="C3" s="2852" t="s">
        <v>2009</v>
      </c>
      <c r="D3" s="1553"/>
      <c r="E3" s="1553"/>
      <c r="F3" s="1553"/>
      <c r="G3" s="1553"/>
      <c r="H3" s="1554"/>
    </row>
    <row r="4" spans="1:9" ht="18" x14ac:dyDescent="0.25">
      <c r="A4" s="1552"/>
      <c r="B4" s="1553"/>
      <c r="C4" s="1708" t="s">
        <v>1450</v>
      </c>
      <c r="D4" s="1553"/>
      <c r="E4" s="1553"/>
      <c r="F4" s="1553"/>
      <c r="G4" s="1553"/>
      <c r="H4" s="1554"/>
    </row>
    <row r="5" spans="1:9" ht="18" x14ac:dyDescent="0.25">
      <c r="A5" s="1557" t="s">
        <v>2129</v>
      </c>
      <c r="B5" s="1553"/>
      <c r="C5" s="1553"/>
      <c r="D5" s="1553"/>
      <c r="E5" s="1553"/>
      <c r="F5" s="1553"/>
      <c r="G5" s="1553"/>
      <c r="H5" s="1554"/>
    </row>
    <row r="6" spans="1:9" x14ac:dyDescent="0.2">
      <c r="A6" s="1558"/>
      <c r="B6" s="1558"/>
      <c r="C6" s="1558"/>
      <c r="E6" s="1559"/>
      <c r="F6" s="1559"/>
      <c r="G6" s="1559"/>
    </row>
    <row r="7" spans="1:9" hidden="1" x14ac:dyDescent="0.2"/>
    <row r="8" spans="1:9" hidden="1" x14ac:dyDescent="0.2"/>
    <row r="9" spans="1:9" hidden="1" x14ac:dyDescent="0.2"/>
    <row r="11" spans="1:9" ht="15.75" thickBot="1" x14ac:dyDescent="0.3">
      <c r="A11" s="1544" t="s">
        <v>229</v>
      </c>
      <c r="B11" s="1558"/>
      <c r="C11" s="1558"/>
      <c r="D11" s="1558"/>
      <c r="F11" s="1559"/>
      <c r="G11" s="1559"/>
      <c r="H11" s="1560" t="s">
        <v>148</v>
      </c>
      <c r="I11" s="1631"/>
    </row>
    <row r="12" spans="1:9" ht="25.5" thickTop="1" thickBot="1" x14ac:dyDescent="0.25">
      <c r="A12" s="1561" t="s">
        <v>149</v>
      </c>
      <c r="B12" s="1562" t="s">
        <v>688</v>
      </c>
      <c r="C12" s="1562" t="s">
        <v>345</v>
      </c>
      <c r="D12" s="1563" t="s">
        <v>151</v>
      </c>
      <c r="E12" s="1564" t="s">
        <v>569</v>
      </c>
      <c r="F12" s="1564" t="s">
        <v>570</v>
      </c>
      <c r="G12" s="1565" t="s">
        <v>797</v>
      </c>
      <c r="H12" s="1566" t="s">
        <v>798</v>
      </c>
    </row>
    <row r="13" spans="1:9" ht="14.25" thickTop="1" thickBot="1" x14ac:dyDescent="0.25">
      <c r="A13" s="1567">
        <v>1</v>
      </c>
      <c r="B13" s="1568">
        <v>2</v>
      </c>
      <c r="C13" s="1568">
        <v>3</v>
      </c>
      <c r="D13" s="1568">
        <v>5</v>
      </c>
      <c r="E13" s="1569">
        <v>6</v>
      </c>
      <c r="F13" s="1569">
        <v>7</v>
      </c>
      <c r="G13" s="1570">
        <v>8</v>
      </c>
      <c r="H13" s="1586" t="s">
        <v>689</v>
      </c>
    </row>
    <row r="14" spans="1:9" s="1553" customFormat="1" ht="15.75" hidden="1" customHeight="1" thickTop="1" x14ac:dyDescent="0.25">
      <c r="A14" s="1628">
        <v>6409</v>
      </c>
      <c r="B14" s="1599">
        <v>5909</v>
      </c>
      <c r="C14" s="1683">
        <v>0</v>
      </c>
      <c r="D14" s="1600" t="s">
        <v>1396</v>
      </c>
      <c r="E14" s="1575">
        <v>0</v>
      </c>
      <c r="F14" s="1575">
        <v>0</v>
      </c>
      <c r="G14" s="1587">
        <v>0</v>
      </c>
      <c r="H14" s="1576">
        <v>0</v>
      </c>
    </row>
    <row r="15" spans="1:9" s="1553" customFormat="1" ht="27" thickTop="1" thickBot="1" x14ac:dyDescent="0.25">
      <c r="A15" s="1577">
        <v>6409</v>
      </c>
      <c r="B15" s="1578">
        <v>5909</v>
      </c>
      <c r="C15" s="2850" t="s">
        <v>1760</v>
      </c>
      <c r="D15" s="1579" t="s">
        <v>588</v>
      </c>
      <c r="E15" s="1580">
        <v>0</v>
      </c>
      <c r="F15" s="1580">
        <v>0</v>
      </c>
      <c r="G15" s="1588">
        <v>0</v>
      </c>
      <c r="H15" s="1581">
        <v>0</v>
      </c>
    </row>
    <row r="16" spans="1:9" ht="16.5" thickTop="1" thickBot="1" x14ac:dyDescent="0.3">
      <c r="A16" s="1589" t="s">
        <v>690</v>
      </c>
      <c r="B16" s="1590"/>
      <c r="C16" s="1590"/>
      <c r="D16" s="1591"/>
      <c r="E16" s="1584">
        <f>SUM(E14:E15)</f>
        <v>0</v>
      </c>
      <c r="F16" s="1584">
        <f>SUM(F14:F15)</f>
        <v>0</v>
      </c>
      <c r="G16" s="1584">
        <f>SUM(G14:G15)</f>
        <v>0</v>
      </c>
      <c r="H16" s="1585">
        <v>0</v>
      </c>
    </row>
    <row r="17" spans="1:12" ht="13.5" thickTop="1" x14ac:dyDescent="0.2"/>
    <row r="20" spans="1:12" ht="16.5" x14ac:dyDescent="0.25">
      <c r="A20" s="1605" t="s">
        <v>423</v>
      </c>
      <c r="B20" s="1606"/>
      <c r="C20" s="1607"/>
      <c r="D20" s="1608"/>
      <c r="E20" s="1609">
        <f>SUM(E21:E23)</f>
        <v>0</v>
      </c>
      <c r="F20" s="1609">
        <f>F21+F22+F23+F24</f>
        <v>0</v>
      </c>
      <c r="G20" s="1609">
        <f>G21+G22+G23+G24</f>
        <v>0</v>
      </c>
      <c r="H20" s="1610">
        <v>0</v>
      </c>
      <c r="J20" s="1611">
        <f>J21+J22+J23</f>
        <v>0</v>
      </c>
      <c r="K20" s="1611">
        <f>K21+K22+K23</f>
        <v>0</v>
      </c>
      <c r="L20" s="1611">
        <f>L21+L22+L23</f>
        <v>5</v>
      </c>
    </row>
    <row r="21" spans="1:12" ht="15" x14ac:dyDescent="0.2">
      <c r="A21" s="1612" t="s">
        <v>242</v>
      </c>
      <c r="B21" s="1613"/>
      <c r="C21" s="1614"/>
      <c r="D21" s="1615"/>
      <c r="E21" s="1616">
        <f>E15</f>
        <v>0</v>
      </c>
      <c r="F21" s="1616">
        <f>F15</f>
        <v>0</v>
      </c>
      <c r="G21" s="1616">
        <f>G15</f>
        <v>0</v>
      </c>
      <c r="H21" s="1617">
        <v>0</v>
      </c>
      <c r="J21" s="1618">
        <v>0</v>
      </c>
      <c r="K21" s="1618">
        <v>0</v>
      </c>
      <c r="L21" s="1618">
        <v>5</v>
      </c>
    </row>
    <row r="22" spans="1:12" ht="15" x14ac:dyDescent="0.2">
      <c r="A22" s="1612" t="s">
        <v>243</v>
      </c>
      <c r="B22" s="1619"/>
      <c r="C22" s="1614"/>
      <c r="D22" s="1620"/>
      <c r="E22" s="1616">
        <v>0</v>
      </c>
      <c r="F22" s="1616">
        <v>0</v>
      </c>
      <c r="G22" s="1616">
        <v>0</v>
      </c>
      <c r="H22" s="1617">
        <v>0</v>
      </c>
      <c r="J22" s="1618">
        <v>0</v>
      </c>
      <c r="K22" s="1618">
        <v>0</v>
      </c>
      <c r="L22" s="1618">
        <v>0</v>
      </c>
    </row>
    <row r="23" spans="1:12" ht="15" x14ac:dyDescent="0.2">
      <c r="A23" s="1612" t="s">
        <v>424</v>
      </c>
      <c r="B23" s="1619"/>
      <c r="C23" s="1614"/>
      <c r="D23" s="1620"/>
      <c r="E23" s="1616">
        <f>E15</f>
        <v>0</v>
      </c>
      <c r="F23" s="1616">
        <f>F15</f>
        <v>0</v>
      </c>
      <c r="G23" s="1616">
        <f>G15</f>
        <v>0</v>
      </c>
      <c r="H23" s="1617">
        <v>0</v>
      </c>
      <c r="J23" s="1618">
        <v>0</v>
      </c>
      <c r="K23" s="1618">
        <v>0</v>
      </c>
      <c r="L23" s="1618">
        <v>0</v>
      </c>
    </row>
    <row r="24" spans="1:12" ht="16.5" customHeight="1" x14ac:dyDescent="0.2">
      <c r="A24" s="1612"/>
      <c r="B24" s="1619"/>
      <c r="C24" s="1614"/>
      <c r="D24" s="1620"/>
      <c r="E24" s="1616"/>
      <c r="F24" s="1616"/>
      <c r="G24" s="1616"/>
      <c r="H24" s="1621"/>
    </row>
    <row r="25" spans="1:12" ht="57.75" customHeight="1" thickBot="1" x14ac:dyDescent="0.4">
      <c r="A25" s="3237" t="s">
        <v>2128</v>
      </c>
      <c r="B25" s="3237"/>
      <c r="C25" s="3237"/>
      <c r="D25" s="3237"/>
      <c r="E25" s="1622">
        <f>SUM(E20)</f>
        <v>0</v>
      </c>
      <c r="F25" s="1622">
        <f>SUM(F20)</f>
        <v>0</v>
      </c>
      <c r="G25" s="1622">
        <f>SUM(G20)</f>
        <v>0</v>
      </c>
      <c r="H25" s="1623">
        <v>0</v>
      </c>
    </row>
    <row r="26" spans="1:12" ht="13.5" thickTop="1" x14ac:dyDescent="0.2"/>
  </sheetData>
  <mergeCells count="1">
    <mergeCell ref="A25:D25"/>
  </mergeCells>
  <pageMargins left="0.70866141732283472" right="0.70866141732283472" top="0.78740157480314965" bottom="0.78740157480314965" header="0.31496062992125984" footer="0.31496062992125984"/>
  <pageSetup paperSize="9" scale="65" firstPageNumber="180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 enableFormatConditionsCalculation="0">
    <tabColor rgb="FF00B0F0"/>
  </sheetPr>
  <dimension ref="A1:L24"/>
  <sheetViews>
    <sheetView showGridLines="0" view="pageBreakPreview" zoomScaleNormal="100" zoomScaleSheetLayoutView="100" workbookViewId="0">
      <selection activeCell="E12" sqref="E12"/>
    </sheetView>
  </sheetViews>
  <sheetFormatPr defaultColWidth="9.140625" defaultRowHeight="12.75" x14ac:dyDescent="0.2"/>
  <cols>
    <col min="1" max="1" width="4.7109375" style="598" customWidth="1"/>
    <col min="2" max="2" width="4.7109375" style="504" customWidth="1"/>
    <col min="3" max="3" width="4.5703125" style="504" customWidth="1"/>
    <col min="4" max="4" width="47.28515625" style="504" customWidth="1"/>
    <col min="5" max="6" width="14.85546875" style="504" customWidth="1"/>
    <col min="7" max="7" width="13.5703125" style="504" customWidth="1"/>
    <col min="8" max="8" width="8.42578125" style="504" customWidth="1"/>
    <col min="9" max="9" width="9.140625" style="504"/>
    <col min="10" max="10" width="16.5703125" style="504" customWidth="1"/>
    <col min="11" max="12" width="15.7109375" style="504" customWidth="1"/>
    <col min="13" max="16384" width="9.140625" style="504"/>
  </cols>
  <sheetData>
    <row r="1" spans="1:12" ht="18" customHeight="1" thickBot="1" x14ac:dyDescent="0.3">
      <c r="A1" s="448" t="s">
        <v>743</v>
      </c>
      <c r="B1" s="449"/>
      <c r="C1" s="449"/>
      <c r="D1" s="460"/>
      <c r="E1" s="466"/>
      <c r="F1" s="452" t="s">
        <v>154</v>
      </c>
      <c r="G1" s="467"/>
      <c r="H1" s="467"/>
      <c r="I1" s="17"/>
    </row>
    <row r="2" spans="1:12" ht="12.75" customHeight="1" x14ac:dyDescent="0.25">
      <c r="A2" s="6"/>
      <c r="B2" s="28"/>
      <c r="C2" s="28"/>
      <c r="D2" s="10"/>
      <c r="E2" s="135"/>
      <c r="F2" s="135"/>
      <c r="G2" s="16"/>
      <c r="H2" s="17"/>
      <c r="I2" s="17"/>
    </row>
    <row r="3" spans="1:12" ht="12.75" customHeight="1" x14ac:dyDescent="0.25">
      <c r="A3" s="67" t="s">
        <v>336</v>
      </c>
      <c r="B3" s="28"/>
      <c r="C3" s="496" t="s">
        <v>1866</v>
      </c>
      <c r="D3" s="583"/>
      <c r="E3" s="135"/>
      <c r="F3" s="16"/>
      <c r="G3" s="17"/>
      <c r="H3" s="17"/>
    </row>
    <row r="4" spans="1:12" ht="12.75" customHeight="1" x14ac:dyDescent="0.25">
      <c r="A4" s="6"/>
      <c r="B4" s="28"/>
      <c r="C4" s="496" t="s">
        <v>1867</v>
      </c>
      <c r="D4" s="613"/>
      <c r="E4" s="136"/>
      <c r="F4" s="16"/>
      <c r="G4" s="17"/>
      <c r="H4" s="17"/>
    </row>
    <row r="5" spans="1:12" ht="12.75" customHeight="1" x14ac:dyDescent="0.25">
      <c r="A5" s="6"/>
      <c r="B5" s="28"/>
      <c r="C5" s="28"/>
      <c r="D5" s="10"/>
      <c r="E5" s="135"/>
      <c r="F5" s="135"/>
      <c r="G5" s="16"/>
      <c r="H5" s="17"/>
      <c r="I5" s="17"/>
    </row>
    <row r="6" spans="1:12" ht="18" x14ac:dyDescent="0.25">
      <c r="A6" s="33" t="s">
        <v>799</v>
      </c>
      <c r="B6" s="28"/>
      <c r="C6" s="28"/>
      <c r="D6" s="10"/>
      <c r="E6" s="135"/>
      <c r="F6" s="135"/>
      <c r="G6" s="16"/>
      <c r="H6" s="17"/>
      <c r="I6" s="17"/>
    </row>
    <row r="7" spans="1:12" ht="13.5" thickBot="1" x14ac:dyDescent="0.25">
      <c r="A7" s="584"/>
      <c r="B7" s="584"/>
      <c r="C7" s="584"/>
      <c r="D7" s="585"/>
      <c r="E7" s="467"/>
      <c r="F7" s="467"/>
      <c r="G7" s="783"/>
      <c r="H7" s="467" t="s">
        <v>148</v>
      </c>
    </row>
    <row r="8" spans="1:12" s="106" customFormat="1" ht="20.25" customHeight="1" thickTop="1" thickBot="1" x14ac:dyDescent="0.25">
      <c r="A8" s="586" t="s">
        <v>149</v>
      </c>
      <c r="B8" s="587" t="s">
        <v>150</v>
      </c>
      <c r="C8" s="589" t="s">
        <v>639</v>
      </c>
      <c r="D8" s="589" t="s">
        <v>151</v>
      </c>
      <c r="E8" s="589" t="s">
        <v>569</v>
      </c>
      <c r="F8" s="589" t="s">
        <v>570</v>
      </c>
      <c r="G8" s="589" t="s">
        <v>797</v>
      </c>
      <c r="H8" s="590" t="s">
        <v>798</v>
      </c>
    </row>
    <row r="9" spans="1:12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26">
        <v>5</v>
      </c>
      <c r="F9" s="512">
        <v>6</v>
      </c>
      <c r="G9" s="512">
        <v>7</v>
      </c>
      <c r="H9" s="591" t="s">
        <v>54</v>
      </c>
      <c r="I9" s="106"/>
    </row>
    <row r="10" spans="1:12" s="106" customFormat="1" ht="20.25" customHeight="1" thickTop="1" x14ac:dyDescent="0.25">
      <c r="A10" s="843">
        <v>6172</v>
      </c>
      <c r="B10" s="1990">
        <v>5166</v>
      </c>
      <c r="C10" s="1991"/>
      <c r="D10" s="1992" t="s">
        <v>553</v>
      </c>
      <c r="E10" s="1993">
        <v>4</v>
      </c>
      <c r="F10" s="1993">
        <v>4</v>
      </c>
      <c r="G10" s="1994">
        <v>0</v>
      </c>
      <c r="H10" s="1995">
        <v>0</v>
      </c>
    </row>
    <row r="11" spans="1:12" ht="15" x14ac:dyDescent="0.25">
      <c r="A11" s="1996">
        <v>6172</v>
      </c>
      <c r="B11" s="1997">
        <v>5192</v>
      </c>
      <c r="C11" s="1998"/>
      <c r="D11" s="1999" t="s">
        <v>1102</v>
      </c>
      <c r="E11" s="2000">
        <v>70</v>
      </c>
      <c r="F11" s="2000">
        <v>76</v>
      </c>
      <c r="G11" s="2001">
        <v>0</v>
      </c>
      <c r="H11" s="2002">
        <f>(G11/F11)*100</f>
        <v>0</v>
      </c>
    </row>
    <row r="12" spans="1:12" ht="15.75" thickBot="1" x14ac:dyDescent="0.3">
      <c r="A12" s="844">
        <v>6172</v>
      </c>
      <c r="B12" s="2003">
        <v>5909</v>
      </c>
      <c r="C12" s="2004"/>
      <c r="D12" s="2008" t="s">
        <v>406</v>
      </c>
      <c r="E12" s="2005"/>
      <c r="F12" s="2005">
        <v>9</v>
      </c>
      <c r="G12" s="2006">
        <v>9</v>
      </c>
      <c r="H12" s="2007">
        <f>(G12/F12)*100</f>
        <v>100</v>
      </c>
    </row>
    <row r="13" spans="1:12" s="356" customFormat="1" ht="30" customHeight="1" thickTop="1" thickBot="1" x14ac:dyDescent="0.3">
      <c r="A13" s="631" t="s">
        <v>225</v>
      </c>
      <c r="B13" s="756"/>
      <c r="C13" s="845"/>
      <c r="D13" s="632"/>
      <c r="E13" s="634">
        <f>SUM(E11,E10,E12)</f>
        <v>74</v>
      </c>
      <c r="F13" s="634">
        <f t="shared" ref="F13:G13" si="0">SUM(F11,F10,F12)</f>
        <v>89</v>
      </c>
      <c r="G13" s="634">
        <f t="shared" si="0"/>
        <v>9</v>
      </c>
      <c r="H13" s="963">
        <f>(G13/F13)*100</f>
        <v>10.112359550561797</v>
      </c>
    </row>
    <row r="14" spans="1:12" ht="15.75" thickTop="1" x14ac:dyDescent="0.25">
      <c r="B14" s="598"/>
      <c r="C14" s="598"/>
      <c r="D14" s="599"/>
      <c r="E14" s="599"/>
      <c r="F14" s="600"/>
      <c r="G14" s="601"/>
      <c r="H14" s="602"/>
    </row>
    <row r="15" spans="1:12" ht="15" x14ac:dyDescent="0.25">
      <c r="B15" s="598"/>
      <c r="C15" s="598"/>
      <c r="D15" s="599"/>
      <c r="E15" s="599"/>
      <c r="F15" s="600"/>
      <c r="G15" s="601"/>
      <c r="H15" s="602"/>
    </row>
    <row r="16" spans="1:12" s="611" customFormat="1" ht="16.5" x14ac:dyDescent="0.25">
      <c r="A16" s="357" t="s">
        <v>441</v>
      </c>
      <c r="B16" s="358"/>
      <c r="C16" s="359"/>
      <c r="D16" s="359"/>
      <c r="E16" s="777">
        <f>E17+E18+E19+E20</f>
        <v>74</v>
      </c>
      <c r="F16" s="777">
        <f>F17+F18+F19+F20</f>
        <v>89</v>
      </c>
      <c r="G16" s="777">
        <f>G17+G18+G19+G20</f>
        <v>9</v>
      </c>
      <c r="H16" s="846">
        <f>(G16/F16)*100</f>
        <v>10.112359550561797</v>
      </c>
      <c r="J16" s="1611">
        <f>SUM(J17:J20)</f>
        <v>74000</v>
      </c>
      <c r="K16" s="1611">
        <f>SUM(K17:K20)</f>
        <v>89000</v>
      </c>
      <c r="L16" s="1611">
        <f>SUM(L17:L20)</f>
        <v>9000</v>
      </c>
    </row>
    <row r="17" spans="1:12" s="1045" customFormat="1" ht="15" x14ac:dyDescent="0.2">
      <c r="A17" s="520" t="s">
        <v>242</v>
      </c>
      <c r="B17" s="542"/>
      <c r="C17" s="543"/>
      <c r="D17" s="543"/>
      <c r="E17" s="778">
        <f t="shared" ref="E17:G18" si="1">E13</f>
        <v>74</v>
      </c>
      <c r="F17" s="778">
        <f t="shared" si="1"/>
        <v>89</v>
      </c>
      <c r="G17" s="778">
        <f t="shared" si="1"/>
        <v>9</v>
      </c>
      <c r="H17" s="847">
        <f>(G17/F17)*100</f>
        <v>10.112359550561797</v>
      </c>
      <c r="J17" s="1437">
        <v>74000</v>
      </c>
      <c r="K17" s="1437">
        <v>89000</v>
      </c>
      <c r="L17" s="1437">
        <v>9000</v>
      </c>
    </row>
    <row r="18" spans="1:12" s="1045" customFormat="1" ht="15" x14ac:dyDescent="0.2">
      <c r="A18" s="520" t="s">
        <v>243</v>
      </c>
      <c r="B18" s="547"/>
      <c r="C18" s="543"/>
      <c r="D18" s="543"/>
      <c r="E18" s="779">
        <f t="shared" si="1"/>
        <v>0</v>
      </c>
      <c r="F18" s="779">
        <f t="shared" si="1"/>
        <v>0</v>
      </c>
      <c r="G18" s="779">
        <f t="shared" si="1"/>
        <v>0</v>
      </c>
      <c r="H18" s="773">
        <v>0</v>
      </c>
      <c r="J18" s="1437">
        <v>0</v>
      </c>
      <c r="K18" s="1437">
        <v>0</v>
      </c>
      <c r="L18" s="1437">
        <v>0</v>
      </c>
    </row>
    <row r="19" spans="1:12" s="1045" customFormat="1" ht="15" x14ac:dyDescent="0.2">
      <c r="A19" s="520" t="s">
        <v>191</v>
      </c>
      <c r="B19" s="547"/>
      <c r="C19" s="543"/>
      <c r="D19" s="543"/>
      <c r="E19" s="778">
        <v>0</v>
      </c>
      <c r="F19" s="545">
        <v>0</v>
      </c>
      <c r="G19" s="545">
        <v>0</v>
      </c>
      <c r="H19" s="773">
        <v>0</v>
      </c>
      <c r="J19" s="1437">
        <v>0</v>
      </c>
      <c r="K19" s="1437">
        <v>0</v>
      </c>
      <c r="L19" s="1437">
        <v>0</v>
      </c>
    </row>
    <row r="20" spans="1:12" s="1045" customFormat="1" ht="15" x14ac:dyDescent="0.2">
      <c r="A20" s="520" t="s">
        <v>1034</v>
      </c>
      <c r="B20" s="547"/>
      <c r="C20" s="543"/>
      <c r="D20" s="543"/>
      <c r="E20" s="778">
        <v>0</v>
      </c>
      <c r="F20" s="549">
        <v>0</v>
      </c>
      <c r="G20" s="549">
        <v>0</v>
      </c>
      <c r="H20" s="773">
        <v>0</v>
      </c>
      <c r="J20" s="1437">
        <v>0</v>
      </c>
      <c r="K20" s="1437">
        <v>0</v>
      </c>
      <c r="L20" s="1437">
        <v>0</v>
      </c>
    </row>
    <row r="21" spans="1:12" ht="15" x14ac:dyDescent="0.2">
      <c r="A21" s="520"/>
      <c r="B21" s="547"/>
      <c r="C21" s="543"/>
      <c r="D21" s="543"/>
      <c r="E21" s="778"/>
      <c r="F21" s="549"/>
      <c r="G21" s="549"/>
      <c r="H21" s="661"/>
    </row>
    <row r="22" spans="1:12" x14ac:dyDescent="0.2">
      <c r="H22" s="610"/>
    </row>
    <row r="23" spans="1:12" s="58" customFormat="1" ht="47.25" customHeight="1" thickBot="1" x14ac:dyDescent="0.4">
      <c r="A23" s="603" t="s">
        <v>188</v>
      </c>
      <c r="B23" s="604"/>
      <c r="C23" s="605"/>
      <c r="D23" s="606"/>
      <c r="E23" s="550">
        <f>SUM(E13)</f>
        <v>74</v>
      </c>
      <c r="F23" s="550">
        <f>SUM(F13)</f>
        <v>89</v>
      </c>
      <c r="G23" s="550">
        <f>SUM(G13)</f>
        <v>9</v>
      </c>
      <c r="H23" s="848">
        <f>(G23/F23)*100</f>
        <v>10.112359550561797</v>
      </c>
    </row>
    <row r="24" spans="1:12" ht="13.5" thickTop="1" x14ac:dyDescent="0.2"/>
  </sheetData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0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3"/>
  <sheetViews>
    <sheetView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5.5703125" style="1551" customWidth="1"/>
    <col min="2" max="2" width="6.7109375" style="1551" customWidth="1"/>
    <col min="3" max="3" width="10.42578125" style="1551" customWidth="1"/>
    <col min="4" max="4" width="47.85546875" style="1551" customWidth="1"/>
    <col min="5" max="5" width="15.42578125" style="1551" customWidth="1"/>
    <col min="6" max="6" width="15.5703125" style="1551" customWidth="1"/>
    <col min="7" max="7" width="15.85546875" style="1551" customWidth="1"/>
    <col min="8" max="8" width="8.7109375" style="1551" customWidth="1"/>
    <col min="9" max="10" width="9.140625" style="1551"/>
    <col min="11" max="11" width="16" style="1551" bestFit="1" customWidth="1"/>
    <col min="12" max="12" width="17" style="1551" customWidth="1"/>
    <col min="13" max="256" width="9.140625" style="1551"/>
    <col min="257" max="257" width="5.5703125" style="1551" customWidth="1"/>
    <col min="258" max="258" width="6.7109375" style="1551" customWidth="1"/>
    <col min="259" max="259" width="8.85546875" style="1551" customWidth="1"/>
    <col min="260" max="260" width="47.85546875" style="1551" customWidth="1"/>
    <col min="261" max="261" width="12.85546875" style="1551" customWidth="1"/>
    <col min="262" max="262" width="15.5703125" style="1551" customWidth="1"/>
    <col min="263" max="263" width="15.85546875" style="1551" customWidth="1"/>
    <col min="264" max="264" width="6.42578125" style="1551" customWidth="1"/>
    <col min="265" max="266" width="9.140625" style="1551"/>
    <col min="267" max="268" width="14.7109375" style="1551" bestFit="1" customWidth="1"/>
    <col min="269" max="512" width="9.140625" style="1551"/>
    <col min="513" max="513" width="5.5703125" style="1551" customWidth="1"/>
    <col min="514" max="514" width="6.7109375" style="1551" customWidth="1"/>
    <col min="515" max="515" width="8.85546875" style="1551" customWidth="1"/>
    <col min="516" max="516" width="47.85546875" style="1551" customWidth="1"/>
    <col min="517" max="517" width="12.85546875" style="1551" customWidth="1"/>
    <col min="518" max="518" width="15.5703125" style="1551" customWidth="1"/>
    <col min="519" max="519" width="15.85546875" style="1551" customWidth="1"/>
    <col min="520" max="520" width="6.42578125" style="1551" customWidth="1"/>
    <col min="521" max="522" width="9.140625" style="1551"/>
    <col min="523" max="524" width="14.7109375" style="1551" bestFit="1" customWidth="1"/>
    <col min="525" max="768" width="9.140625" style="1551"/>
    <col min="769" max="769" width="5.5703125" style="1551" customWidth="1"/>
    <col min="770" max="770" width="6.7109375" style="1551" customWidth="1"/>
    <col min="771" max="771" width="8.85546875" style="1551" customWidth="1"/>
    <col min="772" max="772" width="47.85546875" style="1551" customWidth="1"/>
    <col min="773" max="773" width="12.85546875" style="1551" customWidth="1"/>
    <col min="774" max="774" width="15.5703125" style="1551" customWidth="1"/>
    <col min="775" max="775" width="15.85546875" style="1551" customWidth="1"/>
    <col min="776" max="776" width="6.42578125" style="1551" customWidth="1"/>
    <col min="777" max="778" width="9.140625" style="1551"/>
    <col min="779" max="780" width="14.7109375" style="1551" bestFit="1" customWidth="1"/>
    <col min="781" max="1024" width="9.140625" style="1551"/>
    <col min="1025" max="1025" width="5.5703125" style="1551" customWidth="1"/>
    <col min="1026" max="1026" width="6.7109375" style="1551" customWidth="1"/>
    <col min="1027" max="1027" width="8.85546875" style="1551" customWidth="1"/>
    <col min="1028" max="1028" width="47.85546875" style="1551" customWidth="1"/>
    <col min="1029" max="1029" width="12.85546875" style="1551" customWidth="1"/>
    <col min="1030" max="1030" width="15.5703125" style="1551" customWidth="1"/>
    <col min="1031" max="1031" width="15.85546875" style="1551" customWidth="1"/>
    <col min="1032" max="1032" width="6.42578125" style="1551" customWidth="1"/>
    <col min="1033" max="1034" width="9.140625" style="1551"/>
    <col min="1035" max="1036" width="14.7109375" style="1551" bestFit="1" customWidth="1"/>
    <col min="1037" max="1280" width="9.140625" style="1551"/>
    <col min="1281" max="1281" width="5.5703125" style="1551" customWidth="1"/>
    <col min="1282" max="1282" width="6.7109375" style="1551" customWidth="1"/>
    <col min="1283" max="1283" width="8.85546875" style="1551" customWidth="1"/>
    <col min="1284" max="1284" width="47.85546875" style="1551" customWidth="1"/>
    <col min="1285" max="1285" width="12.85546875" style="1551" customWidth="1"/>
    <col min="1286" max="1286" width="15.5703125" style="1551" customWidth="1"/>
    <col min="1287" max="1287" width="15.85546875" style="1551" customWidth="1"/>
    <col min="1288" max="1288" width="6.42578125" style="1551" customWidth="1"/>
    <col min="1289" max="1290" width="9.140625" style="1551"/>
    <col min="1291" max="1292" width="14.7109375" style="1551" bestFit="1" customWidth="1"/>
    <col min="1293" max="1536" width="9.140625" style="1551"/>
    <col min="1537" max="1537" width="5.5703125" style="1551" customWidth="1"/>
    <col min="1538" max="1538" width="6.7109375" style="1551" customWidth="1"/>
    <col min="1539" max="1539" width="8.85546875" style="1551" customWidth="1"/>
    <col min="1540" max="1540" width="47.85546875" style="1551" customWidth="1"/>
    <col min="1541" max="1541" width="12.85546875" style="1551" customWidth="1"/>
    <col min="1542" max="1542" width="15.5703125" style="1551" customWidth="1"/>
    <col min="1543" max="1543" width="15.85546875" style="1551" customWidth="1"/>
    <col min="1544" max="1544" width="6.42578125" style="1551" customWidth="1"/>
    <col min="1545" max="1546" width="9.140625" style="1551"/>
    <col min="1547" max="1548" width="14.7109375" style="1551" bestFit="1" customWidth="1"/>
    <col min="1549" max="1792" width="9.140625" style="1551"/>
    <col min="1793" max="1793" width="5.5703125" style="1551" customWidth="1"/>
    <col min="1794" max="1794" width="6.7109375" style="1551" customWidth="1"/>
    <col min="1795" max="1795" width="8.85546875" style="1551" customWidth="1"/>
    <col min="1796" max="1796" width="47.85546875" style="1551" customWidth="1"/>
    <col min="1797" max="1797" width="12.85546875" style="1551" customWidth="1"/>
    <col min="1798" max="1798" width="15.5703125" style="1551" customWidth="1"/>
    <col min="1799" max="1799" width="15.85546875" style="1551" customWidth="1"/>
    <col min="1800" max="1800" width="6.42578125" style="1551" customWidth="1"/>
    <col min="1801" max="1802" width="9.140625" style="1551"/>
    <col min="1803" max="1804" width="14.7109375" style="1551" bestFit="1" customWidth="1"/>
    <col min="1805" max="2048" width="9.140625" style="1551"/>
    <col min="2049" max="2049" width="5.5703125" style="1551" customWidth="1"/>
    <col min="2050" max="2050" width="6.7109375" style="1551" customWidth="1"/>
    <col min="2051" max="2051" width="8.85546875" style="1551" customWidth="1"/>
    <col min="2052" max="2052" width="47.85546875" style="1551" customWidth="1"/>
    <col min="2053" max="2053" width="12.85546875" style="1551" customWidth="1"/>
    <col min="2054" max="2054" width="15.5703125" style="1551" customWidth="1"/>
    <col min="2055" max="2055" width="15.85546875" style="1551" customWidth="1"/>
    <col min="2056" max="2056" width="6.42578125" style="1551" customWidth="1"/>
    <col min="2057" max="2058" width="9.140625" style="1551"/>
    <col min="2059" max="2060" width="14.7109375" style="1551" bestFit="1" customWidth="1"/>
    <col min="2061" max="2304" width="9.140625" style="1551"/>
    <col min="2305" max="2305" width="5.5703125" style="1551" customWidth="1"/>
    <col min="2306" max="2306" width="6.7109375" style="1551" customWidth="1"/>
    <col min="2307" max="2307" width="8.85546875" style="1551" customWidth="1"/>
    <col min="2308" max="2308" width="47.85546875" style="1551" customWidth="1"/>
    <col min="2309" max="2309" width="12.85546875" style="1551" customWidth="1"/>
    <col min="2310" max="2310" width="15.5703125" style="1551" customWidth="1"/>
    <col min="2311" max="2311" width="15.85546875" style="1551" customWidth="1"/>
    <col min="2312" max="2312" width="6.42578125" style="1551" customWidth="1"/>
    <col min="2313" max="2314" width="9.140625" style="1551"/>
    <col min="2315" max="2316" width="14.7109375" style="1551" bestFit="1" customWidth="1"/>
    <col min="2317" max="2560" width="9.140625" style="1551"/>
    <col min="2561" max="2561" width="5.5703125" style="1551" customWidth="1"/>
    <col min="2562" max="2562" width="6.7109375" style="1551" customWidth="1"/>
    <col min="2563" max="2563" width="8.85546875" style="1551" customWidth="1"/>
    <col min="2564" max="2564" width="47.85546875" style="1551" customWidth="1"/>
    <col min="2565" max="2565" width="12.85546875" style="1551" customWidth="1"/>
    <col min="2566" max="2566" width="15.5703125" style="1551" customWidth="1"/>
    <col min="2567" max="2567" width="15.85546875" style="1551" customWidth="1"/>
    <col min="2568" max="2568" width="6.42578125" style="1551" customWidth="1"/>
    <col min="2569" max="2570" width="9.140625" style="1551"/>
    <col min="2571" max="2572" width="14.7109375" style="1551" bestFit="1" customWidth="1"/>
    <col min="2573" max="2816" width="9.140625" style="1551"/>
    <col min="2817" max="2817" width="5.5703125" style="1551" customWidth="1"/>
    <col min="2818" max="2818" width="6.7109375" style="1551" customWidth="1"/>
    <col min="2819" max="2819" width="8.85546875" style="1551" customWidth="1"/>
    <col min="2820" max="2820" width="47.85546875" style="1551" customWidth="1"/>
    <col min="2821" max="2821" width="12.85546875" style="1551" customWidth="1"/>
    <col min="2822" max="2822" width="15.5703125" style="1551" customWidth="1"/>
    <col min="2823" max="2823" width="15.85546875" style="1551" customWidth="1"/>
    <col min="2824" max="2824" width="6.42578125" style="1551" customWidth="1"/>
    <col min="2825" max="2826" width="9.140625" style="1551"/>
    <col min="2827" max="2828" width="14.7109375" style="1551" bestFit="1" customWidth="1"/>
    <col min="2829" max="3072" width="9.140625" style="1551"/>
    <col min="3073" max="3073" width="5.5703125" style="1551" customWidth="1"/>
    <col min="3074" max="3074" width="6.7109375" style="1551" customWidth="1"/>
    <col min="3075" max="3075" width="8.85546875" style="1551" customWidth="1"/>
    <col min="3076" max="3076" width="47.85546875" style="1551" customWidth="1"/>
    <col min="3077" max="3077" width="12.85546875" style="1551" customWidth="1"/>
    <col min="3078" max="3078" width="15.5703125" style="1551" customWidth="1"/>
    <col min="3079" max="3079" width="15.85546875" style="1551" customWidth="1"/>
    <col min="3080" max="3080" width="6.42578125" style="1551" customWidth="1"/>
    <col min="3081" max="3082" width="9.140625" style="1551"/>
    <col min="3083" max="3084" width="14.7109375" style="1551" bestFit="1" customWidth="1"/>
    <col min="3085" max="3328" width="9.140625" style="1551"/>
    <col min="3329" max="3329" width="5.5703125" style="1551" customWidth="1"/>
    <col min="3330" max="3330" width="6.7109375" style="1551" customWidth="1"/>
    <col min="3331" max="3331" width="8.85546875" style="1551" customWidth="1"/>
    <col min="3332" max="3332" width="47.85546875" style="1551" customWidth="1"/>
    <col min="3333" max="3333" width="12.85546875" style="1551" customWidth="1"/>
    <col min="3334" max="3334" width="15.5703125" style="1551" customWidth="1"/>
    <col min="3335" max="3335" width="15.85546875" style="1551" customWidth="1"/>
    <col min="3336" max="3336" width="6.42578125" style="1551" customWidth="1"/>
    <col min="3337" max="3338" width="9.140625" style="1551"/>
    <col min="3339" max="3340" width="14.7109375" style="1551" bestFit="1" customWidth="1"/>
    <col min="3341" max="3584" width="9.140625" style="1551"/>
    <col min="3585" max="3585" width="5.5703125" style="1551" customWidth="1"/>
    <col min="3586" max="3586" width="6.7109375" style="1551" customWidth="1"/>
    <col min="3587" max="3587" width="8.85546875" style="1551" customWidth="1"/>
    <col min="3588" max="3588" width="47.85546875" style="1551" customWidth="1"/>
    <col min="3589" max="3589" width="12.85546875" style="1551" customWidth="1"/>
    <col min="3590" max="3590" width="15.5703125" style="1551" customWidth="1"/>
    <col min="3591" max="3591" width="15.85546875" style="1551" customWidth="1"/>
    <col min="3592" max="3592" width="6.42578125" style="1551" customWidth="1"/>
    <col min="3593" max="3594" width="9.140625" style="1551"/>
    <col min="3595" max="3596" width="14.7109375" style="1551" bestFit="1" customWidth="1"/>
    <col min="3597" max="3840" width="9.140625" style="1551"/>
    <col min="3841" max="3841" width="5.5703125" style="1551" customWidth="1"/>
    <col min="3842" max="3842" width="6.7109375" style="1551" customWidth="1"/>
    <col min="3843" max="3843" width="8.85546875" style="1551" customWidth="1"/>
    <col min="3844" max="3844" width="47.85546875" style="1551" customWidth="1"/>
    <col min="3845" max="3845" width="12.85546875" style="1551" customWidth="1"/>
    <col min="3846" max="3846" width="15.5703125" style="1551" customWidth="1"/>
    <col min="3847" max="3847" width="15.85546875" style="1551" customWidth="1"/>
    <col min="3848" max="3848" width="6.42578125" style="1551" customWidth="1"/>
    <col min="3849" max="3850" width="9.140625" style="1551"/>
    <col min="3851" max="3852" width="14.7109375" style="1551" bestFit="1" customWidth="1"/>
    <col min="3853" max="4096" width="9.140625" style="1551"/>
    <col min="4097" max="4097" width="5.5703125" style="1551" customWidth="1"/>
    <col min="4098" max="4098" width="6.7109375" style="1551" customWidth="1"/>
    <col min="4099" max="4099" width="8.85546875" style="1551" customWidth="1"/>
    <col min="4100" max="4100" width="47.85546875" style="1551" customWidth="1"/>
    <col min="4101" max="4101" width="12.85546875" style="1551" customWidth="1"/>
    <col min="4102" max="4102" width="15.5703125" style="1551" customWidth="1"/>
    <col min="4103" max="4103" width="15.85546875" style="1551" customWidth="1"/>
    <col min="4104" max="4104" width="6.42578125" style="1551" customWidth="1"/>
    <col min="4105" max="4106" width="9.140625" style="1551"/>
    <col min="4107" max="4108" width="14.7109375" style="1551" bestFit="1" customWidth="1"/>
    <col min="4109" max="4352" width="9.140625" style="1551"/>
    <col min="4353" max="4353" width="5.5703125" style="1551" customWidth="1"/>
    <col min="4354" max="4354" width="6.7109375" style="1551" customWidth="1"/>
    <col min="4355" max="4355" width="8.85546875" style="1551" customWidth="1"/>
    <col min="4356" max="4356" width="47.85546875" style="1551" customWidth="1"/>
    <col min="4357" max="4357" width="12.85546875" style="1551" customWidth="1"/>
    <col min="4358" max="4358" width="15.5703125" style="1551" customWidth="1"/>
    <col min="4359" max="4359" width="15.85546875" style="1551" customWidth="1"/>
    <col min="4360" max="4360" width="6.42578125" style="1551" customWidth="1"/>
    <col min="4361" max="4362" width="9.140625" style="1551"/>
    <col min="4363" max="4364" width="14.7109375" style="1551" bestFit="1" customWidth="1"/>
    <col min="4365" max="4608" width="9.140625" style="1551"/>
    <col min="4609" max="4609" width="5.5703125" style="1551" customWidth="1"/>
    <col min="4610" max="4610" width="6.7109375" style="1551" customWidth="1"/>
    <col min="4611" max="4611" width="8.85546875" style="1551" customWidth="1"/>
    <col min="4612" max="4612" width="47.85546875" style="1551" customWidth="1"/>
    <col min="4613" max="4613" width="12.85546875" style="1551" customWidth="1"/>
    <col min="4614" max="4614" width="15.5703125" style="1551" customWidth="1"/>
    <col min="4615" max="4615" width="15.85546875" style="1551" customWidth="1"/>
    <col min="4616" max="4616" width="6.42578125" style="1551" customWidth="1"/>
    <col min="4617" max="4618" width="9.140625" style="1551"/>
    <col min="4619" max="4620" width="14.7109375" style="1551" bestFit="1" customWidth="1"/>
    <col min="4621" max="4864" width="9.140625" style="1551"/>
    <col min="4865" max="4865" width="5.5703125" style="1551" customWidth="1"/>
    <col min="4866" max="4866" width="6.7109375" style="1551" customWidth="1"/>
    <col min="4867" max="4867" width="8.85546875" style="1551" customWidth="1"/>
    <col min="4868" max="4868" width="47.85546875" style="1551" customWidth="1"/>
    <col min="4869" max="4869" width="12.85546875" style="1551" customWidth="1"/>
    <col min="4870" max="4870" width="15.5703125" style="1551" customWidth="1"/>
    <col min="4871" max="4871" width="15.85546875" style="1551" customWidth="1"/>
    <col min="4872" max="4872" width="6.42578125" style="1551" customWidth="1"/>
    <col min="4873" max="4874" width="9.140625" style="1551"/>
    <col min="4875" max="4876" width="14.7109375" style="1551" bestFit="1" customWidth="1"/>
    <col min="4877" max="5120" width="9.140625" style="1551"/>
    <col min="5121" max="5121" width="5.5703125" style="1551" customWidth="1"/>
    <col min="5122" max="5122" width="6.7109375" style="1551" customWidth="1"/>
    <col min="5123" max="5123" width="8.85546875" style="1551" customWidth="1"/>
    <col min="5124" max="5124" width="47.85546875" style="1551" customWidth="1"/>
    <col min="5125" max="5125" width="12.85546875" style="1551" customWidth="1"/>
    <col min="5126" max="5126" width="15.5703125" style="1551" customWidth="1"/>
    <col min="5127" max="5127" width="15.85546875" style="1551" customWidth="1"/>
    <col min="5128" max="5128" width="6.42578125" style="1551" customWidth="1"/>
    <col min="5129" max="5130" width="9.140625" style="1551"/>
    <col min="5131" max="5132" width="14.7109375" style="1551" bestFit="1" customWidth="1"/>
    <col min="5133" max="5376" width="9.140625" style="1551"/>
    <col min="5377" max="5377" width="5.5703125" style="1551" customWidth="1"/>
    <col min="5378" max="5378" width="6.7109375" style="1551" customWidth="1"/>
    <col min="5379" max="5379" width="8.85546875" style="1551" customWidth="1"/>
    <col min="5380" max="5380" width="47.85546875" style="1551" customWidth="1"/>
    <col min="5381" max="5381" width="12.85546875" style="1551" customWidth="1"/>
    <col min="5382" max="5382" width="15.5703125" style="1551" customWidth="1"/>
    <col min="5383" max="5383" width="15.85546875" style="1551" customWidth="1"/>
    <col min="5384" max="5384" width="6.42578125" style="1551" customWidth="1"/>
    <col min="5385" max="5386" width="9.140625" style="1551"/>
    <col min="5387" max="5388" width="14.7109375" style="1551" bestFit="1" customWidth="1"/>
    <col min="5389" max="5632" width="9.140625" style="1551"/>
    <col min="5633" max="5633" width="5.5703125" style="1551" customWidth="1"/>
    <col min="5634" max="5634" width="6.7109375" style="1551" customWidth="1"/>
    <col min="5635" max="5635" width="8.85546875" style="1551" customWidth="1"/>
    <col min="5636" max="5636" width="47.85546875" style="1551" customWidth="1"/>
    <col min="5637" max="5637" width="12.85546875" style="1551" customWidth="1"/>
    <col min="5638" max="5638" width="15.5703125" style="1551" customWidth="1"/>
    <col min="5639" max="5639" width="15.85546875" style="1551" customWidth="1"/>
    <col min="5640" max="5640" width="6.42578125" style="1551" customWidth="1"/>
    <col min="5641" max="5642" width="9.140625" style="1551"/>
    <col min="5643" max="5644" width="14.7109375" style="1551" bestFit="1" customWidth="1"/>
    <col min="5645" max="5888" width="9.140625" style="1551"/>
    <col min="5889" max="5889" width="5.5703125" style="1551" customWidth="1"/>
    <col min="5890" max="5890" width="6.7109375" style="1551" customWidth="1"/>
    <col min="5891" max="5891" width="8.85546875" style="1551" customWidth="1"/>
    <col min="5892" max="5892" width="47.85546875" style="1551" customWidth="1"/>
    <col min="5893" max="5893" width="12.85546875" style="1551" customWidth="1"/>
    <col min="5894" max="5894" width="15.5703125" style="1551" customWidth="1"/>
    <col min="5895" max="5895" width="15.85546875" style="1551" customWidth="1"/>
    <col min="5896" max="5896" width="6.42578125" style="1551" customWidth="1"/>
    <col min="5897" max="5898" width="9.140625" style="1551"/>
    <col min="5899" max="5900" width="14.7109375" style="1551" bestFit="1" customWidth="1"/>
    <col min="5901" max="6144" width="9.140625" style="1551"/>
    <col min="6145" max="6145" width="5.5703125" style="1551" customWidth="1"/>
    <col min="6146" max="6146" width="6.7109375" style="1551" customWidth="1"/>
    <col min="6147" max="6147" width="8.85546875" style="1551" customWidth="1"/>
    <col min="6148" max="6148" width="47.85546875" style="1551" customWidth="1"/>
    <col min="6149" max="6149" width="12.85546875" style="1551" customWidth="1"/>
    <col min="6150" max="6150" width="15.5703125" style="1551" customWidth="1"/>
    <col min="6151" max="6151" width="15.85546875" style="1551" customWidth="1"/>
    <col min="6152" max="6152" width="6.42578125" style="1551" customWidth="1"/>
    <col min="6153" max="6154" width="9.140625" style="1551"/>
    <col min="6155" max="6156" width="14.7109375" style="1551" bestFit="1" customWidth="1"/>
    <col min="6157" max="6400" width="9.140625" style="1551"/>
    <col min="6401" max="6401" width="5.5703125" style="1551" customWidth="1"/>
    <col min="6402" max="6402" width="6.7109375" style="1551" customWidth="1"/>
    <col min="6403" max="6403" width="8.85546875" style="1551" customWidth="1"/>
    <col min="6404" max="6404" width="47.85546875" style="1551" customWidth="1"/>
    <col min="6405" max="6405" width="12.85546875" style="1551" customWidth="1"/>
    <col min="6406" max="6406" width="15.5703125" style="1551" customWidth="1"/>
    <col min="6407" max="6407" width="15.85546875" style="1551" customWidth="1"/>
    <col min="6408" max="6408" width="6.42578125" style="1551" customWidth="1"/>
    <col min="6409" max="6410" width="9.140625" style="1551"/>
    <col min="6411" max="6412" width="14.7109375" style="1551" bestFit="1" customWidth="1"/>
    <col min="6413" max="6656" width="9.140625" style="1551"/>
    <col min="6657" max="6657" width="5.5703125" style="1551" customWidth="1"/>
    <col min="6658" max="6658" width="6.7109375" style="1551" customWidth="1"/>
    <col min="6659" max="6659" width="8.85546875" style="1551" customWidth="1"/>
    <col min="6660" max="6660" width="47.85546875" style="1551" customWidth="1"/>
    <col min="6661" max="6661" width="12.85546875" style="1551" customWidth="1"/>
    <col min="6662" max="6662" width="15.5703125" style="1551" customWidth="1"/>
    <col min="6663" max="6663" width="15.85546875" style="1551" customWidth="1"/>
    <col min="6664" max="6664" width="6.42578125" style="1551" customWidth="1"/>
    <col min="6665" max="6666" width="9.140625" style="1551"/>
    <col min="6667" max="6668" width="14.7109375" style="1551" bestFit="1" customWidth="1"/>
    <col min="6669" max="6912" width="9.140625" style="1551"/>
    <col min="6913" max="6913" width="5.5703125" style="1551" customWidth="1"/>
    <col min="6914" max="6914" width="6.7109375" style="1551" customWidth="1"/>
    <col min="6915" max="6915" width="8.85546875" style="1551" customWidth="1"/>
    <col min="6916" max="6916" width="47.85546875" style="1551" customWidth="1"/>
    <col min="6917" max="6917" width="12.85546875" style="1551" customWidth="1"/>
    <col min="6918" max="6918" width="15.5703125" style="1551" customWidth="1"/>
    <col min="6919" max="6919" width="15.85546875" style="1551" customWidth="1"/>
    <col min="6920" max="6920" width="6.42578125" style="1551" customWidth="1"/>
    <col min="6921" max="6922" width="9.140625" style="1551"/>
    <col min="6923" max="6924" width="14.7109375" style="1551" bestFit="1" customWidth="1"/>
    <col min="6925" max="7168" width="9.140625" style="1551"/>
    <col min="7169" max="7169" width="5.5703125" style="1551" customWidth="1"/>
    <col min="7170" max="7170" width="6.7109375" style="1551" customWidth="1"/>
    <col min="7171" max="7171" width="8.85546875" style="1551" customWidth="1"/>
    <col min="7172" max="7172" width="47.85546875" style="1551" customWidth="1"/>
    <col min="7173" max="7173" width="12.85546875" style="1551" customWidth="1"/>
    <col min="7174" max="7174" width="15.5703125" style="1551" customWidth="1"/>
    <col min="7175" max="7175" width="15.85546875" style="1551" customWidth="1"/>
    <col min="7176" max="7176" width="6.42578125" style="1551" customWidth="1"/>
    <col min="7177" max="7178" width="9.140625" style="1551"/>
    <col min="7179" max="7180" width="14.7109375" style="1551" bestFit="1" customWidth="1"/>
    <col min="7181" max="7424" width="9.140625" style="1551"/>
    <col min="7425" max="7425" width="5.5703125" style="1551" customWidth="1"/>
    <col min="7426" max="7426" width="6.7109375" style="1551" customWidth="1"/>
    <col min="7427" max="7427" width="8.85546875" style="1551" customWidth="1"/>
    <col min="7428" max="7428" width="47.85546875" style="1551" customWidth="1"/>
    <col min="7429" max="7429" width="12.85546875" style="1551" customWidth="1"/>
    <col min="7430" max="7430" width="15.5703125" style="1551" customWidth="1"/>
    <col min="7431" max="7431" width="15.85546875" style="1551" customWidth="1"/>
    <col min="7432" max="7432" width="6.42578125" style="1551" customWidth="1"/>
    <col min="7433" max="7434" width="9.140625" style="1551"/>
    <col min="7435" max="7436" width="14.7109375" style="1551" bestFit="1" customWidth="1"/>
    <col min="7437" max="7680" width="9.140625" style="1551"/>
    <col min="7681" max="7681" width="5.5703125" style="1551" customWidth="1"/>
    <col min="7682" max="7682" width="6.7109375" style="1551" customWidth="1"/>
    <col min="7683" max="7683" width="8.85546875" style="1551" customWidth="1"/>
    <col min="7684" max="7684" width="47.85546875" style="1551" customWidth="1"/>
    <col min="7685" max="7685" width="12.85546875" style="1551" customWidth="1"/>
    <col min="7686" max="7686" width="15.5703125" style="1551" customWidth="1"/>
    <col min="7687" max="7687" width="15.85546875" style="1551" customWidth="1"/>
    <col min="7688" max="7688" width="6.42578125" style="1551" customWidth="1"/>
    <col min="7689" max="7690" width="9.140625" style="1551"/>
    <col min="7691" max="7692" width="14.7109375" style="1551" bestFit="1" customWidth="1"/>
    <col min="7693" max="7936" width="9.140625" style="1551"/>
    <col min="7937" max="7937" width="5.5703125" style="1551" customWidth="1"/>
    <col min="7938" max="7938" width="6.7109375" style="1551" customWidth="1"/>
    <col min="7939" max="7939" width="8.85546875" style="1551" customWidth="1"/>
    <col min="7940" max="7940" width="47.85546875" style="1551" customWidth="1"/>
    <col min="7941" max="7941" width="12.85546875" style="1551" customWidth="1"/>
    <col min="7942" max="7942" width="15.5703125" style="1551" customWidth="1"/>
    <col min="7943" max="7943" width="15.85546875" style="1551" customWidth="1"/>
    <col min="7944" max="7944" width="6.42578125" style="1551" customWidth="1"/>
    <col min="7945" max="7946" width="9.140625" style="1551"/>
    <col min="7947" max="7948" width="14.7109375" style="1551" bestFit="1" customWidth="1"/>
    <col min="7949" max="8192" width="9.140625" style="1551"/>
    <col min="8193" max="8193" width="5.5703125" style="1551" customWidth="1"/>
    <col min="8194" max="8194" width="6.7109375" style="1551" customWidth="1"/>
    <col min="8195" max="8195" width="8.85546875" style="1551" customWidth="1"/>
    <col min="8196" max="8196" width="47.85546875" style="1551" customWidth="1"/>
    <col min="8197" max="8197" width="12.85546875" style="1551" customWidth="1"/>
    <col min="8198" max="8198" width="15.5703125" style="1551" customWidth="1"/>
    <col min="8199" max="8199" width="15.85546875" style="1551" customWidth="1"/>
    <col min="8200" max="8200" width="6.42578125" style="1551" customWidth="1"/>
    <col min="8201" max="8202" width="9.140625" style="1551"/>
    <col min="8203" max="8204" width="14.7109375" style="1551" bestFit="1" customWidth="1"/>
    <col min="8205" max="8448" width="9.140625" style="1551"/>
    <col min="8449" max="8449" width="5.5703125" style="1551" customWidth="1"/>
    <col min="8450" max="8450" width="6.7109375" style="1551" customWidth="1"/>
    <col min="8451" max="8451" width="8.85546875" style="1551" customWidth="1"/>
    <col min="8452" max="8452" width="47.85546875" style="1551" customWidth="1"/>
    <col min="8453" max="8453" width="12.85546875" style="1551" customWidth="1"/>
    <col min="8454" max="8454" width="15.5703125" style="1551" customWidth="1"/>
    <col min="8455" max="8455" width="15.85546875" style="1551" customWidth="1"/>
    <col min="8456" max="8456" width="6.42578125" style="1551" customWidth="1"/>
    <col min="8457" max="8458" width="9.140625" style="1551"/>
    <col min="8459" max="8460" width="14.7109375" style="1551" bestFit="1" customWidth="1"/>
    <col min="8461" max="8704" width="9.140625" style="1551"/>
    <col min="8705" max="8705" width="5.5703125" style="1551" customWidth="1"/>
    <col min="8706" max="8706" width="6.7109375" style="1551" customWidth="1"/>
    <col min="8707" max="8707" width="8.85546875" style="1551" customWidth="1"/>
    <col min="8708" max="8708" width="47.85546875" style="1551" customWidth="1"/>
    <col min="8709" max="8709" width="12.85546875" style="1551" customWidth="1"/>
    <col min="8710" max="8710" width="15.5703125" style="1551" customWidth="1"/>
    <col min="8711" max="8711" width="15.85546875" style="1551" customWidth="1"/>
    <col min="8712" max="8712" width="6.42578125" style="1551" customWidth="1"/>
    <col min="8713" max="8714" width="9.140625" style="1551"/>
    <col min="8715" max="8716" width="14.7109375" style="1551" bestFit="1" customWidth="1"/>
    <col min="8717" max="8960" width="9.140625" style="1551"/>
    <col min="8961" max="8961" width="5.5703125" style="1551" customWidth="1"/>
    <col min="8962" max="8962" width="6.7109375" style="1551" customWidth="1"/>
    <col min="8963" max="8963" width="8.85546875" style="1551" customWidth="1"/>
    <col min="8964" max="8964" width="47.85546875" style="1551" customWidth="1"/>
    <col min="8965" max="8965" width="12.85546875" style="1551" customWidth="1"/>
    <col min="8966" max="8966" width="15.5703125" style="1551" customWidth="1"/>
    <col min="8967" max="8967" width="15.85546875" style="1551" customWidth="1"/>
    <col min="8968" max="8968" width="6.42578125" style="1551" customWidth="1"/>
    <col min="8969" max="8970" width="9.140625" style="1551"/>
    <col min="8971" max="8972" width="14.7109375" style="1551" bestFit="1" customWidth="1"/>
    <col min="8973" max="9216" width="9.140625" style="1551"/>
    <col min="9217" max="9217" width="5.5703125" style="1551" customWidth="1"/>
    <col min="9218" max="9218" width="6.7109375" style="1551" customWidth="1"/>
    <col min="9219" max="9219" width="8.85546875" style="1551" customWidth="1"/>
    <col min="9220" max="9220" width="47.85546875" style="1551" customWidth="1"/>
    <col min="9221" max="9221" width="12.85546875" style="1551" customWidth="1"/>
    <col min="9222" max="9222" width="15.5703125" style="1551" customWidth="1"/>
    <col min="9223" max="9223" width="15.85546875" style="1551" customWidth="1"/>
    <col min="9224" max="9224" width="6.42578125" style="1551" customWidth="1"/>
    <col min="9225" max="9226" width="9.140625" style="1551"/>
    <col min="9227" max="9228" width="14.7109375" style="1551" bestFit="1" customWidth="1"/>
    <col min="9229" max="9472" width="9.140625" style="1551"/>
    <col min="9473" max="9473" width="5.5703125" style="1551" customWidth="1"/>
    <col min="9474" max="9474" width="6.7109375" style="1551" customWidth="1"/>
    <col min="9475" max="9475" width="8.85546875" style="1551" customWidth="1"/>
    <col min="9476" max="9476" width="47.85546875" style="1551" customWidth="1"/>
    <col min="9477" max="9477" width="12.85546875" style="1551" customWidth="1"/>
    <col min="9478" max="9478" width="15.5703125" style="1551" customWidth="1"/>
    <col min="9479" max="9479" width="15.85546875" style="1551" customWidth="1"/>
    <col min="9480" max="9480" width="6.42578125" style="1551" customWidth="1"/>
    <col min="9481" max="9482" width="9.140625" style="1551"/>
    <col min="9483" max="9484" width="14.7109375" style="1551" bestFit="1" customWidth="1"/>
    <col min="9485" max="9728" width="9.140625" style="1551"/>
    <col min="9729" max="9729" width="5.5703125" style="1551" customWidth="1"/>
    <col min="9730" max="9730" width="6.7109375" style="1551" customWidth="1"/>
    <col min="9731" max="9731" width="8.85546875" style="1551" customWidth="1"/>
    <col min="9732" max="9732" width="47.85546875" style="1551" customWidth="1"/>
    <col min="9733" max="9733" width="12.85546875" style="1551" customWidth="1"/>
    <col min="9734" max="9734" width="15.5703125" style="1551" customWidth="1"/>
    <col min="9735" max="9735" width="15.85546875" style="1551" customWidth="1"/>
    <col min="9736" max="9736" width="6.42578125" style="1551" customWidth="1"/>
    <col min="9737" max="9738" width="9.140625" style="1551"/>
    <col min="9739" max="9740" width="14.7109375" style="1551" bestFit="1" customWidth="1"/>
    <col min="9741" max="9984" width="9.140625" style="1551"/>
    <col min="9985" max="9985" width="5.5703125" style="1551" customWidth="1"/>
    <col min="9986" max="9986" width="6.7109375" style="1551" customWidth="1"/>
    <col min="9987" max="9987" width="8.85546875" style="1551" customWidth="1"/>
    <col min="9988" max="9988" width="47.85546875" style="1551" customWidth="1"/>
    <col min="9989" max="9989" width="12.85546875" style="1551" customWidth="1"/>
    <col min="9990" max="9990" width="15.5703125" style="1551" customWidth="1"/>
    <col min="9991" max="9991" width="15.85546875" style="1551" customWidth="1"/>
    <col min="9992" max="9992" width="6.42578125" style="1551" customWidth="1"/>
    <col min="9993" max="9994" width="9.140625" style="1551"/>
    <col min="9995" max="9996" width="14.7109375" style="1551" bestFit="1" customWidth="1"/>
    <col min="9997" max="10240" width="9.140625" style="1551"/>
    <col min="10241" max="10241" width="5.5703125" style="1551" customWidth="1"/>
    <col min="10242" max="10242" width="6.7109375" style="1551" customWidth="1"/>
    <col min="10243" max="10243" width="8.85546875" style="1551" customWidth="1"/>
    <col min="10244" max="10244" width="47.85546875" style="1551" customWidth="1"/>
    <col min="10245" max="10245" width="12.85546875" style="1551" customWidth="1"/>
    <col min="10246" max="10246" width="15.5703125" style="1551" customWidth="1"/>
    <col min="10247" max="10247" width="15.85546875" style="1551" customWidth="1"/>
    <col min="10248" max="10248" width="6.42578125" style="1551" customWidth="1"/>
    <col min="10249" max="10250" width="9.140625" style="1551"/>
    <col min="10251" max="10252" width="14.7109375" style="1551" bestFit="1" customWidth="1"/>
    <col min="10253" max="10496" width="9.140625" style="1551"/>
    <col min="10497" max="10497" width="5.5703125" style="1551" customWidth="1"/>
    <col min="10498" max="10498" width="6.7109375" style="1551" customWidth="1"/>
    <col min="10499" max="10499" width="8.85546875" style="1551" customWidth="1"/>
    <col min="10500" max="10500" width="47.85546875" style="1551" customWidth="1"/>
    <col min="10501" max="10501" width="12.85546875" style="1551" customWidth="1"/>
    <col min="10502" max="10502" width="15.5703125" style="1551" customWidth="1"/>
    <col min="10503" max="10503" width="15.85546875" style="1551" customWidth="1"/>
    <col min="10504" max="10504" width="6.42578125" style="1551" customWidth="1"/>
    <col min="10505" max="10506" width="9.140625" style="1551"/>
    <col min="10507" max="10508" width="14.7109375" style="1551" bestFit="1" customWidth="1"/>
    <col min="10509" max="10752" width="9.140625" style="1551"/>
    <col min="10753" max="10753" width="5.5703125" style="1551" customWidth="1"/>
    <col min="10754" max="10754" width="6.7109375" style="1551" customWidth="1"/>
    <col min="10755" max="10755" width="8.85546875" style="1551" customWidth="1"/>
    <col min="10756" max="10756" width="47.85546875" style="1551" customWidth="1"/>
    <col min="10757" max="10757" width="12.85546875" style="1551" customWidth="1"/>
    <col min="10758" max="10758" width="15.5703125" style="1551" customWidth="1"/>
    <col min="10759" max="10759" width="15.85546875" style="1551" customWidth="1"/>
    <col min="10760" max="10760" width="6.42578125" style="1551" customWidth="1"/>
    <col min="10761" max="10762" width="9.140625" style="1551"/>
    <col min="10763" max="10764" width="14.7109375" style="1551" bestFit="1" customWidth="1"/>
    <col min="10765" max="11008" width="9.140625" style="1551"/>
    <col min="11009" max="11009" width="5.5703125" style="1551" customWidth="1"/>
    <col min="11010" max="11010" width="6.7109375" style="1551" customWidth="1"/>
    <col min="11011" max="11011" width="8.85546875" style="1551" customWidth="1"/>
    <col min="11012" max="11012" width="47.85546875" style="1551" customWidth="1"/>
    <col min="11013" max="11013" width="12.85546875" style="1551" customWidth="1"/>
    <col min="11014" max="11014" width="15.5703125" style="1551" customWidth="1"/>
    <col min="11015" max="11015" width="15.85546875" style="1551" customWidth="1"/>
    <col min="11016" max="11016" width="6.42578125" style="1551" customWidth="1"/>
    <col min="11017" max="11018" width="9.140625" style="1551"/>
    <col min="11019" max="11020" width="14.7109375" style="1551" bestFit="1" customWidth="1"/>
    <col min="11021" max="11264" width="9.140625" style="1551"/>
    <col min="11265" max="11265" width="5.5703125" style="1551" customWidth="1"/>
    <col min="11266" max="11266" width="6.7109375" style="1551" customWidth="1"/>
    <col min="11267" max="11267" width="8.85546875" style="1551" customWidth="1"/>
    <col min="11268" max="11268" width="47.85546875" style="1551" customWidth="1"/>
    <col min="11269" max="11269" width="12.85546875" style="1551" customWidth="1"/>
    <col min="11270" max="11270" width="15.5703125" style="1551" customWidth="1"/>
    <col min="11271" max="11271" width="15.85546875" style="1551" customWidth="1"/>
    <col min="11272" max="11272" width="6.42578125" style="1551" customWidth="1"/>
    <col min="11273" max="11274" width="9.140625" style="1551"/>
    <col min="11275" max="11276" width="14.7109375" style="1551" bestFit="1" customWidth="1"/>
    <col min="11277" max="11520" width="9.140625" style="1551"/>
    <col min="11521" max="11521" width="5.5703125" style="1551" customWidth="1"/>
    <col min="11522" max="11522" width="6.7109375" style="1551" customWidth="1"/>
    <col min="11523" max="11523" width="8.85546875" style="1551" customWidth="1"/>
    <col min="11524" max="11524" width="47.85546875" style="1551" customWidth="1"/>
    <col min="11525" max="11525" width="12.85546875" style="1551" customWidth="1"/>
    <col min="11526" max="11526" width="15.5703125" style="1551" customWidth="1"/>
    <col min="11527" max="11527" width="15.85546875" style="1551" customWidth="1"/>
    <col min="11528" max="11528" width="6.42578125" style="1551" customWidth="1"/>
    <col min="11529" max="11530" width="9.140625" style="1551"/>
    <col min="11531" max="11532" width="14.7109375" style="1551" bestFit="1" customWidth="1"/>
    <col min="11533" max="11776" width="9.140625" style="1551"/>
    <col min="11777" max="11777" width="5.5703125" style="1551" customWidth="1"/>
    <col min="11778" max="11778" width="6.7109375" style="1551" customWidth="1"/>
    <col min="11779" max="11779" width="8.85546875" style="1551" customWidth="1"/>
    <col min="11780" max="11780" width="47.85546875" style="1551" customWidth="1"/>
    <col min="11781" max="11781" width="12.85546875" style="1551" customWidth="1"/>
    <col min="11782" max="11782" width="15.5703125" style="1551" customWidth="1"/>
    <col min="11783" max="11783" width="15.85546875" style="1551" customWidth="1"/>
    <col min="11784" max="11784" width="6.42578125" style="1551" customWidth="1"/>
    <col min="11785" max="11786" width="9.140625" style="1551"/>
    <col min="11787" max="11788" width="14.7109375" style="1551" bestFit="1" customWidth="1"/>
    <col min="11789" max="12032" width="9.140625" style="1551"/>
    <col min="12033" max="12033" width="5.5703125" style="1551" customWidth="1"/>
    <col min="12034" max="12034" width="6.7109375" style="1551" customWidth="1"/>
    <col min="12035" max="12035" width="8.85546875" style="1551" customWidth="1"/>
    <col min="12036" max="12036" width="47.85546875" style="1551" customWidth="1"/>
    <col min="12037" max="12037" width="12.85546875" style="1551" customWidth="1"/>
    <col min="12038" max="12038" width="15.5703125" style="1551" customWidth="1"/>
    <col min="12039" max="12039" width="15.85546875" style="1551" customWidth="1"/>
    <col min="12040" max="12040" width="6.42578125" style="1551" customWidth="1"/>
    <col min="12041" max="12042" width="9.140625" style="1551"/>
    <col min="12043" max="12044" width="14.7109375" style="1551" bestFit="1" customWidth="1"/>
    <col min="12045" max="12288" width="9.140625" style="1551"/>
    <col min="12289" max="12289" width="5.5703125" style="1551" customWidth="1"/>
    <col min="12290" max="12290" width="6.7109375" style="1551" customWidth="1"/>
    <col min="12291" max="12291" width="8.85546875" style="1551" customWidth="1"/>
    <col min="12292" max="12292" width="47.85546875" style="1551" customWidth="1"/>
    <col min="12293" max="12293" width="12.85546875" style="1551" customWidth="1"/>
    <col min="12294" max="12294" width="15.5703125" style="1551" customWidth="1"/>
    <col min="12295" max="12295" width="15.85546875" style="1551" customWidth="1"/>
    <col min="12296" max="12296" width="6.42578125" style="1551" customWidth="1"/>
    <col min="12297" max="12298" width="9.140625" style="1551"/>
    <col min="12299" max="12300" width="14.7109375" style="1551" bestFit="1" customWidth="1"/>
    <col min="12301" max="12544" width="9.140625" style="1551"/>
    <col min="12545" max="12545" width="5.5703125" style="1551" customWidth="1"/>
    <col min="12546" max="12546" width="6.7109375" style="1551" customWidth="1"/>
    <col min="12547" max="12547" width="8.85546875" style="1551" customWidth="1"/>
    <col min="12548" max="12548" width="47.85546875" style="1551" customWidth="1"/>
    <col min="12549" max="12549" width="12.85546875" style="1551" customWidth="1"/>
    <col min="12550" max="12550" width="15.5703125" style="1551" customWidth="1"/>
    <col min="12551" max="12551" width="15.85546875" style="1551" customWidth="1"/>
    <col min="12552" max="12552" width="6.42578125" style="1551" customWidth="1"/>
    <col min="12553" max="12554" width="9.140625" style="1551"/>
    <col min="12555" max="12556" width="14.7109375" style="1551" bestFit="1" customWidth="1"/>
    <col min="12557" max="12800" width="9.140625" style="1551"/>
    <col min="12801" max="12801" width="5.5703125" style="1551" customWidth="1"/>
    <col min="12802" max="12802" width="6.7109375" style="1551" customWidth="1"/>
    <col min="12803" max="12803" width="8.85546875" style="1551" customWidth="1"/>
    <col min="12804" max="12804" width="47.85546875" style="1551" customWidth="1"/>
    <col min="12805" max="12805" width="12.85546875" style="1551" customWidth="1"/>
    <col min="12806" max="12806" width="15.5703125" style="1551" customWidth="1"/>
    <col min="12807" max="12807" width="15.85546875" style="1551" customWidth="1"/>
    <col min="12808" max="12808" width="6.42578125" style="1551" customWidth="1"/>
    <col min="12809" max="12810" width="9.140625" style="1551"/>
    <col min="12811" max="12812" width="14.7109375" style="1551" bestFit="1" customWidth="1"/>
    <col min="12813" max="13056" width="9.140625" style="1551"/>
    <col min="13057" max="13057" width="5.5703125" style="1551" customWidth="1"/>
    <col min="13058" max="13058" width="6.7109375" style="1551" customWidth="1"/>
    <col min="13059" max="13059" width="8.85546875" style="1551" customWidth="1"/>
    <col min="13060" max="13060" width="47.85546875" style="1551" customWidth="1"/>
    <col min="13061" max="13061" width="12.85546875" style="1551" customWidth="1"/>
    <col min="13062" max="13062" width="15.5703125" style="1551" customWidth="1"/>
    <col min="13063" max="13063" width="15.85546875" style="1551" customWidth="1"/>
    <col min="13064" max="13064" width="6.42578125" style="1551" customWidth="1"/>
    <col min="13065" max="13066" width="9.140625" style="1551"/>
    <col min="13067" max="13068" width="14.7109375" style="1551" bestFit="1" customWidth="1"/>
    <col min="13069" max="13312" width="9.140625" style="1551"/>
    <col min="13313" max="13313" width="5.5703125" style="1551" customWidth="1"/>
    <col min="13314" max="13314" width="6.7109375" style="1551" customWidth="1"/>
    <col min="13315" max="13315" width="8.85546875" style="1551" customWidth="1"/>
    <col min="13316" max="13316" width="47.85546875" style="1551" customWidth="1"/>
    <col min="13317" max="13317" width="12.85546875" style="1551" customWidth="1"/>
    <col min="13318" max="13318" width="15.5703125" style="1551" customWidth="1"/>
    <col min="13319" max="13319" width="15.85546875" style="1551" customWidth="1"/>
    <col min="13320" max="13320" width="6.42578125" style="1551" customWidth="1"/>
    <col min="13321" max="13322" width="9.140625" style="1551"/>
    <col min="13323" max="13324" width="14.7109375" style="1551" bestFit="1" customWidth="1"/>
    <col min="13325" max="13568" width="9.140625" style="1551"/>
    <col min="13569" max="13569" width="5.5703125" style="1551" customWidth="1"/>
    <col min="13570" max="13570" width="6.7109375" style="1551" customWidth="1"/>
    <col min="13571" max="13571" width="8.85546875" style="1551" customWidth="1"/>
    <col min="13572" max="13572" width="47.85546875" style="1551" customWidth="1"/>
    <col min="13573" max="13573" width="12.85546875" style="1551" customWidth="1"/>
    <col min="13574" max="13574" width="15.5703125" style="1551" customWidth="1"/>
    <col min="13575" max="13575" width="15.85546875" style="1551" customWidth="1"/>
    <col min="13576" max="13576" width="6.42578125" style="1551" customWidth="1"/>
    <col min="13577" max="13578" width="9.140625" style="1551"/>
    <col min="13579" max="13580" width="14.7109375" style="1551" bestFit="1" customWidth="1"/>
    <col min="13581" max="13824" width="9.140625" style="1551"/>
    <col min="13825" max="13825" width="5.5703125" style="1551" customWidth="1"/>
    <col min="13826" max="13826" width="6.7109375" style="1551" customWidth="1"/>
    <col min="13827" max="13827" width="8.85546875" style="1551" customWidth="1"/>
    <col min="13828" max="13828" width="47.85546875" style="1551" customWidth="1"/>
    <col min="13829" max="13829" width="12.85546875" style="1551" customWidth="1"/>
    <col min="13830" max="13830" width="15.5703125" style="1551" customWidth="1"/>
    <col min="13831" max="13831" width="15.85546875" style="1551" customWidth="1"/>
    <col min="13832" max="13832" width="6.42578125" style="1551" customWidth="1"/>
    <col min="13833" max="13834" width="9.140625" style="1551"/>
    <col min="13835" max="13836" width="14.7109375" style="1551" bestFit="1" customWidth="1"/>
    <col min="13837" max="14080" width="9.140625" style="1551"/>
    <col min="14081" max="14081" width="5.5703125" style="1551" customWidth="1"/>
    <col min="14082" max="14082" width="6.7109375" style="1551" customWidth="1"/>
    <col min="14083" max="14083" width="8.85546875" style="1551" customWidth="1"/>
    <col min="14084" max="14084" width="47.85546875" style="1551" customWidth="1"/>
    <col min="14085" max="14085" width="12.85546875" style="1551" customWidth="1"/>
    <col min="14086" max="14086" width="15.5703125" style="1551" customWidth="1"/>
    <col min="14087" max="14087" width="15.85546875" style="1551" customWidth="1"/>
    <col min="14088" max="14088" width="6.42578125" style="1551" customWidth="1"/>
    <col min="14089" max="14090" width="9.140625" style="1551"/>
    <col min="14091" max="14092" width="14.7109375" style="1551" bestFit="1" customWidth="1"/>
    <col min="14093" max="14336" width="9.140625" style="1551"/>
    <col min="14337" max="14337" width="5.5703125" style="1551" customWidth="1"/>
    <col min="14338" max="14338" width="6.7109375" style="1551" customWidth="1"/>
    <col min="14339" max="14339" width="8.85546875" style="1551" customWidth="1"/>
    <col min="14340" max="14340" width="47.85546875" style="1551" customWidth="1"/>
    <col min="14341" max="14341" width="12.85546875" style="1551" customWidth="1"/>
    <col min="14342" max="14342" width="15.5703125" style="1551" customWidth="1"/>
    <col min="14343" max="14343" width="15.85546875" style="1551" customWidth="1"/>
    <col min="14344" max="14344" width="6.42578125" style="1551" customWidth="1"/>
    <col min="14345" max="14346" width="9.140625" style="1551"/>
    <col min="14347" max="14348" width="14.7109375" style="1551" bestFit="1" customWidth="1"/>
    <col min="14349" max="14592" width="9.140625" style="1551"/>
    <col min="14593" max="14593" width="5.5703125" style="1551" customWidth="1"/>
    <col min="14594" max="14594" width="6.7109375" style="1551" customWidth="1"/>
    <col min="14595" max="14595" width="8.85546875" style="1551" customWidth="1"/>
    <col min="14596" max="14596" width="47.85546875" style="1551" customWidth="1"/>
    <col min="14597" max="14597" width="12.85546875" style="1551" customWidth="1"/>
    <col min="14598" max="14598" width="15.5703125" style="1551" customWidth="1"/>
    <col min="14599" max="14599" width="15.85546875" style="1551" customWidth="1"/>
    <col min="14600" max="14600" width="6.42578125" style="1551" customWidth="1"/>
    <col min="14601" max="14602" width="9.140625" style="1551"/>
    <col min="14603" max="14604" width="14.7109375" style="1551" bestFit="1" customWidth="1"/>
    <col min="14605" max="14848" width="9.140625" style="1551"/>
    <col min="14849" max="14849" width="5.5703125" style="1551" customWidth="1"/>
    <col min="14850" max="14850" width="6.7109375" style="1551" customWidth="1"/>
    <col min="14851" max="14851" width="8.85546875" style="1551" customWidth="1"/>
    <col min="14852" max="14852" width="47.85546875" style="1551" customWidth="1"/>
    <col min="14853" max="14853" width="12.85546875" style="1551" customWidth="1"/>
    <col min="14854" max="14854" width="15.5703125" style="1551" customWidth="1"/>
    <col min="14855" max="14855" width="15.85546875" style="1551" customWidth="1"/>
    <col min="14856" max="14856" width="6.42578125" style="1551" customWidth="1"/>
    <col min="14857" max="14858" width="9.140625" style="1551"/>
    <col min="14859" max="14860" width="14.7109375" style="1551" bestFit="1" customWidth="1"/>
    <col min="14861" max="15104" width="9.140625" style="1551"/>
    <col min="15105" max="15105" width="5.5703125" style="1551" customWidth="1"/>
    <col min="15106" max="15106" width="6.7109375" style="1551" customWidth="1"/>
    <col min="15107" max="15107" width="8.85546875" style="1551" customWidth="1"/>
    <col min="15108" max="15108" width="47.85546875" style="1551" customWidth="1"/>
    <col min="15109" max="15109" width="12.85546875" style="1551" customWidth="1"/>
    <col min="15110" max="15110" width="15.5703125" style="1551" customWidth="1"/>
    <col min="15111" max="15111" width="15.85546875" style="1551" customWidth="1"/>
    <col min="15112" max="15112" width="6.42578125" style="1551" customWidth="1"/>
    <col min="15113" max="15114" width="9.140625" style="1551"/>
    <col min="15115" max="15116" width="14.7109375" style="1551" bestFit="1" customWidth="1"/>
    <col min="15117" max="15360" width="9.140625" style="1551"/>
    <col min="15361" max="15361" width="5.5703125" style="1551" customWidth="1"/>
    <col min="15362" max="15362" width="6.7109375" style="1551" customWidth="1"/>
    <col min="15363" max="15363" width="8.85546875" style="1551" customWidth="1"/>
    <col min="15364" max="15364" width="47.85546875" style="1551" customWidth="1"/>
    <col min="15365" max="15365" width="12.85546875" style="1551" customWidth="1"/>
    <col min="15366" max="15366" width="15.5703125" style="1551" customWidth="1"/>
    <col min="15367" max="15367" width="15.85546875" style="1551" customWidth="1"/>
    <col min="15368" max="15368" width="6.42578125" style="1551" customWidth="1"/>
    <col min="15369" max="15370" width="9.140625" style="1551"/>
    <col min="15371" max="15372" width="14.7109375" style="1551" bestFit="1" customWidth="1"/>
    <col min="15373" max="15616" width="9.140625" style="1551"/>
    <col min="15617" max="15617" width="5.5703125" style="1551" customWidth="1"/>
    <col min="15618" max="15618" width="6.7109375" style="1551" customWidth="1"/>
    <col min="15619" max="15619" width="8.85546875" style="1551" customWidth="1"/>
    <col min="15620" max="15620" width="47.85546875" style="1551" customWidth="1"/>
    <col min="15621" max="15621" width="12.85546875" style="1551" customWidth="1"/>
    <col min="15622" max="15622" width="15.5703125" style="1551" customWidth="1"/>
    <col min="15623" max="15623" width="15.85546875" style="1551" customWidth="1"/>
    <col min="15624" max="15624" width="6.42578125" style="1551" customWidth="1"/>
    <col min="15625" max="15626" width="9.140625" style="1551"/>
    <col min="15627" max="15628" width="14.7109375" style="1551" bestFit="1" customWidth="1"/>
    <col min="15629" max="15872" width="9.140625" style="1551"/>
    <col min="15873" max="15873" width="5.5703125" style="1551" customWidth="1"/>
    <col min="15874" max="15874" width="6.7109375" style="1551" customWidth="1"/>
    <col min="15875" max="15875" width="8.85546875" style="1551" customWidth="1"/>
    <col min="15876" max="15876" width="47.85546875" style="1551" customWidth="1"/>
    <col min="15877" max="15877" width="12.85546875" style="1551" customWidth="1"/>
    <col min="15878" max="15878" width="15.5703125" style="1551" customWidth="1"/>
    <col min="15879" max="15879" width="15.85546875" style="1551" customWidth="1"/>
    <col min="15880" max="15880" width="6.42578125" style="1551" customWidth="1"/>
    <col min="15881" max="15882" width="9.140625" style="1551"/>
    <col min="15883" max="15884" width="14.7109375" style="1551" bestFit="1" customWidth="1"/>
    <col min="15885" max="16128" width="9.140625" style="1551"/>
    <col min="16129" max="16129" width="5.5703125" style="1551" customWidth="1"/>
    <col min="16130" max="16130" width="6.7109375" style="1551" customWidth="1"/>
    <col min="16131" max="16131" width="8.85546875" style="1551" customWidth="1"/>
    <col min="16132" max="16132" width="47.85546875" style="1551" customWidth="1"/>
    <col min="16133" max="16133" width="12.85546875" style="1551" customWidth="1"/>
    <col min="16134" max="16134" width="15.5703125" style="1551" customWidth="1"/>
    <col min="16135" max="16135" width="15.85546875" style="1551" customWidth="1"/>
    <col min="16136" max="16136" width="6.42578125" style="1551" customWidth="1"/>
    <col min="16137" max="16138" width="9.140625" style="1551"/>
    <col min="16139" max="16140" width="14.7109375" style="1551" bestFit="1" customWidth="1"/>
    <col min="16141" max="16384" width="9.140625" style="1551"/>
  </cols>
  <sheetData>
    <row r="1" spans="1:9" ht="18.75" thickBot="1" x14ac:dyDescent="0.3">
      <c r="A1" s="1545" t="s">
        <v>2138</v>
      </c>
      <c r="B1" s="1546"/>
      <c r="C1" s="1547"/>
      <c r="D1" s="1548"/>
      <c r="E1" s="1549"/>
      <c r="F1" s="1548"/>
      <c r="G1" s="1550"/>
      <c r="H1" s="1545"/>
    </row>
    <row r="2" spans="1:9" ht="18" x14ac:dyDescent="0.25">
      <c r="A2" s="1552"/>
      <c r="B2" s="1553"/>
      <c r="C2" s="1553"/>
      <c r="D2" s="1553"/>
      <c r="E2" s="1553"/>
      <c r="F2" s="1553"/>
      <c r="G2" s="1553"/>
      <c r="H2" s="1554" t="s">
        <v>2137</v>
      </c>
    </row>
    <row r="3" spans="1:9" ht="18" x14ac:dyDescent="0.25">
      <c r="A3" s="1555" t="s">
        <v>336</v>
      </c>
      <c r="B3" s="1553"/>
      <c r="C3" s="2852" t="s">
        <v>2009</v>
      </c>
      <c r="D3" s="1553"/>
      <c r="E3" s="1553"/>
      <c r="F3" s="1553"/>
      <c r="G3" s="1553"/>
      <c r="H3" s="1554"/>
    </row>
    <row r="4" spans="1:9" ht="18" x14ac:dyDescent="0.25">
      <c r="A4" s="1552"/>
      <c r="B4" s="1553"/>
      <c r="C4" s="1708" t="s">
        <v>1450</v>
      </c>
      <c r="D4" s="1553"/>
      <c r="E4" s="1553"/>
      <c r="F4" s="1553"/>
      <c r="G4" s="1553"/>
      <c r="H4" s="1554"/>
    </row>
    <row r="5" spans="1:9" ht="18" x14ac:dyDescent="0.25">
      <c r="A5" s="1557" t="s">
        <v>2136</v>
      </c>
      <c r="B5" s="1553"/>
      <c r="C5" s="1553"/>
      <c r="D5" s="1553"/>
      <c r="E5" s="1553"/>
      <c r="F5" s="1553"/>
      <c r="G5" s="1553"/>
      <c r="H5" s="1554"/>
    </row>
    <row r="6" spans="1:9" x14ac:dyDescent="0.2">
      <c r="A6" s="1558"/>
      <c r="B6" s="1558"/>
      <c r="C6" s="1558"/>
      <c r="E6" s="1559"/>
      <c r="F6" s="1559"/>
      <c r="G6" s="1559"/>
    </row>
    <row r="7" spans="1:9" x14ac:dyDescent="0.2">
      <c r="A7" s="1558"/>
      <c r="B7" s="1558"/>
      <c r="C7" s="1558"/>
      <c r="E7" s="1559"/>
      <c r="F7" s="1559"/>
      <c r="G7" s="1559"/>
    </row>
    <row r="8" spans="1:9" ht="13.5" x14ac:dyDescent="0.25">
      <c r="A8" s="3233" t="s">
        <v>2135</v>
      </c>
      <c r="B8" s="3151"/>
      <c r="C8" s="3151"/>
      <c r="D8" s="3151"/>
      <c r="E8" s="3151"/>
      <c r="F8" s="3151"/>
      <c r="G8" s="3151"/>
      <c r="H8" s="3151"/>
    </row>
    <row r="9" spans="1:9" ht="15.75" thickBot="1" x14ac:dyDescent="0.3">
      <c r="A9" s="1544" t="s">
        <v>2134</v>
      </c>
      <c r="B9" s="1558"/>
      <c r="C9" s="1558"/>
      <c r="D9" s="1558"/>
      <c r="F9" s="1559"/>
      <c r="G9" s="1559"/>
      <c r="H9" s="1560" t="s">
        <v>148</v>
      </c>
      <c r="I9" s="1631"/>
    </row>
    <row r="10" spans="1:9" ht="25.5" thickTop="1" thickBot="1" x14ac:dyDescent="0.25">
      <c r="A10" s="1561" t="s">
        <v>149</v>
      </c>
      <c r="B10" s="1562" t="s">
        <v>688</v>
      </c>
      <c r="C10" s="1562" t="s">
        <v>345</v>
      </c>
      <c r="D10" s="1563" t="s">
        <v>151</v>
      </c>
      <c r="E10" s="1564" t="s">
        <v>569</v>
      </c>
      <c r="F10" s="1564" t="s">
        <v>570</v>
      </c>
      <c r="G10" s="1565" t="s">
        <v>797</v>
      </c>
      <c r="H10" s="1566" t="s">
        <v>798</v>
      </c>
    </row>
    <row r="11" spans="1:9" ht="14.25" thickTop="1" thickBot="1" x14ac:dyDescent="0.25">
      <c r="A11" s="1567">
        <v>1</v>
      </c>
      <c r="B11" s="1568">
        <v>2</v>
      </c>
      <c r="C11" s="1568">
        <v>3</v>
      </c>
      <c r="D11" s="1568">
        <v>5</v>
      </c>
      <c r="E11" s="1569">
        <v>6</v>
      </c>
      <c r="F11" s="1569">
        <v>7</v>
      </c>
      <c r="G11" s="1570">
        <v>8</v>
      </c>
      <c r="H11" s="1586" t="s">
        <v>689</v>
      </c>
    </row>
    <row r="12" spans="1:9" s="1553" customFormat="1" ht="15.75" hidden="1" customHeight="1" x14ac:dyDescent="0.25">
      <c r="A12" s="1628">
        <v>6409</v>
      </c>
      <c r="B12" s="1599">
        <v>5909</v>
      </c>
      <c r="C12" s="1683">
        <v>0</v>
      </c>
      <c r="D12" s="1600" t="s">
        <v>1396</v>
      </c>
      <c r="E12" s="1575">
        <v>0</v>
      </c>
      <c r="F12" s="1575">
        <v>0</v>
      </c>
      <c r="G12" s="1587">
        <v>0</v>
      </c>
      <c r="H12" s="1576">
        <v>0</v>
      </c>
    </row>
    <row r="13" spans="1:9" s="1553" customFormat="1" ht="16.5" thickTop="1" thickBot="1" x14ac:dyDescent="0.25">
      <c r="A13" s="1577">
        <v>3713</v>
      </c>
      <c r="B13" s="1578">
        <v>5169</v>
      </c>
      <c r="C13" s="2850" t="s">
        <v>2133</v>
      </c>
      <c r="D13" s="1579" t="s">
        <v>769</v>
      </c>
      <c r="E13" s="1580">
        <v>0</v>
      </c>
      <c r="F13" s="1580">
        <v>200</v>
      </c>
      <c r="G13" s="1588">
        <v>0</v>
      </c>
      <c r="H13" s="1581">
        <v>0</v>
      </c>
    </row>
    <row r="14" spans="1:9" ht="16.5" thickTop="1" thickBot="1" x14ac:dyDescent="0.3">
      <c r="A14" s="1589" t="s">
        <v>690</v>
      </c>
      <c r="B14" s="1590"/>
      <c r="C14" s="1590"/>
      <c r="D14" s="1591"/>
      <c r="E14" s="1584">
        <f>SUM(E12:E13)</f>
        <v>0</v>
      </c>
      <c r="F14" s="1584">
        <f>SUM(F12:F13)</f>
        <v>200</v>
      </c>
      <c r="G14" s="1584">
        <f>SUM(G12:G13)</f>
        <v>0</v>
      </c>
      <c r="H14" s="1585">
        <v>0</v>
      </c>
    </row>
    <row r="15" spans="1:9" ht="13.5" thickTop="1" x14ac:dyDescent="0.2"/>
    <row r="18" spans="1:12" ht="15.75" thickBot="1" x14ac:dyDescent="0.3">
      <c r="A18" s="1544" t="s">
        <v>229</v>
      </c>
      <c r="B18" s="1558"/>
      <c r="C18" s="1558"/>
      <c r="D18" s="1558"/>
      <c r="F18" s="1559"/>
      <c r="G18" s="1559"/>
      <c r="H18" s="1560" t="s">
        <v>148</v>
      </c>
      <c r="I18" s="1631"/>
    </row>
    <row r="19" spans="1:12" ht="25.5" thickTop="1" thickBot="1" x14ac:dyDescent="0.25">
      <c r="A19" s="1561" t="s">
        <v>149</v>
      </c>
      <c r="B19" s="1562" t="s">
        <v>688</v>
      </c>
      <c r="C19" s="1562" t="s">
        <v>345</v>
      </c>
      <c r="D19" s="1563" t="s">
        <v>151</v>
      </c>
      <c r="E19" s="1564" t="s">
        <v>569</v>
      </c>
      <c r="F19" s="1564" t="s">
        <v>570</v>
      </c>
      <c r="G19" s="1565" t="s">
        <v>797</v>
      </c>
      <c r="H19" s="1566" t="s">
        <v>798</v>
      </c>
    </row>
    <row r="20" spans="1:12" ht="14.25" thickTop="1" thickBot="1" x14ac:dyDescent="0.25">
      <c r="A20" s="1567">
        <v>1</v>
      </c>
      <c r="B20" s="1568">
        <v>2</v>
      </c>
      <c r="C20" s="1568">
        <v>3</v>
      </c>
      <c r="D20" s="1568">
        <v>5</v>
      </c>
      <c r="E20" s="1569">
        <v>6</v>
      </c>
      <c r="F20" s="1569">
        <v>7</v>
      </c>
      <c r="G20" s="1570">
        <v>8</v>
      </c>
      <c r="H20" s="1586" t="s">
        <v>689</v>
      </c>
    </row>
    <row r="21" spans="1:12" s="1553" customFormat="1" ht="15.75" thickTop="1" x14ac:dyDescent="0.25">
      <c r="A21" s="1628">
        <v>6409</v>
      </c>
      <c r="B21" s="1599">
        <v>5909</v>
      </c>
      <c r="C21" s="2854" t="s">
        <v>1760</v>
      </c>
      <c r="D21" s="1600" t="s">
        <v>1396</v>
      </c>
      <c r="E21" s="1575">
        <v>0</v>
      </c>
      <c r="F21" s="1575">
        <v>0</v>
      </c>
      <c r="G21" s="1587">
        <v>0</v>
      </c>
      <c r="H21" s="1576">
        <v>0</v>
      </c>
    </row>
    <row r="22" spans="1:12" s="1553" customFormat="1" ht="15.75" thickBot="1" x14ac:dyDescent="0.25">
      <c r="A22" s="1577">
        <v>6330</v>
      </c>
      <c r="B22" s="1578">
        <v>5345</v>
      </c>
      <c r="C22" s="2850" t="s">
        <v>1760</v>
      </c>
      <c r="D22" s="1579" t="s">
        <v>693</v>
      </c>
      <c r="E22" s="1580">
        <v>0</v>
      </c>
      <c r="F22" s="1580">
        <v>0</v>
      </c>
      <c r="G22" s="1588">
        <v>200</v>
      </c>
      <c r="H22" s="1581">
        <v>0</v>
      </c>
    </row>
    <row r="23" spans="1:12" ht="16.5" thickTop="1" thickBot="1" x14ac:dyDescent="0.3">
      <c r="A23" s="1589" t="s">
        <v>690</v>
      </c>
      <c r="B23" s="1590"/>
      <c r="C23" s="1590"/>
      <c r="D23" s="1591"/>
      <c r="E23" s="1584">
        <f>SUM(E21:E22)</f>
        <v>0</v>
      </c>
      <c r="F23" s="1584">
        <f>SUM(F21:F22)</f>
        <v>0</v>
      </c>
      <c r="G23" s="1584">
        <f>SUM(G21:G22)</f>
        <v>200</v>
      </c>
      <c r="H23" s="1585">
        <v>0</v>
      </c>
    </row>
    <row r="24" spans="1:12" ht="13.5" thickTop="1" x14ac:dyDescent="0.2"/>
    <row r="27" spans="1:12" ht="16.5" x14ac:dyDescent="0.25">
      <c r="A27" s="1605" t="s">
        <v>423</v>
      </c>
      <c r="B27" s="1606"/>
      <c r="C27" s="1607"/>
      <c r="D27" s="1608"/>
      <c r="E27" s="1609">
        <f>SUM(E28:E30)</f>
        <v>0</v>
      </c>
      <c r="F27" s="1609">
        <f>F28+F29+F30+F31</f>
        <v>200</v>
      </c>
      <c r="G27" s="1609">
        <f>G28+G29+G30+G31</f>
        <v>200</v>
      </c>
      <c r="H27" s="1610">
        <f>G27/F27*100</f>
        <v>100</v>
      </c>
      <c r="J27" s="1611">
        <f>J28+J29+J30</f>
        <v>0</v>
      </c>
      <c r="K27" s="1611">
        <f>K28+K29+K30</f>
        <v>200000</v>
      </c>
      <c r="L27" s="1611">
        <f>L28+L29+L30</f>
        <v>200012</v>
      </c>
    </row>
    <row r="28" spans="1:12" ht="15" x14ac:dyDescent="0.2">
      <c r="A28" s="1612" t="s">
        <v>242</v>
      </c>
      <c r="B28" s="1613"/>
      <c r="C28" s="1614"/>
      <c r="D28" s="1615"/>
      <c r="E28" s="1616">
        <f>E13+E21</f>
        <v>0</v>
      </c>
      <c r="F28" s="1616">
        <f>F13+F21</f>
        <v>200</v>
      </c>
      <c r="G28" s="1616">
        <f>G13+G21</f>
        <v>0</v>
      </c>
      <c r="H28" s="1617">
        <f>G28/F28*100</f>
        <v>0</v>
      </c>
      <c r="J28" s="1618">
        <v>0</v>
      </c>
      <c r="K28" s="1618">
        <v>200000</v>
      </c>
      <c r="L28" s="1618">
        <v>12</v>
      </c>
    </row>
    <row r="29" spans="1:12" ht="15" x14ac:dyDescent="0.2">
      <c r="A29" s="1612" t="s">
        <v>243</v>
      </c>
      <c r="B29" s="1619"/>
      <c r="C29" s="1614"/>
      <c r="D29" s="1620"/>
      <c r="E29" s="1616">
        <v>0</v>
      </c>
      <c r="F29" s="1616">
        <v>0</v>
      </c>
      <c r="G29" s="1616">
        <v>0</v>
      </c>
      <c r="H29" s="1617">
        <v>0</v>
      </c>
      <c r="J29" s="1618">
        <v>0</v>
      </c>
      <c r="K29" s="1618">
        <v>0</v>
      </c>
      <c r="L29" s="1618">
        <v>0</v>
      </c>
    </row>
    <row r="30" spans="1:12" ht="15" x14ac:dyDescent="0.2">
      <c r="A30" s="1612" t="s">
        <v>424</v>
      </c>
      <c r="B30" s="1619"/>
      <c r="C30" s="1614"/>
      <c r="D30" s="1620"/>
      <c r="E30" s="1616">
        <f>E22</f>
        <v>0</v>
      </c>
      <c r="F30" s="1616">
        <f>F22</f>
        <v>0</v>
      </c>
      <c r="G30" s="1616">
        <f>G22</f>
        <v>200</v>
      </c>
      <c r="H30" s="1617">
        <v>0</v>
      </c>
      <c r="J30" s="1618">
        <v>0</v>
      </c>
      <c r="K30" s="1618">
        <v>0</v>
      </c>
      <c r="L30" s="1618">
        <v>200000</v>
      </c>
    </row>
    <row r="31" spans="1:12" ht="16.5" customHeight="1" x14ac:dyDescent="0.2">
      <c r="A31" s="1612"/>
      <c r="B31" s="1619"/>
      <c r="C31" s="1614"/>
      <c r="D31" s="1620"/>
      <c r="E31" s="1616"/>
      <c r="F31" s="1616"/>
      <c r="G31" s="1616"/>
      <c r="H31" s="1621"/>
    </row>
    <row r="32" spans="1:12" ht="57.75" customHeight="1" thickBot="1" x14ac:dyDescent="0.4">
      <c r="A32" s="3237" t="s">
        <v>2132</v>
      </c>
      <c r="B32" s="3237"/>
      <c r="C32" s="3237"/>
      <c r="D32" s="3237"/>
      <c r="E32" s="1622">
        <f>SUM(E27)</f>
        <v>0</v>
      </c>
      <c r="F32" s="1622">
        <f>SUM(F27)</f>
        <v>200</v>
      </c>
      <c r="G32" s="1622">
        <f>SUM(G27)</f>
        <v>200</v>
      </c>
      <c r="H32" s="1623">
        <f>G32/F32*100</f>
        <v>100</v>
      </c>
    </row>
    <row r="33" ht="13.5" thickTop="1" x14ac:dyDescent="0.2"/>
  </sheetData>
  <mergeCells count="2">
    <mergeCell ref="A8:H8"/>
    <mergeCell ref="A32:D32"/>
  </mergeCells>
  <pageMargins left="0.70866141732283472" right="0.70866141732283472" top="0.78740157480314965" bottom="0.78740157480314965" header="0.31496062992125984" footer="0.31496062992125984"/>
  <pageSetup paperSize="9" scale="65" firstPageNumber="181" orientation="portrait" useFirstPageNumber="1" r:id="rId1"/>
  <headerFooter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  <colBreaks count="1" manualBreakCount="1">
    <brk id="8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59"/>
  <sheetViews>
    <sheetView showGridLines="0" view="pageBreakPreview" zoomScaleNormal="100" zoomScaleSheetLayoutView="100" workbookViewId="0">
      <selection activeCell="C5" sqref="C5"/>
    </sheetView>
  </sheetViews>
  <sheetFormatPr defaultColWidth="9.140625" defaultRowHeight="12.75" x14ac:dyDescent="0.2"/>
  <cols>
    <col min="1" max="1" width="5.28515625" style="1371" customWidth="1"/>
    <col min="2" max="2" width="7" style="1371" customWidth="1"/>
    <col min="3" max="3" width="9" style="1371" customWidth="1"/>
    <col min="4" max="4" width="42.28515625" style="1372" customWidth="1"/>
    <col min="5" max="5" width="15.140625" style="1398" customWidth="1"/>
    <col min="6" max="6" width="14.85546875" style="1398" customWidth="1"/>
    <col min="7" max="7" width="14" style="1398" customWidth="1"/>
    <col min="8" max="8" width="9.140625" style="1394" customWidth="1"/>
    <col min="9" max="9" width="12.7109375" style="1372" bestFit="1" customWidth="1"/>
    <col min="10" max="10" width="15.42578125" style="1372" bestFit="1" customWidth="1"/>
    <col min="11" max="12" width="12.7109375" style="1372" bestFit="1" customWidth="1"/>
    <col min="13" max="16384" width="9.140625" style="1372"/>
  </cols>
  <sheetData>
    <row r="1" spans="1:21" x14ac:dyDescent="0.2">
      <c r="A1" s="3238" t="s">
        <v>42</v>
      </c>
      <c r="B1" s="3239"/>
      <c r="C1" s="3239"/>
      <c r="D1" s="3239"/>
      <c r="E1" s="3239"/>
      <c r="F1" s="3239"/>
      <c r="G1" s="3239"/>
      <c r="H1" s="3240"/>
    </row>
    <row r="2" spans="1:21" ht="21.75" customHeight="1" thickBot="1" x14ac:dyDescent="0.25">
      <c r="A2" s="3241"/>
      <c r="B2" s="3241"/>
      <c r="C2" s="3241"/>
      <c r="D2" s="3241"/>
      <c r="E2" s="3241"/>
      <c r="F2" s="3241"/>
      <c r="G2" s="3241"/>
      <c r="H2" s="3242"/>
    </row>
    <row r="3" spans="1:21" ht="15.75" x14ac:dyDescent="0.25">
      <c r="G3" s="1435" t="s">
        <v>1109</v>
      </c>
    </row>
    <row r="4" spans="1:21" s="1249" customFormat="1" ht="12.75" customHeight="1" x14ac:dyDescent="0.25">
      <c r="A4" s="1337" t="s">
        <v>336</v>
      </c>
      <c r="B4" s="1311"/>
      <c r="C4" s="1370" t="s">
        <v>2178</v>
      </c>
      <c r="D4" s="2102"/>
      <c r="E4" s="1307"/>
      <c r="F4" s="2102"/>
      <c r="H4" s="2103"/>
    </row>
    <row r="5" spans="1:21" s="1249" customFormat="1" ht="12.75" customHeight="1" x14ac:dyDescent="0.25">
      <c r="A5" s="1335"/>
      <c r="B5" s="1311"/>
      <c r="C5" s="1370" t="s">
        <v>516</v>
      </c>
      <c r="D5" s="2102"/>
      <c r="E5" s="1307"/>
      <c r="F5" s="2102"/>
      <c r="H5" s="2103"/>
    </row>
    <row r="6" spans="1:21" s="1249" customFormat="1" ht="12.75" customHeight="1" x14ac:dyDescent="0.25">
      <c r="A6" s="1335"/>
      <c r="B6" s="1311"/>
      <c r="C6" s="1370"/>
      <c r="D6" s="2102"/>
      <c r="E6" s="1307"/>
      <c r="F6" s="2102"/>
      <c r="H6" s="2103"/>
    </row>
    <row r="7" spans="1:21" s="1249" customFormat="1" ht="12.75" customHeight="1" x14ac:dyDescent="0.25">
      <c r="A7" s="1335"/>
      <c r="B7" s="1311"/>
      <c r="C7" s="1370"/>
      <c r="D7" s="2102"/>
      <c r="E7" s="1307"/>
      <c r="F7" s="2102"/>
      <c r="H7" s="2103"/>
    </row>
    <row r="8" spans="1:21" s="1249" customFormat="1" ht="12.75" customHeight="1" x14ac:dyDescent="0.25">
      <c r="A8" s="1335"/>
      <c r="B8" s="1311"/>
      <c r="C8" s="1370"/>
      <c r="D8" s="2102"/>
      <c r="E8" s="1307"/>
      <c r="F8" s="2102"/>
      <c r="H8" s="2103"/>
    </row>
    <row r="9" spans="1:21" s="1249" customFormat="1" ht="18" x14ac:dyDescent="0.25">
      <c r="A9" s="1312" t="s">
        <v>799</v>
      </c>
      <c r="B9" s="1311"/>
      <c r="C9" s="1311"/>
      <c r="D9" s="1334"/>
      <c r="E9" s="1308"/>
      <c r="F9" s="1308"/>
      <c r="G9" s="2102"/>
      <c r="H9" s="1306"/>
      <c r="I9" s="1307"/>
    </row>
    <row r="10" spans="1:21" s="1249" customFormat="1" ht="13.5" thickBot="1" x14ac:dyDescent="0.25">
      <c r="A10" s="1305"/>
      <c r="B10" s="1305"/>
      <c r="C10" s="1305"/>
      <c r="D10" s="1325"/>
      <c r="E10" s="1254"/>
      <c r="F10" s="1254"/>
      <c r="G10" s="1303"/>
      <c r="H10" s="1253" t="s">
        <v>148</v>
      </c>
    </row>
    <row r="11" spans="1:21" s="1298" customFormat="1" ht="20.25" customHeight="1" thickTop="1" thickBot="1" x14ac:dyDescent="0.25">
      <c r="A11" s="1302" t="s">
        <v>149</v>
      </c>
      <c r="B11" s="1301" t="s">
        <v>150</v>
      </c>
      <c r="C11" s="1324" t="s">
        <v>639</v>
      </c>
      <c r="D11" s="1324" t="s">
        <v>151</v>
      </c>
      <c r="E11" s="1324" t="s">
        <v>569</v>
      </c>
      <c r="F11" s="1324" t="s">
        <v>570</v>
      </c>
      <c r="G11" s="2198" t="s">
        <v>797</v>
      </c>
      <c r="H11" s="2238" t="s">
        <v>798</v>
      </c>
    </row>
    <row r="12" spans="1:21" s="1292" customFormat="1" ht="13.5" thickTop="1" thickBot="1" x14ac:dyDescent="0.25">
      <c r="A12" s="1297">
        <v>1</v>
      </c>
      <c r="B12" s="1296">
        <v>2</v>
      </c>
      <c r="C12" s="1296">
        <v>3</v>
      </c>
      <c r="D12" s="1296">
        <v>4</v>
      </c>
      <c r="E12" s="1296">
        <v>5</v>
      </c>
      <c r="F12" s="1295">
        <v>6</v>
      </c>
      <c r="G12" s="1295">
        <v>7</v>
      </c>
      <c r="H12" s="1294" t="s">
        <v>54</v>
      </c>
      <c r="I12" s="1293"/>
    </row>
    <row r="13" spans="1:21" s="2072" customFormat="1" ht="14.25" customHeight="1" thickTop="1" thickBot="1" x14ac:dyDescent="0.3">
      <c r="A13" s="1691">
        <v>2399</v>
      </c>
      <c r="B13" s="1688">
        <v>5909</v>
      </c>
      <c r="C13" s="951"/>
      <c r="D13" s="947" t="s">
        <v>658</v>
      </c>
      <c r="E13" s="944">
        <v>20000</v>
      </c>
      <c r="F13" s="942">
        <v>30000</v>
      </c>
      <c r="G13" s="942">
        <v>29859</v>
      </c>
      <c r="H13" s="1151">
        <v>66.010868471369633</v>
      </c>
      <c r="I13" s="939"/>
      <c r="J13" s="939"/>
      <c r="K13" s="939"/>
      <c r="L13" s="939"/>
      <c r="M13" s="939"/>
      <c r="N13" s="939"/>
      <c r="O13" s="939"/>
      <c r="P13" s="939"/>
      <c r="Q13" s="939"/>
      <c r="R13" s="939"/>
      <c r="S13" s="939"/>
      <c r="T13" s="939"/>
      <c r="U13" s="939"/>
    </row>
    <row r="14" spans="1:21" ht="16.5" thickTop="1" thickBot="1" x14ac:dyDescent="0.3">
      <c r="A14" s="3219" t="s">
        <v>690</v>
      </c>
      <c r="B14" s="3220"/>
      <c r="C14" s="3220"/>
      <c r="D14" s="3220"/>
      <c r="E14" s="1717">
        <f>E13</f>
        <v>20000</v>
      </c>
      <c r="F14" s="1717">
        <f>F13</f>
        <v>30000</v>
      </c>
      <c r="G14" s="1717">
        <f>G13</f>
        <v>29859</v>
      </c>
      <c r="H14" s="2673">
        <f>G14/F14*100</f>
        <v>99.53</v>
      </c>
      <c r="I14" s="1398"/>
    </row>
    <row r="15" spans="1:21" s="1249" customFormat="1" ht="12.75" customHeight="1" thickTop="1" x14ac:dyDescent="0.25">
      <c r="A15" s="1335"/>
      <c r="B15" s="1311"/>
      <c r="C15" s="1370"/>
      <c r="D15" s="2102"/>
      <c r="E15" s="1307"/>
      <c r="F15" s="2102"/>
      <c r="H15" s="2103"/>
    </row>
    <row r="16" spans="1:21" s="1249" customFormat="1" ht="12.75" customHeight="1" x14ac:dyDescent="0.25">
      <c r="A16" s="1335"/>
      <c r="B16" s="1311"/>
      <c r="C16" s="1370"/>
      <c r="D16" s="2102"/>
      <c r="E16" s="1307"/>
      <c r="F16" s="2102"/>
      <c r="H16" s="2103"/>
    </row>
    <row r="17" spans="1:21" s="1249" customFormat="1" ht="12.75" customHeight="1" x14ac:dyDescent="0.25">
      <c r="A17" s="1335"/>
      <c r="B17" s="1311"/>
      <c r="C17" s="1370"/>
      <c r="D17" s="2102"/>
      <c r="E17" s="1307"/>
      <c r="F17" s="2102"/>
      <c r="H17" s="2103"/>
    </row>
    <row r="18" spans="1:21" s="1249" customFormat="1" ht="12.75" customHeight="1" x14ac:dyDescent="0.25">
      <c r="A18" s="1335"/>
      <c r="B18" s="1311"/>
      <c r="C18" s="1370"/>
      <c r="D18" s="2102"/>
      <c r="E18" s="1307"/>
      <c r="F18" s="2102"/>
      <c r="H18" s="2103"/>
    </row>
    <row r="19" spans="1:21" s="1249" customFormat="1" ht="12.75" customHeight="1" x14ac:dyDescent="0.25">
      <c r="A19" s="1312" t="s">
        <v>1120</v>
      </c>
      <c r="B19" s="1311"/>
      <c r="C19" s="1370"/>
      <c r="D19" s="2102"/>
      <c r="E19" s="1307"/>
      <c r="F19" s="2102"/>
      <c r="H19" s="2103"/>
    </row>
    <row r="20" spans="1:21" ht="15.75" thickBot="1" x14ac:dyDescent="0.3">
      <c r="A20" s="2672"/>
      <c r="H20" s="2558" t="s">
        <v>148</v>
      </c>
    </row>
    <row r="21" spans="1:21" s="1292" customFormat="1" ht="22.5" customHeight="1" thickTop="1" thickBot="1" x14ac:dyDescent="0.25">
      <c r="A21" s="1378" t="s">
        <v>149</v>
      </c>
      <c r="B21" s="1379" t="s">
        <v>688</v>
      </c>
      <c r="C21" s="1379" t="s">
        <v>345</v>
      </c>
      <c r="D21" s="1380" t="s">
        <v>151</v>
      </c>
      <c r="E21" s="1324" t="s">
        <v>569</v>
      </c>
      <c r="F21" s="1324" t="s">
        <v>570</v>
      </c>
      <c r="G21" s="2198" t="s">
        <v>797</v>
      </c>
      <c r="H21" s="2238" t="s">
        <v>798</v>
      </c>
    </row>
    <row r="22" spans="1:21" s="1292" customFormat="1" ht="13.5" thickTop="1" thickBot="1" x14ac:dyDescent="0.25">
      <c r="A22" s="1297">
        <v>1</v>
      </c>
      <c r="B22" s="1296">
        <v>2</v>
      </c>
      <c r="C22" s="1296">
        <v>3</v>
      </c>
      <c r="D22" s="1296">
        <v>4</v>
      </c>
      <c r="E22" s="1295">
        <v>5</v>
      </c>
      <c r="F22" s="1295">
        <v>6</v>
      </c>
      <c r="G22" s="1446">
        <v>7</v>
      </c>
      <c r="H22" s="2674" t="s">
        <v>54</v>
      </c>
    </row>
    <row r="23" spans="1:21" s="2072" customFormat="1" ht="14.25" customHeight="1" thickTop="1" x14ac:dyDescent="0.25">
      <c r="A23" s="1690">
        <v>2310</v>
      </c>
      <c r="B23" s="1687">
        <v>6341</v>
      </c>
      <c r="C23" s="949"/>
      <c r="D23" s="945" t="s">
        <v>227</v>
      </c>
      <c r="E23" s="1685"/>
      <c r="F23" s="940">
        <v>6850</v>
      </c>
      <c r="G23" s="940">
        <v>6850</v>
      </c>
      <c r="H23" s="1149">
        <v>100</v>
      </c>
      <c r="I23" s="938"/>
      <c r="J23" s="938"/>
      <c r="K23" s="938"/>
      <c r="L23" s="938"/>
      <c r="M23" s="938"/>
      <c r="N23" s="938"/>
      <c r="O23" s="938"/>
      <c r="P23" s="938"/>
      <c r="Q23" s="938"/>
      <c r="R23" s="938"/>
      <c r="S23" s="938"/>
      <c r="T23" s="938"/>
      <c r="U23" s="938"/>
    </row>
    <row r="24" spans="1:21" s="2072" customFormat="1" ht="14.25" customHeight="1" x14ac:dyDescent="0.2">
      <c r="A24" s="1691"/>
      <c r="B24" s="1688"/>
      <c r="C24" s="950" t="s">
        <v>1994</v>
      </c>
      <c r="D24" s="946" t="s">
        <v>657</v>
      </c>
      <c r="E24" s="1684"/>
      <c r="F24" s="941">
        <v>4800</v>
      </c>
      <c r="G24" s="941">
        <v>4791</v>
      </c>
      <c r="H24" s="1150">
        <v>100</v>
      </c>
      <c r="I24" s="938"/>
      <c r="J24" s="938"/>
      <c r="K24" s="938"/>
      <c r="L24" s="938"/>
      <c r="M24" s="938"/>
      <c r="N24" s="938"/>
      <c r="O24" s="938"/>
      <c r="P24" s="938"/>
      <c r="Q24" s="938"/>
      <c r="R24" s="938"/>
      <c r="S24" s="938"/>
      <c r="T24" s="938"/>
      <c r="U24" s="938"/>
    </row>
    <row r="25" spans="1:21" s="2072" customFormat="1" ht="14.25" customHeight="1" x14ac:dyDescent="0.25">
      <c r="A25" s="1691">
        <v>2310</v>
      </c>
      <c r="B25" s="1688">
        <v>6349</v>
      </c>
      <c r="C25" s="950"/>
      <c r="D25" s="947" t="s">
        <v>227</v>
      </c>
      <c r="E25" s="1686"/>
      <c r="F25" s="942">
        <v>400</v>
      </c>
      <c r="G25" s="942">
        <v>400</v>
      </c>
      <c r="H25" s="1151">
        <v>98.332710629553517</v>
      </c>
      <c r="I25" s="938"/>
      <c r="J25" s="938"/>
      <c r="K25" s="938"/>
      <c r="L25" s="938"/>
      <c r="M25" s="938"/>
      <c r="N25" s="938"/>
      <c r="O25" s="938"/>
      <c r="P25" s="938"/>
      <c r="Q25" s="938"/>
      <c r="R25" s="938"/>
      <c r="S25" s="938"/>
      <c r="T25" s="938"/>
      <c r="U25" s="938"/>
    </row>
    <row r="26" spans="1:21" s="2072" customFormat="1" ht="14.25" customHeight="1" x14ac:dyDescent="0.2">
      <c r="A26" s="1691"/>
      <c r="B26" s="1688"/>
      <c r="C26" s="950" t="s">
        <v>1994</v>
      </c>
      <c r="D26" s="946" t="s">
        <v>657</v>
      </c>
      <c r="E26" s="1684"/>
      <c r="F26" s="941">
        <v>400</v>
      </c>
      <c r="G26" s="941">
        <v>400</v>
      </c>
      <c r="H26" s="1150">
        <v>98.332710629553517</v>
      </c>
      <c r="I26" s="938"/>
      <c r="J26" s="938"/>
      <c r="K26" s="938"/>
      <c r="L26" s="938"/>
      <c r="M26" s="938"/>
      <c r="N26" s="938"/>
      <c r="O26" s="938"/>
      <c r="P26" s="938"/>
      <c r="Q26" s="938"/>
      <c r="R26" s="938"/>
      <c r="S26" s="938"/>
      <c r="T26" s="938"/>
      <c r="U26" s="938"/>
    </row>
    <row r="27" spans="1:21" s="2072" customFormat="1" ht="14.25" customHeight="1" x14ac:dyDescent="0.25">
      <c r="A27" s="1691">
        <v>2321</v>
      </c>
      <c r="B27" s="1688">
        <v>6341</v>
      </c>
      <c r="C27" s="951"/>
      <c r="D27" s="947" t="s">
        <v>227</v>
      </c>
      <c r="E27" s="1686"/>
      <c r="F27" s="942">
        <v>36150</v>
      </c>
      <c r="G27" s="942">
        <v>35012</v>
      </c>
      <c r="H27" s="1151">
        <v>98.332710629553517</v>
      </c>
      <c r="I27" s="938"/>
      <c r="J27" s="938"/>
      <c r="K27" s="938"/>
      <c r="L27" s="938"/>
      <c r="M27" s="938"/>
      <c r="N27" s="938"/>
      <c r="O27" s="938"/>
      <c r="P27" s="938"/>
      <c r="Q27" s="938"/>
      <c r="R27" s="938"/>
      <c r="S27" s="938"/>
      <c r="T27" s="938"/>
      <c r="U27" s="938"/>
    </row>
    <row r="28" spans="1:21" s="2072" customFormat="1" ht="14.25" customHeight="1" x14ac:dyDescent="0.2">
      <c r="A28" s="1691"/>
      <c r="B28" s="1688"/>
      <c r="C28" s="950" t="s">
        <v>1994</v>
      </c>
      <c r="D28" s="946" t="s">
        <v>657</v>
      </c>
      <c r="E28" s="1684"/>
      <c r="F28" s="941">
        <v>36150</v>
      </c>
      <c r="G28" s="941">
        <v>35012</v>
      </c>
      <c r="H28" s="1150">
        <v>98.332710629553517</v>
      </c>
      <c r="I28" s="938"/>
      <c r="J28" s="938"/>
      <c r="K28" s="938"/>
      <c r="L28" s="938"/>
      <c r="M28" s="938"/>
      <c r="N28" s="938"/>
      <c r="O28" s="938"/>
      <c r="P28" s="938"/>
      <c r="Q28" s="938"/>
      <c r="R28" s="938"/>
      <c r="S28" s="938"/>
      <c r="T28" s="938"/>
      <c r="U28" s="938"/>
    </row>
    <row r="29" spans="1:21" s="2072" customFormat="1" ht="14.25" customHeight="1" x14ac:dyDescent="0.25">
      <c r="A29" s="1691">
        <v>2321</v>
      </c>
      <c r="B29" s="1688">
        <v>6349</v>
      </c>
      <c r="C29" s="950"/>
      <c r="D29" s="3250" t="s">
        <v>881</v>
      </c>
      <c r="E29" s="1684"/>
      <c r="F29" s="942">
        <v>4500</v>
      </c>
      <c r="G29" s="942">
        <v>4476</v>
      </c>
      <c r="H29" s="1151">
        <v>98.332710629553517</v>
      </c>
      <c r="I29" s="938"/>
      <c r="J29" s="938"/>
      <c r="K29" s="938"/>
      <c r="L29" s="938"/>
      <c r="M29" s="938"/>
      <c r="N29" s="938"/>
      <c r="O29" s="938"/>
      <c r="P29" s="938"/>
      <c r="Q29" s="938"/>
      <c r="R29" s="938"/>
      <c r="S29" s="938"/>
      <c r="T29" s="938"/>
      <c r="U29" s="938"/>
    </row>
    <row r="30" spans="1:21" s="2072" customFormat="1" ht="14.25" customHeight="1" x14ac:dyDescent="0.2">
      <c r="A30" s="1691"/>
      <c r="B30" s="1688"/>
      <c r="C30" s="950"/>
      <c r="D30" s="3160"/>
      <c r="E30" s="1684"/>
      <c r="F30" s="941"/>
      <c r="G30" s="941"/>
      <c r="H30" s="1150"/>
      <c r="I30" s="938"/>
      <c r="J30" s="938"/>
      <c r="K30" s="938"/>
      <c r="L30" s="938"/>
      <c r="M30" s="938"/>
      <c r="N30" s="938"/>
      <c r="O30" s="938"/>
      <c r="P30" s="938"/>
      <c r="Q30" s="938"/>
      <c r="R30" s="938"/>
      <c r="S30" s="938"/>
      <c r="T30" s="938"/>
      <c r="U30" s="938"/>
    </row>
    <row r="31" spans="1:21" s="2072" customFormat="1" ht="14.25" customHeight="1" x14ac:dyDescent="0.2">
      <c r="A31" s="1691"/>
      <c r="B31" s="1688"/>
      <c r="C31" s="950" t="s">
        <v>1994</v>
      </c>
      <c r="D31" s="946" t="s">
        <v>657</v>
      </c>
      <c r="E31" s="1684"/>
      <c r="F31" s="941">
        <v>4500</v>
      </c>
      <c r="G31" s="941">
        <v>4476</v>
      </c>
      <c r="H31" s="1150">
        <v>98.332710629553517</v>
      </c>
      <c r="I31" s="938"/>
      <c r="J31" s="938"/>
      <c r="K31" s="938"/>
      <c r="L31" s="938"/>
      <c r="M31" s="938"/>
      <c r="N31" s="938"/>
      <c r="O31" s="938"/>
      <c r="P31" s="938"/>
      <c r="Q31" s="938"/>
      <c r="R31" s="938"/>
      <c r="S31" s="938"/>
      <c r="T31" s="938"/>
      <c r="U31" s="938"/>
    </row>
    <row r="32" spans="1:21" s="2072" customFormat="1" ht="14.25" customHeight="1" x14ac:dyDescent="0.25">
      <c r="A32" s="1691">
        <v>2399</v>
      </c>
      <c r="B32" s="1688">
        <v>6341</v>
      </c>
      <c r="C32" s="951"/>
      <c r="D32" s="947" t="s">
        <v>227</v>
      </c>
      <c r="E32" s="944">
        <v>20000</v>
      </c>
      <c r="F32" s="942">
        <v>96</v>
      </c>
      <c r="G32" s="942">
        <v>0</v>
      </c>
      <c r="H32" s="1152">
        <v>0</v>
      </c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</row>
    <row r="33" spans="1:21" s="2072" customFormat="1" ht="14.25" customHeight="1" thickBot="1" x14ac:dyDescent="0.25">
      <c r="A33" s="1692"/>
      <c r="B33" s="1689"/>
      <c r="C33" s="952" t="s">
        <v>1994</v>
      </c>
      <c r="D33" s="948" t="s">
        <v>657</v>
      </c>
      <c r="E33" s="1349">
        <v>20000</v>
      </c>
      <c r="F33" s="943">
        <v>96</v>
      </c>
      <c r="G33" s="943">
        <v>0</v>
      </c>
      <c r="H33" s="1153">
        <v>0</v>
      </c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</row>
    <row r="34" spans="1:21" ht="16.5" thickTop="1" thickBot="1" x14ac:dyDescent="0.3">
      <c r="A34" s="3219" t="s">
        <v>690</v>
      </c>
      <c r="B34" s="3220"/>
      <c r="C34" s="3220"/>
      <c r="D34" s="3220"/>
      <c r="E34" s="1717">
        <f>+E32</f>
        <v>20000</v>
      </c>
      <c r="F34" s="1717">
        <f>F23+F27+F29+F32+F25</f>
        <v>47996</v>
      </c>
      <c r="G34" s="1717">
        <f>G23+G27+G29+G32+G25</f>
        <v>46738</v>
      </c>
      <c r="H34" s="2673">
        <f>G34/F34*100</f>
        <v>97.378948245687141</v>
      </c>
      <c r="I34" s="1398"/>
    </row>
    <row r="35" spans="1:21" ht="15.75" thickTop="1" x14ac:dyDescent="0.25">
      <c r="A35" s="2672"/>
    </row>
    <row r="36" spans="1:21" ht="15" x14ac:dyDescent="0.25">
      <c r="A36" s="2672"/>
    </row>
    <row r="37" spans="1:21" s="2668" customFormat="1" ht="15.75" x14ac:dyDescent="0.25">
      <c r="A37" s="3245" t="s">
        <v>1447</v>
      </c>
      <c r="B37" s="3246"/>
      <c r="C37" s="3246"/>
      <c r="D37" s="3246"/>
      <c r="E37" s="2580">
        <f>SUM(E39:E40)</f>
        <v>40000</v>
      </c>
      <c r="F37" s="2580">
        <f>SUM(F39:F40)</f>
        <v>77996</v>
      </c>
      <c r="G37" s="2580">
        <f>SUM(G39:G40)</f>
        <v>76597</v>
      </c>
      <c r="H37" s="2670">
        <f>G37/F37*100</f>
        <v>98.206318272731934</v>
      </c>
      <c r="J37" s="2671">
        <f>J39+J40</f>
        <v>40000000</v>
      </c>
      <c r="K37" s="2671">
        <f>K39+K40</f>
        <v>77996454.560000002</v>
      </c>
      <c r="L37" s="2671">
        <f>L39+L40</f>
        <v>76597294.659999996</v>
      </c>
    </row>
    <row r="38" spans="1:21" s="2668" customFormat="1" ht="15.75" x14ac:dyDescent="0.25">
      <c r="A38" s="3246"/>
      <c r="B38" s="3246"/>
      <c r="C38" s="3246"/>
      <c r="D38" s="3246"/>
      <c r="E38" s="2580"/>
      <c r="F38" s="2580"/>
      <c r="G38" s="2580"/>
      <c r="H38" s="2670"/>
      <c r="J38" s="2669"/>
      <c r="K38" s="2669"/>
      <c r="L38" s="2669"/>
    </row>
    <row r="39" spans="1:21" s="2663" customFormat="1" ht="15" x14ac:dyDescent="0.2">
      <c r="A39" s="1263" t="s">
        <v>242</v>
      </c>
      <c r="B39" s="2667"/>
      <c r="C39" s="2667"/>
      <c r="D39" s="2667"/>
      <c r="E39" s="2666">
        <f>E14</f>
        <v>20000</v>
      </c>
      <c r="F39" s="2666">
        <f>F14</f>
        <v>30000</v>
      </c>
      <c r="G39" s="2666">
        <f>G14</f>
        <v>29859</v>
      </c>
      <c r="H39" s="2665">
        <f>G39/F39*100</f>
        <v>99.53</v>
      </c>
      <c r="J39" s="2664">
        <v>20000000</v>
      </c>
      <c r="K39" s="2664">
        <v>30000000</v>
      </c>
      <c r="L39" s="2664">
        <v>29858523.5</v>
      </c>
    </row>
    <row r="40" spans="1:21" s="2663" customFormat="1" ht="15" x14ac:dyDescent="0.2">
      <c r="A40" s="1263" t="s">
        <v>243</v>
      </c>
      <c r="B40" s="2667"/>
      <c r="C40" s="2667"/>
      <c r="D40" s="2667"/>
      <c r="E40" s="2666">
        <f>E34</f>
        <v>20000</v>
      </c>
      <c r="F40" s="2666">
        <f>F34</f>
        <v>47996</v>
      </c>
      <c r="G40" s="2666">
        <f>G34</f>
        <v>46738</v>
      </c>
      <c r="H40" s="2665">
        <f>G40/F40*100</f>
        <v>97.378948245687141</v>
      </c>
      <c r="J40" s="2664">
        <v>20000000</v>
      </c>
      <c r="K40" s="2664">
        <v>47996454.560000002</v>
      </c>
      <c r="L40" s="2664">
        <v>46738771.159999996</v>
      </c>
    </row>
    <row r="41" spans="1:21" s="2663" customFormat="1" ht="15" x14ac:dyDescent="0.2">
      <c r="A41" s="1263"/>
      <c r="B41" s="2667"/>
      <c r="C41" s="2667"/>
      <c r="D41" s="2667"/>
      <c r="E41" s="2666"/>
      <c r="F41" s="2666"/>
      <c r="G41" s="2666"/>
      <c r="H41" s="2665"/>
      <c r="J41" s="2664"/>
      <c r="K41" s="2664"/>
      <c r="L41" s="2664"/>
    </row>
    <row r="42" spans="1:21" s="2663" customFormat="1" ht="15" x14ac:dyDescent="0.2">
      <c r="A42" s="1263"/>
      <c r="B42" s="2667"/>
      <c r="C42" s="2667"/>
      <c r="D42" s="2667"/>
      <c r="E42" s="2666"/>
      <c r="F42" s="2666"/>
      <c r="G42" s="2666"/>
      <c r="H42" s="2665"/>
      <c r="J42" s="2664"/>
      <c r="K42" s="2664"/>
      <c r="L42" s="2664"/>
    </row>
    <row r="43" spans="1:21" s="2655" customFormat="1" ht="23.25" x14ac:dyDescent="0.35">
      <c r="A43" s="3247" t="s">
        <v>1448</v>
      </c>
      <c r="B43" s="3248"/>
      <c r="C43" s="3248"/>
      <c r="D43" s="3248"/>
      <c r="E43" s="2662">
        <f>SUM(E37)</f>
        <v>40000</v>
      </c>
      <c r="F43" s="2661">
        <f>SUM(F37)</f>
        <v>77996</v>
      </c>
      <c r="G43" s="2661">
        <f>SUM(G37)</f>
        <v>76597</v>
      </c>
      <c r="H43" s="2660">
        <f>G43/F43*100</f>
        <v>98.206318272731934</v>
      </c>
      <c r="J43" s="2659">
        <f>J39+J40</f>
        <v>40000000</v>
      </c>
      <c r="K43" s="2659">
        <f>K39+K40</f>
        <v>77996454.560000002</v>
      </c>
      <c r="L43" s="2659">
        <f>L39+L40</f>
        <v>76597294.659999996</v>
      </c>
    </row>
    <row r="44" spans="1:21" s="2655" customFormat="1" ht="23.25" x14ac:dyDescent="0.35">
      <c r="A44" s="3249"/>
      <c r="B44" s="3249"/>
      <c r="C44" s="3249"/>
      <c r="D44" s="3249"/>
      <c r="E44" s="2658"/>
      <c r="F44" s="2657"/>
      <c r="G44" s="2657"/>
      <c r="H44" s="2656"/>
    </row>
    <row r="45" spans="1:21" ht="13.5" customHeight="1" thickBot="1" x14ac:dyDescent="0.4">
      <c r="A45" s="3154"/>
      <c r="B45" s="3154"/>
      <c r="C45" s="3154"/>
      <c r="D45" s="3154"/>
      <c r="E45" s="2654"/>
      <c r="F45" s="2653"/>
      <c r="G45" s="2653"/>
      <c r="H45" s="2652"/>
    </row>
    <row r="46" spans="1:21" ht="13.5" thickTop="1" x14ac:dyDescent="0.2">
      <c r="D46" s="2651"/>
      <c r="E46" s="1254"/>
      <c r="F46" s="1254"/>
      <c r="G46" s="1254"/>
      <c r="H46" s="2650"/>
    </row>
    <row r="47" spans="1:21" ht="14.25" x14ac:dyDescent="0.2">
      <c r="A47" s="2619" t="s">
        <v>100</v>
      </c>
      <c r="B47" s="1543"/>
      <c r="C47" s="1543"/>
      <c r="D47" s="2649"/>
      <c r="E47" s="2400"/>
      <c r="F47" s="2400"/>
      <c r="G47" s="2400"/>
      <c r="H47" s="2648"/>
    </row>
    <row r="48" spans="1:21" ht="12.75" customHeight="1" x14ac:dyDescent="0.2">
      <c r="A48" s="3243" t="s">
        <v>1402</v>
      </c>
      <c r="B48" s="3243"/>
      <c r="C48" s="3243"/>
      <c r="D48" s="3243"/>
      <c r="E48" s="3243"/>
      <c r="F48" s="3243"/>
      <c r="G48" s="3243"/>
      <c r="H48" s="3243"/>
    </row>
    <row r="49" spans="1:8" s="1466" customFormat="1" ht="12.75" customHeight="1" x14ac:dyDescent="0.2">
      <c r="A49" s="3244"/>
      <c r="B49" s="3244"/>
      <c r="C49" s="3244"/>
      <c r="D49" s="3244"/>
      <c r="E49" s="3244"/>
      <c r="F49" s="3244"/>
      <c r="G49" s="3244"/>
      <c r="H49" s="3244"/>
    </row>
    <row r="50" spans="1:8" s="1466" customFormat="1" ht="19.5" customHeight="1" x14ac:dyDescent="0.2">
      <c r="A50" s="1371"/>
      <c r="B50" s="1371"/>
      <c r="C50" s="1371"/>
      <c r="D50" s="1372"/>
      <c r="E50" s="1398"/>
      <c r="F50" s="1398"/>
      <c r="G50" s="1398"/>
      <c r="H50" s="1394"/>
    </row>
    <row r="51" spans="1:8" s="1466" customFormat="1" x14ac:dyDescent="0.2">
      <c r="A51" s="1371"/>
      <c r="B51" s="1371"/>
      <c r="C51" s="1371"/>
      <c r="D51" s="1372"/>
      <c r="E51" s="1398"/>
      <c r="F51" s="1398"/>
      <c r="G51" s="1398"/>
      <c r="H51" s="1394"/>
    </row>
    <row r="52" spans="1:8" s="1466" customFormat="1" x14ac:dyDescent="0.2">
      <c r="A52" s="1371"/>
      <c r="B52" s="1371"/>
      <c r="C52" s="1371"/>
      <c r="D52" s="1372"/>
      <c r="E52" s="1398"/>
      <c r="F52" s="1398"/>
      <c r="G52" s="1398"/>
      <c r="H52" s="1394"/>
    </row>
    <row r="53" spans="1:8" s="1466" customFormat="1" x14ac:dyDescent="0.2">
      <c r="A53" s="1371"/>
      <c r="B53" s="1371"/>
      <c r="C53" s="1371"/>
      <c r="D53" s="1372"/>
      <c r="E53" s="1398"/>
      <c r="F53" s="1398"/>
      <c r="G53" s="1398"/>
      <c r="H53" s="1394"/>
    </row>
    <row r="54" spans="1:8" s="1466" customFormat="1" ht="12.75" customHeight="1" x14ac:dyDescent="0.2">
      <c r="A54" s="1371"/>
      <c r="B54" s="1371"/>
      <c r="C54" s="1371"/>
      <c r="D54" s="1372"/>
      <c r="E54" s="1398"/>
      <c r="F54" s="1398"/>
      <c r="G54" s="1398"/>
      <c r="H54" s="1394"/>
    </row>
    <row r="55" spans="1:8" s="1466" customFormat="1" ht="12.75" customHeight="1" x14ac:dyDescent="0.2">
      <c r="A55" s="1371"/>
      <c r="B55" s="1371"/>
      <c r="C55" s="1371"/>
      <c r="D55" s="1372"/>
      <c r="E55" s="1398"/>
      <c r="F55" s="1398"/>
      <c r="G55" s="1398"/>
      <c r="H55" s="1394"/>
    </row>
    <row r="56" spans="1:8" ht="12.75" customHeight="1" x14ac:dyDescent="0.2"/>
    <row r="57" spans="1:8" ht="12.75" customHeight="1" x14ac:dyDescent="0.2"/>
    <row r="58" spans="1:8" ht="12.75" customHeight="1" x14ac:dyDescent="0.2"/>
    <row r="59" spans="1:8" ht="21.75" customHeight="1" x14ac:dyDescent="0.2"/>
  </sheetData>
  <mergeCells count="7">
    <mergeCell ref="A1:H2"/>
    <mergeCell ref="A34:D34"/>
    <mergeCell ref="A48:H49"/>
    <mergeCell ref="A37:D38"/>
    <mergeCell ref="A43:D45"/>
    <mergeCell ref="D29:D30"/>
    <mergeCell ref="A14:D14"/>
  </mergeCells>
  <pageMargins left="0.98425196850393704" right="0.98425196850393704" top="0.98425196850393704" bottom="0.98425196850393704" header="0.51181102362204722" footer="0.51181102362204722"/>
  <pageSetup paperSize="9" scale="70" firstPageNumber="182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 enableFormatConditionsCalculation="0">
    <tabColor indexed="33"/>
  </sheetPr>
  <dimension ref="A1:N66"/>
  <sheetViews>
    <sheetView showGridLines="0" topLeftCell="B52" zoomScaleNormal="100" workbookViewId="0">
      <selection activeCell="D63" sqref="D62:D64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3" customWidth="1"/>
  </cols>
  <sheetData>
    <row r="1" spans="1:8" s="74" customFormat="1" ht="18.75" thickBot="1" x14ac:dyDescent="0.3">
      <c r="A1" s="77" t="s">
        <v>344</v>
      </c>
      <c r="B1" s="77"/>
      <c r="C1" s="77"/>
      <c r="D1" s="77"/>
      <c r="E1" s="79"/>
      <c r="F1" s="79" t="s">
        <v>649</v>
      </c>
      <c r="G1" s="80"/>
      <c r="H1" s="213"/>
    </row>
    <row r="3" spans="1:8" ht="14.25" x14ac:dyDescent="0.2">
      <c r="A3" s="65" t="s">
        <v>336</v>
      </c>
      <c r="B3" s="65"/>
      <c r="C3" s="65" t="s">
        <v>337</v>
      </c>
      <c r="D3" s="65"/>
    </row>
    <row r="4" spans="1:8" ht="14.25" x14ac:dyDescent="0.2">
      <c r="A4" s="65"/>
      <c r="B4" s="65"/>
      <c r="C4" s="65" t="s">
        <v>313</v>
      </c>
      <c r="D4" s="65"/>
    </row>
    <row r="6" spans="1:8" ht="15.75" x14ac:dyDescent="0.25">
      <c r="A6" s="73" t="s">
        <v>799</v>
      </c>
    </row>
    <row r="7" spans="1:8" ht="13.5" thickBot="1" x14ac:dyDescent="0.25">
      <c r="H7" s="113" t="s">
        <v>148</v>
      </c>
    </row>
    <row r="8" spans="1:8" s="24" customFormat="1" ht="20.25" customHeight="1" thickTop="1" thickBot="1" x14ac:dyDescent="0.25">
      <c r="A8" s="21" t="s">
        <v>149</v>
      </c>
      <c r="B8" s="22" t="s">
        <v>150</v>
      </c>
      <c r="C8" s="46" t="s">
        <v>639</v>
      </c>
      <c r="D8" s="46" t="s">
        <v>151</v>
      </c>
      <c r="E8" s="46" t="s">
        <v>152</v>
      </c>
      <c r="F8" s="46" t="s">
        <v>796</v>
      </c>
      <c r="G8" s="46" t="s">
        <v>797</v>
      </c>
      <c r="H8" s="201" t="s">
        <v>798</v>
      </c>
    </row>
    <row r="9" spans="1:8" s="106" customFormat="1" ht="15.75" customHeight="1" thickTop="1" x14ac:dyDescent="0.25">
      <c r="A9" s="231">
        <v>6113</v>
      </c>
      <c r="B9" s="216">
        <v>5169</v>
      </c>
      <c r="C9" s="232"/>
      <c r="D9" s="218" t="s">
        <v>769</v>
      </c>
      <c r="E9" s="224">
        <v>36</v>
      </c>
      <c r="F9" s="146">
        <f>E9+F11</f>
        <v>40</v>
      </c>
      <c r="G9" s="146">
        <v>24</v>
      </c>
      <c r="H9" s="236">
        <f>(G9/F9)*100</f>
        <v>60</v>
      </c>
    </row>
    <row r="10" spans="1:8" s="106" customFormat="1" ht="15.75" customHeight="1" x14ac:dyDescent="0.25">
      <c r="A10" s="220"/>
      <c r="B10" s="95"/>
      <c r="C10" s="172"/>
      <c r="D10" s="221" t="s">
        <v>357</v>
      </c>
      <c r="E10" s="147"/>
      <c r="F10" s="60"/>
      <c r="G10" s="60"/>
      <c r="H10" s="209"/>
    </row>
    <row r="11" spans="1:8" s="106" customFormat="1" ht="15.75" customHeight="1" x14ac:dyDescent="0.25">
      <c r="A11" s="234"/>
      <c r="B11" s="94"/>
      <c r="C11" s="173"/>
      <c r="D11" s="169" t="s">
        <v>251</v>
      </c>
      <c r="E11" s="215"/>
      <c r="F11" s="96">
        <v>4</v>
      </c>
      <c r="G11" s="125"/>
      <c r="H11" s="244"/>
    </row>
    <row r="12" spans="1:8" s="106" customFormat="1" ht="15.75" customHeight="1" x14ac:dyDescent="0.25">
      <c r="A12" s="220">
        <v>6113</v>
      </c>
      <c r="B12" s="95">
        <v>5499</v>
      </c>
      <c r="C12" s="172"/>
      <c r="D12" s="68" t="s">
        <v>343</v>
      </c>
      <c r="E12" s="147">
        <v>29</v>
      </c>
      <c r="F12" s="60">
        <f>E12+F14</f>
        <v>25</v>
      </c>
      <c r="G12" s="60">
        <v>7</v>
      </c>
      <c r="H12" s="209">
        <f>(G12/F12)*100</f>
        <v>28.000000000000004</v>
      </c>
    </row>
    <row r="13" spans="1:8" s="106" customFormat="1" ht="15.75" customHeight="1" x14ac:dyDescent="0.25">
      <c r="A13" s="220"/>
      <c r="B13" s="95"/>
      <c r="C13" s="172"/>
      <c r="D13" s="90" t="s">
        <v>809</v>
      </c>
      <c r="E13" s="147"/>
      <c r="F13" s="60"/>
      <c r="G13" s="60"/>
      <c r="H13" s="209"/>
    </row>
    <row r="14" spans="1:8" s="106" customFormat="1" ht="15.75" customHeight="1" x14ac:dyDescent="0.25">
      <c r="A14" s="234"/>
      <c r="B14" s="94"/>
      <c r="C14" s="173"/>
      <c r="D14" s="169" t="s">
        <v>699</v>
      </c>
      <c r="E14" s="215"/>
      <c r="F14" s="96">
        <v>-4</v>
      </c>
      <c r="G14" s="125"/>
      <c r="H14" s="244"/>
    </row>
    <row r="15" spans="1:8" s="106" customFormat="1" ht="15.75" customHeight="1" x14ac:dyDescent="0.25">
      <c r="A15" s="247">
        <v>6113</v>
      </c>
      <c r="B15" s="217">
        <v>5901</v>
      </c>
      <c r="C15" s="248"/>
      <c r="D15" s="108" t="s">
        <v>547</v>
      </c>
      <c r="E15" s="184">
        <v>90</v>
      </c>
      <c r="F15" s="183">
        <v>90</v>
      </c>
      <c r="G15" s="183">
        <v>0</v>
      </c>
      <c r="H15" s="253">
        <v>0</v>
      </c>
    </row>
    <row r="16" spans="1:8" s="106" customFormat="1" ht="15.75" customHeight="1" x14ac:dyDescent="0.25">
      <c r="A16" s="220">
        <v>6172</v>
      </c>
      <c r="B16" s="95">
        <v>5137</v>
      </c>
      <c r="C16" s="172"/>
      <c r="D16" s="68" t="s">
        <v>700</v>
      </c>
      <c r="E16" s="147"/>
      <c r="F16" s="60">
        <v>10</v>
      </c>
      <c r="G16" s="60">
        <v>6</v>
      </c>
      <c r="H16" s="209">
        <f>(G16/F16)*100</f>
        <v>60</v>
      </c>
    </row>
    <row r="17" spans="1:8" s="107" customFormat="1" ht="15.75" customHeight="1" x14ac:dyDescent="0.25">
      <c r="A17" s="220"/>
      <c r="B17" s="95"/>
      <c r="C17" s="172"/>
      <c r="D17" s="221" t="s">
        <v>357</v>
      </c>
      <c r="E17" s="147"/>
      <c r="F17" s="60"/>
      <c r="G17" s="60"/>
      <c r="H17" s="209"/>
    </row>
    <row r="18" spans="1:8" s="107" customFormat="1" ht="15.75" customHeight="1" x14ac:dyDescent="0.25">
      <c r="A18" s="234"/>
      <c r="B18" s="94"/>
      <c r="C18" s="173"/>
      <c r="D18" s="169" t="s">
        <v>701</v>
      </c>
      <c r="E18" s="215"/>
      <c r="F18" s="96">
        <v>10</v>
      </c>
      <c r="G18" s="125"/>
      <c r="H18" s="244"/>
    </row>
    <row r="19" spans="1:8" s="106" customFormat="1" ht="15.75" customHeight="1" x14ac:dyDescent="0.25">
      <c r="A19" s="220">
        <v>6172</v>
      </c>
      <c r="B19" s="95">
        <v>5139</v>
      </c>
      <c r="C19" s="172"/>
      <c r="D19" s="68" t="s">
        <v>566</v>
      </c>
      <c r="E19" s="147"/>
      <c r="F19" s="60">
        <v>1</v>
      </c>
      <c r="G19" s="60">
        <v>0</v>
      </c>
      <c r="H19" s="209">
        <v>0</v>
      </c>
    </row>
    <row r="20" spans="1:8" s="106" customFormat="1" ht="15.75" customHeight="1" x14ac:dyDescent="0.25">
      <c r="A20" s="220"/>
      <c r="B20" s="95"/>
      <c r="C20" s="172"/>
      <c r="D20" s="221" t="s">
        <v>357</v>
      </c>
      <c r="E20" s="147"/>
      <c r="F20" s="123"/>
      <c r="G20" s="60"/>
      <c r="H20" s="209"/>
    </row>
    <row r="21" spans="1:8" s="106" customFormat="1" ht="15.75" customHeight="1" x14ac:dyDescent="0.25">
      <c r="A21" s="234"/>
      <c r="B21" s="94"/>
      <c r="C21" s="173"/>
      <c r="D21" s="169" t="s">
        <v>827</v>
      </c>
      <c r="E21" s="215"/>
      <c r="F21" s="96">
        <v>1</v>
      </c>
      <c r="G21" s="125"/>
      <c r="H21" s="244"/>
    </row>
    <row r="22" spans="1:8" s="106" customFormat="1" ht="15.75" customHeight="1" x14ac:dyDescent="0.25">
      <c r="A22" s="247">
        <v>6172</v>
      </c>
      <c r="B22" s="217">
        <v>5163</v>
      </c>
      <c r="C22" s="248"/>
      <c r="D22" s="108" t="s">
        <v>807</v>
      </c>
      <c r="E22" s="184">
        <v>30</v>
      </c>
      <c r="F22" s="183">
        <v>30</v>
      </c>
      <c r="G22" s="183">
        <v>17</v>
      </c>
      <c r="H22" s="253">
        <f>(G22/F22)*100</f>
        <v>56.666666666666664</v>
      </c>
    </row>
    <row r="23" spans="1:8" s="106" customFormat="1" ht="15.75" customHeight="1" x14ac:dyDescent="0.25">
      <c r="A23" s="220">
        <v>6172</v>
      </c>
      <c r="B23" s="95">
        <v>5164</v>
      </c>
      <c r="C23" s="172"/>
      <c r="D23" s="68" t="s">
        <v>157</v>
      </c>
      <c r="E23" s="147">
        <v>50</v>
      </c>
      <c r="F23" s="60">
        <f>E23+F25</f>
        <v>75</v>
      </c>
      <c r="G23" s="60">
        <v>70</v>
      </c>
      <c r="H23" s="209">
        <f>(G23/F23)*100</f>
        <v>93.333333333333329</v>
      </c>
    </row>
    <row r="24" spans="1:8" s="106" customFormat="1" ht="15.75" customHeight="1" x14ac:dyDescent="0.25">
      <c r="A24" s="220"/>
      <c r="B24" s="95"/>
      <c r="C24" s="172"/>
      <c r="D24" s="221" t="s">
        <v>357</v>
      </c>
      <c r="E24" s="147"/>
      <c r="F24" s="60"/>
      <c r="G24" s="60"/>
      <c r="H24" s="209"/>
    </row>
    <row r="25" spans="1:8" s="106" customFormat="1" ht="15.75" customHeight="1" x14ac:dyDescent="0.25">
      <c r="A25" s="234"/>
      <c r="B25" s="94"/>
      <c r="C25" s="173"/>
      <c r="D25" s="169" t="s">
        <v>827</v>
      </c>
      <c r="E25" s="215"/>
      <c r="F25" s="96">
        <v>25</v>
      </c>
      <c r="G25" s="125"/>
      <c r="H25" s="244"/>
    </row>
    <row r="26" spans="1:8" s="106" customFormat="1" ht="15.75" customHeight="1" x14ac:dyDescent="0.25">
      <c r="A26" s="220">
        <v>6172</v>
      </c>
      <c r="B26" s="95">
        <v>5169</v>
      </c>
      <c r="C26" s="172"/>
      <c r="D26" s="68" t="s">
        <v>769</v>
      </c>
      <c r="E26" s="147">
        <v>2706</v>
      </c>
      <c r="F26" s="60">
        <f>E26+F28+F29+F32</f>
        <v>2967</v>
      </c>
      <c r="G26" s="60">
        <v>2738</v>
      </c>
      <c r="H26" s="209">
        <f>(G26/F26)*100</f>
        <v>92.281766093697343</v>
      </c>
    </row>
    <row r="27" spans="1:8" s="106" customFormat="1" ht="15.75" customHeight="1" x14ac:dyDescent="0.25">
      <c r="A27" s="220"/>
      <c r="B27" s="95"/>
      <c r="C27" s="172"/>
      <c r="D27" s="221" t="s">
        <v>357</v>
      </c>
      <c r="E27" s="147"/>
      <c r="F27" s="60"/>
      <c r="G27" s="60"/>
      <c r="H27" s="209"/>
    </row>
    <row r="28" spans="1:8" s="106" customFormat="1" ht="15.75" customHeight="1" x14ac:dyDescent="0.25">
      <c r="A28" s="220"/>
      <c r="B28" s="95"/>
      <c r="C28" s="172"/>
      <c r="D28" s="222" t="s">
        <v>828</v>
      </c>
      <c r="E28" s="147"/>
      <c r="F28" s="123">
        <v>523</v>
      </c>
      <c r="G28" s="60"/>
      <c r="H28" s="209"/>
    </row>
    <row r="29" spans="1:8" s="106" customFormat="1" ht="15.75" customHeight="1" x14ac:dyDescent="0.25">
      <c r="A29" s="220"/>
      <c r="B29" s="95"/>
      <c r="C29" s="172"/>
      <c r="D29" s="3251" t="s">
        <v>606</v>
      </c>
      <c r="E29" s="147"/>
      <c r="F29" s="123">
        <v>38</v>
      </c>
      <c r="G29" s="60"/>
      <c r="H29" s="209"/>
    </row>
    <row r="30" spans="1:8" s="106" customFormat="1" ht="15.75" customHeight="1" x14ac:dyDescent="0.25">
      <c r="A30" s="220"/>
      <c r="B30" s="95"/>
      <c r="C30" s="172"/>
      <c r="D30" s="3251"/>
      <c r="E30" s="147"/>
      <c r="F30" s="123"/>
      <c r="G30" s="60"/>
      <c r="H30" s="209"/>
    </row>
    <row r="31" spans="1:8" s="106" customFormat="1" ht="15.75" customHeight="1" x14ac:dyDescent="0.25">
      <c r="A31" s="220"/>
      <c r="B31" s="95"/>
      <c r="C31" s="172"/>
      <c r="D31" s="90" t="s">
        <v>809</v>
      </c>
      <c r="E31" s="147"/>
      <c r="F31" s="123"/>
      <c r="G31" s="60"/>
      <c r="H31" s="209"/>
    </row>
    <row r="32" spans="1:8" s="106" customFormat="1" ht="15.75" customHeight="1" x14ac:dyDescent="0.25">
      <c r="A32" s="234"/>
      <c r="B32" s="94"/>
      <c r="C32" s="173"/>
      <c r="D32" s="245" t="s">
        <v>237</v>
      </c>
      <c r="E32" s="215"/>
      <c r="F32" s="96">
        <v>-300</v>
      </c>
      <c r="G32" s="125"/>
      <c r="H32" s="244"/>
    </row>
    <row r="33" spans="1:8" s="106" customFormat="1" ht="15.75" customHeight="1" x14ac:dyDescent="0.25">
      <c r="A33" s="220">
        <v>6172</v>
      </c>
      <c r="B33" s="95">
        <v>5175</v>
      </c>
      <c r="C33" s="172"/>
      <c r="D33" s="252" t="s">
        <v>605</v>
      </c>
      <c r="E33" s="147"/>
      <c r="F33" s="60">
        <v>150</v>
      </c>
      <c r="G33" s="60">
        <v>136</v>
      </c>
      <c r="H33" s="209">
        <f>(G33/F33)*100</f>
        <v>90.666666666666657</v>
      </c>
    </row>
    <row r="34" spans="1:8" s="106" customFormat="1" ht="15.75" customHeight="1" x14ac:dyDescent="0.25">
      <c r="A34" s="220"/>
      <c r="B34" s="95"/>
      <c r="C34" s="172"/>
      <c r="D34" s="221" t="s">
        <v>357</v>
      </c>
      <c r="E34" s="147"/>
      <c r="F34" s="123"/>
      <c r="G34" s="60"/>
      <c r="H34" s="209"/>
    </row>
    <row r="35" spans="1:8" s="106" customFormat="1" ht="15.75" customHeight="1" x14ac:dyDescent="0.25">
      <c r="A35" s="234"/>
      <c r="B35" s="94"/>
      <c r="C35" s="173"/>
      <c r="D35" s="169" t="s">
        <v>701</v>
      </c>
      <c r="E35" s="215"/>
      <c r="F35" s="96">
        <v>150</v>
      </c>
      <c r="G35" s="125"/>
      <c r="H35" s="244"/>
    </row>
    <row r="36" spans="1:8" s="106" customFormat="1" ht="15.75" customHeight="1" x14ac:dyDescent="0.25">
      <c r="A36" s="220">
        <v>6172</v>
      </c>
      <c r="B36" s="95">
        <v>5194</v>
      </c>
      <c r="C36" s="172"/>
      <c r="D36" s="68" t="s">
        <v>544</v>
      </c>
      <c r="E36" s="147">
        <v>100</v>
      </c>
      <c r="F36" s="60">
        <f>E36+F38</f>
        <v>50</v>
      </c>
      <c r="G36" s="60">
        <v>49</v>
      </c>
      <c r="H36" s="209">
        <f>(G36/F36)*100</f>
        <v>98</v>
      </c>
    </row>
    <row r="37" spans="1:8" s="106" customFormat="1" ht="15.75" customHeight="1" x14ac:dyDescent="0.25">
      <c r="A37" s="220"/>
      <c r="B37" s="95"/>
      <c r="C37" s="172"/>
      <c r="D37" s="90" t="s">
        <v>809</v>
      </c>
      <c r="E37" s="147"/>
      <c r="F37" s="60"/>
      <c r="G37" s="60"/>
      <c r="H37" s="209"/>
    </row>
    <row r="38" spans="1:8" s="106" customFormat="1" ht="15.75" customHeight="1" x14ac:dyDescent="0.25">
      <c r="A38" s="234"/>
      <c r="B38" s="94"/>
      <c r="C38" s="173"/>
      <c r="D38" s="169" t="s">
        <v>828</v>
      </c>
      <c r="E38" s="215"/>
      <c r="F38" s="96">
        <v>-50</v>
      </c>
      <c r="G38" s="125"/>
      <c r="H38" s="244"/>
    </row>
    <row r="39" spans="1:8" s="106" customFormat="1" ht="15.75" customHeight="1" x14ac:dyDescent="0.25">
      <c r="A39" s="220">
        <v>6172</v>
      </c>
      <c r="B39" s="95">
        <v>5499</v>
      </c>
      <c r="C39" s="172"/>
      <c r="D39" s="68" t="s">
        <v>343</v>
      </c>
      <c r="E39" s="147">
        <v>1400</v>
      </c>
      <c r="F39" s="60">
        <f>E39+F41+F44+F42</f>
        <v>1798</v>
      </c>
      <c r="G39" s="60">
        <v>1803</v>
      </c>
      <c r="H39" s="209">
        <f>(G39/F39)*100</f>
        <v>100.27808676307008</v>
      </c>
    </row>
    <row r="40" spans="1:8" s="106" customFormat="1" ht="15.75" customHeight="1" x14ac:dyDescent="0.25">
      <c r="A40" s="220"/>
      <c r="B40" s="95"/>
      <c r="C40" s="172"/>
      <c r="D40" s="221" t="s">
        <v>357</v>
      </c>
      <c r="E40" s="147"/>
      <c r="F40" s="60"/>
      <c r="G40" s="60"/>
      <c r="H40" s="209"/>
    </row>
    <row r="41" spans="1:8" s="106" customFormat="1" ht="15.75" customHeight="1" x14ac:dyDescent="0.25">
      <c r="A41" s="220"/>
      <c r="B41" s="95"/>
      <c r="C41" s="172"/>
      <c r="D41" s="222" t="s">
        <v>828</v>
      </c>
      <c r="E41" s="147"/>
      <c r="F41" s="123">
        <v>214</v>
      </c>
      <c r="G41" s="60"/>
      <c r="H41" s="209"/>
    </row>
    <row r="42" spans="1:8" s="106" customFormat="1" ht="15.75" customHeight="1" x14ac:dyDescent="0.25">
      <c r="A42" s="220"/>
      <c r="B42" s="95"/>
      <c r="C42" s="172"/>
      <c r="D42" s="222" t="s">
        <v>238</v>
      </c>
      <c r="E42" s="147"/>
      <c r="F42" s="123">
        <v>300</v>
      </c>
      <c r="G42" s="60"/>
      <c r="H42" s="209"/>
    </row>
    <row r="43" spans="1:8" s="106" customFormat="1" ht="15.75" customHeight="1" x14ac:dyDescent="0.25">
      <c r="A43" s="220"/>
      <c r="B43" s="95"/>
      <c r="C43" s="172"/>
      <c r="D43" s="90" t="s">
        <v>809</v>
      </c>
      <c r="E43" s="147"/>
      <c r="F43" s="123"/>
      <c r="G43" s="60"/>
      <c r="H43" s="209"/>
    </row>
    <row r="44" spans="1:8" s="106" customFormat="1" ht="15.75" customHeight="1" thickBot="1" x14ac:dyDescent="0.3">
      <c r="A44" s="259"/>
      <c r="B44" s="246"/>
      <c r="C44" s="260"/>
      <c r="D44" s="223" t="s">
        <v>239</v>
      </c>
      <c r="E44" s="261"/>
      <c r="F44" s="181">
        <v>-116</v>
      </c>
      <c r="G44" s="262"/>
      <c r="H44" s="263"/>
    </row>
    <row r="45" spans="1:8" s="106" customFormat="1" ht="15.75" customHeight="1" thickTop="1" x14ac:dyDescent="0.25">
      <c r="A45" s="264"/>
      <c r="B45" s="264"/>
      <c r="C45" s="172"/>
      <c r="D45" s="164"/>
      <c r="E45" s="147"/>
      <c r="F45" s="122"/>
      <c r="G45" s="147"/>
      <c r="H45" s="265"/>
    </row>
    <row r="46" spans="1:8" s="106" customFormat="1" ht="15.75" customHeight="1" x14ac:dyDescent="0.25">
      <c r="A46" s="264"/>
      <c r="B46" s="264"/>
      <c r="C46" s="172"/>
      <c r="D46" s="164"/>
      <c r="E46" s="147"/>
      <c r="F46" s="122"/>
      <c r="G46" s="147"/>
      <c r="H46" s="265"/>
    </row>
    <row r="47" spans="1:8" s="106" customFormat="1" ht="15.75" customHeight="1" x14ac:dyDescent="0.25">
      <c r="A47" s="264"/>
      <c r="B47" s="264"/>
      <c r="C47" s="172"/>
      <c r="D47" s="164"/>
      <c r="E47" s="147"/>
      <c r="F47" s="122"/>
      <c r="G47" s="147"/>
      <c r="H47" s="265"/>
    </row>
    <row r="48" spans="1:8" s="106" customFormat="1" ht="15.75" customHeight="1" x14ac:dyDescent="0.25">
      <c r="A48" s="264"/>
      <c r="B48" s="264"/>
      <c r="C48" s="172"/>
      <c r="D48" s="164"/>
      <c r="E48" s="147"/>
      <c r="F48" s="122"/>
      <c r="G48" s="147"/>
      <c r="H48" s="265"/>
    </row>
    <row r="49" spans="1:8" s="106" customFormat="1" ht="15.75" customHeight="1" x14ac:dyDescent="0.25">
      <c r="A49" s="264"/>
      <c r="B49" s="264"/>
      <c r="C49" s="172"/>
      <c r="D49" s="164"/>
      <c r="E49" s="147"/>
      <c r="F49" s="122"/>
      <c r="G49" s="147"/>
      <c r="H49" s="265"/>
    </row>
    <row r="50" spans="1:8" s="106" customFormat="1" ht="15.75" customHeight="1" x14ac:dyDescent="0.25">
      <c r="A50" s="264"/>
      <c r="B50" s="264"/>
      <c r="C50" s="172"/>
      <c r="D50" s="164"/>
      <c r="E50" s="147"/>
      <c r="F50" s="122"/>
      <c r="G50" s="147"/>
      <c r="H50" s="265"/>
    </row>
    <row r="51" spans="1:8" s="106" customFormat="1" ht="15.75" customHeight="1" x14ac:dyDescent="0.25">
      <c r="A51" s="264"/>
      <c r="B51" s="264"/>
      <c r="C51" s="172"/>
      <c r="D51" s="164"/>
      <c r="E51" s="147"/>
      <c r="F51" s="122"/>
      <c r="G51" s="147"/>
      <c r="H51" s="265"/>
    </row>
    <row r="52" spans="1:8" s="106" customFormat="1" ht="15.75" customHeight="1" x14ac:dyDescent="0.25">
      <c r="A52" s="264"/>
      <c r="B52" s="264"/>
      <c r="C52" s="172"/>
      <c r="D52" s="164"/>
      <c r="E52" s="147"/>
      <c r="F52" s="122"/>
      <c r="G52" s="147"/>
      <c r="H52" s="265"/>
    </row>
    <row r="53" spans="1:8" s="106" customFormat="1" ht="15.75" customHeight="1" x14ac:dyDescent="0.25">
      <c r="A53" s="264"/>
      <c r="B53" s="264"/>
      <c r="C53" s="172"/>
      <c r="D53" s="164"/>
      <c r="E53" s="147"/>
      <c r="F53" s="122"/>
      <c r="G53" s="147"/>
      <c r="H53" s="265"/>
    </row>
    <row r="54" spans="1:8" s="106" customFormat="1" ht="15.75" customHeight="1" x14ac:dyDescent="0.25">
      <c r="A54" s="264"/>
      <c r="B54" s="264"/>
      <c r="C54" s="172"/>
      <c r="D54" s="164"/>
      <c r="E54" s="147"/>
      <c r="F54" s="122"/>
      <c r="G54" s="147"/>
      <c r="H54" s="265"/>
    </row>
    <row r="55" spans="1:8" ht="13.5" thickBot="1" x14ac:dyDescent="0.25">
      <c r="H55" s="113" t="s">
        <v>148</v>
      </c>
    </row>
    <row r="56" spans="1:8" s="24" customFormat="1" ht="20.25" customHeight="1" thickTop="1" thickBot="1" x14ac:dyDescent="0.25">
      <c r="A56" s="21" t="s">
        <v>149</v>
      </c>
      <c r="B56" s="22" t="s">
        <v>150</v>
      </c>
      <c r="C56" s="46" t="s">
        <v>639</v>
      </c>
      <c r="D56" s="46" t="s">
        <v>151</v>
      </c>
      <c r="E56" s="46" t="s">
        <v>152</v>
      </c>
      <c r="F56" s="46" t="s">
        <v>796</v>
      </c>
      <c r="G56" s="46" t="s">
        <v>797</v>
      </c>
      <c r="H56" s="201" t="s">
        <v>798</v>
      </c>
    </row>
    <row r="57" spans="1:8" s="106" customFormat="1" ht="15.75" customHeight="1" thickTop="1" x14ac:dyDescent="0.25">
      <c r="A57" s="220">
        <v>6172</v>
      </c>
      <c r="B57" s="95">
        <v>5901</v>
      </c>
      <c r="C57" s="172"/>
      <c r="D57" s="68" t="s">
        <v>547</v>
      </c>
      <c r="E57" s="147">
        <v>129</v>
      </c>
      <c r="F57" s="60">
        <f>E57+F59+F60+F63+F61</f>
        <v>125</v>
      </c>
      <c r="G57" s="60">
        <v>0</v>
      </c>
      <c r="H57" s="208">
        <v>0</v>
      </c>
    </row>
    <row r="58" spans="1:8" s="106" customFormat="1" ht="15.75" customHeight="1" x14ac:dyDescent="0.25">
      <c r="A58" s="220"/>
      <c r="B58" s="95"/>
      <c r="C58" s="172"/>
      <c r="D58" s="90" t="s">
        <v>809</v>
      </c>
      <c r="E58" s="147"/>
      <c r="F58" s="60"/>
      <c r="G58" s="60"/>
      <c r="H58" s="254"/>
    </row>
    <row r="59" spans="1:8" s="106" customFormat="1" ht="15.75" customHeight="1" x14ac:dyDescent="0.25">
      <c r="A59" s="220"/>
      <c r="B59" s="95"/>
      <c r="C59" s="172"/>
      <c r="D59" s="222" t="s">
        <v>828</v>
      </c>
      <c r="E59" s="147"/>
      <c r="F59" s="123">
        <v>-5</v>
      </c>
      <c r="G59" s="60"/>
      <c r="H59" s="254"/>
    </row>
    <row r="60" spans="1:8" s="106" customFormat="1" ht="15.75" customHeight="1" x14ac:dyDescent="0.25">
      <c r="A60" s="220"/>
      <c r="B60" s="95"/>
      <c r="C60" s="172"/>
      <c r="D60" s="222" t="s">
        <v>240</v>
      </c>
      <c r="E60" s="147"/>
      <c r="F60" s="123">
        <v>-160</v>
      </c>
      <c r="G60" s="60"/>
      <c r="H60" s="254"/>
    </row>
    <row r="61" spans="1:8" s="106" customFormat="1" ht="15.75" customHeight="1" x14ac:dyDescent="0.25">
      <c r="A61" s="220"/>
      <c r="B61" s="95"/>
      <c r="C61" s="172"/>
      <c r="D61" s="222" t="s">
        <v>190</v>
      </c>
      <c r="E61" s="147"/>
      <c r="F61" s="123">
        <v>-26</v>
      </c>
      <c r="G61" s="60"/>
      <c r="H61" s="254"/>
    </row>
    <row r="62" spans="1:8" s="106" customFormat="1" ht="15.75" customHeight="1" x14ac:dyDescent="0.25">
      <c r="A62" s="220"/>
      <c r="B62" s="95"/>
      <c r="C62" s="172"/>
      <c r="D62" s="221" t="s">
        <v>357</v>
      </c>
      <c r="E62" s="147"/>
      <c r="F62" s="123"/>
      <c r="G62" s="60"/>
      <c r="H62" s="254"/>
    </row>
    <row r="63" spans="1:8" s="106" customFormat="1" ht="15.75" customHeight="1" x14ac:dyDescent="0.25">
      <c r="A63" s="220"/>
      <c r="B63" s="95"/>
      <c r="C63" s="172"/>
      <c r="D63" s="3251" t="s">
        <v>606</v>
      </c>
      <c r="E63" s="147"/>
      <c r="F63" s="123">
        <v>187</v>
      </c>
      <c r="G63" s="60"/>
      <c r="H63" s="254"/>
    </row>
    <row r="64" spans="1:8" s="78" customFormat="1" ht="20.25" customHeight="1" x14ac:dyDescent="0.25">
      <c r="A64" s="234"/>
      <c r="B64" s="94"/>
      <c r="C64" s="173"/>
      <c r="D64" s="3252"/>
      <c r="E64" s="215"/>
      <c r="F64" s="96"/>
      <c r="G64" s="125"/>
      <c r="H64" s="255"/>
    </row>
    <row r="65" spans="1:14" s="45" customFormat="1" ht="47.25" customHeight="1" thickBot="1" x14ac:dyDescent="0.4">
      <c r="A65" s="40" t="s">
        <v>1069</v>
      </c>
      <c r="B65" s="41"/>
      <c r="C65" s="42"/>
      <c r="D65" s="43"/>
      <c r="E65" s="44">
        <f>SUM(E9,E12,E15,E22,E23,E26,E36,E39,E57)</f>
        <v>4570</v>
      </c>
      <c r="F65" s="44">
        <f>SUM(F9,F12,F15,F16,F19,F22,F23,,F26,F33,F36,F39,F57)</f>
        <v>5361</v>
      </c>
      <c r="G65" s="44">
        <f>SUM(G9,G12,G15,G16,G19,G22,G23,,G26,G33,G36,G39,G57)</f>
        <v>4850</v>
      </c>
      <c r="H65" s="297">
        <f>(G65/F65)*100</f>
        <v>90.468196232046267</v>
      </c>
      <c r="I65" s="81"/>
      <c r="J65" s="82"/>
      <c r="K65" s="82"/>
      <c r="L65" s="82"/>
      <c r="M65" s="82"/>
      <c r="N65" s="82"/>
    </row>
    <row r="66" spans="1:14" ht="13.5" thickTop="1" x14ac:dyDescent="0.2"/>
  </sheetData>
  <mergeCells count="2">
    <mergeCell ref="D29:D30"/>
    <mergeCell ref="D63:D64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 enableFormatConditionsCalculation="0">
    <tabColor indexed="33"/>
  </sheetPr>
  <dimension ref="A1:N40"/>
  <sheetViews>
    <sheetView showGridLines="0" topLeftCell="A34" zoomScaleNormal="100" workbookViewId="0">
      <selection activeCell="G2" sqref="G2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3" customWidth="1"/>
  </cols>
  <sheetData>
    <row r="1" spans="1:8" s="74" customFormat="1" ht="18" x14ac:dyDescent="0.25">
      <c r="A1" s="266" t="s">
        <v>245</v>
      </c>
      <c r="B1" s="267"/>
      <c r="C1" s="267"/>
      <c r="D1" s="268"/>
      <c r="E1" s="269"/>
      <c r="F1" s="270"/>
      <c r="G1" s="270"/>
      <c r="H1" s="213"/>
    </row>
    <row r="2" spans="1:8" ht="18" x14ac:dyDescent="0.25">
      <c r="A2" s="271" t="s">
        <v>595</v>
      </c>
      <c r="B2" s="272"/>
      <c r="C2" s="272"/>
      <c r="D2" s="273"/>
      <c r="E2" s="274"/>
      <c r="F2" s="274"/>
      <c r="G2" s="296" t="s">
        <v>596</v>
      </c>
    </row>
    <row r="3" spans="1:8" s="92" customFormat="1" ht="18" x14ac:dyDescent="0.25">
      <c r="A3" s="275"/>
      <c r="B3" s="276"/>
      <c r="C3" s="276"/>
      <c r="D3" s="277"/>
      <c r="E3" s="278"/>
      <c r="F3" s="278"/>
      <c r="G3" s="279"/>
      <c r="H3" s="280"/>
    </row>
    <row r="4" spans="1:8" ht="14.25" x14ac:dyDescent="0.2">
      <c r="A4" s="67" t="s">
        <v>336</v>
      </c>
      <c r="B4" s="28"/>
      <c r="C4" s="141" t="s">
        <v>305</v>
      </c>
      <c r="D4" s="14"/>
    </row>
    <row r="5" spans="1:8" ht="18" x14ac:dyDescent="0.25">
      <c r="A5" s="6"/>
      <c r="B5" s="28"/>
      <c r="C5" s="141" t="s">
        <v>563</v>
      </c>
      <c r="D5" s="133"/>
    </row>
    <row r="7" spans="1:8" ht="15.75" x14ac:dyDescent="0.25">
      <c r="A7" s="73" t="s">
        <v>799</v>
      </c>
    </row>
    <row r="8" spans="1:8" ht="13.5" thickBot="1" x14ac:dyDescent="0.25">
      <c r="H8" s="113" t="s">
        <v>148</v>
      </c>
    </row>
    <row r="9" spans="1:8" s="24" customFormat="1" ht="20.25" customHeight="1" thickTop="1" thickBot="1" x14ac:dyDescent="0.25">
      <c r="A9" s="21" t="s">
        <v>149</v>
      </c>
      <c r="B9" s="22" t="s">
        <v>150</v>
      </c>
      <c r="C9" s="46" t="s">
        <v>639</v>
      </c>
      <c r="D9" s="46" t="s">
        <v>151</v>
      </c>
      <c r="E9" s="46" t="s">
        <v>152</v>
      </c>
      <c r="F9" s="46" t="s">
        <v>796</v>
      </c>
      <c r="G9" s="46" t="s">
        <v>797</v>
      </c>
      <c r="H9" s="201" t="s">
        <v>798</v>
      </c>
    </row>
    <row r="10" spans="1:8" s="106" customFormat="1" ht="15.75" customHeight="1" thickTop="1" x14ac:dyDescent="0.25">
      <c r="A10" s="231">
        <v>2310</v>
      </c>
      <c r="B10" s="216">
        <v>6341</v>
      </c>
      <c r="C10" s="225"/>
      <c r="D10" s="218" t="s">
        <v>276</v>
      </c>
      <c r="E10" s="288"/>
      <c r="F10" s="88">
        <v>18393</v>
      </c>
      <c r="G10" s="88">
        <v>18268</v>
      </c>
      <c r="H10" s="281">
        <f>(G10/F10)*100</f>
        <v>99.320393628010663</v>
      </c>
    </row>
    <row r="11" spans="1:8" s="106" customFormat="1" ht="15.75" customHeight="1" x14ac:dyDescent="0.25">
      <c r="A11" s="282"/>
      <c r="B11" s="286"/>
      <c r="C11" s="287"/>
      <c r="D11" s="90" t="s">
        <v>357</v>
      </c>
      <c r="E11" s="289"/>
      <c r="F11" s="249"/>
      <c r="G11" s="55"/>
      <c r="H11" s="283"/>
    </row>
    <row r="12" spans="1:8" s="106" customFormat="1" ht="15.75" customHeight="1" x14ac:dyDescent="0.25">
      <c r="A12" s="291"/>
      <c r="B12" s="292"/>
      <c r="C12" s="226">
        <v>551</v>
      </c>
      <c r="D12" s="117" t="s">
        <v>597</v>
      </c>
      <c r="E12" s="293"/>
      <c r="F12" s="89">
        <v>18393</v>
      </c>
      <c r="G12" s="89"/>
      <c r="H12" s="235"/>
    </row>
    <row r="13" spans="1:8" s="106" customFormat="1" ht="15.75" customHeight="1" x14ac:dyDescent="0.25">
      <c r="A13" s="220">
        <v>2321</v>
      </c>
      <c r="B13" s="95">
        <v>6341</v>
      </c>
      <c r="C13" s="228"/>
      <c r="D13" s="68" t="s">
        <v>276</v>
      </c>
      <c r="E13" s="289"/>
      <c r="F13" s="71">
        <f>F15+F17</f>
        <v>26627</v>
      </c>
      <c r="G13" s="71">
        <v>26627</v>
      </c>
      <c r="H13" s="251">
        <f>(G13/F13)*100</f>
        <v>100</v>
      </c>
    </row>
    <row r="14" spans="1:8" s="106" customFormat="1" ht="15.75" customHeight="1" x14ac:dyDescent="0.25">
      <c r="A14" s="282"/>
      <c r="B14" s="286"/>
      <c r="C14" s="287"/>
      <c r="D14" s="90" t="s">
        <v>357</v>
      </c>
      <c r="E14" s="289"/>
      <c r="F14" s="249"/>
      <c r="G14" s="55"/>
      <c r="H14" s="283"/>
    </row>
    <row r="15" spans="1:8" s="106" customFormat="1" ht="15.75" customHeight="1" x14ac:dyDescent="0.25">
      <c r="A15" s="282"/>
      <c r="B15" s="286"/>
      <c r="C15" s="227">
        <v>551</v>
      </c>
      <c r="D15" s="116" t="s">
        <v>597</v>
      </c>
      <c r="E15" s="289"/>
      <c r="F15" s="55">
        <v>28652</v>
      </c>
      <c r="G15" s="55"/>
      <c r="H15" s="233"/>
    </row>
    <row r="16" spans="1:8" s="106" customFormat="1" ht="15.75" customHeight="1" x14ac:dyDescent="0.25">
      <c r="A16" s="282"/>
      <c r="B16" s="286"/>
      <c r="C16" s="227"/>
      <c r="D16" s="90" t="s">
        <v>809</v>
      </c>
      <c r="E16" s="289"/>
      <c r="F16" s="55"/>
      <c r="G16" s="55"/>
      <c r="H16" s="233"/>
    </row>
    <row r="17" spans="1:8" s="106" customFormat="1" ht="15.75" customHeight="1" x14ac:dyDescent="0.25">
      <c r="A17" s="291"/>
      <c r="B17" s="292"/>
      <c r="C17" s="226">
        <v>551</v>
      </c>
      <c r="D17" s="117" t="s">
        <v>598</v>
      </c>
      <c r="E17" s="293"/>
      <c r="F17" s="89">
        <v>-2025</v>
      </c>
      <c r="G17" s="89"/>
      <c r="H17" s="235"/>
    </row>
    <row r="18" spans="1:8" s="107" customFormat="1" ht="15.75" customHeight="1" x14ac:dyDescent="0.25">
      <c r="A18" s="220">
        <v>2334</v>
      </c>
      <c r="B18" s="95">
        <v>6341</v>
      </c>
      <c r="C18" s="228"/>
      <c r="D18" s="68" t="s">
        <v>276</v>
      </c>
      <c r="E18" s="289"/>
      <c r="F18" s="71">
        <v>1703</v>
      </c>
      <c r="G18" s="71">
        <v>1640</v>
      </c>
      <c r="H18" s="251">
        <f>(G18/F18)*100</f>
        <v>96.300645918966538</v>
      </c>
    </row>
    <row r="19" spans="1:8" s="107" customFormat="1" ht="15.75" customHeight="1" x14ac:dyDescent="0.25">
      <c r="A19" s="282"/>
      <c r="B19" s="286"/>
      <c r="C19" s="287"/>
      <c r="D19" s="90" t="s">
        <v>357</v>
      </c>
      <c r="E19" s="289"/>
      <c r="F19" s="55"/>
      <c r="G19" s="55"/>
      <c r="H19" s="283"/>
    </row>
    <row r="20" spans="1:8" s="106" customFormat="1" ht="15.75" customHeight="1" x14ac:dyDescent="0.25">
      <c r="A20" s="291"/>
      <c r="B20" s="292"/>
      <c r="C20" s="226">
        <v>551</v>
      </c>
      <c r="D20" s="117" t="s">
        <v>597</v>
      </c>
      <c r="E20" s="293"/>
      <c r="F20" s="89">
        <v>1703</v>
      </c>
      <c r="G20" s="89"/>
      <c r="H20" s="235"/>
    </row>
    <row r="21" spans="1:8" s="106" customFormat="1" ht="15.75" customHeight="1" x14ac:dyDescent="0.25">
      <c r="A21" s="220">
        <v>2399</v>
      </c>
      <c r="B21" s="95">
        <v>6341</v>
      </c>
      <c r="C21" s="228"/>
      <c r="D21" s="68" t="s">
        <v>276</v>
      </c>
      <c r="E21" s="147">
        <v>40000</v>
      </c>
      <c r="F21" s="60">
        <f>E21+F23+F24+F29+F25+F26+F32+F27</f>
        <v>27789</v>
      </c>
      <c r="G21" s="60">
        <v>0</v>
      </c>
      <c r="H21" s="294">
        <v>0</v>
      </c>
    </row>
    <row r="22" spans="1:8" s="106" customFormat="1" ht="15.75" customHeight="1" x14ac:dyDescent="0.25">
      <c r="A22" s="220"/>
      <c r="B22" s="95"/>
      <c r="C22" s="228"/>
      <c r="D22" s="90" t="s">
        <v>809</v>
      </c>
      <c r="E22" s="147"/>
      <c r="F22" s="60"/>
      <c r="G22" s="60"/>
      <c r="H22" s="284"/>
    </row>
    <row r="23" spans="1:8" s="106" customFormat="1" ht="15.75" customHeight="1" x14ac:dyDescent="0.25">
      <c r="A23" s="220"/>
      <c r="B23" s="95"/>
      <c r="C23" s="228"/>
      <c r="D23" s="91" t="s">
        <v>1172</v>
      </c>
      <c r="E23" s="147"/>
      <c r="F23" s="123">
        <v>-31543</v>
      </c>
      <c r="G23" s="60"/>
      <c r="H23" s="284"/>
    </row>
    <row r="24" spans="1:8" s="106" customFormat="1" ht="15.75" customHeight="1" x14ac:dyDescent="0.25">
      <c r="A24" s="220"/>
      <c r="B24" s="95"/>
      <c r="C24" s="228"/>
      <c r="D24" s="91" t="s">
        <v>1173</v>
      </c>
      <c r="E24" s="147"/>
      <c r="F24" s="123">
        <v>-102</v>
      </c>
      <c r="G24" s="60"/>
      <c r="H24" s="284"/>
    </row>
    <row r="25" spans="1:8" s="106" customFormat="1" ht="15.75" customHeight="1" x14ac:dyDescent="0.25">
      <c r="A25" s="220"/>
      <c r="B25" s="95"/>
      <c r="C25" s="228"/>
      <c r="D25" s="91" t="s">
        <v>266</v>
      </c>
      <c r="E25" s="147"/>
      <c r="F25" s="123">
        <v>-282</v>
      </c>
      <c r="G25" s="60"/>
      <c r="H25" s="284"/>
    </row>
    <row r="26" spans="1:8" s="106" customFormat="1" ht="15.75" customHeight="1" x14ac:dyDescent="0.25">
      <c r="A26" s="220"/>
      <c r="B26" s="95"/>
      <c r="C26" s="228"/>
      <c r="D26" s="91" t="s">
        <v>267</v>
      </c>
      <c r="E26" s="147"/>
      <c r="F26" s="123">
        <v>-48748</v>
      </c>
      <c r="G26" s="60"/>
      <c r="H26" s="284"/>
    </row>
    <row r="27" spans="1:8" s="106" customFormat="1" ht="15.75" customHeight="1" x14ac:dyDescent="0.25">
      <c r="A27" s="220"/>
      <c r="B27" s="95"/>
      <c r="C27" s="228"/>
      <c r="D27" s="91" t="s">
        <v>268</v>
      </c>
      <c r="E27" s="147"/>
      <c r="F27" s="123">
        <v>-41</v>
      </c>
      <c r="G27" s="60"/>
      <c r="H27" s="284"/>
    </row>
    <row r="28" spans="1:8" s="106" customFormat="1" ht="15.75" customHeight="1" x14ac:dyDescent="0.25">
      <c r="A28" s="220"/>
      <c r="B28" s="95"/>
      <c r="C28" s="228"/>
      <c r="D28" s="90" t="s">
        <v>357</v>
      </c>
      <c r="E28" s="147"/>
      <c r="F28" s="123"/>
      <c r="G28" s="60"/>
      <c r="H28" s="284"/>
    </row>
    <row r="29" spans="1:8" s="106" customFormat="1" ht="14.25" customHeight="1" x14ac:dyDescent="0.25">
      <c r="A29" s="220"/>
      <c r="B29" s="95"/>
      <c r="C29" s="172"/>
      <c r="D29" s="3105" t="s">
        <v>427</v>
      </c>
      <c r="E29" s="182"/>
      <c r="F29" s="123">
        <v>66480</v>
      </c>
      <c r="G29" s="60"/>
      <c r="H29" s="284"/>
    </row>
    <row r="30" spans="1:8" s="106" customFormat="1" ht="14.25" customHeight="1" x14ac:dyDescent="0.25">
      <c r="A30" s="220"/>
      <c r="B30" s="95"/>
      <c r="C30" s="172"/>
      <c r="D30" s="3105"/>
      <c r="E30" s="182"/>
      <c r="F30" s="123"/>
      <c r="G30" s="60"/>
      <c r="H30" s="284"/>
    </row>
    <row r="31" spans="1:8" s="106" customFormat="1" ht="14.25" customHeight="1" x14ac:dyDescent="0.25">
      <c r="A31" s="220"/>
      <c r="B31" s="95"/>
      <c r="C31" s="172"/>
      <c r="D31" s="3081"/>
      <c r="E31" s="182"/>
      <c r="F31" s="123"/>
      <c r="G31" s="60"/>
      <c r="H31" s="284"/>
    </row>
    <row r="32" spans="1:8" s="106" customFormat="1" ht="15.75" customHeight="1" x14ac:dyDescent="0.25">
      <c r="A32" s="234"/>
      <c r="B32" s="94"/>
      <c r="C32" s="173"/>
      <c r="D32" s="214" t="s">
        <v>428</v>
      </c>
      <c r="E32" s="290"/>
      <c r="F32" s="96">
        <v>2025</v>
      </c>
      <c r="G32" s="125"/>
      <c r="H32" s="285"/>
    </row>
    <row r="33" spans="1:14" s="106" customFormat="1" ht="15.75" customHeight="1" x14ac:dyDescent="0.25">
      <c r="A33" s="220">
        <v>2399</v>
      </c>
      <c r="B33" s="95">
        <v>5909</v>
      </c>
      <c r="C33" s="172"/>
      <c r="D33" s="171" t="s">
        <v>588</v>
      </c>
      <c r="E33" s="147"/>
      <c r="F33" s="60">
        <f>F35+F36+F37+F38</f>
        <v>31968</v>
      </c>
      <c r="G33" s="60">
        <v>31968</v>
      </c>
      <c r="H33" s="200">
        <f>(G33/F33)*100</f>
        <v>100</v>
      </c>
    </row>
    <row r="34" spans="1:14" s="106" customFormat="1" ht="15.75" customHeight="1" x14ac:dyDescent="0.25">
      <c r="A34" s="220"/>
      <c r="B34" s="95"/>
      <c r="C34" s="172"/>
      <c r="D34" s="90" t="s">
        <v>357</v>
      </c>
      <c r="E34" s="147"/>
      <c r="F34" s="60"/>
      <c r="G34" s="60"/>
      <c r="H34" s="284"/>
    </row>
    <row r="35" spans="1:14" s="106" customFormat="1" ht="15.75" customHeight="1" x14ac:dyDescent="0.25">
      <c r="A35" s="220"/>
      <c r="B35" s="95"/>
      <c r="C35" s="172"/>
      <c r="D35" s="91" t="s">
        <v>429</v>
      </c>
      <c r="E35" s="147"/>
      <c r="F35" s="123">
        <v>31543</v>
      </c>
      <c r="G35" s="60"/>
      <c r="H35" s="284"/>
    </row>
    <row r="36" spans="1:14" s="106" customFormat="1" ht="15.75" customHeight="1" x14ac:dyDescent="0.25">
      <c r="A36" s="220"/>
      <c r="B36" s="95"/>
      <c r="C36" s="172"/>
      <c r="D36" s="222" t="s">
        <v>663</v>
      </c>
      <c r="E36" s="147"/>
      <c r="F36" s="123">
        <v>102</v>
      </c>
      <c r="G36" s="60"/>
      <c r="H36" s="284"/>
    </row>
    <row r="37" spans="1:14" s="106" customFormat="1" ht="15.75" customHeight="1" x14ac:dyDescent="0.25">
      <c r="A37" s="220"/>
      <c r="B37" s="95"/>
      <c r="C37" s="172"/>
      <c r="D37" s="222" t="s">
        <v>664</v>
      </c>
      <c r="E37" s="147"/>
      <c r="F37" s="123">
        <v>282</v>
      </c>
      <c r="G37" s="60"/>
      <c r="H37" s="284"/>
    </row>
    <row r="38" spans="1:14" s="106" customFormat="1" ht="15.75" customHeight="1" x14ac:dyDescent="0.25">
      <c r="A38" s="234"/>
      <c r="B38" s="94"/>
      <c r="C38" s="173"/>
      <c r="D38" s="169" t="s">
        <v>319</v>
      </c>
      <c r="E38" s="215"/>
      <c r="F38" s="96">
        <v>41</v>
      </c>
      <c r="G38" s="125"/>
      <c r="H38" s="285"/>
    </row>
    <row r="39" spans="1:14" s="45" customFormat="1" ht="47.25" customHeight="1" thickBot="1" x14ac:dyDescent="0.4">
      <c r="A39" s="3253" t="s">
        <v>320</v>
      </c>
      <c r="B39" s="3254"/>
      <c r="C39" s="3254"/>
      <c r="D39" s="3254"/>
      <c r="E39" s="250">
        <f>SUM(E21)</f>
        <v>40000</v>
      </c>
      <c r="F39" s="250">
        <f>SUM(F10,F13,F18,F21,F33)</f>
        <v>106480</v>
      </c>
      <c r="G39" s="250">
        <f>SUM(G10,G13,G18,G21,G33)</f>
        <v>78503</v>
      </c>
      <c r="H39" s="295">
        <f>(G39/F39)*100</f>
        <v>73.725582268970697</v>
      </c>
      <c r="I39" s="81"/>
      <c r="J39" s="82"/>
      <c r="K39" s="82"/>
      <c r="L39" s="82"/>
      <c r="M39" s="82"/>
      <c r="N39" s="82"/>
    </row>
    <row r="40" spans="1:14" ht="13.5" thickTop="1" x14ac:dyDescent="0.2"/>
  </sheetData>
  <mergeCells count="2">
    <mergeCell ref="A39:D39"/>
    <mergeCell ref="D29:D31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42"/>
  <sheetViews>
    <sheetView showGridLines="0" view="pageBreakPreview" zoomScaleNormal="100" zoomScaleSheetLayoutView="100" workbookViewId="0">
      <selection activeCell="D5" sqref="D5"/>
    </sheetView>
  </sheetViews>
  <sheetFormatPr defaultColWidth="9.140625" defaultRowHeight="12.75" x14ac:dyDescent="0.2"/>
  <cols>
    <col min="1" max="1" width="6.5703125" style="1371" customWidth="1"/>
    <col min="2" max="2" width="7.42578125" style="1371" customWidth="1"/>
    <col min="3" max="3" width="9" style="1371" customWidth="1"/>
    <col min="4" max="4" width="42.28515625" style="1372" customWidth="1"/>
    <col min="5" max="5" width="15.28515625" style="1398" customWidth="1"/>
    <col min="6" max="6" width="14.85546875" style="1398" customWidth="1"/>
    <col min="7" max="7" width="13.85546875" style="1398" customWidth="1"/>
    <col min="8" max="8" width="7.42578125" style="1372" customWidth="1"/>
    <col min="9" max="9" width="9.140625" style="1372"/>
    <col min="10" max="10" width="22.5703125" style="1372" bestFit="1" customWidth="1"/>
    <col min="11" max="11" width="15.140625" style="1372" customWidth="1"/>
    <col min="12" max="12" width="15.85546875" style="1372" customWidth="1"/>
    <col min="13" max="16384" width="9.140625" style="1372"/>
  </cols>
  <sheetData>
    <row r="1" spans="1:21" x14ac:dyDescent="0.2">
      <c r="A1" s="3238" t="s">
        <v>43</v>
      </c>
      <c r="B1" s="3239"/>
      <c r="C1" s="3239"/>
      <c r="D1" s="3239"/>
      <c r="E1" s="3239"/>
      <c r="F1" s="3239"/>
      <c r="G1" s="3239"/>
      <c r="H1" s="3239"/>
    </row>
    <row r="2" spans="1:21" ht="12.75" customHeight="1" thickBot="1" x14ac:dyDescent="0.25">
      <c r="A2" s="3241"/>
      <c r="B2" s="3241"/>
      <c r="C2" s="3241"/>
      <c r="D2" s="3241"/>
      <c r="E2" s="3241"/>
      <c r="F2" s="3241"/>
      <c r="G2" s="3241"/>
      <c r="H2" s="3241"/>
    </row>
    <row r="3" spans="1:21" ht="18.75" customHeight="1" x14ac:dyDescent="0.25">
      <c r="A3" s="1919"/>
      <c r="B3" s="1919"/>
      <c r="C3" s="1919"/>
      <c r="D3" s="1919"/>
      <c r="E3" s="1919"/>
      <c r="F3" s="1919"/>
      <c r="G3" s="2698" t="s">
        <v>649</v>
      </c>
    </row>
    <row r="4" spans="1:21" s="1249" customFormat="1" ht="12.75" customHeight="1" x14ac:dyDescent="0.25">
      <c r="A4" s="1337" t="s">
        <v>336</v>
      </c>
      <c r="B4" s="1311"/>
      <c r="C4" s="1311"/>
      <c r="D4" s="1370" t="s">
        <v>2179</v>
      </c>
      <c r="E4" s="2102"/>
      <c r="F4" s="1307"/>
      <c r="G4" s="2102"/>
    </row>
    <row r="5" spans="1:21" s="1249" customFormat="1" ht="12.75" customHeight="1" x14ac:dyDescent="0.25">
      <c r="A5" s="1335"/>
      <c r="B5" s="1311"/>
      <c r="C5" s="1311"/>
      <c r="D5" s="1370" t="s">
        <v>1758</v>
      </c>
      <c r="E5" s="2102"/>
      <c r="F5" s="1307"/>
      <c r="G5" s="2102"/>
    </row>
    <row r="6" spans="1:21" ht="15.75" thickBot="1" x14ac:dyDescent="0.3">
      <c r="A6" s="2672"/>
      <c r="H6" s="2558" t="s">
        <v>148</v>
      </c>
    </row>
    <row r="7" spans="1:21" s="1292" customFormat="1" ht="25.5" thickTop="1" thickBot="1" x14ac:dyDescent="0.25">
      <c r="A7" s="1378" t="s">
        <v>149</v>
      </c>
      <c r="B7" s="1379" t="s">
        <v>688</v>
      </c>
      <c r="C7" s="1379"/>
      <c r="D7" s="1380" t="s">
        <v>151</v>
      </c>
      <c r="E7" s="1402" t="s">
        <v>569</v>
      </c>
      <c r="F7" s="1402" t="s">
        <v>570</v>
      </c>
      <c r="G7" s="1403" t="s">
        <v>797</v>
      </c>
      <c r="H7" s="1404" t="s">
        <v>798</v>
      </c>
    </row>
    <row r="8" spans="1:21" s="1536" customFormat="1" ht="13.5" thickTop="1" thickBot="1" x14ac:dyDescent="0.25">
      <c r="A8" s="1378">
        <v>1</v>
      </c>
      <c r="B8" s="1379">
        <v>2</v>
      </c>
      <c r="C8" s="1379">
        <v>3</v>
      </c>
      <c r="D8" s="1379">
        <v>4</v>
      </c>
      <c r="E8" s="1295">
        <v>5</v>
      </c>
      <c r="F8" s="1295">
        <v>6</v>
      </c>
      <c r="G8" s="1446">
        <v>7</v>
      </c>
      <c r="H8" s="1383" t="s">
        <v>54</v>
      </c>
    </row>
    <row r="9" spans="1:21" s="2397" customFormat="1" ht="16.5" customHeight="1" thickTop="1" x14ac:dyDescent="0.25">
      <c r="A9" s="2697">
        <v>6113</v>
      </c>
      <c r="B9" s="2696">
        <v>5169</v>
      </c>
      <c r="C9" s="2695"/>
      <c r="D9" s="2694" t="s">
        <v>769</v>
      </c>
      <c r="E9" s="2302">
        <v>54</v>
      </c>
      <c r="F9" s="2456">
        <v>64</v>
      </c>
      <c r="G9" s="2302">
        <v>44</v>
      </c>
      <c r="H9" s="2693">
        <f>(G9/F9)*100</f>
        <v>68.75</v>
      </c>
      <c r="I9" s="2072"/>
      <c r="J9" s="2072"/>
      <c r="K9" s="2072"/>
      <c r="L9" s="2072"/>
      <c r="M9" s="2072"/>
      <c r="N9" s="2072"/>
      <c r="O9" s="2072"/>
      <c r="P9" s="2072"/>
      <c r="Q9" s="2072"/>
      <c r="R9" s="2072"/>
      <c r="S9" s="2072"/>
      <c r="T9" s="2072"/>
      <c r="U9" s="2072"/>
    </row>
    <row r="10" spans="1:21" s="2397" customFormat="1" ht="16.5" customHeight="1" x14ac:dyDescent="0.25">
      <c r="A10" s="2690">
        <v>6113</v>
      </c>
      <c r="B10" s="2689">
        <v>5499</v>
      </c>
      <c r="C10" s="2688"/>
      <c r="D10" s="2687" t="s">
        <v>343</v>
      </c>
      <c r="E10" s="1283">
        <v>42</v>
      </c>
      <c r="F10" s="1284">
        <v>42</v>
      </c>
      <c r="G10" s="1283">
        <v>15</v>
      </c>
      <c r="H10" s="2414">
        <f>(G10/F10)*100</f>
        <v>35.714285714285715</v>
      </c>
      <c r="I10" s="2072"/>
      <c r="J10" s="2072"/>
      <c r="K10" s="2072"/>
      <c r="L10" s="2072"/>
      <c r="M10" s="2072"/>
      <c r="N10" s="2072"/>
      <c r="O10" s="2072"/>
      <c r="P10" s="2072"/>
      <c r="Q10" s="2072"/>
      <c r="R10" s="2072"/>
      <c r="S10" s="2072"/>
      <c r="T10" s="2072"/>
      <c r="U10" s="2072"/>
    </row>
    <row r="11" spans="1:21" s="2397" customFormat="1" ht="16.5" customHeight="1" x14ac:dyDescent="0.25">
      <c r="A11" s="2690">
        <v>6113</v>
      </c>
      <c r="B11" s="2689">
        <v>5901</v>
      </c>
      <c r="C11" s="2688"/>
      <c r="D11" s="2309" t="s">
        <v>547</v>
      </c>
      <c r="E11" s="1283">
        <v>32</v>
      </c>
      <c r="F11" s="1284">
        <v>32</v>
      </c>
      <c r="G11" s="1283">
        <v>0</v>
      </c>
      <c r="H11" s="2414">
        <v>0</v>
      </c>
      <c r="I11" s="2072"/>
      <c r="J11" s="2072"/>
      <c r="K11" s="2072"/>
      <c r="L11" s="2072"/>
      <c r="M11" s="2072"/>
      <c r="N11" s="2072"/>
      <c r="O11" s="2072"/>
      <c r="P11" s="2072"/>
      <c r="Q11" s="2072"/>
      <c r="R11" s="2072"/>
      <c r="S11" s="2072"/>
      <c r="T11" s="2072"/>
      <c r="U11" s="2072"/>
    </row>
    <row r="12" spans="1:21" s="2397" customFormat="1" ht="16.5" customHeight="1" x14ac:dyDescent="0.25">
      <c r="A12" s="2690">
        <v>6172</v>
      </c>
      <c r="B12" s="2689">
        <v>5041</v>
      </c>
      <c r="C12" s="2688"/>
      <c r="D12" s="2309" t="s">
        <v>1998</v>
      </c>
      <c r="E12" s="1283"/>
      <c r="F12" s="1284">
        <v>20</v>
      </c>
      <c r="G12" s="1283">
        <v>0</v>
      </c>
      <c r="H12" s="2414">
        <v>0</v>
      </c>
      <c r="I12" s="2072"/>
      <c r="J12" s="2072"/>
      <c r="K12" s="2072"/>
      <c r="L12" s="2072"/>
      <c r="M12" s="2072"/>
      <c r="N12" s="2072"/>
      <c r="O12" s="2072"/>
      <c r="P12" s="2072"/>
      <c r="Q12" s="2072"/>
      <c r="R12" s="2072"/>
      <c r="S12" s="2072"/>
      <c r="T12" s="2072"/>
      <c r="U12" s="2072"/>
    </row>
    <row r="13" spans="1:21" s="2397" customFormat="1" ht="16.5" customHeight="1" x14ac:dyDescent="0.25">
      <c r="A13" s="2690">
        <v>6172</v>
      </c>
      <c r="B13" s="2689">
        <v>5139</v>
      </c>
      <c r="C13" s="2688"/>
      <c r="D13" s="2687" t="s">
        <v>566</v>
      </c>
      <c r="E13" s="1283"/>
      <c r="F13" s="1284">
        <v>10</v>
      </c>
      <c r="G13" s="1283">
        <v>2</v>
      </c>
      <c r="H13" s="2414">
        <f t="shared" ref="H13:H22" si="0">(G13/F13)*100</f>
        <v>20</v>
      </c>
      <c r="I13" s="2072"/>
      <c r="J13" s="2072"/>
      <c r="K13" s="2072"/>
      <c r="L13" s="2072"/>
      <c r="M13" s="2072"/>
      <c r="N13" s="2072"/>
      <c r="O13" s="2072"/>
      <c r="P13" s="2072"/>
      <c r="Q13" s="2072"/>
      <c r="R13" s="2072"/>
      <c r="S13" s="2072"/>
      <c r="T13" s="2072"/>
      <c r="U13" s="2072"/>
    </row>
    <row r="14" spans="1:21" s="2397" customFormat="1" ht="16.5" customHeight="1" x14ac:dyDescent="0.25">
      <c r="A14" s="2690">
        <v>6172</v>
      </c>
      <c r="B14" s="2689">
        <v>5163</v>
      </c>
      <c r="C14" s="2688"/>
      <c r="D14" s="2687" t="s">
        <v>807</v>
      </c>
      <c r="E14" s="1283">
        <v>9</v>
      </c>
      <c r="F14" s="1284">
        <v>9</v>
      </c>
      <c r="G14" s="1283">
        <v>7</v>
      </c>
      <c r="H14" s="2414">
        <f t="shared" si="0"/>
        <v>77.777777777777786</v>
      </c>
      <c r="I14" s="2072"/>
      <c r="J14" s="2072"/>
      <c r="K14" s="2072"/>
      <c r="L14" s="2072"/>
      <c r="M14" s="2072"/>
      <c r="N14" s="2072"/>
      <c r="O14" s="2072"/>
      <c r="P14" s="2072"/>
      <c r="Q14" s="2072"/>
      <c r="R14" s="2072"/>
      <c r="S14" s="2072"/>
      <c r="T14" s="2072"/>
      <c r="U14" s="2072"/>
    </row>
    <row r="15" spans="1:21" s="2397" customFormat="1" ht="16.5" customHeight="1" x14ac:dyDescent="0.25">
      <c r="A15" s="2690">
        <v>6172</v>
      </c>
      <c r="B15" s="2689">
        <v>5164</v>
      </c>
      <c r="C15" s="2688"/>
      <c r="D15" s="2687" t="s">
        <v>157</v>
      </c>
      <c r="E15" s="1283">
        <v>20</v>
      </c>
      <c r="F15" s="1284">
        <v>100</v>
      </c>
      <c r="G15" s="1283">
        <v>84</v>
      </c>
      <c r="H15" s="2414">
        <f t="shared" si="0"/>
        <v>84</v>
      </c>
      <c r="I15" s="2072"/>
      <c r="J15" s="2072"/>
      <c r="K15" s="2072"/>
      <c r="L15" s="2072"/>
      <c r="M15" s="2072"/>
      <c r="N15" s="2072"/>
      <c r="O15" s="2072"/>
      <c r="P15" s="2072"/>
      <c r="Q15" s="2072"/>
      <c r="R15" s="2072"/>
      <c r="S15" s="2072"/>
      <c r="T15" s="2072"/>
      <c r="U15" s="2072"/>
    </row>
    <row r="16" spans="1:21" s="2397" customFormat="1" ht="16.5" customHeight="1" x14ac:dyDescent="0.25">
      <c r="A16" s="2690">
        <v>6172</v>
      </c>
      <c r="B16" s="2689">
        <v>5169</v>
      </c>
      <c r="C16" s="2688"/>
      <c r="D16" s="2687" t="s">
        <v>769</v>
      </c>
      <c r="E16" s="1283">
        <f>E17+E18</f>
        <v>3731</v>
      </c>
      <c r="F16" s="1283">
        <f>F17+F18+F19</f>
        <v>4720</v>
      </c>
      <c r="G16" s="1283">
        <f>G17+G18+G19</f>
        <v>3888</v>
      </c>
      <c r="H16" s="2414">
        <f t="shared" si="0"/>
        <v>82.372881355932208</v>
      </c>
      <c r="I16" s="2072"/>
      <c r="J16" s="2072"/>
      <c r="K16" s="2072"/>
      <c r="L16" s="2072"/>
      <c r="M16" s="2072"/>
      <c r="N16" s="2072"/>
      <c r="O16" s="2072"/>
      <c r="P16" s="2072"/>
      <c r="Q16" s="2072"/>
      <c r="R16" s="2072"/>
      <c r="S16" s="2072"/>
      <c r="T16" s="2072"/>
      <c r="U16" s="2072"/>
    </row>
    <row r="17" spans="1:21" s="2397" customFormat="1" ht="16.5" customHeight="1" x14ac:dyDescent="0.2">
      <c r="A17" s="2690"/>
      <c r="B17" s="2689"/>
      <c r="C17" s="1281" t="s">
        <v>1760</v>
      </c>
      <c r="D17" s="1287" t="s">
        <v>1127</v>
      </c>
      <c r="E17" s="1274">
        <v>3681</v>
      </c>
      <c r="F17" s="1275">
        <v>4451</v>
      </c>
      <c r="G17" s="1274">
        <v>3625</v>
      </c>
      <c r="H17" s="2691">
        <f t="shared" si="0"/>
        <v>81.44237250056166</v>
      </c>
      <c r="I17" s="2072"/>
      <c r="J17" s="2072"/>
      <c r="K17" s="2072"/>
      <c r="L17" s="2072"/>
      <c r="M17" s="2072"/>
      <c r="N17" s="2072"/>
      <c r="O17" s="2072"/>
      <c r="P17" s="2072"/>
      <c r="Q17" s="2072"/>
      <c r="R17" s="2072"/>
      <c r="S17" s="2072"/>
      <c r="T17" s="2072"/>
      <c r="U17" s="2072"/>
    </row>
    <row r="18" spans="1:21" s="1263" customFormat="1" ht="16.5" customHeight="1" x14ac:dyDescent="0.2">
      <c r="A18" s="2690"/>
      <c r="B18" s="2689"/>
      <c r="C18" s="2182" t="s">
        <v>1997</v>
      </c>
      <c r="D18" s="2692" t="s">
        <v>158</v>
      </c>
      <c r="E18" s="1274">
        <v>50</v>
      </c>
      <c r="F18" s="1275">
        <v>106</v>
      </c>
      <c r="G18" s="1274">
        <v>106</v>
      </c>
      <c r="H18" s="2691">
        <f t="shared" si="0"/>
        <v>100</v>
      </c>
      <c r="I18" s="2072"/>
      <c r="J18" s="2072"/>
      <c r="K18" s="2072"/>
      <c r="L18" s="2072"/>
      <c r="M18" s="2072"/>
      <c r="N18" s="2072"/>
      <c r="O18" s="2072"/>
      <c r="P18" s="2072"/>
      <c r="Q18" s="2072"/>
      <c r="R18" s="2072"/>
      <c r="S18" s="2072"/>
      <c r="T18" s="2072"/>
      <c r="U18" s="2072"/>
    </row>
    <row r="19" spans="1:21" s="1263" customFormat="1" ht="16.5" customHeight="1" x14ac:dyDescent="0.2">
      <c r="A19" s="2690"/>
      <c r="B19" s="2689"/>
      <c r="C19" s="2182" t="s">
        <v>1996</v>
      </c>
      <c r="D19" s="2692" t="s">
        <v>1995</v>
      </c>
      <c r="E19" s="1274"/>
      <c r="F19" s="1275">
        <v>163</v>
      </c>
      <c r="G19" s="1274">
        <v>157</v>
      </c>
      <c r="H19" s="2691">
        <f t="shared" si="0"/>
        <v>96.319018404907979</v>
      </c>
      <c r="I19" s="2072"/>
      <c r="J19" s="2072"/>
      <c r="K19" s="2072"/>
      <c r="L19" s="2072"/>
      <c r="M19" s="2072"/>
      <c r="N19" s="2072"/>
      <c r="O19" s="2072"/>
      <c r="P19" s="2072"/>
      <c r="Q19" s="2072"/>
      <c r="R19" s="2072"/>
      <c r="S19" s="2072"/>
      <c r="T19" s="2072"/>
      <c r="U19" s="2072"/>
    </row>
    <row r="20" spans="1:21" s="2397" customFormat="1" ht="16.5" customHeight="1" x14ac:dyDescent="0.25">
      <c r="A20" s="2690">
        <v>6172</v>
      </c>
      <c r="B20" s="2689">
        <v>5175</v>
      </c>
      <c r="C20" s="2688"/>
      <c r="D20" s="2687" t="s">
        <v>605</v>
      </c>
      <c r="E20" s="1283">
        <v>200</v>
      </c>
      <c r="F20" s="1284">
        <v>350</v>
      </c>
      <c r="G20" s="1283">
        <v>232</v>
      </c>
      <c r="H20" s="2414">
        <f t="shared" si="0"/>
        <v>66.285714285714278</v>
      </c>
      <c r="I20" s="2072"/>
      <c r="J20" s="2072"/>
      <c r="K20" s="2072"/>
      <c r="L20" s="2072"/>
      <c r="M20" s="2072"/>
      <c r="N20" s="2072"/>
      <c r="O20" s="2072"/>
      <c r="P20" s="2072"/>
      <c r="Q20" s="2072"/>
      <c r="R20" s="2072"/>
      <c r="S20" s="2072"/>
      <c r="T20" s="2072"/>
      <c r="U20" s="2072"/>
    </row>
    <row r="21" spans="1:21" s="2072" customFormat="1" ht="16.5" customHeight="1" x14ac:dyDescent="0.25">
      <c r="A21" s="2690">
        <v>6172</v>
      </c>
      <c r="B21" s="2689">
        <v>5194</v>
      </c>
      <c r="C21" s="2688"/>
      <c r="D21" s="2687" t="s">
        <v>544</v>
      </c>
      <c r="E21" s="1283"/>
      <c r="F21" s="1284">
        <v>224</v>
      </c>
      <c r="G21" s="1283">
        <v>170</v>
      </c>
      <c r="H21" s="2414">
        <f t="shared" si="0"/>
        <v>75.892857142857139</v>
      </c>
    </row>
    <row r="22" spans="1:21" s="2397" customFormat="1" ht="16.5" customHeight="1" thickBot="1" x14ac:dyDescent="0.3">
      <c r="A22" s="2686">
        <v>6172</v>
      </c>
      <c r="B22" s="2685">
        <v>5499</v>
      </c>
      <c r="C22" s="2684"/>
      <c r="D22" s="2683" t="s">
        <v>343</v>
      </c>
      <c r="E22" s="2274">
        <v>2680</v>
      </c>
      <c r="F22" s="2274">
        <v>2671</v>
      </c>
      <c r="G22" s="2274">
        <v>2306</v>
      </c>
      <c r="H22" s="2682">
        <f t="shared" si="0"/>
        <v>86.334706102583297</v>
      </c>
      <c r="I22" s="2072"/>
      <c r="J22" s="2072"/>
      <c r="K22" s="2072"/>
      <c r="L22" s="2072"/>
      <c r="M22" s="2072"/>
      <c r="N22" s="2072"/>
      <c r="O22" s="2072"/>
      <c r="P22" s="2072"/>
      <c r="Q22" s="2072"/>
      <c r="R22" s="2072"/>
      <c r="S22" s="2072"/>
      <c r="T22" s="2072"/>
      <c r="U22" s="2072"/>
    </row>
    <row r="23" spans="1:21" s="1397" customFormat="1" ht="16.5" thickTop="1" thickBot="1" x14ac:dyDescent="0.3">
      <c r="A23" s="3255" t="s">
        <v>690</v>
      </c>
      <c r="B23" s="3256"/>
      <c r="C23" s="3256"/>
      <c r="D23" s="3257"/>
      <c r="E23" s="2681">
        <f>SUM(E9,E10,E13,E14,E15,E16,E20,E21,E22,E11)</f>
        <v>6768</v>
      </c>
      <c r="F23" s="2681">
        <f>F9+F10+F11+F13+F14+F15+F16+F20+F21+F22+F12</f>
        <v>8242</v>
      </c>
      <c r="G23" s="2681">
        <f>G9+G10+G11+G13+G14+G15+G16+G20+G21+G22</f>
        <v>6748</v>
      </c>
      <c r="H23" s="1719">
        <f>G23/F23*100</f>
        <v>81.873331715603001</v>
      </c>
    </row>
    <row r="24" spans="1:21" ht="13.5" thickTop="1" x14ac:dyDescent="0.2">
      <c r="H24" s="1394"/>
    </row>
    <row r="25" spans="1:21" x14ac:dyDescent="0.2">
      <c r="H25" s="1394"/>
      <c r="J25" s="1398"/>
      <c r="K25" s="1398"/>
      <c r="L25" s="1398"/>
    </row>
    <row r="26" spans="1:21" s="2668" customFormat="1" ht="15.75" x14ac:dyDescent="0.25">
      <c r="A26" s="2680" t="s">
        <v>1446</v>
      </c>
      <c r="B26" s="2680"/>
      <c r="C26" s="2680"/>
      <c r="D26" s="2680"/>
      <c r="E26" s="2580">
        <f>SUM(E27:E28)</f>
        <v>6768</v>
      </c>
      <c r="F26" s="2580">
        <f>SUM(F27:F28)</f>
        <v>8242</v>
      </c>
      <c r="G26" s="2580">
        <f>SUM(G27:G28)</f>
        <v>6748</v>
      </c>
      <c r="H26" s="2670">
        <f>G26/F26*100</f>
        <v>81.873331715603001</v>
      </c>
      <c r="J26" s="2669">
        <f>J27+J28</f>
        <v>6768000</v>
      </c>
      <c r="K26" s="2669">
        <f>K27+K28</f>
        <v>8242381.9199999999</v>
      </c>
      <c r="L26" s="2669">
        <f>L27+L28</f>
        <v>6747804.4000000004</v>
      </c>
    </row>
    <row r="27" spans="1:21" s="2663" customFormat="1" ht="15" x14ac:dyDescent="0.2">
      <c r="A27" s="1263" t="s">
        <v>242</v>
      </c>
      <c r="B27" s="2667"/>
      <c r="C27" s="2667"/>
      <c r="D27" s="2667"/>
      <c r="E27" s="2666">
        <f>SUM(E23)</f>
        <v>6768</v>
      </c>
      <c r="F27" s="2666">
        <f>SUM(F23)</f>
        <v>8242</v>
      </c>
      <c r="G27" s="2666">
        <f>SUM(G23)</f>
        <v>6748</v>
      </c>
      <c r="H27" s="2665">
        <f>G27/F27*100</f>
        <v>81.873331715603001</v>
      </c>
      <c r="J27" s="2679">
        <v>6768000</v>
      </c>
      <c r="K27" s="2679">
        <v>8242381.9199999999</v>
      </c>
      <c r="L27" s="2679">
        <v>6747804.4000000004</v>
      </c>
    </row>
    <row r="28" spans="1:21" s="2663" customFormat="1" ht="15" x14ac:dyDescent="0.2">
      <c r="A28" s="1263" t="s">
        <v>243</v>
      </c>
      <c r="B28" s="2667"/>
      <c r="C28" s="2667"/>
      <c r="D28" s="2667"/>
      <c r="E28" s="2666">
        <v>0</v>
      </c>
      <c r="F28" s="2666">
        <v>0</v>
      </c>
      <c r="G28" s="2666">
        <v>0</v>
      </c>
      <c r="H28" s="2665">
        <v>0</v>
      </c>
      <c r="J28" s="2679">
        <v>0</v>
      </c>
      <c r="K28" s="2679">
        <v>0</v>
      </c>
      <c r="L28" s="2679">
        <v>0</v>
      </c>
    </row>
    <row r="29" spans="1:21" s="2663" customFormat="1" ht="15" x14ac:dyDescent="0.2">
      <c r="A29" s="1263"/>
      <c r="B29" s="2667"/>
      <c r="C29" s="2667"/>
      <c r="D29" s="2667"/>
      <c r="E29" s="2666"/>
      <c r="F29" s="2666"/>
      <c r="G29" s="2666"/>
      <c r="H29" s="2665"/>
      <c r="J29" s="2679"/>
      <c r="K29" s="2679"/>
      <c r="L29" s="2679"/>
    </row>
    <row r="30" spans="1:21" s="1436" customFormat="1" ht="15" x14ac:dyDescent="0.2">
      <c r="A30" s="2667"/>
      <c r="B30" s="2667"/>
      <c r="C30" s="2667"/>
      <c r="D30" s="2667"/>
      <c r="E30" s="2666"/>
      <c r="F30" s="2666"/>
      <c r="G30" s="2666"/>
      <c r="H30" s="2665"/>
      <c r="J30" s="1437"/>
      <c r="K30" s="1437"/>
      <c r="L30" s="1437"/>
    </row>
    <row r="31" spans="1:21" s="2655" customFormat="1" ht="23.25" x14ac:dyDescent="0.35">
      <c r="A31" s="3260" t="s">
        <v>1445</v>
      </c>
      <c r="B31" s="3261"/>
      <c r="C31" s="3261"/>
      <c r="D31" s="3261"/>
      <c r="E31" s="2661">
        <f>SUM(E26)</f>
        <v>6768</v>
      </c>
      <c r="F31" s="2661">
        <f>SUM(F26)</f>
        <v>8242</v>
      </c>
      <c r="G31" s="2661">
        <f>SUM(G26)</f>
        <v>6748</v>
      </c>
      <c r="H31" s="2660">
        <f>G31/F31*100</f>
        <v>81.873331715603001</v>
      </c>
      <c r="J31" s="2678">
        <f>J26</f>
        <v>6768000</v>
      </c>
      <c r="K31" s="2678">
        <f>K26</f>
        <v>8242381.9199999999</v>
      </c>
      <c r="L31" s="2678">
        <f>L26</f>
        <v>6747804.4000000004</v>
      </c>
    </row>
    <row r="32" spans="1:21" s="2655" customFormat="1" ht="24" thickBot="1" x14ac:dyDescent="0.4">
      <c r="A32" s="3262"/>
      <c r="B32" s="3262"/>
      <c r="C32" s="3262"/>
      <c r="D32" s="3262"/>
      <c r="E32" s="2677"/>
      <c r="F32" s="2677"/>
      <c r="G32" s="2677"/>
      <c r="H32" s="2676"/>
    </row>
    <row r="33" spans="1:10" ht="13.5" thickTop="1" x14ac:dyDescent="0.2">
      <c r="D33" s="1371"/>
      <c r="E33" s="1371"/>
      <c r="F33" s="1372"/>
      <c r="G33" s="1373"/>
      <c r="H33" s="2543"/>
      <c r="I33" s="1373"/>
    </row>
    <row r="34" spans="1:10" x14ac:dyDescent="0.2">
      <c r="D34" s="1371"/>
      <c r="E34" s="1371"/>
      <c r="F34" s="2651"/>
      <c r="G34" s="1254"/>
      <c r="H34" s="1254"/>
      <c r="I34" s="1254"/>
      <c r="J34" s="2651"/>
    </row>
    <row r="35" spans="1:10" ht="14.25" x14ac:dyDescent="0.2">
      <c r="A35" s="2619" t="s">
        <v>100</v>
      </c>
      <c r="B35" s="1543"/>
      <c r="C35" s="1543"/>
      <c r="D35" s="1543"/>
      <c r="E35" s="1543"/>
      <c r="F35" s="2649"/>
      <c r="G35" s="2400"/>
      <c r="H35" s="2400"/>
      <c r="I35" s="2400"/>
      <c r="J35" s="2649"/>
    </row>
    <row r="36" spans="1:10" ht="15.75" customHeight="1" x14ac:dyDescent="0.2">
      <c r="A36" s="3258" t="s">
        <v>1403</v>
      </c>
      <c r="B36" s="3259"/>
      <c r="C36" s="3259"/>
      <c r="D36" s="3259"/>
      <c r="E36" s="3259"/>
      <c r="F36" s="3259"/>
      <c r="G36" s="3259"/>
      <c r="H36" s="3259"/>
      <c r="I36" s="2675"/>
      <c r="J36" s="2675"/>
    </row>
    <row r="37" spans="1:10" ht="12.75" customHeight="1" x14ac:dyDescent="0.2">
      <c r="A37" s="3259"/>
      <c r="B37" s="3259"/>
      <c r="C37" s="3259"/>
      <c r="D37" s="3259"/>
      <c r="E37" s="3259"/>
      <c r="F37" s="3259"/>
      <c r="G37" s="3259"/>
      <c r="H37" s="3259"/>
      <c r="I37" s="2675"/>
      <c r="J37" s="2675"/>
    </row>
    <row r="41" spans="1:10" x14ac:dyDescent="0.2">
      <c r="C41" s="1255"/>
    </row>
    <row r="42" spans="1:10" x14ac:dyDescent="0.2">
      <c r="C42" s="1255"/>
    </row>
  </sheetData>
  <mergeCells count="4">
    <mergeCell ref="A1:H2"/>
    <mergeCell ref="A23:D23"/>
    <mergeCell ref="A36:H37"/>
    <mergeCell ref="A31:D32"/>
  </mergeCells>
  <pageMargins left="0.98425196850393704" right="0.98425196850393704" top="0.98425196850393704" bottom="0.98425196850393704" header="0.51181102362204722" footer="0.51181102362204722"/>
  <pageSetup paperSize="9" scale="70" firstPageNumber="183" orientation="portrait" useFirstPageNumber="1" r:id="rId1"/>
  <headerFooter alignWithMargins="0">
    <oddFooter>&amp;L&amp;"Arial,Kurzíva"Zastupitelstvo Olomouckého kraje 24.6.2016
4.1. - Rozpočet Olomouckého kraje 2015 - závěrečný účet 
Příloha č. 3: Plnění rozpočtu výdajů Olomouckého kraje k 31.12.2015&amp;R&amp;"Arial,Kurzíva"Strana &amp;P (Celkem 473)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0" sqref="E40"/>
    </sheetView>
  </sheetViews>
  <sheetFormatPr defaultRowHeight="12.75" x14ac:dyDescent="0.2"/>
  <sheetData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 enableFormatConditionsCalculation="0">
    <tabColor rgb="FF00B0F0"/>
  </sheetPr>
  <dimension ref="A1:L42"/>
  <sheetViews>
    <sheetView showGridLines="0" view="pageBreakPreview" zoomScaleNormal="100" zoomScaleSheetLayoutView="100" workbookViewId="0">
      <selection activeCell="L37" sqref="L37"/>
    </sheetView>
  </sheetViews>
  <sheetFormatPr defaultColWidth="9.140625" defaultRowHeight="12.75" x14ac:dyDescent="0.2"/>
  <cols>
    <col min="1" max="1" width="4.7109375" style="598" customWidth="1"/>
    <col min="2" max="2" width="4.7109375" style="504" customWidth="1"/>
    <col min="3" max="3" width="8.7109375" style="842" customWidth="1"/>
    <col min="4" max="4" width="47.28515625" style="504" customWidth="1"/>
    <col min="5" max="5" width="15.140625" style="467" customWidth="1"/>
    <col min="6" max="6" width="14.42578125" style="467" customWidth="1"/>
    <col min="7" max="7" width="13" style="467" customWidth="1"/>
    <col min="8" max="8" width="8.85546875" style="610" customWidth="1"/>
    <col min="9" max="9" width="9.140625" style="504"/>
    <col min="10" max="10" width="17" style="504" customWidth="1"/>
    <col min="11" max="11" width="16.7109375" style="504" customWidth="1"/>
    <col min="12" max="12" width="17" style="504" customWidth="1"/>
    <col min="13" max="16384" width="9.140625" style="504"/>
  </cols>
  <sheetData>
    <row r="1" spans="1:10" ht="18.75" thickBot="1" x14ac:dyDescent="0.3">
      <c r="A1" s="448" t="s">
        <v>933</v>
      </c>
      <c r="B1" s="449"/>
      <c r="C1" s="473"/>
      <c r="D1" s="460"/>
      <c r="E1" s="466"/>
      <c r="F1" s="452" t="s">
        <v>155</v>
      </c>
      <c r="I1" s="17"/>
    </row>
    <row r="2" spans="1:10" ht="12.75" customHeight="1" x14ac:dyDescent="0.25">
      <c r="A2" s="6"/>
      <c r="B2" s="28"/>
      <c r="C2" s="52"/>
      <c r="D2" s="10"/>
      <c r="E2" s="135"/>
      <c r="F2" s="135"/>
      <c r="G2" s="16"/>
      <c r="H2" s="191"/>
      <c r="I2" s="17"/>
    </row>
    <row r="3" spans="1:10" ht="12.75" customHeight="1" x14ac:dyDescent="0.25">
      <c r="A3" s="67" t="s">
        <v>336</v>
      </c>
      <c r="B3" s="28"/>
      <c r="C3" s="496" t="s">
        <v>1866</v>
      </c>
      <c r="D3" s="583"/>
      <c r="E3" s="135"/>
      <c r="F3" s="16"/>
      <c r="G3" s="17"/>
      <c r="H3" s="191"/>
    </row>
    <row r="4" spans="1:10" ht="12.75" customHeight="1" x14ac:dyDescent="0.25">
      <c r="A4" s="6"/>
      <c r="B4" s="28"/>
      <c r="C4" s="475" t="s">
        <v>1064</v>
      </c>
      <c r="D4" s="613"/>
      <c r="E4" s="136"/>
      <c r="F4" s="16"/>
      <c r="G4" s="17"/>
      <c r="H4" s="191"/>
    </row>
    <row r="5" spans="1:10" ht="12.75" customHeight="1" x14ac:dyDescent="0.25">
      <c r="A5" s="6"/>
      <c r="B5" s="28"/>
      <c r="C5" s="52"/>
      <c r="D5" s="10"/>
      <c r="E5" s="135"/>
      <c r="F5" s="135"/>
      <c r="G5" s="16"/>
      <c r="H5" s="191"/>
      <c r="I5" s="17"/>
    </row>
    <row r="6" spans="1:10" ht="18" x14ac:dyDescent="0.25">
      <c r="A6" s="33" t="s">
        <v>799</v>
      </c>
      <c r="B6" s="28"/>
      <c r="C6" s="52"/>
      <c r="D6" s="10"/>
      <c r="E6" s="135"/>
      <c r="F6" s="135"/>
      <c r="G6" s="16"/>
      <c r="H6" s="191"/>
      <c r="I6" s="17"/>
    </row>
    <row r="7" spans="1:10" ht="13.5" thickBot="1" x14ac:dyDescent="0.25">
      <c r="A7" s="584"/>
      <c r="B7" s="584"/>
      <c r="C7" s="840"/>
      <c r="D7" s="585"/>
      <c r="G7" s="783"/>
      <c r="H7" s="610" t="s">
        <v>148</v>
      </c>
    </row>
    <row r="8" spans="1:10" s="106" customFormat="1" ht="20.25" customHeight="1" thickTop="1" thickBot="1" x14ac:dyDescent="0.25">
      <c r="A8" s="586" t="s">
        <v>149</v>
      </c>
      <c r="B8" s="587" t="s">
        <v>150</v>
      </c>
      <c r="C8" s="589" t="s">
        <v>639</v>
      </c>
      <c r="D8" s="589" t="s">
        <v>151</v>
      </c>
      <c r="E8" s="589" t="s">
        <v>569</v>
      </c>
      <c r="F8" s="589" t="s">
        <v>570</v>
      </c>
      <c r="G8" s="589" t="s">
        <v>797</v>
      </c>
      <c r="H8" s="590" t="s">
        <v>798</v>
      </c>
    </row>
    <row r="9" spans="1:10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26">
        <v>5</v>
      </c>
      <c r="F9" s="512">
        <v>6</v>
      </c>
      <c r="G9" s="512">
        <v>7</v>
      </c>
      <c r="H9" s="591" t="s">
        <v>54</v>
      </c>
      <c r="I9" s="106"/>
    </row>
    <row r="10" spans="1:10" s="875" customFormat="1" ht="15.75" thickTop="1" x14ac:dyDescent="0.25">
      <c r="A10" s="910">
        <v>6172</v>
      </c>
      <c r="B10" s="962">
        <v>5137</v>
      </c>
      <c r="C10" s="885"/>
      <c r="D10" s="928" t="s">
        <v>142</v>
      </c>
      <c r="E10" s="891">
        <v>1000</v>
      </c>
      <c r="F10" s="1085">
        <v>1127</v>
      </c>
      <c r="G10" s="363">
        <v>1127</v>
      </c>
      <c r="H10" s="922">
        <f>(G10/F10)*100</f>
        <v>100</v>
      </c>
    </row>
    <row r="11" spans="1:10" s="875" customFormat="1" ht="15" x14ac:dyDescent="0.25">
      <c r="A11" s="34">
        <v>6172</v>
      </c>
      <c r="B11" s="905">
        <v>5139</v>
      </c>
      <c r="C11" s="886"/>
      <c r="D11" s="876" t="s">
        <v>156</v>
      </c>
      <c r="E11" s="48">
        <v>300</v>
      </c>
      <c r="F11" s="166">
        <v>22</v>
      </c>
      <c r="G11" s="311">
        <v>22</v>
      </c>
      <c r="H11" s="892">
        <f>(G11/F11)*100</f>
        <v>100</v>
      </c>
    </row>
    <row r="12" spans="1:10" s="875" customFormat="1" ht="15" x14ac:dyDescent="0.25">
      <c r="A12" s="34">
        <v>6172</v>
      </c>
      <c r="B12" s="905">
        <v>5164</v>
      </c>
      <c r="C12" s="886"/>
      <c r="D12" s="876" t="s">
        <v>157</v>
      </c>
      <c r="E12" s="48">
        <v>2800</v>
      </c>
      <c r="F12" s="48">
        <v>1755</v>
      </c>
      <c r="G12" s="48">
        <v>1755</v>
      </c>
      <c r="H12" s="892">
        <f>(G12/F12)*100</f>
        <v>100</v>
      </c>
    </row>
    <row r="13" spans="1:10" s="875" customFormat="1" ht="15" x14ac:dyDescent="0.25">
      <c r="A13" s="34">
        <v>6172</v>
      </c>
      <c r="B13" s="905">
        <v>5166</v>
      </c>
      <c r="C13" s="886"/>
      <c r="D13" s="876" t="s">
        <v>553</v>
      </c>
      <c r="E13" s="48">
        <v>250</v>
      </c>
      <c r="F13" s="166">
        <v>0</v>
      </c>
      <c r="G13" s="311">
        <v>0</v>
      </c>
      <c r="H13" s="892">
        <v>0</v>
      </c>
    </row>
    <row r="14" spans="1:10" s="875" customFormat="1" ht="15" x14ac:dyDescent="0.25">
      <c r="A14" s="34">
        <v>6172</v>
      </c>
      <c r="B14" s="905">
        <v>5168</v>
      </c>
      <c r="C14" s="886"/>
      <c r="D14" s="876" t="s">
        <v>159</v>
      </c>
      <c r="E14" s="48">
        <v>20300</v>
      </c>
      <c r="F14" s="166">
        <v>20636</v>
      </c>
      <c r="G14" s="311">
        <v>20376</v>
      </c>
      <c r="H14" s="892">
        <v>0</v>
      </c>
    </row>
    <row r="15" spans="1:10" s="875" customFormat="1" ht="15.75" x14ac:dyDescent="0.25">
      <c r="A15" s="34">
        <v>6172</v>
      </c>
      <c r="B15" s="905">
        <v>5169</v>
      </c>
      <c r="C15" s="886"/>
      <c r="D15" s="876" t="s">
        <v>769</v>
      </c>
      <c r="E15" s="48">
        <v>350</v>
      </c>
      <c r="F15" s="166">
        <v>324</v>
      </c>
      <c r="G15" s="311">
        <v>324</v>
      </c>
      <c r="H15" s="892">
        <f>(G15/F15)*100</f>
        <v>100</v>
      </c>
      <c r="J15" s="912"/>
    </row>
    <row r="16" spans="1:10" s="875" customFormat="1" ht="15.75" x14ac:dyDescent="0.25">
      <c r="A16" s="34">
        <v>6172</v>
      </c>
      <c r="B16" s="905">
        <v>5171</v>
      </c>
      <c r="C16" s="886"/>
      <c r="D16" s="876" t="s">
        <v>1105</v>
      </c>
      <c r="E16" s="48">
        <v>2353</v>
      </c>
      <c r="F16" s="166">
        <v>782</v>
      </c>
      <c r="G16" s="311">
        <v>782</v>
      </c>
      <c r="H16" s="892">
        <f>(G16/F16)*100</f>
        <v>100</v>
      </c>
      <c r="J16" s="890"/>
    </row>
    <row r="17" spans="1:10" s="875" customFormat="1" ht="16.5" thickBot="1" x14ac:dyDescent="0.3">
      <c r="A17" s="911">
        <v>6172</v>
      </c>
      <c r="B17" s="908">
        <v>5172</v>
      </c>
      <c r="C17" s="921"/>
      <c r="D17" s="896" t="s">
        <v>160</v>
      </c>
      <c r="E17" s="902">
        <v>400</v>
      </c>
      <c r="F17" s="431">
        <v>202</v>
      </c>
      <c r="G17" s="430">
        <v>203</v>
      </c>
      <c r="H17" s="897">
        <f>(G17/F17)*100</f>
        <v>100.4950495049505</v>
      </c>
      <c r="J17" s="890"/>
    </row>
    <row r="18" spans="1:10" s="356" customFormat="1" ht="35.25" customHeight="1" thickTop="1" thickBot="1" x14ac:dyDescent="0.3">
      <c r="A18" s="592" t="s">
        <v>225</v>
      </c>
      <c r="B18" s="593"/>
      <c r="C18" s="594"/>
      <c r="D18" s="595"/>
      <c r="E18" s="596">
        <f>E10+E11+E12+E13+E14+E15+E16+E17</f>
        <v>27753</v>
      </c>
      <c r="F18" s="596">
        <f>F10+F11+F12+F14+F15+F16+F17+F13</f>
        <v>24848</v>
      </c>
      <c r="G18" s="596">
        <f>G10+G11+G12+G14+G15+G16+G17+G13</f>
        <v>24589</v>
      </c>
      <c r="H18" s="597">
        <f>(G18/F18)*100</f>
        <v>98.957662588538312</v>
      </c>
    </row>
    <row r="19" spans="1:10" ht="15.75" thickTop="1" x14ac:dyDescent="0.25">
      <c r="C19" s="585"/>
      <c r="D19" s="598"/>
      <c r="E19" s="622"/>
      <c r="F19" s="657"/>
      <c r="G19" s="622"/>
      <c r="H19" s="602"/>
    </row>
    <row r="20" spans="1:10" ht="15" x14ac:dyDescent="0.25">
      <c r="C20" s="585"/>
      <c r="D20" s="598"/>
      <c r="E20" s="622"/>
      <c r="F20" s="657"/>
      <c r="G20" s="622"/>
      <c r="H20" s="602"/>
    </row>
    <row r="21" spans="1:10" ht="15" x14ac:dyDescent="0.25">
      <c r="C21" s="585"/>
      <c r="D21" s="598"/>
      <c r="E21" s="622"/>
      <c r="F21" s="657"/>
      <c r="G21" s="622"/>
      <c r="H21" s="602"/>
    </row>
    <row r="22" spans="1:10" ht="15" x14ac:dyDescent="0.25">
      <c r="C22" s="585"/>
      <c r="D22" s="598"/>
      <c r="E22" s="622"/>
      <c r="F22" s="657"/>
      <c r="G22" s="622"/>
      <c r="H22" s="602"/>
    </row>
    <row r="23" spans="1:10" ht="15" x14ac:dyDescent="0.25">
      <c r="C23" s="585"/>
      <c r="D23" s="598"/>
      <c r="E23" s="622"/>
      <c r="F23" s="657"/>
      <c r="G23" s="622"/>
      <c r="H23" s="602"/>
    </row>
    <row r="24" spans="1:10" ht="15" x14ac:dyDescent="0.25">
      <c r="C24" s="585"/>
      <c r="D24" s="598"/>
      <c r="E24" s="622"/>
      <c r="F24" s="657"/>
      <c r="G24" s="622"/>
      <c r="H24" s="602"/>
    </row>
    <row r="25" spans="1:10" ht="18" x14ac:dyDescent="0.25">
      <c r="A25" s="33" t="s">
        <v>1120</v>
      </c>
      <c r="B25" s="28"/>
      <c r="C25" s="10"/>
      <c r="D25" s="137"/>
      <c r="E25" s="135"/>
      <c r="F25" s="16"/>
      <c r="G25" s="17"/>
      <c r="H25" s="191"/>
    </row>
    <row r="26" spans="1:10" ht="13.5" thickBot="1" x14ac:dyDescent="0.25">
      <c r="A26" s="584"/>
      <c r="B26" s="584"/>
      <c r="C26" s="585"/>
      <c r="F26" s="783"/>
      <c r="H26" s="610" t="s">
        <v>148</v>
      </c>
    </row>
    <row r="27" spans="1:10" s="106" customFormat="1" ht="20.25" customHeight="1" thickTop="1" thickBot="1" x14ac:dyDescent="0.25">
      <c r="A27" s="586" t="s">
        <v>149</v>
      </c>
      <c r="B27" s="587" t="s">
        <v>150</v>
      </c>
      <c r="C27" s="589" t="s">
        <v>639</v>
      </c>
      <c r="D27" s="658" t="s">
        <v>151</v>
      </c>
      <c r="E27" s="658" t="s">
        <v>569</v>
      </c>
      <c r="F27" s="658" t="s">
        <v>570</v>
      </c>
      <c r="G27" s="658" t="s">
        <v>797</v>
      </c>
      <c r="H27" s="590" t="s">
        <v>798</v>
      </c>
    </row>
    <row r="28" spans="1:10" s="375" customFormat="1" ht="13.5" thickTop="1" thickBot="1" x14ac:dyDescent="0.25">
      <c r="A28" s="525">
        <v>1</v>
      </c>
      <c r="B28" s="526">
        <v>2</v>
      </c>
      <c r="C28" s="526">
        <v>3</v>
      </c>
      <c r="D28" s="526">
        <v>4</v>
      </c>
      <c r="E28" s="526">
        <v>5</v>
      </c>
      <c r="F28" s="512">
        <v>6</v>
      </c>
      <c r="G28" s="512">
        <v>7</v>
      </c>
      <c r="H28" s="591" t="s">
        <v>54</v>
      </c>
      <c r="I28" s="106"/>
    </row>
    <row r="29" spans="1:10" s="875" customFormat="1" ht="16.5" thickTop="1" x14ac:dyDescent="0.25">
      <c r="A29" s="219">
        <v>6172</v>
      </c>
      <c r="B29" s="879">
        <v>6111</v>
      </c>
      <c r="C29" s="885"/>
      <c r="D29" s="880" t="s">
        <v>160</v>
      </c>
      <c r="E29" s="891"/>
      <c r="F29" s="437">
        <v>1569</v>
      </c>
      <c r="G29" s="363">
        <v>1569</v>
      </c>
      <c r="H29" s="922">
        <f>(G29/F29)*100</f>
        <v>100</v>
      </c>
      <c r="J29" s="890"/>
    </row>
    <row r="30" spans="1:10" s="920" customFormat="1" ht="15.75" thickBot="1" x14ac:dyDescent="0.3">
      <c r="A30" s="50">
        <v>6172</v>
      </c>
      <c r="B30" s="19">
        <v>6125</v>
      </c>
      <c r="C30" s="886"/>
      <c r="D30" s="1110" t="s">
        <v>161</v>
      </c>
      <c r="E30" s="60"/>
      <c r="F30" s="311">
        <v>1019</v>
      </c>
      <c r="G30" s="311">
        <v>1019</v>
      </c>
      <c r="H30" s="892">
        <f>(G30/F30)*100</f>
        <v>100</v>
      </c>
    </row>
    <row r="31" spans="1:10" s="356" customFormat="1" ht="35.25" customHeight="1" thickTop="1" thickBot="1" x14ac:dyDescent="0.3">
      <c r="A31" s="592" t="s">
        <v>224</v>
      </c>
      <c r="B31" s="595"/>
      <c r="C31" s="594"/>
      <c r="D31" s="595"/>
      <c r="E31" s="841">
        <f>E29+E30</f>
        <v>0</v>
      </c>
      <c r="F31" s="596">
        <f>SUM(F29,F30)</f>
        <v>2588</v>
      </c>
      <c r="G31" s="596">
        <f>SUM(G29,G30)</f>
        <v>2588</v>
      </c>
      <c r="H31" s="608">
        <f>(G31/F31)*100</f>
        <v>100</v>
      </c>
    </row>
    <row r="32" spans="1:10" s="356" customFormat="1" ht="15.75" customHeight="1" thickTop="1" x14ac:dyDescent="0.25">
      <c r="A32" s="354"/>
      <c r="B32" s="355"/>
      <c r="C32" s="57"/>
      <c r="D32" s="355"/>
      <c r="E32" s="17"/>
      <c r="F32" s="17"/>
      <c r="G32" s="17"/>
      <c r="H32" s="764"/>
    </row>
    <row r="33" spans="1:12" s="356" customFormat="1" ht="15.75" customHeight="1" x14ac:dyDescent="0.25">
      <c r="A33" s="354"/>
      <c r="B33" s="355"/>
      <c r="C33" s="57"/>
      <c r="D33" s="355"/>
      <c r="E33" s="17"/>
      <c r="F33" s="17"/>
      <c r="G33" s="17"/>
      <c r="H33" s="764"/>
    </row>
    <row r="34" spans="1:12" s="611" customFormat="1" ht="16.5" x14ac:dyDescent="0.25">
      <c r="A34" s="357" t="s">
        <v>1207</v>
      </c>
      <c r="B34" s="358"/>
      <c r="C34" s="359"/>
      <c r="D34" s="359"/>
      <c r="E34" s="777">
        <f>E35+E36+E37+E38</f>
        <v>27753</v>
      </c>
      <c r="F34" s="777">
        <f>F35+F36+F37+F38</f>
        <v>27436</v>
      </c>
      <c r="G34" s="777">
        <f>G35+G36+G37+G38</f>
        <v>27177</v>
      </c>
      <c r="H34" s="660">
        <f>(G34/F34)*100</f>
        <v>99.055984837439865</v>
      </c>
      <c r="J34" s="1611">
        <f>SUM(J35:J38)</f>
        <v>27753000</v>
      </c>
      <c r="K34" s="1611">
        <f>SUM(K35:K38)</f>
        <v>27435810</v>
      </c>
      <c r="L34" s="1611">
        <f>SUM(L35:L38)</f>
        <v>27176537.870000001</v>
      </c>
    </row>
    <row r="35" spans="1:12" s="1045" customFormat="1" ht="15" x14ac:dyDescent="0.2">
      <c r="A35" s="520" t="s">
        <v>242</v>
      </c>
      <c r="B35" s="542"/>
      <c r="C35" s="543"/>
      <c r="D35" s="543"/>
      <c r="E35" s="778">
        <f>E18</f>
        <v>27753</v>
      </c>
      <c r="F35" s="778">
        <f>F18</f>
        <v>24848</v>
      </c>
      <c r="G35" s="778">
        <f>G18</f>
        <v>24589</v>
      </c>
      <c r="H35" s="773">
        <f>(G35/F35)*100</f>
        <v>98.957662588538312</v>
      </c>
      <c r="J35" s="1437">
        <v>27753000</v>
      </c>
      <c r="K35" s="1437">
        <v>24848361.359999999</v>
      </c>
      <c r="L35" s="1437">
        <v>24589115.960000001</v>
      </c>
    </row>
    <row r="36" spans="1:12" s="1045" customFormat="1" ht="15" x14ac:dyDescent="0.2">
      <c r="A36" s="520" t="s">
        <v>243</v>
      </c>
      <c r="B36" s="547"/>
      <c r="C36" s="543"/>
      <c r="D36" s="543"/>
      <c r="E36" s="779">
        <f>E31</f>
        <v>0</v>
      </c>
      <c r="F36" s="779">
        <f>F31</f>
        <v>2588</v>
      </c>
      <c r="G36" s="779">
        <f>G31</f>
        <v>2588</v>
      </c>
      <c r="H36" s="773">
        <f>(G36/F36)*100</f>
        <v>100</v>
      </c>
      <c r="J36" s="1437">
        <v>0</v>
      </c>
      <c r="K36" s="1437">
        <v>2587448.64</v>
      </c>
      <c r="L36" s="1437">
        <v>2587421.91</v>
      </c>
    </row>
    <row r="37" spans="1:12" s="1045" customFormat="1" ht="15" x14ac:dyDescent="0.2">
      <c r="A37" s="520" t="s">
        <v>191</v>
      </c>
      <c r="B37" s="547"/>
      <c r="C37" s="543"/>
      <c r="D37" s="543"/>
      <c r="E37" s="778">
        <v>0</v>
      </c>
      <c r="F37" s="545">
        <v>0</v>
      </c>
      <c r="G37" s="545">
        <v>0</v>
      </c>
      <c r="H37" s="773">
        <v>0</v>
      </c>
      <c r="J37" s="1437">
        <v>0</v>
      </c>
      <c r="K37" s="1437">
        <v>0</v>
      </c>
      <c r="L37" s="1437">
        <v>0</v>
      </c>
    </row>
    <row r="38" spans="1:12" s="1045" customFormat="1" ht="15" x14ac:dyDescent="0.2">
      <c r="A38" s="520" t="s">
        <v>1034</v>
      </c>
      <c r="B38" s="547"/>
      <c r="C38" s="543"/>
      <c r="D38" s="543"/>
      <c r="E38" s="778">
        <v>0</v>
      </c>
      <c r="F38" s="549">
        <v>0</v>
      </c>
      <c r="G38" s="549">
        <v>0</v>
      </c>
      <c r="H38" s="773">
        <v>0</v>
      </c>
      <c r="J38" s="1437">
        <v>0</v>
      </c>
      <c r="K38" s="1437">
        <v>0</v>
      </c>
      <c r="L38" s="1437">
        <v>0</v>
      </c>
    </row>
    <row r="39" spans="1:12" s="356" customFormat="1" ht="12.75" customHeight="1" x14ac:dyDescent="0.25">
      <c r="A39" s="354"/>
      <c r="B39" s="355"/>
      <c r="C39" s="57"/>
      <c r="D39" s="355"/>
      <c r="E39" s="17"/>
      <c r="F39" s="17"/>
      <c r="G39" s="17"/>
      <c r="H39" s="764"/>
      <c r="J39" s="504"/>
      <c r="K39" s="504"/>
      <c r="L39" s="504"/>
    </row>
    <row r="40" spans="1:12" ht="15.75" customHeight="1" x14ac:dyDescent="0.2">
      <c r="A40" s="584"/>
      <c r="B40" s="790"/>
      <c r="H40" s="1055"/>
    </row>
    <row r="41" spans="1:12" s="58" customFormat="1" ht="47.25" customHeight="1" thickBot="1" x14ac:dyDescent="0.4">
      <c r="A41" s="3076" t="s">
        <v>364</v>
      </c>
      <c r="B41" s="3077"/>
      <c r="C41" s="3077"/>
      <c r="D41" s="3077"/>
      <c r="E41" s="550">
        <f>SUM(E31,E18)</f>
        <v>27753</v>
      </c>
      <c r="F41" s="550">
        <f>SUM(F31,F18)</f>
        <v>27436</v>
      </c>
      <c r="G41" s="550">
        <f>SUM(G31,G18)</f>
        <v>27177</v>
      </c>
      <c r="H41" s="646">
        <f>(G41/F41)*100</f>
        <v>99.055984837439865</v>
      </c>
    </row>
    <row r="42" spans="1:12" ht="13.5" thickTop="1" x14ac:dyDescent="0.2"/>
  </sheetData>
  <mergeCells count="1">
    <mergeCell ref="A41:D41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1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 enableFormatConditionsCalculation="0">
    <tabColor rgb="FF00B0F0"/>
  </sheetPr>
  <dimension ref="A1:N91"/>
  <sheetViews>
    <sheetView showGridLines="0" view="pageBreakPreview" zoomScaleNormal="100" zoomScaleSheetLayoutView="100" workbookViewId="0">
      <selection activeCell="G34" sqref="G34"/>
    </sheetView>
  </sheetViews>
  <sheetFormatPr defaultColWidth="9.140625" defaultRowHeight="12.75" x14ac:dyDescent="0.2"/>
  <cols>
    <col min="1" max="1" width="4.7109375" style="598" customWidth="1"/>
    <col min="2" max="2" width="4.7109375" style="504" customWidth="1"/>
    <col min="3" max="3" width="9.85546875" style="670" customWidth="1"/>
    <col min="4" max="4" width="46.140625" style="504" customWidth="1"/>
    <col min="5" max="5" width="15" style="467" customWidth="1"/>
    <col min="6" max="6" width="14.42578125" style="467" customWidth="1"/>
    <col min="7" max="7" width="13.28515625" style="467" customWidth="1"/>
    <col min="8" max="8" width="9.140625" style="610"/>
    <col min="9" max="9" width="9.140625" style="467"/>
    <col min="10" max="10" width="17" style="467" customWidth="1"/>
    <col min="11" max="11" width="17.7109375" style="504" customWidth="1"/>
    <col min="12" max="12" width="16.7109375" style="504" customWidth="1"/>
    <col min="13" max="16384" width="9.140625" style="504"/>
  </cols>
  <sheetData>
    <row r="1" spans="1:12" ht="18.75" thickBot="1" x14ac:dyDescent="0.3">
      <c r="A1" s="448" t="s">
        <v>777</v>
      </c>
      <c r="B1" s="449"/>
      <c r="C1" s="462"/>
      <c r="D1" s="460"/>
      <c r="E1" s="466"/>
      <c r="F1" s="452" t="s">
        <v>181</v>
      </c>
      <c r="I1" s="17"/>
    </row>
    <row r="2" spans="1:12" ht="12.75" customHeight="1" x14ac:dyDescent="0.25">
      <c r="A2" s="6"/>
      <c r="B2" s="28"/>
      <c r="C2" s="57"/>
      <c r="D2" s="10"/>
      <c r="E2" s="135"/>
      <c r="F2" s="135"/>
      <c r="G2" s="16"/>
      <c r="H2" s="191"/>
      <c r="I2" s="17"/>
    </row>
    <row r="3" spans="1:12" ht="12.75" customHeight="1" x14ac:dyDescent="0.25">
      <c r="A3" s="67" t="s">
        <v>336</v>
      </c>
      <c r="B3" s="28"/>
      <c r="C3" s="496" t="s">
        <v>1866</v>
      </c>
      <c r="D3" s="583"/>
      <c r="E3" s="135"/>
      <c r="F3" s="16"/>
      <c r="G3" s="17"/>
      <c r="H3" s="191"/>
      <c r="I3" s="504"/>
      <c r="J3" s="504"/>
    </row>
    <row r="4" spans="1:12" ht="12.75" customHeight="1" x14ac:dyDescent="0.25">
      <c r="A4" s="6"/>
      <c r="B4" s="28"/>
      <c r="C4" s="475" t="s">
        <v>772</v>
      </c>
      <c r="D4" s="613"/>
      <c r="E4" s="136"/>
      <c r="F4" s="16"/>
      <c r="G4" s="17"/>
      <c r="H4" s="191"/>
      <c r="I4" s="504"/>
      <c r="J4" s="504"/>
    </row>
    <row r="5" spans="1:12" ht="12.75" customHeight="1" x14ac:dyDescent="0.25">
      <c r="A5" s="6"/>
      <c r="B5" s="28"/>
      <c r="C5" s="475"/>
      <c r="D5" s="613"/>
      <c r="E5" s="136"/>
      <c r="F5" s="16"/>
      <c r="G5" s="17"/>
      <c r="H5" s="191"/>
      <c r="I5" s="504"/>
      <c r="J5" s="504"/>
    </row>
    <row r="6" spans="1:12" ht="12.75" customHeight="1" x14ac:dyDescent="0.25">
      <c r="A6" s="6"/>
      <c r="B6" s="28"/>
      <c r="C6" s="475"/>
      <c r="D6" s="613"/>
      <c r="E6" s="136"/>
      <c r="F6" s="16"/>
      <c r="G6" s="17"/>
      <c r="H6" s="191"/>
      <c r="I6" s="504"/>
      <c r="J6" s="504"/>
    </row>
    <row r="7" spans="1:12" ht="12.75" customHeight="1" x14ac:dyDescent="0.25">
      <c r="A7" s="33" t="s">
        <v>799</v>
      </c>
      <c r="B7" s="28"/>
      <c r="C7" s="475"/>
      <c r="D7" s="613"/>
      <c r="E7" s="136"/>
      <c r="F7" s="16"/>
      <c r="G7" s="17"/>
      <c r="H7" s="191"/>
      <c r="I7" s="504"/>
      <c r="J7" s="504"/>
    </row>
    <row r="8" spans="1:12" ht="12.75" customHeight="1" x14ac:dyDescent="0.25">
      <c r="A8" s="33"/>
      <c r="B8" s="28"/>
      <c r="C8" s="475"/>
      <c r="D8" s="613"/>
      <c r="E8" s="136"/>
      <c r="F8" s="16"/>
      <c r="G8" s="17"/>
      <c r="H8" s="191"/>
      <c r="I8" s="504"/>
      <c r="J8" s="504"/>
    </row>
    <row r="9" spans="1:12" ht="12.75" customHeight="1" thickBot="1" x14ac:dyDescent="0.3">
      <c r="A9" s="6"/>
      <c r="B9" s="28"/>
      <c r="C9" s="57"/>
      <c r="D9" s="10"/>
      <c r="E9" s="135"/>
      <c r="F9" s="135"/>
      <c r="G9" s="16"/>
      <c r="H9" s="197" t="s">
        <v>148</v>
      </c>
      <c r="I9" s="17"/>
    </row>
    <row r="10" spans="1:12" s="832" customFormat="1" ht="20.25" customHeight="1" thickTop="1" thickBot="1" x14ac:dyDescent="0.25">
      <c r="A10" s="826" t="s">
        <v>149</v>
      </c>
      <c r="B10" s="827" t="s">
        <v>150</v>
      </c>
      <c r="C10" s="828" t="s">
        <v>639</v>
      </c>
      <c r="D10" s="828" t="s">
        <v>151</v>
      </c>
      <c r="E10" s="828" t="s">
        <v>569</v>
      </c>
      <c r="F10" s="828" t="s">
        <v>570</v>
      </c>
      <c r="G10" s="829" t="s">
        <v>797</v>
      </c>
      <c r="H10" s="830" t="s">
        <v>798</v>
      </c>
      <c r="I10" s="831"/>
      <c r="J10" s="831"/>
    </row>
    <row r="11" spans="1:12" s="375" customFormat="1" ht="13.5" thickTop="1" thickBot="1" x14ac:dyDescent="0.25">
      <c r="A11" s="525">
        <v>1</v>
      </c>
      <c r="B11" s="526">
        <v>2</v>
      </c>
      <c r="C11" s="526">
        <v>3</v>
      </c>
      <c r="D11" s="526">
        <v>4</v>
      </c>
      <c r="E11" s="526">
        <v>5</v>
      </c>
      <c r="F11" s="512">
        <v>6</v>
      </c>
      <c r="G11" s="512">
        <v>7</v>
      </c>
      <c r="H11" s="591" t="s">
        <v>54</v>
      </c>
      <c r="I11" s="106"/>
    </row>
    <row r="12" spans="1:12" s="920" customFormat="1" ht="15.75" thickTop="1" x14ac:dyDescent="0.25">
      <c r="A12" s="960">
        <v>3636</v>
      </c>
      <c r="B12" s="264">
        <v>5325</v>
      </c>
      <c r="C12" s="926"/>
      <c r="D12" s="127" t="s">
        <v>486</v>
      </c>
      <c r="E12" s="60">
        <v>400</v>
      </c>
      <c r="F12" s="147">
        <v>400</v>
      </c>
      <c r="G12" s="60">
        <v>400</v>
      </c>
      <c r="H12" s="881">
        <f>(G12/F12)*100</f>
        <v>100</v>
      </c>
      <c r="L12" s="2857">
        <v>400000</v>
      </c>
    </row>
    <row r="13" spans="1:12" s="920" customFormat="1" ht="14.25" x14ac:dyDescent="0.2">
      <c r="A13" s="960"/>
      <c r="B13" s="264"/>
      <c r="C13" s="903" t="s">
        <v>1761</v>
      </c>
      <c r="D13" s="913" t="s">
        <v>806</v>
      </c>
      <c r="E13" s="123">
        <v>400</v>
      </c>
      <c r="F13" s="122">
        <v>400</v>
      </c>
      <c r="G13" s="123">
        <v>400</v>
      </c>
      <c r="H13" s="884">
        <f t="shared" ref="H13" si="0">(G13/F13)*100</f>
        <v>100</v>
      </c>
      <c r="L13" s="2857"/>
    </row>
    <row r="14" spans="1:12" s="920" customFormat="1" ht="15" x14ac:dyDescent="0.25">
      <c r="A14" s="960">
        <v>3636</v>
      </c>
      <c r="B14" s="264">
        <v>5336</v>
      </c>
      <c r="C14" s="903"/>
      <c r="D14" s="1111" t="s">
        <v>842</v>
      </c>
      <c r="E14" s="123"/>
      <c r="F14" s="122"/>
      <c r="G14" s="60"/>
      <c r="H14" s="884"/>
      <c r="L14" s="2857"/>
    </row>
    <row r="15" spans="1:12" s="920" customFormat="1" ht="14.25" x14ac:dyDescent="0.2">
      <c r="A15" s="960"/>
      <c r="B15" s="264"/>
      <c r="C15" s="3070" t="s">
        <v>1784</v>
      </c>
      <c r="D15" s="3078" t="s">
        <v>920</v>
      </c>
      <c r="E15" s="123"/>
      <c r="F15" s="122"/>
      <c r="G15" s="123"/>
      <c r="H15" s="884"/>
      <c r="L15" s="2857"/>
    </row>
    <row r="16" spans="1:12" s="920" customFormat="1" ht="14.25" customHeight="1" x14ac:dyDescent="0.2">
      <c r="A16" s="960"/>
      <c r="B16" s="264"/>
      <c r="C16" s="3079"/>
      <c r="D16" s="3078"/>
      <c r="E16" s="123"/>
      <c r="F16" s="122"/>
      <c r="G16" s="123"/>
      <c r="H16" s="884"/>
      <c r="L16" s="2857"/>
    </row>
    <row r="17" spans="1:12" s="920" customFormat="1" ht="15" x14ac:dyDescent="0.25">
      <c r="A17" s="960">
        <v>4324</v>
      </c>
      <c r="B17" s="264">
        <v>5901</v>
      </c>
      <c r="C17" s="903"/>
      <c r="D17" s="924" t="s">
        <v>547</v>
      </c>
      <c r="E17" s="123"/>
      <c r="F17" s="147">
        <v>1409</v>
      </c>
      <c r="G17" s="60">
        <v>0</v>
      </c>
      <c r="H17" s="200">
        <v>0</v>
      </c>
      <c r="L17" s="2857">
        <v>0</v>
      </c>
    </row>
    <row r="18" spans="1:12" s="920" customFormat="1" ht="14.25" customHeight="1" x14ac:dyDescent="0.2">
      <c r="A18" s="960"/>
      <c r="B18" s="264"/>
      <c r="C18" s="3070" t="s">
        <v>1784</v>
      </c>
      <c r="D18" s="3078" t="s">
        <v>920</v>
      </c>
      <c r="E18" s="123"/>
      <c r="F18" s="122">
        <v>1409</v>
      </c>
      <c r="G18" s="123">
        <v>0</v>
      </c>
      <c r="H18" s="884">
        <v>0</v>
      </c>
      <c r="L18" s="2857"/>
    </row>
    <row r="19" spans="1:12" s="920" customFormat="1" ht="14.25" x14ac:dyDescent="0.2">
      <c r="A19" s="960"/>
      <c r="B19" s="264"/>
      <c r="C19" s="3079"/>
      <c r="D19" s="3078"/>
      <c r="E19" s="123"/>
      <c r="F19" s="122"/>
      <c r="G19" s="123"/>
      <c r="H19" s="884"/>
      <c r="L19" s="2857"/>
    </row>
    <row r="20" spans="1:12" s="920" customFormat="1" ht="15" x14ac:dyDescent="0.25">
      <c r="A20" s="960">
        <v>6172</v>
      </c>
      <c r="B20" s="264">
        <v>5141</v>
      </c>
      <c r="C20" s="926"/>
      <c r="D20" s="127" t="s">
        <v>855</v>
      </c>
      <c r="E20" s="60">
        <f>E21+E22+E24+E23</f>
        <v>47019</v>
      </c>
      <c r="F20" s="60">
        <f>F21+F22+F24</f>
        <v>23802</v>
      </c>
      <c r="G20" s="60">
        <f>G21+G22+G24</f>
        <v>22261</v>
      </c>
      <c r="H20" s="881">
        <f t="shared" ref="H20:H33" si="1">(G20/F20)*100</f>
        <v>93.525754138307704</v>
      </c>
      <c r="L20" s="2857">
        <v>22260340.75</v>
      </c>
    </row>
    <row r="21" spans="1:12" s="920" customFormat="1" ht="14.25" x14ac:dyDescent="0.2">
      <c r="A21" s="960"/>
      <c r="B21" s="264"/>
      <c r="C21" s="926" t="s">
        <v>1791</v>
      </c>
      <c r="D21" s="164" t="s">
        <v>928</v>
      </c>
      <c r="E21" s="123">
        <v>7024</v>
      </c>
      <c r="F21" s="310">
        <v>4024</v>
      </c>
      <c r="G21" s="312">
        <v>3495</v>
      </c>
      <c r="H21" s="884">
        <f t="shared" si="1"/>
        <v>86.853876739562622</v>
      </c>
      <c r="L21" s="2857"/>
    </row>
    <row r="22" spans="1:12" s="920" customFormat="1" ht="14.25" x14ac:dyDescent="0.2">
      <c r="A22" s="960"/>
      <c r="B22" s="264"/>
      <c r="C22" s="926" t="s">
        <v>1790</v>
      </c>
      <c r="D22" s="164" t="s">
        <v>929</v>
      </c>
      <c r="E22" s="123">
        <v>29188</v>
      </c>
      <c r="F22" s="310">
        <v>13188</v>
      </c>
      <c r="G22" s="312">
        <v>12923</v>
      </c>
      <c r="H22" s="884">
        <f t="shared" si="1"/>
        <v>97.990597512890503</v>
      </c>
      <c r="L22" s="2857"/>
    </row>
    <row r="23" spans="1:12" s="920" customFormat="1" ht="14.25" x14ac:dyDescent="0.2">
      <c r="A23" s="960"/>
      <c r="B23" s="264"/>
      <c r="C23" s="926" t="s">
        <v>1792</v>
      </c>
      <c r="D23" s="164" t="s">
        <v>1785</v>
      </c>
      <c r="E23" s="123">
        <v>2067</v>
      </c>
      <c r="F23" s="310">
        <v>0</v>
      </c>
      <c r="G23" s="312">
        <v>0</v>
      </c>
      <c r="H23" s="884"/>
      <c r="L23" s="2857"/>
    </row>
    <row r="24" spans="1:12" s="920" customFormat="1" ht="14.25" x14ac:dyDescent="0.2">
      <c r="A24" s="960"/>
      <c r="B24" s="264"/>
      <c r="C24" s="926" t="s">
        <v>1793</v>
      </c>
      <c r="D24" s="164" t="s">
        <v>1208</v>
      </c>
      <c r="E24" s="123">
        <v>8740</v>
      </c>
      <c r="F24" s="310">
        <v>6590</v>
      </c>
      <c r="G24" s="312">
        <v>5843</v>
      </c>
      <c r="H24" s="884">
        <f t="shared" si="1"/>
        <v>88.664643399089528</v>
      </c>
      <c r="L24" s="2857"/>
    </row>
    <row r="25" spans="1:12" s="920" customFormat="1" ht="13.5" customHeight="1" x14ac:dyDescent="0.25">
      <c r="A25" s="960">
        <v>6172</v>
      </c>
      <c r="B25" s="264">
        <v>5142</v>
      </c>
      <c r="C25" s="915"/>
      <c r="D25" s="127" t="s">
        <v>273</v>
      </c>
      <c r="E25" s="60">
        <v>2000</v>
      </c>
      <c r="F25" s="309">
        <v>2000</v>
      </c>
      <c r="G25" s="311">
        <v>45</v>
      </c>
      <c r="H25" s="881">
        <f t="shared" si="1"/>
        <v>2.25</v>
      </c>
      <c r="L25" s="2857">
        <v>44976.13</v>
      </c>
    </row>
    <row r="26" spans="1:12" s="920" customFormat="1" ht="13.5" customHeight="1" x14ac:dyDescent="0.25">
      <c r="A26" s="960">
        <v>6172</v>
      </c>
      <c r="B26" s="264">
        <v>5144</v>
      </c>
      <c r="C26" s="915"/>
      <c r="D26" s="127" t="s">
        <v>1306</v>
      </c>
      <c r="E26" s="60">
        <v>200</v>
      </c>
      <c r="F26" s="309">
        <v>350</v>
      </c>
      <c r="G26" s="311">
        <v>297</v>
      </c>
      <c r="H26" s="881">
        <f t="shared" si="1"/>
        <v>84.857142857142847</v>
      </c>
      <c r="L26" s="2857">
        <v>297159.89</v>
      </c>
    </row>
    <row r="27" spans="1:12" s="920" customFormat="1" ht="13.5" customHeight="1" x14ac:dyDescent="0.25">
      <c r="A27" s="960">
        <v>6172</v>
      </c>
      <c r="B27" s="264">
        <v>5163</v>
      </c>
      <c r="C27" s="915"/>
      <c r="D27" s="127" t="s">
        <v>807</v>
      </c>
      <c r="E27" s="60">
        <v>500</v>
      </c>
      <c r="F27" s="309">
        <v>500</v>
      </c>
      <c r="G27" s="311">
        <v>270</v>
      </c>
      <c r="H27" s="881">
        <f t="shared" si="1"/>
        <v>54</v>
      </c>
      <c r="L27" s="2857">
        <v>269763.01</v>
      </c>
    </row>
    <row r="28" spans="1:12" s="920" customFormat="1" ht="13.5" customHeight="1" x14ac:dyDescent="0.25">
      <c r="A28" s="960">
        <v>6172</v>
      </c>
      <c r="B28" s="264">
        <v>5164</v>
      </c>
      <c r="C28" s="915"/>
      <c r="D28" s="127" t="s">
        <v>157</v>
      </c>
      <c r="E28" s="60">
        <v>5</v>
      </c>
      <c r="F28" s="309">
        <v>5</v>
      </c>
      <c r="G28" s="311">
        <v>5</v>
      </c>
      <c r="H28" s="881">
        <f t="shared" si="1"/>
        <v>100</v>
      </c>
      <c r="L28" s="2857">
        <v>4731.1000000000004</v>
      </c>
    </row>
    <row r="29" spans="1:12" s="875" customFormat="1" ht="15" x14ac:dyDescent="0.25">
      <c r="A29" s="34">
        <v>6172</v>
      </c>
      <c r="B29" s="905">
        <v>5166</v>
      </c>
      <c r="C29" s="927"/>
      <c r="D29" s="876" t="s">
        <v>553</v>
      </c>
      <c r="E29" s="48">
        <v>2000</v>
      </c>
      <c r="F29" s="166">
        <v>2000</v>
      </c>
      <c r="G29" s="311">
        <v>1534</v>
      </c>
      <c r="H29" s="881">
        <f t="shared" si="1"/>
        <v>76.7</v>
      </c>
      <c r="L29" s="2857">
        <v>1534190</v>
      </c>
    </row>
    <row r="30" spans="1:12" s="875" customFormat="1" ht="15" x14ac:dyDescent="0.25">
      <c r="A30" s="34">
        <v>6172</v>
      </c>
      <c r="B30" s="905">
        <v>5169</v>
      </c>
      <c r="C30" s="927"/>
      <c r="D30" s="876" t="s">
        <v>769</v>
      </c>
      <c r="E30" s="48">
        <v>200</v>
      </c>
      <c r="F30" s="166">
        <v>170</v>
      </c>
      <c r="G30" s="311">
        <v>0</v>
      </c>
      <c r="H30" s="881">
        <f t="shared" si="1"/>
        <v>0</v>
      </c>
      <c r="L30" s="2857">
        <v>0</v>
      </c>
    </row>
    <row r="31" spans="1:12" s="875" customFormat="1" ht="15" x14ac:dyDescent="0.25">
      <c r="A31" s="34">
        <v>6172</v>
      </c>
      <c r="B31" s="905">
        <v>5192</v>
      </c>
      <c r="C31" s="927"/>
      <c r="D31" s="876" t="s">
        <v>1612</v>
      </c>
      <c r="E31" s="48"/>
      <c r="F31" s="166">
        <v>30</v>
      </c>
      <c r="G31" s="311">
        <v>11</v>
      </c>
      <c r="H31" s="881">
        <f t="shared" si="1"/>
        <v>36.666666666666664</v>
      </c>
      <c r="L31" s="2857">
        <v>11228</v>
      </c>
    </row>
    <row r="32" spans="1:12" s="427" customFormat="1" ht="15" x14ac:dyDescent="0.25">
      <c r="A32" s="648">
        <v>6172</v>
      </c>
      <c r="B32" s="647">
        <v>5331</v>
      </c>
      <c r="C32" s="516"/>
      <c r="D32" s="371" t="s">
        <v>829</v>
      </c>
      <c r="E32" s="433">
        <v>30000</v>
      </c>
      <c r="F32" s="166">
        <v>5345</v>
      </c>
      <c r="G32" s="311">
        <v>0</v>
      </c>
      <c r="H32" s="1123">
        <f t="shared" si="1"/>
        <v>0</v>
      </c>
      <c r="L32" s="2857">
        <v>0</v>
      </c>
    </row>
    <row r="33" spans="1:14" s="427" customFormat="1" ht="15" x14ac:dyDescent="0.25">
      <c r="A33" s="648">
        <v>6172</v>
      </c>
      <c r="B33" s="647">
        <v>5362</v>
      </c>
      <c r="C33" s="516"/>
      <c r="D33" s="371" t="s">
        <v>1300</v>
      </c>
      <c r="E33" s="433">
        <v>6000</v>
      </c>
      <c r="F33" s="166">
        <v>18992</v>
      </c>
      <c r="G33" s="311">
        <v>16574</v>
      </c>
      <c r="H33" s="1123">
        <f t="shared" si="1"/>
        <v>87.268323504633528</v>
      </c>
      <c r="L33" s="2857">
        <v>16573479</v>
      </c>
    </row>
    <row r="34" spans="1:14" s="427" customFormat="1" ht="15" x14ac:dyDescent="0.25">
      <c r="A34" s="648">
        <v>6172</v>
      </c>
      <c r="B34" s="647">
        <v>5909</v>
      </c>
      <c r="C34" s="516"/>
      <c r="D34" s="2117" t="s">
        <v>406</v>
      </c>
      <c r="E34" s="433"/>
      <c r="F34" s="166"/>
      <c r="G34" s="311">
        <v>2397</v>
      </c>
      <c r="H34" s="1123"/>
      <c r="L34" s="2857">
        <v>2397372.4700000002</v>
      </c>
    </row>
    <row r="35" spans="1:14" s="875" customFormat="1" ht="30" x14ac:dyDescent="0.25">
      <c r="A35" s="1100">
        <v>6402</v>
      </c>
      <c r="B35" s="1097">
        <v>5364</v>
      </c>
      <c r="C35" s="927"/>
      <c r="D35" s="924" t="s">
        <v>930</v>
      </c>
      <c r="E35" s="48"/>
      <c r="F35" s="1098">
        <v>2567</v>
      </c>
      <c r="G35" s="434">
        <v>2567</v>
      </c>
      <c r="H35" s="1099">
        <f>(G35/F35)*100</f>
        <v>100</v>
      </c>
      <c r="L35" s="2857">
        <v>2567285.36</v>
      </c>
    </row>
    <row r="36" spans="1:14" s="875" customFormat="1" ht="15" x14ac:dyDescent="0.25">
      <c r="A36" s="1100"/>
      <c r="B36" s="1097"/>
      <c r="C36" s="926" t="s">
        <v>1786</v>
      </c>
      <c r="D36" s="898" t="s">
        <v>411</v>
      </c>
      <c r="E36" s="48"/>
      <c r="F36" s="310">
        <v>2567</v>
      </c>
      <c r="G36" s="312">
        <v>2567</v>
      </c>
      <c r="H36" s="884">
        <f>(G36/F36)*100</f>
        <v>100</v>
      </c>
      <c r="L36" s="2857"/>
    </row>
    <row r="37" spans="1:14" s="875" customFormat="1" ht="15" x14ac:dyDescent="0.25">
      <c r="A37" s="34">
        <v>6409</v>
      </c>
      <c r="B37" s="905">
        <v>5229</v>
      </c>
      <c r="C37" s="903"/>
      <c r="D37" s="876" t="s">
        <v>519</v>
      </c>
      <c r="E37" s="48">
        <f>E39+E40</f>
        <v>13700</v>
      </c>
      <c r="F37" s="48">
        <f>F39+F40</f>
        <v>0</v>
      </c>
      <c r="G37" s="48">
        <f>G39+G40</f>
        <v>0</v>
      </c>
      <c r="H37" s="881">
        <v>0</v>
      </c>
      <c r="L37" s="2857">
        <v>0</v>
      </c>
    </row>
    <row r="38" spans="1:14" s="875" customFormat="1" ht="15" x14ac:dyDescent="0.25">
      <c r="A38" s="34"/>
      <c r="B38" s="905"/>
      <c r="C38" s="927"/>
      <c r="D38" s="876" t="s">
        <v>520</v>
      </c>
      <c r="E38" s="48"/>
      <c r="F38" s="166"/>
      <c r="G38" s="311"/>
      <c r="H38" s="881"/>
      <c r="K38" s="923"/>
      <c r="L38" s="2857"/>
    </row>
    <row r="39" spans="1:14" s="875" customFormat="1" ht="14.25" x14ac:dyDescent="0.2">
      <c r="A39" s="34"/>
      <c r="B39" s="905"/>
      <c r="C39" s="903" t="s">
        <v>1787</v>
      </c>
      <c r="D39" s="882" t="s">
        <v>292</v>
      </c>
      <c r="E39" s="55">
        <v>10000</v>
      </c>
      <c r="F39" s="310">
        <v>0</v>
      </c>
      <c r="G39" s="312">
        <v>0</v>
      </c>
      <c r="H39" s="884">
        <v>0</v>
      </c>
      <c r="K39" s="923"/>
      <c r="L39" s="2857"/>
    </row>
    <row r="40" spans="1:14" s="875" customFormat="1" ht="14.25" x14ac:dyDescent="0.2">
      <c r="A40" s="34"/>
      <c r="B40" s="905"/>
      <c r="C40" s="903" t="s">
        <v>1788</v>
      </c>
      <c r="D40" s="1287" t="s">
        <v>1437</v>
      </c>
      <c r="E40" s="55">
        <v>3700</v>
      </c>
      <c r="F40" s="310">
        <v>0</v>
      </c>
      <c r="G40" s="312">
        <v>0</v>
      </c>
      <c r="H40" s="884">
        <v>0</v>
      </c>
      <c r="K40" s="923"/>
      <c r="L40" s="2857"/>
    </row>
    <row r="41" spans="1:14" s="875" customFormat="1" ht="15" customHeight="1" x14ac:dyDescent="0.25">
      <c r="A41" s="34">
        <v>6409</v>
      </c>
      <c r="B41" s="905">
        <v>5901</v>
      </c>
      <c r="C41" s="927"/>
      <c r="D41" s="924" t="s">
        <v>547</v>
      </c>
      <c r="E41" s="48">
        <f>E42</f>
        <v>40000</v>
      </c>
      <c r="F41" s="433">
        <f>F42+F43+F44</f>
        <v>287559</v>
      </c>
      <c r="G41" s="433">
        <f>G42+G43</f>
        <v>0</v>
      </c>
      <c r="H41" s="881">
        <v>0</v>
      </c>
      <c r="L41" s="2857">
        <v>0</v>
      </c>
    </row>
    <row r="42" spans="1:14" s="875" customFormat="1" ht="15" customHeight="1" x14ac:dyDescent="0.2">
      <c r="A42" s="34"/>
      <c r="B42" s="905"/>
      <c r="C42" s="888" t="s">
        <v>1760</v>
      </c>
      <c r="D42" s="882" t="s">
        <v>1127</v>
      </c>
      <c r="E42" s="55">
        <v>40000</v>
      </c>
      <c r="F42" s="310">
        <v>102459</v>
      </c>
      <c r="G42" s="312">
        <v>0</v>
      </c>
      <c r="H42" s="884">
        <v>0</v>
      </c>
      <c r="L42" s="2857"/>
    </row>
    <row r="43" spans="1:14" s="875" customFormat="1" ht="15" customHeight="1" x14ac:dyDescent="0.25">
      <c r="A43" s="34"/>
      <c r="B43" s="905"/>
      <c r="C43" s="888" t="s">
        <v>1789</v>
      </c>
      <c r="D43" s="1096" t="s">
        <v>1613</v>
      </c>
      <c r="E43" s="48"/>
      <c r="F43" s="310">
        <v>102369</v>
      </c>
      <c r="G43" s="312">
        <v>0</v>
      </c>
      <c r="H43" s="884">
        <v>0</v>
      </c>
      <c r="J43" s="912"/>
      <c r="L43" s="2857"/>
    </row>
    <row r="44" spans="1:14" s="875" customFormat="1" ht="15" customHeight="1" x14ac:dyDescent="0.25">
      <c r="A44" s="34"/>
      <c r="B44" s="905"/>
      <c r="C44" s="926" t="s">
        <v>1790</v>
      </c>
      <c r="D44" s="164" t="s">
        <v>929</v>
      </c>
      <c r="E44" s="48"/>
      <c r="F44" s="310">
        <v>82731</v>
      </c>
      <c r="G44" s="312">
        <v>0</v>
      </c>
      <c r="H44" s="884">
        <v>0</v>
      </c>
      <c r="J44" s="912"/>
      <c r="L44" s="2857"/>
    </row>
    <row r="45" spans="1:14" s="875" customFormat="1" ht="15" customHeight="1" thickBot="1" x14ac:dyDescent="0.3">
      <c r="A45" s="34">
        <v>6409</v>
      </c>
      <c r="B45" s="905">
        <v>5909</v>
      </c>
      <c r="C45" s="927"/>
      <c r="D45" s="877" t="s">
        <v>406</v>
      </c>
      <c r="E45" s="48"/>
      <c r="F45" s="166">
        <v>0</v>
      </c>
      <c r="G45" s="311">
        <v>19</v>
      </c>
      <c r="H45" s="881">
        <v>0</v>
      </c>
      <c r="L45" s="2857">
        <v>19203.53</v>
      </c>
    </row>
    <row r="46" spans="1:14" s="356" customFormat="1" ht="35.85" customHeight="1" thickTop="1" thickBot="1" x14ac:dyDescent="0.35">
      <c r="A46" s="833" t="s">
        <v>225</v>
      </c>
      <c r="B46" s="834"/>
      <c r="C46" s="835"/>
      <c r="D46" s="836"/>
      <c r="E46" s="596">
        <f>E12+E20+E25+E26+E27+E28+E29+E30+E37+E41+E33+E32</f>
        <v>142024</v>
      </c>
      <c r="F46" s="596">
        <f>F12+F17+F20+F25+F26+F27+F28+F29+F30+F31+F35+F37+F41+F45+F33+F32</f>
        <v>345129</v>
      </c>
      <c r="G46" s="596">
        <f>G12+G17+G20+G25+G26+G27+G28+G29+G30+G31+G35+G37+G41+G45+G33+G14+G34</f>
        <v>46380</v>
      </c>
      <c r="H46" s="597">
        <f>G46/F46*100</f>
        <v>13.438453447841242</v>
      </c>
      <c r="L46" s="2097">
        <f>SUM(L12:L45)</f>
        <v>46379729.240000002</v>
      </c>
    </row>
    <row r="47" spans="1:14" s="356" customFormat="1" ht="22.5" customHeight="1" thickTop="1" x14ac:dyDescent="0.3">
      <c r="A47" s="2009"/>
      <c r="B47" s="2010"/>
      <c r="C47" s="2011"/>
      <c r="D47" s="2012"/>
      <c r="E47" s="17"/>
      <c r="F47" s="17"/>
      <c r="G47" s="17"/>
      <c r="H47" s="191"/>
      <c r="J47" s="925" t="s">
        <v>487</v>
      </c>
      <c r="K47" s="875"/>
      <c r="L47" s="907">
        <f>E21+E22</f>
        <v>36212</v>
      </c>
      <c r="M47" s="907">
        <f>F44+F21+F22</f>
        <v>99943</v>
      </c>
      <c r="N47" s="907">
        <f>G44+G21+G22</f>
        <v>16418</v>
      </c>
    </row>
    <row r="48" spans="1:14" s="356" customFormat="1" ht="35.85" customHeight="1" x14ac:dyDescent="0.25">
      <c r="A48" s="33" t="s">
        <v>1120</v>
      </c>
      <c r="B48" s="28"/>
      <c r="C48" s="10"/>
      <c r="D48" s="137"/>
      <c r="E48" s="135"/>
      <c r="F48" s="16"/>
      <c r="G48" s="17"/>
      <c r="H48" s="191"/>
    </row>
    <row r="49" spans="1:12" s="356" customFormat="1" ht="13.5" customHeight="1" thickBot="1" x14ac:dyDescent="0.25">
      <c r="A49" s="584"/>
      <c r="B49" s="584"/>
      <c r="C49" s="585"/>
      <c r="D49" s="504"/>
      <c r="E49" s="467"/>
      <c r="F49" s="783"/>
      <c r="G49" s="467"/>
      <c r="H49" s="610" t="s">
        <v>148</v>
      </c>
    </row>
    <row r="50" spans="1:12" s="356" customFormat="1" ht="35.85" customHeight="1" thickTop="1" thickBot="1" x14ac:dyDescent="0.25">
      <c r="A50" s="586" t="s">
        <v>149</v>
      </c>
      <c r="B50" s="587" t="s">
        <v>150</v>
      </c>
      <c r="C50" s="589" t="s">
        <v>639</v>
      </c>
      <c r="D50" s="658" t="s">
        <v>151</v>
      </c>
      <c r="E50" s="658" t="s">
        <v>569</v>
      </c>
      <c r="F50" s="658" t="s">
        <v>570</v>
      </c>
      <c r="G50" s="658" t="s">
        <v>797</v>
      </c>
      <c r="H50" s="590" t="s">
        <v>798</v>
      </c>
    </row>
    <row r="51" spans="1:12" ht="14.25" thickTop="1" thickBot="1" x14ac:dyDescent="0.25">
      <c r="A51" s="525">
        <v>1</v>
      </c>
      <c r="B51" s="526">
        <v>2</v>
      </c>
      <c r="C51" s="526">
        <v>3</v>
      </c>
      <c r="D51" s="526">
        <v>4</v>
      </c>
      <c r="E51" s="526">
        <v>5</v>
      </c>
      <c r="F51" s="512">
        <v>6</v>
      </c>
      <c r="G51" s="512">
        <v>7</v>
      </c>
      <c r="H51" s="591" t="s">
        <v>54</v>
      </c>
    </row>
    <row r="52" spans="1:12" s="2113" customFormat="1" ht="16.5" thickTop="1" thickBot="1" x14ac:dyDescent="0.3">
      <c r="A52" s="2114">
        <v>6172</v>
      </c>
      <c r="B52" s="659">
        <v>6121</v>
      </c>
      <c r="C52" s="2115"/>
      <c r="D52" s="371" t="s">
        <v>548</v>
      </c>
      <c r="E52" s="437">
        <v>85772</v>
      </c>
      <c r="F52" s="437">
        <v>0</v>
      </c>
      <c r="G52" s="363">
        <v>0</v>
      </c>
      <c r="H52" s="2116">
        <v>0</v>
      </c>
      <c r="I52" s="2112"/>
      <c r="J52" s="2112"/>
    </row>
    <row r="53" spans="1:12" ht="19.5" thickTop="1" thickBot="1" x14ac:dyDescent="0.3">
      <c r="A53" s="592" t="s">
        <v>224</v>
      </c>
      <c r="B53" s="595"/>
      <c r="C53" s="594"/>
      <c r="D53" s="595"/>
      <c r="E53" s="841">
        <f>E52</f>
        <v>85772</v>
      </c>
      <c r="F53" s="841">
        <f t="shared" ref="F53:G53" si="2">F52</f>
        <v>0</v>
      </c>
      <c r="G53" s="596">
        <f t="shared" si="2"/>
        <v>0</v>
      </c>
      <c r="H53" s="2013">
        <v>0</v>
      </c>
      <c r="I53" s="504"/>
      <c r="J53" s="504"/>
    </row>
    <row r="54" spans="1:12" ht="18.75" thickTop="1" x14ac:dyDescent="0.25">
      <c r="A54" s="354"/>
      <c r="B54" s="355"/>
      <c r="C54" s="57"/>
      <c r="D54" s="355"/>
      <c r="E54" s="17"/>
      <c r="F54" s="17"/>
      <c r="G54" s="17"/>
      <c r="H54" s="764"/>
      <c r="I54" s="504"/>
      <c r="J54" s="504"/>
    </row>
    <row r="55" spans="1:12" ht="18" x14ac:dyDescent="0.25">
      <c r="A55" s="354"/>
      <c r="B55" s="355"/>
      <c r="C55" s="57"/>
      <c r="D55" s="355"/>
      <c r="E55" s="17"/>
      <c r="F55" s="17"/>
      <c r="G55" s="17"/>
      <c r="H55" s="764"/>
      <c r="I55" s="504"/>
      <c r="J55" s="504"/>
    </row>
    <row r="56" spans="1:12" s="611" customFormat="1" ht="16.5" x14ac:dyDescent="0.25">
      <c r="A56" s="357" t="s">
        <v>537</v>
      </c>
      <c r="B56" s="358"/>
      <c r="C56" s="359"/>
      <c r="D56" s="359"/>
      <c r="E56" s="777">
        <f>E57+E58+E59+E60</f>
        <v>227796</v>
      </c>
      <c r="F56" s="777">
        <f>F57+F58+F59+F60</f>
        <v>345129</v>
      </c>
      <c r="G56" s="777">
        <f>G57+G58+G59+G60</f>
        <v>46380</v>
      </c>
      <c r="H56" s="301">
        <f>G56/F56*100</f>
        <v>13.438453447841242</v>
      </c>
      <c r="J56" s="1611">
        <f>SUM(J57:J60)</f>
        <v>227796000</v>
      </c>
      <c r="K56" s="1611">
        <f>SUM(K57:K60)</f>
        <v>345129449.70999998</v>
      </c>
      <c r="L56" s="1611">
        <f>SUM(L57:L60)</f>
        <v>46379729.240000002</v>
      </c>
    </row>
    <row r="57" spans="1:12" s="1045" customFormat="1" ht="15" x14ac:dyDescent="0.2">
      <c r="A57" s="520" t="s">
        <v>242</v>
      </c>
      <c r="B57" s="542"/>
      <c r="C57" s="543"/>
      <c r="D57" s="543"/>
      <c r="E57" s="778">
        <f>E46</f>
        <v>142024</v>
      </c>
      <c r="F57" s="778">
        <f>F46-F59</f>
        <v>343720</v>
      </c>
      <c r="G57" s="778">
        <f>G46-G59</f>
        <v>46380</v>
      </c>
      <c r="H57" s="302">
        <f>G57/F57*100</f>
        <v>13.493541254509484</v>
      </c>
      <c r="J57" s="1437">
        <v>142024000</v>
      </c>
      <c r="K57" s="1437">
        <f>345129449.71-1409400</f>
        <v>343720049.70999998</v>
      </c>
      <c r="L57" s="1437">
        <v>46379729.240000002</v>
      </c>
    </row>
    <row r="58" spans="1:12" s="1045" customFormat="1" ht="15" x14ac:dyDescent="0.2">
      <c r="A58" s="520" t="s">
        <v>243</v>
      </c>
      <c r="B58" s="547"/>
      <c r="C58" s="543"/>
      <c r="D58" s="543"/>
      <c r="E58" s="779">
        <f>E53</f>
        <v>85772</v>
      </c>
      <c r="F58" s="779">
        <v>0</v>
      </c>
      <c r="G58" s="779">
        <v>0</v>
      </c>
      <c r="H58" s="302">
        <v>0</v>
      </c>
      <c r="J58" s="1437">
        <v>85772000</v>
      </c>
      <c r="K58" s="1437">
        <v>0</v>
      </c>
      <c r="L58" s="1437">
        <v>0</v>
      </c>
    </row>
    <row r="59" spans="1:12" s="1045" customFormat="1" ht="15" x14ac:dyDescent="0.2">
      <c r="A59" s="520" t="s">
        <v>191</v>
      </c>
      <c r="B59" s="547"/>
      <c r="C59" s="543"/>
      <c r="D59" s="543"/>
      <c r="E59" s="778">
        <v>0</v>
      </c>
      <c r="F59" s="545">
        <f>F18</f>
        <v>1409</v>
      </c>
      <c r="G59" s="545">
        <f>G18+G15</f>
        <v>0</v>
      </c>
      <c r="H59" s="302">
        <f>G59/F59*100</f>
        <v>0</v>
      </c>
      <c r="J59" s="1437">
        <v>0</v>
      </c>
      <c r="K59" s="1437">
        <v>1409400</v>
      </c>
      <c r="L59" s="1437">
        <v>0</v>
      </c>
    </row>
    <row r="60" spans="1:12" s="1045" customFormat="1" ht="15" x14ac:dyDescent="0.2">
      <c r="A60" s="520" t="s">
        <v>1034</v>
      </c>
      <c r="B60" s="547"/>
      <c r="C60" s="543"/>
      <c r="D60" s="543"/>
      <c r="E60" s="778">
        <v>0</v>
      </c>
      <c r="F60" s="549">
        <v>0</v>
      </c>
      <c r="G60" s="549">
        <v>0</v>
      </c>
      <c r="H60" s="302">
        <v>0</v>
      </c>
      <c r="J60" s="1437">
        <v>0</v>
      </c>
      <c r="K60" s="1437">
        <v>0</v>
      </c>
      <c r="L60" s="1437">
        <v>0</v>
      </c>
    </row>
    <row r="61" spans="1:12" s="1045" customFormat="1" ht="15" x14ac:dyDescent="0.2">
      <c r="A61" s="520"/>
      <c r="B61" s="547"/>
      <c r="C61" s="543"/>
      <c r="D61" s="543"/>
      <c r="E61" s="778"/>
      <c r="F61" s="549"/>
      <c r="G61" s="549"/>
      <c r="H61" s="302"/>
    </row>
    <row r="62" spans="1:12" s="58" customFormat="1" ht="47.25" customHeight="1" thickBot="1" x14ac:dyDescent="0.4">
      <c r="A62" s="603" t="s">
        <v>1040</v>
      </c>
      <c r="B62" s="604"/>
      <c r="C62" s="605"/>
      <c r="D62" s="606"/>
      <c r="E62" s="550">
        <f>SUM(E46,E53)</f>
        <v>227796</v>
      </c>
      <c r="F62" s="550">
        <f>SUM(F46)</f>
        <v>345129</v>
      </c>
      <c r="G62" s="550">
        <f>SUM(G46)</f>
        <v>46380</v>
      </c>
      <c r="H62" s="839">
        <f>(G62/F62)*100</f>
        <v>13.438453447841242</v>
      </c>
    </row>
    <row r="63" spans="1:12" ht="13.5" thickTop="1" x14ac:dyDescent="0.2"/>
    <row r="75" spans="1:10" x14ac:dyDescent="0.2">
      <c r="A75" s="504"/>
      <c r="C75" s="504"/>
      <c r="E75" s="504"/>
      <c r="G75" s="504"/>
      <c r="I75" s="504"/>
      <c r="J75" s="504"/>
    </row>
    <row r="76" spans="1:10" x14ac:dyDescent="0.2">
      <c r="A76" s="504"/>
      <c r="C76" s="504"/>
      <c r="E76" s="504"/>
      <c r="G76" s="504"/>
      <c r="I76" s="504"/>
      <c r="J76" s="504"/>
    </row>
    <row r="77" spans="1:10" x14ac:dyDescent="0.2">
      <c r="A77" s="504"/>
      <c r="C77" s="504"/>
      <c r="E77" s="504"/>
      <c r="G77" s="504"/>
      <c r="I77" s="504"/>
      <c r="J77" s="504"/>
    </row>
    <row r="78" spans="1:10" x14ac:dyDescent="0.2">
      <c r="A78" s="504"/>
      <c r="C78" s="504"/>
      <c r="E78" s="504"/>
      <c r="G78" s="504"/>
      <c r="I78" s="504"/>
      <c r="J78" s="504"/>
    </row>
    <row r="79" spans="1:10" x14ac:dyDescent="0.2">
      <c r="A79" s="504"/>
      <c r="C79" s="504"/>
      <c r="E79" s="504"/>
      <c r="G79" s="504"/>
      <c r="I79" s="504"/>
      <c r="J79" s="504"/>
    </row>
    <row r="80" spans="1:10" s="58" customFormat="1" ht="47.25" customHeight="1" x14ac:dyDescent="0.35">
      <c r="A80" s="504"/>
      <c r="B80" s="504"/>
      <c r="C80" s="504"/>
      <c r="D80" s="504"/>
      <c r="E80" s="504"/>
      <c r="F80" s="467"/>
      <c r="G80" s="504"/>
      <c r="H80" s="610"/>
    </row>
    <row r="81" spans="1:10" s="599" customFormat="1" x14ac:dyDescent="0.2">
      <c r="A81" s="611"/>
      <c r="B81" s="611"/>
      <c r="C81" s="611"/>
      <c r="D81" s="611"/>
      <c r="E81" s="611"/>
      <c r="F81" s="613"/>
      <c r="G81" s="611"/>
      <c r="H81" s="614"/>
      <c r="I81" s="757"/>
      <c r="J81" s="757"/>
    </row>
    <row r="82" spans="1:10" x14ac:dyDescent="0.2">
      <c r="A82" s="504"/>
      <c r="C82" s="504"/>
      <c r="E82" s="504"/>
      <c r="G82" s="504"/>
    </row>
    <row r="83" spans="1:10" x14ac:dyDescent="0.2">
      <c r="A83" s="504"/>
      <c r="C83" s="504"/>
      <c r="E83" s="504"/>
      <c r="G83" s="504"/>
    </row>
    <row r="84" spans="1:10" x14ac:dyDescent="0.2">
      <c r="A84" s="504"/>
      <c r="C84" s="504"/>
      <c r="E84" s="504"/>
      <c r="G84" s="504"/>
    </row>
    <row r="85" spans="1:10" x14ac:dyDescent="0.2">
      <c r="A85" s="504"/>
      <c r="C85" s="504"/>
      <c r="E85" s="504"/>
      <c r="G85" s="504"/>
    </row>
    <row r="86" spans="1:10" x14ac:dyDescent="0.2">
      <c r="A86" s="504"/>
      <c r="C86" s="504"/>
      <c r="E86" s="504"/>
      <c r="G86" s="504"/>
    </row>
    <row r="87" spans="1:10" x14ac:dyDescent="0.2">
      <c r="A87" s="504"/>
      <c r="C87" s="504"/>
      <c r="E87" s="504"/>
      <c r="G87" s="504"/>
    </row>
    <row r="88" spans="1:10" x14ac:dyDescent="0.2">
      <c r="A88" s="504"/>
      <c r="C88" s="504"/>
      <c r="E88" s="504"/>
      <c r="G88" s="504"/>
    </row>
    <row r="89" spans="1:10" x14ac:dyDescent="0.2">
      <c r="A89" s="504"/>
      <c r="C89" s="504"/>
      <c r="E89" s="504"/>
      <c r="G89" s="504"/>
    </row>
    <row r="90" spans="1:10" x14ac:dyDescent="0.2">
      <c r="A90" s="504"/>
      <c r="C90" s="504"/>
      <c r="E90" s="504"/>
      <c r="G90" s="504"/>
    </row>
    <row r="91" spans="1:10" x14ac:dyDescent="0.2">
      <c r="A91" s="504"/>
      <c r="C91" s="504"/>
      <c r="E91" s="504"/>
      <c r="G91" s="504"/>
    </row>
  </sheetData>
  <mergeCells count="4">
    <mergeCell ref="D18:D19"/>
    <mergeCell ref="C18:C19"/>
    <mergeCell ref="C15:C16"/>
    <mergeCell ref="D15:D16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9" firstPageNumber="32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 enableFormatConditionsCalculation="0">
    <tabColor rgb="FF00B0F0"/>
  </sheetPr>
  <dimension ref="A1:R99"/>
  <sheetViews>
    <sheetView showGridLines="0" view="pageBreakPreview" zoomScaleNormal="100" zoomScaleSheetLayoutView="100" workbookViewId="0">
      <selection sqref="A1:E1"/>
    </sheetView>
  </sheetViews>
  <sheetFormatPr defaultColWidth="9.140625" defaultRowHeight="12.75" x14ac:dyDescent="0.2"/>
  <cols>
    <col min="1" max="1" width="4.7109375" style="598" customWidth="1"/>
    <col min="2" max="2" width="4.7109375" style="790" customWidth="1"/>
    <col min="3" max="3" width="9.5703125" style="791" customWidth="1"/>
    <col min="4" max="4" width="47.28515625" style="504" customWidth="1"/>
    <col min="5" max="5" width="14.7109375" style="467" customWidth="1"/>
    <col min="6" max="6" width="14.5703125" style="467" customWidth="1"/>
    <col min="7" max="7" width="13.5703125" style="467" customWidth="1"/>
    <col min="8" max="8" width="8.5703125" style="610" customWidth="1"/>
    <col min="9" max="9" width="9.140625" style="467"/>
    <col min="10" max="10" width="17.42578125" style="467" customWidth="1"/>
    <col min="11" max="11" width="19" style="504" customWidth="1"/>
    <col min="12" max="12" width="16" style="504" customWidth="1"/>
    <col min="13" max="16384" width="9.140625" style="504"/>
  </cols>
  <sheetData>
    <row r="1" spans="1:10" ht="40.5" customHeight="1" thickBot="1" x14ac:dyDescent="0.3">
      <c r="A1" s="3082" t="s">
        <v>2175</v>
      </c>
      <c r="B1" s="3083"/>
      <c r="C1" s="3083"/>
      <c r="D1" s="3083"/>
      <c r="E1" s="3083"/>
      <c r="F1" s="452" t="s">
        <v>325</v>
      </c>
      <c r="I1" s="17"/>
    </row>
    <row r="2" spans="1:10" ht="12.75" customHeight="1" x14ac:dyDescent="0.25">
      <c r="A2" s="6"/>
      <c r="B2" s="28"/>
      <c r="C2" s="140"/>
      <c r="D2" s="10"/>
      <c r="E2" s="135"/>
      <c r="F2" s="135"/>
      <c r="G2" s="16"/>
      <c r="H2" s="191"/>
      <c r="I2" s="17"/>
    </row>
    <row r="3" spans="1:10" ht="12.75" customHeight="1" x14ac:dyDescent="0.25">
      <c r="A3" s="67" t="s">
        <v>336</v>
      </c>
      <c r="B3" s="28"/>
      <c r="C3" s="1348" t="s">
        <v>1866</v>
      </c>
      <c r="D3" s="583"/>
      <c r="E3" s="135"/>
      <c r="F3" s="16"/>
      <c r="G3" s="17"/>
      <c r="H3" s="191"/>
      <c r="I3" s="504"/>
      <c r="J3" s="504"/>
    </row>
    <row r="4" spans="1:10" ht="12.75" customHeight="1" x14ac:dyDescent="0.25">
      <c r="A4" s="6"/>
      <c r="B4" s="28"/>
      <c r="C4" s="1347" t="s">
        <v>1450</v>
      </c>
      <c r="D4" s="1345"/>
      <c r="E4" s="136"/>
      <c r="F4" s="16"/>
      <c r="G4" s="17"/>
      <c r="H4" s="191"/>
      <c r="I4" s="504"/>
      <c r="J4" s="504"/>
    </row>
    <row r="5" spans="1:10" ht="12.75" customHeight="1" x14ac:dyDescent="0.25">
      <c r="A5" s="6"/>
      <c r="B5" s="28"/>
      <c r="C5" s="140"/>
      <c r="D5" s="10"/>
      <c r="E5" s="135"/>
      <c r="F5" s="135"/>
      <c r="G5" s="16"/>
      <c r="H5" s="191"/>
      <c r="I5" s="17"/>
    </row>
    <row r="6" spans="1:10" ht="15.75" customHeight="1" x14ac:dyDescent="0.25">
      <c r="A6" s="33" t="s">
        <v>799</v>
      </c>
      <c r="B6" s="28"/>
      <c r="C6" s="140"/>
      <c r="D6" s="10"/>
      <c r="E6" s="135"/>
      <c r="F6" s="135"/>
      <c r="G6" s="16"/>
      <c r="I6" s="17"/>
    </row>
    <row r="7" spans="1:10" ht="13.5" thickBot="1" x14ac:dyDescent="0.25">
      <c r="A7" s="584"/>
      <c r="B7" s="584"/>
      <c r="C7" s="620"/>
      <c r="D7" s="585"/>
      <c r="G7" s="783"/>
      <c r="H7" s="610" t="s">
        <v>148</v>
      </c>
    </row>
    <row r="8" spans="1:10" s="106" customFormat="1" ht="20.25" customHeight="1" thickTop="1" thickBot="1" x14ac:dyDescent="0.25">
      <c r="A8" s="586" t="s">
        <v>149</v>
      </c>
      <c r="B8" s="587" t="s">
        <v>150</v>
      </c>
      <c r="C8" s="615" t="s">
        <v>639</v>
      </c>
      <c r="D8" s="589" t="s">
        <v>151</v>
      </c>
      <c r="E8" s="589" t="s">
        <v>569</v>
      </c>
      <c r="F8" s="589" t="s">
        <v>570</v>
      </c>
      <c r="G8" s="589" t="s">
        <v>797</v>
      </c>
      <c r="H8" s="590" t="s">
        <v>798</v>
      </c>
      <c r="I8" s="750"/>
      <c r="J8" s="750"/>
    </row>
    <row r="9" spans="1:10" s="375" customFormat="1" ht="13.5" thickTop="1" thickBot="1" x14ac:dyDescent="0.25">
      <c r="A9" s="525">
        <v>1</v>
      </c>
      <c r="B9" s="526">
        <v>2</v>
      </c>
      <c r="C9" s="526">
        <v>3</v>
      </c>
      <c r="D9" s="526">
        <v>4</v>
      </c>
      <c r="E9" s="526">
        <v>5</v>
      </c>
      <c r="F9" s="512">
        <v>6</v>
      </c>
      <c r="G9" s="512">
        <v>7</v>
      </c>
      <c r="H9" s="591" t="s">
        <v>54</v>
      </c>
      <c r="I9" s="106"/>
    </row>
    <row r="10" spans="1:10" s="920" customFormat="1" ht="14.25" customHeight="1" thickTop="1" x14ac:dyDescent="0.25">
      <c r="A10" s="220">
        <v>2141</v>
      </c>
      <c r="B10" s="95">
        <v>5221</v>
      </c>
      <c r="C10" s="915"/>
      <c r="D10" s="935" t="s">
        <v>919</v>
      </c>
      <c r="E10" s="60">
        <v>100</v>
      </c>
      <c r="F10" s="309">
        <v>100</v>
      </c>
      <c r="G10" s="311">
        <v>100</v>
      </c>
      <c r="H10" s="892">
        <f t="shared" ref="H10:H31" si="0">(G10/F10)*100</f>
        <v>100</v>
      </c>
    </row>
    <row r="11" spans="1:10" s="920" customFormat="1" ht="14.25" customHeight="1" x14ac:dyDescent="0.2">
      <c r="A11" s="220"/>
      <c r="B11" s="95"/>
      <c r="C11" s="903" t="s">
        <v>1787</v>
      </c>
      <c r="D11" s="936" t="s">
        <v>292</v>
      </c>
      <c r="E11" s="123">
        <v>100</v>
      </c>
      <c r="F11" s="310">
        <v>100</v>
      </c>
      <c r="G11" s="312">
        <v>100</v>
      </c>
      <c r="H11" s="893">
        <f t="shared" si="0"/>
        <v>100</v>
      </c>
    </row>
    <row r="12" spans="1:10" s="920" customFormat="1" ht="14.25" customHeight="1" x14ac:dyDescent="0.25">
      <c r="A12" s="220">
        <v>2141</v>
      </c>
      <c r="B12" s="95">
        <v>5222</v>
      </c>
      <c r="C12" s="903"/>
      <c r="D12" s="1101" t="s">
        <v>1018</v>
      </c>
      <c r="E12" s="60">
        <v>100</v>
      </c>
      <c r="F12" s="309">
        <v>220</v>
      </c>
      <c r="G12" s="311">
        <v>220</v>
      </c>
      <c r="H12" s="209">
        <f t="shared" si="0"/>
        <v>100</v>
      </c>
    </row>
    <row r="13" spans="1:10" s="920" customFormat="1" ht="14.25" customHeight="1" x14ac:dyDescent="0.2">
      <c r="A13" s="220"/>
      <c r="B13" s="95"/>
      <c r="C13" s="903" t="s">
        <v>1787</v>
      </c>
      <c r="D13" s="936" t="s">
        <v>292</v>
      </c>
      <c r="E13" s="123">
        <v>100</v>
      </c>
      <c r="F13" s="310">
        <v>220</v>
      </c>
      <c r="G13" s="312">
        <v>220</v>
      </c>
      <c r="H13" s="893">
        <f t="shared" si="0"/>
        <v>100</v>
      </c>
    </row>
    <row r="14" spans="1:10" s="920" customFormat="1" ht="14.25" customHeight="1" x14ac:dyDescent="0.25">
      <c r="A14" s="220">
        <v>2141</v>
      </c>
      <c r="B14" s="95">
        <v>5229</v>
      </c>
      <c r="C14" s="903"/>
      <c r="D14" s="1103" t="s">
        <v>1019</v>
      </c>
      <c r="E14" s="60">
        <v>100</v>
      </c>
      <c r="F14" s="309">
        <v>100</v>
      </c>
      <c r="G14" s="311">
        <v>100</v>
      </c>
      <c r="H14" s="209">
        <f t="shared" si="0"/>
        <v>100</v>
      </c>
    </row>
    <row r="15" spans="1:10" s="920" customFormat="1" ht="14.25" customHeight="1" x14ac:dyDescent="0.2">
      <c r="A15" s="220"/>
      <c r="B15" s="95"/>
      <c r="C15" s="903" t="s">
        <v>1787</v>
      </c>
      <c r="D15" s="936" t="s">
        <v>292</v>
      </c>
      <c r="E15" s="123">
        <v>100</v>
      </c>
      <c r="F15" s="310">
        <v>100</v>
      </c>
      <c r="G15" s="312">
        <v>100</v>
      </c>
      <c r="H15" s="893">
        <f t="shared" si="0"/>
        <v>100</v>
      </c>
    </row>
    <row r="16" spans="1:10" s="920" customFormat="1" ht="14.25" customHeight="1" x14ac:dyDescent="0.25">
      <c r="A16" s="220">
        <v>2141</v>
      </c>
      <c r="B16" s="95">
        <v>5332</v>
      </c>
      <c r="C16" s="903"/>
      <c r="D16" s="1579" t="s">
        <v>560</v>
      </c>
      <c r="E16" s="123"/>
      <c r="F16" s="309">
        <v>100</v>
      </c>
      <c r="G16" s="311">
        <v>100</v>
      </c>
      <c r="H16" s="209">
        <f t="shared" si="0"/>
        <v>100</v>
      </c>
    </row>
    <row r="17" spans="1:8" s="920" customFormat="1" ht="14.25" customHeight="1" x14ac:dyDescent="0.2">
      <c r="A17" s="220"/>
      <c r="B17" s="95"/>
      <c r="C17" s="903" t="s">
        <v>1787</v>
      </c>
      <c r="D17" s="936" t="s">
        <v>292</v>
      </c>
      <c r="E17" s="123"/>
      <c r="F17" s="310">
        <v>100</v>
      </c>
      <c r="G17" s="312">
        <v>100</v>
      </c>
      <c r="H17" s="893">
        <f t="shared" si="0"/>
        <v>100</v>
      </c>
    </row>
    <row r="18" spans="1:8" s="920" customFormat="1" ht="14.25" customHeight="1" x14ac:dyDescent="0.25">
      <c r="A18" s="220">
        <v>2212</v>
      </c>
      <c r="B18" s="95">
        <v>5321</v>
      </c>
      <c r="C18" s="915"/>
      <c r="D18" s="935" t="s">
        <v>1078</v>
      </c>
      <c r="E18" s="930"/>
      <c r="F18" s="309">
        <v>1721</v>
      </c>
      <c r="G18" s="311">
        <v>1721</v>
      </c>
      <c r="H18" s="209">
        <f t="shared" si="0"/>
        <v>100</v>
      </c>
    </row>
    <row r="19" spans="1:8" s="920" customFormat="1" ht="14.25" customHeight="1" x14ac:dyDescent="0.2">
      <c r="A19" s="220"/>
      <c r="B19" s="95"/>
      <c r="C19" s="903" t="s">
        <v>1795</v>
      </c>
      <c r="D19" s="936" t="s">
        <v>932</v>
      </c>
      <c r="E19" s="930"/>
      <c r="F19" s="310">
        <v>1721</v>
      </c>
      <c r="G19" s="312">
        <v>1721</v>
      </c>
      <c r="H19" s="893">
        <f t="shared" si="0"/>
        <v>100</v>
      </c>
    </row>
    <row r="20" spans="1:8" s="920" customFormat="1" ht="14.25" customHeight="1" x14ac:dyDescent="0.25">
      <c r="A20" s="220">
        <v>2219</v>
      </c>
      <c r="B20" s="95">
        <v>5321</v>
      </c>
      <c r="C20" s="915"/>
      <c r="D20" s="935" t="s">
        <v>1078</v>
      </c>
      <c r="E20" s="930"/>
      <c r="F20" s="309">
        <v>1500</v>
      </c>
      <c r="G20" s="311">
        <v>1500</v>
      </c>
      <c r="H20" s="209">
        <f t="shared" si="0"/>
        <v>100</v>
      </c>
    </row>
    <row r="21" spans="1:8" s="920" customFormat="1" ht="14.25" customHeight="1" x14ac:dyDescent="0.2">
      <c r="A21" s="220"/>
      <c r="B21" s="95"/>
      <c r="C21" s="903" t="s">
        <v>1795</v>
      </c>
      <c r="D21" s="936" t="s">
        <v>932</v>
      </c>
      <c r="E21" s="930"/>
      <c r="F21" s="310">
        <v>1500</v>
      </c>
      <c r="G21" s="312">
        <v>1500</v>
      </c>
      <c r="H21" s="893">
        <f t="shared" si="0"/>
        <v>100</v>
      </c>
    </row>
    <row r="22" spans="1:8" s="920" customFormat="1" ht="13.5" customHeight="1" x14ac:dyDescent="0.25">
      <c r="A22" s="220">
        <v>3299</v>
      </c>
      <c r="B22" s="95">
        <v>5213</v>
      </c>
      <c r="C22" s="929"/>
      <c r="D22" s="935" t="s">
        <v>194</v>
      </c>
      <c r="E22" s="60">
        <v>1500</v>
      </c>
      <c r="F22" s="309">
        <v>1500</v>
      </c>
      <c r="G22" s="311">
        <v>1500</v>
      </c>
      <c r="H22" s="209">
        <f t="shared" si="0"/>
        <v>100</v>
      </c>
    </row>
    <row r="23" spans="1:8" s="920" customFormat="1" ht="13.5" customHeight="1" x14ac:dyDescent="0.2">
      <c r="A23" s="220"/>
      <c r="B23" s="95"/>
      <c r="C23" s="929" t="s">
        <v>1761</v>
      </c>
      <c r="D23" s="913" t="s">
        <v>806</v>
      </c>
      <c r="E23" s="123">
        <v>1500</v>
      </c>
      <c r="F23" s="310">
        <v>1500</v>
      </c>
      <c r="G23" s="312">
        <v>1500</v>
      </c>
      <c r="H23" s="893">
        <f t="shared" si="0"/>
        <v>100</v>
      </c>
    </row>
    <row r="24" spans="1:8" s="920" customFormat="1" ht="13.5" customHeight="1" x14ac:dyDescent="0.25">
      <c r="A24" s="220">
        <v>3299</v>
      </c>
      <c r="B24" s="95">
        <v>5363</v>
      </c>
      <c r="C24" s="929"/>
      <c r="D24" s="1405" t="s">
        <v>1353</v>
      </c>
      <c r="E24" s="123"/>
      <c r="F24" s="309">
        <v>20</v>
      </c>
      <c r="G24" s="311">
        <v>20</v>
      </c>
      <c r="H24" s="209">
        <f t="shared" si="0"/>
        <v>100</v>
      </c>
    </row>
    <row r="25" spans="1:8" s="920" customFormat="1" ht="13.5" customHeight="1" x14ac:dyDescent="0.25">
      <c r="A25" s="220">
        <v>3322</v>
      </c>
      <c r="B25" s="95">
        <v>5321</v>
      </c>
      <c r="C25" s="929"/>
      <c r="D25" s="935" t="s">
        <v>1078</v>
      </c>
      <c r="E25" s="123"/>
      <c r="F25" s="309">
        <v>600</v>
      </c>
      <c r="G25" s="311">
        <v>600</v>
      </c>
      <c r="H25" s="209">
        <f t="shared" si="0"/>
        <v>100</v>
      </c>
    </row>
    <row r="26" spans="1:8" s="920" customFormat="1" ht="13.5" customHeight="1" x14ac:dyDescent="0.25">
      <c r="A26" s="220">
        <v>3349</v>
      </c>
      <c r="B26" s="95">
        <v>5213</v>
      </c>
      <c r="C26" s="929"/>
      <c r="D26" s="935" t="s">
        <v>194</v>
      </c>
      <c r="E26" s="60">
        <v>450</v>
      </c>
      <c r="F26" s="309">
        <v>450</v>
      </c>
      <c r="G26" s="311">
        <v>450</v>
      </c>
      <c r="H26" s="892">
        <f t="shared" si="0"/>
        <v>100</v>
      </c>
    </row>
    <row r="27" spans="1:8" s="920" customFormat="1" ht="13.5" customHeight="1" x14ac:dyDescent="0.2">
      <c r="A27" s="220"/>
      <c r="B27" s="95"/>
      <c r="C27" s="929" t="s">
        <v>1761</v>
      </c>
      <c r="D27" s="913" t="s">
        <v>806</v>
      </c>
      <c r="E27" s="123">
        <v>450</v>
      </c>
      <c r="F27" s="310">
        <v>450</v>
      </c>
      <c r="G27" s="312">
        <v>450</v>
      </c>
      <c r="H27" s="893">
        <f t="shared" si="0"/>
        <v>100</v>
      </c>
    </row>
    <row r="28" spans="1:8" s="920" customFormat="1" ht="13.5" customHeight="1" x14ac:dyDescent="0.25">
      <c r="A28" s="220">
        <v>3399</v>
      </c>
      <c r="B28" s="95">
        <v>5213</v>
      </c>
      <c r="C28" s="903"/>
      <c r="D28" s="935" t="s">
        <v>194</v>
      </c>
      <c r="E28" s="123"/>
      <c r="F28" s="309">
        <v>25</v>
      </c>
      <c r="G28" s="311">
        <v>25</v>
      </c>
      <c r="H28" s="209">
        <f t="shared" si="0"/>
        <v>100</v>
      </c>
    </row>
    <row r="29" spans="1:8" s="920" customFormat="1" ht="13.5" customHeight="1" x14ac:dyDescent="0.2">
      <c r="A29" s="220"/>
      <c r="B29" s="95"/>
      <c r="C29" s="903" t="s">
        <v>1788</v>
      </c>
      <c r="D29" s="1287" t="s">
        <v>1437</v>
      </c>
      <c r="E29" s="123"/>
      <c r="F29" s="310">
        <v>25</v>
      </c>
      <c r="G29" s="312">
        <v>25</v>
      </c>
      <c r="H29" s="893">
        <f t="shared" si="0"/>
        <v>100</v>
      </c>
    </row>
    <row r="30" spans="1:8" s="920" customFormat="1" ht="13.5" customHeight="1" x14ac:dyDescent="0.25">
      <c r="A30" s="220">
        <v>3635</v>
      </c>
      <c r="B30" s="95">
        <v>5166</v>
      </c>
      <c r="C30" s="903"/>
      <c r="D30" s="935" t="s">
        <v>553</v>
      </c>
      <c r="E30" s="60">
        <v>3550</v>
      </c>
      <c r="F30" s="309">
        <v>2450</v>
      </c>
      <c r="G30" s="311">
        <v>1076</v>
      </c>
      <c r="H30" s="209">
        <f t="shared" si="0"/>
        <v>43.918367346938773</v>
      </c>
    </row>
    <row r="31" spans="1:8" s="920" customFormat="1" ht="13.5" customHeight="1" x14ac:dyDescent="0.25">
      <c r="A31" s="220">
        <v>3635</v>
      </c>
      <c r="B31" s="95">
        <v>5168</v>
      </c>
      <c r="C31" s="903"/>
      <c r="D31" s="3069" t="s">
        <v>1606</v>
      </c>
      <c r="E31" s="60">
        <v>365</v>
      </c>
      <c r="F31" s="309">
        <v>365</v>
      </c>
      <c r="G31" s="311">
        <v>124</v>
      </c>
      <c r="H31" s="209">
        <f t="shared" si="0"/>
        <v>33.972602739726028</v>
      </c>
    </row>
    <row r="32" spans="1:8" s="920" customFormat="1" ht="13.5" customHeight="1" x14ac:dyDescent="0.25">
      <c r="A32" s="220"/>
      <c r="B32" s="95"/>
      <c r="C32" s="903"/>
      <c r="D32" s="3081"/>
      <c r="E32" s="60"/>
      <c r="F32" s="309"/>
      <c r="G32" s="311"/>
      <c r="H32" s="209"/>
    </row>
    <row r="33" spans="1:8" s="875" customFormat="1" ht="15" x14ac:dyDescent="0.25">
      <c r="A33" s="50">
        <v>3635</v>
      </c>
      <c r="B33" s="19">
        <v>5169</v>
      </c>
      <c r="C33" s="927"/>
      <c r="D33" s="935" t="s">
        <v>769</v>
      </c>
      <c r="E33" s="48">
        <v>50</v>
      </c>
      <c r="F33" s="166">
        <v>1150</v>
      </c>
      <c r="G33" s="311">
        <v>1041</v>
      </c>
      <c r="H33" s="892">
        <f>(G33/F33)*100</f>
        <v>90.521739130434781</v>
      </c>
    </row>
    <row r="34" spans="1:8" s="875" customFormat="1" ht="15" x14ac:dyDescent="0.25">
      <c r="A34" s="50">
        <v>3635</v>
      </c>
      <c r="B34" s="19">
        <v>5192</v>
      </c>
      <c r="C34" s="927"/>
      <c r="D34" s="935" t="s">
        <v>1102</v>
      </c>
      <c r="E34" s="48">
        <v>220</v>
      </c>
      <c r="F34" s="166">
        <v>220</v>
      </c>
      <c r="G34" s="311">
        <v>41</v>
      </c>
      <c r="H34" s="892">
        <f>(G34/F34)*100</f>
        <v>18.636363636363637</v>
      </c>
    </row>
    <row r="35" spans="1:8" s="875" customFormat="1" ht="15" x14ac:dyDescent="0.25">
      <c r="A35" s="50">
        <v>3636</v>
      </c>
      <c r="B35" s="19">
        <v>5169</v>
      </c>
      <c r="C35" s="927"/>
      <c r="D35" s="935" t="s">
        <v>769</v>
      </c>
      <c r="E35" s="48"/>
      <c r="F35" s="166">
        <v>85</v>
      </c>
      <c r="G35" s="311">
        <v>5</v>
      </c>
      <c r="H35" s="892">
        <f>(G35/F35)*100</f>
        <v>5.8823529411764701</v>
      </c>
    </row>
    <row r="36" spans="1:8" s="875" customFormat="1" ht="15" x14ac:dyDescent="0.25">
      <c r="A36" s="50">
        <v>3636</v>
      </c>
      <c r="B36" s="19">
        <v>5175</v>
      </c>
      <c r="C36" s="927"/>
      <c r="D36" s="1102" t="s">
        <v>605</v>
      </c>
      <c r="E36" s="48">
        <v>114</v>
      </c>
      <c r="F36" s="166">
        <v>109</v>
      </c>
      <c r="G36" s="311">
        <v>80</v>
      </c>
      <c r="H36" s="892">
        <f t="shared" ref="H36:H57" si="1">(G36/F36)*100</f>
        <v>73.394495412844037</v>
      </c>
    </row>
    <row r="37" spans="1:8" s="875" customFormat="1" ht="15" x14ac:dyDescent="0.25">
      <c r="A37" s="50">
        <v>3636</v>
      </c>
      <c r="B37" s="95">
        <v>5221</v>
      </c>
      <c r="C37" s="927"/>
      <c r="D37" s="935" t="s">
        <v>919</v>
      </c>
      <c r="E37" s="930"/>
      <c r="F37" s="309">
        <f>F38</f>
        <v>943</v>
      </c>
      <c r="G37" s="311">
        <f>G38</f>
        <v>943</v>
      </c>
      <c r="H37" s="892">
        <f t="shared" si="1"/>
        <v>100</v>
      </c>
    </row>
    <row r="38" spans="1:8" s="875" customFormat="1" ht="14.25" x14ac:dyDescent="0.2">
      <c r="A38" s="50"/>
      <c r="B38" s="19"/>
      <c r="C38" s="903" t="s">
        <v>1795</v>
      </c>
      <c r="D38" s="936" t="s">
        <v>932</v>
      </c>
      <c r="E38" s="930"/>
      <c r="F38" s="310">
        <v>943</v>
      </c>
      <c r="G38" s="312">
        <v>943</v>
      </c>
      <c r="H38" s="893">
        <f t="shared" si="1"/>
        <v>100</v>
      </c>
    </row>
    <row r="39" spans="1:8" s="875" customFormat="1" ht="15" x14ac:dyDescent="0.25">
      <c r="A39" s="50">
        <v>3636</v>
      </c>
      <c r="B39" s="95">
        <v>5222</v>
      </c>
      <c r="C39" s="903"/>
      <c r="D39" s="1101" t="s">
        <v>1018</v>
      </c>
      <c r="E39" s="930"/>
      <c r="F39" s="309">
        <f>F40</f>
        <v>861</v>
      </c>
      <c r="G39" s="311">
        <f>G40</f>
        <v>861</v>
      </c>
      <c r="H39" s="892">
        <f t="shared" si="1"/>
        <v>100</v>
      </c>
    </row>
    <row r="40" spans="1:8" s="875" customFormat="1" ht="14.25" x14ac:dyDescent="0.2">
      <c r="A40" s="50"/>
      <c r="B40" s="19"/>
      <c r="C40" s="903" t="s">
        <v>1795</v>
      </c>
      <c r="D40" s="936" t="s">
        <v>932</v>
      </c>
      <c r="E40" s="930"/>
      <c r="F40" s="310">
        <v>861</v>
      </c>
      <c r="G40" s="312">
        <v>861</v>
      </c>
      <c r="H40" s="893">
        <f t="shared" si="1"/>
        <v>100</v>
      </c>
    </row>
    <row r="41" spans="1:8" s="875" customFormat="1" ht="15" x14ac:dyDescent="0.25">
      <c r="A41" s="50">
        <v>3636</v>
      </c>
      <c r="B41" s="19">
        <v>5229</v>
      </c>
      <c r="C41" s="903"/>
      <c r="D41" s="1103" t="s">
        <v>1019</v>
      </c>
      <c r="E41" s="71">
        <v>1400</v>
      </c>
      <c r="F41" s="309">
        <v>900</v>
      </c>
      <c r="G41" s="311">
        <v>862</v>
      </c>
      <c r="H41" s="209">
        <f t="shared" si="1"/>
        <v>95.777777777777771</v>
      </c>
    </row>
    <row r="42" spans="1:8" s="875" customFormat="1" ht="14.25" x14ac:dyDescent="0.2">
      <c r="A42" s="50"/>
      <c r="B42" s="19"/>
      <c r="C42" s="929" t="s">
        <v>1761</v>
      </c>
      <c r="D42" s="913" t="s">
        <v>806</v>
      </c>
      <c r="E42" s="55">
        <v>1400</v>
      </c>
      <c r="F42" s="310">
        <v>900</v>
      </c>
      <c r="G42" s="312">
        <v>862</v>
      </c>
      <c r="H42" s="893">
        <f t="shared" si="1"/>
        <v>95.777777777777771</v>
      </c>
    </row>
    <row r="43" spans="1:8" s="875" customFormat="1" ht="15" x14ac:dyDescent="0.25">
      <c r="A43" s="50">
        <v>3636</v>
      </c>
      <c r="B43" s="19">
        <v>5321</v>
      </c>
      <c r="C43" s="903"/>
      <c r="D43" s="935" t="s">
        <v>1078</v>
      </c>
      <c r="E43" s="55"/>
      <c r="F43" s="309">
        <v>2425</v>
      </c>
      <c r="G43" s="311">
        <v>2326</v>
      </c>
      <c r="H43" s="209">
        <f t="shared" si="1"/>
        <v>95.917525773195877</v>
      </c>
    </row>
    <row r="44" spans="1:8" s="875" customFormat="1" ht="14.25" x14ac:dyDescent="0.2">
      <c r="A44" s="50"/>
      <c r="B44" s="19"/>
      <c r="C44" s="903" t="s">
        <v>1795</v>
      </c>
      <c r="D44" s="936" t="s">
        <v>932</v>
      </c>
      <c r="E44" s="55"/>
      <c r="F44" s="310">
        <v>2425</v>
      </c>
      <c r="G44" s="312">
        <v>2326</v>
      </c>
      <c r="H44" s="893">
        <f t="shared" si="1"/>
        <v>95.917525773195877</v>
      </c>
    </row>
    <row r="45" spans="1:8" s="875" customFormat="1" ht="15" x14ac:dyDescent="0.25">
      <c r="A45" s="50">
        <v>3636</v>
      </c>
      <c r="B45" s="19">
        <v>5363</v>
      </c>
      <c r="C45" s="903"/>
      <c r="D45" s="1405" t="s">
        <v>1353</v>
      </c>
      <c r="E45" s="55"/>
      <c r="F45" s="309">
        <v>86</v>
      </c>
      <c r="G45" s="311">
        <v>86</v>
      </c>
      <c r="H45" s="209">
        <f t="shared" si="1"/>
        <v>100</v>
      </c>
    </row>
    <row r="46" spans="1:8" s="875" customFormat="1" ht="30" x14ac:dyDescent="0.2">
      <c r="A46" s="1988">
        <v>3636</v>
      </c>
      <c r="B46" s="2015">
        <v>5629</v>
      </c>
      <c r="C46" s="903"/>
      <c r="D46" s="1481" t="s">
        <v>1796</v>
      </c>
      <c r="E46" s="55"/>
      <c r="F46" s="1903">
        <v>500</v>
      </c>
      <c r="G46" s="434">
        <v>500</v>
      </c>
      <c r="H46" s="1907">
        <f t="shared" si="1"/>
        <v>100</v>
      </c>
    </row>
    <row r="47" spans="1:8" s="875" customFormat="1" ht="14.25" x14ac:dyDescent="0.2">
      <c r="A47" s="50"/>
      <c r="B47" s="19"/>
      <c r="C47" s="903" t="s">
        <v>1794</v>
      </c>
      <c r="D47" s="936" t="s">
        <v>1797</v>
      </c>
      <c r="E47" s="55"/>
      <c r="F47" s="310">
        <v>500</v>
      </c>
      <c r="G47" s="312">
        <v>500</v>
      </c>
      <c r="H47" s="893">
        <f t="shared" si="1"/>
        <v>100</v>
      </c>
    </row>
    <row r="48" spans="1:8" s="875" customFormat="1" ht="15" x14ac:dyDescent="0.25">
      <c r="A48" s="50">
        <v>3639</v>
      </c>
      <c r="B48" s="19">
        <v>5139</v>
      </c>
      <c r="C48" s="903"/>
      <c r="D48" s="1148" t="s">
        <v>1614</v>
      </c>
      <c r="E48" s="71">
        <v>150</v>
      </c>
      <c r="F48" s="309">
        <v>302</v>
      </c>
      <c r="G48" s="311">
        <v>286</v>
      </c>
      <c r="H48" s="209">
        <f t="shared" si="1"/>
        <v>94.701986754966882</v>
      </c>
    </row>
    <row r="49" spans="1:18" s="875" customFormat="1" ht="15" x14ac:dyDescent="0.25">
      <c r="A49" s="50">
        <v>3639</v>
      </c>
      <c r="B49" s="19">
        <v>5164</v>
      </c>
      <c r="C49" s="903"/>
      <c r="D49" s="937" t="s">
        <v>157</v>
      </c>
      <c r="E49" s="71">
        <v>85</v>
      </c>
      <c r="F49" s="309">
        <v>104</v>
      </c>
      <c r="G49" s="311">
        <v>102</v>
      </c>
      <c r="H49" s="209">
        <f t="shared" si="1"/>
        <v>98.076923076923066</v>
      </c>
    </row>
    <row r="50" spans="1:18" s="875" customFormat="1" ht="15" x14ac:dyDescent="0.25">
      <c r="A50" s="50">
        <v>3639</v>
      </c>
      <c r="B50" s="19">
        <v>5166</v>
      </c>
      <c r="C50" s="927"/>
      <c r="D50" s="935" t="s">
        <v>553</v>
      </c>
      <c r="E50" s="48">
        <v>520</v>
      </c>
      <c r="F50" s="166">
        <v>905</v>
      </c>
      <c r="G50" s="311">
        <v>789</v>
      </c>
      <c r="H50" s="892">
        <f t="shared" si="1"/>
        <v>87.182320441988949</v>
      </c>
    </row>
    <row r="51" spans="1:18" s="875" customFormat="1" ht="15" x14ac:dyDescent="0.25">
      <c r="A51" s="50">
        <v>3639</v>
      </c>
      <c r="B51" s="19">
        <v>5169</v>
      </c>
      <c r="C51" s="927"/>
      <c r="D51" s="935" t="s">
        <v>769</v>
      </c>
      <c r="E51" s="48">
        <f>E52+E53</f>
        <v>3272</v>
      </c>
      <c r="F51" s="48">
        <f>F52+F53</f>
        <v>2236</v>
      </c>
      <c r="G51" s="48">
        <f>G52+G53</f>
        <v>1639</v>
      </c>
      <c r="H51" s="892">
        <f t="shared" si="1"/>
        <v>73.300536672629704</v>
      </c>
    </row>
    <row r="52" spans="1:18" s="875" customFormat="1" ht="14.25" x14ac:dyDescent="0.2">
      <c r="A52" s="50"/>
      <c r="B52" s="19"/>
      <c r="C52" s="888" t="s">
        <v>1760</v>
      </c>
      <c r="D52" s="882" t="s">
        <v>1127</v>
      </c>
      <c r="E52" s="55">
        <v>3052</v>
      </c>
      <c r="F52" s="310">
        <v>2236</v>
      </c>
      <c r="G52" s="312">
        <v>1639</v>
      </c>
      <c r="H52" s="893">
        <f t="shared" si="1"/>
        <v>73.300536672629704</v>
      </c>
    </row>
    <row r="53" spans="1:18" s="875" customFormat="1" ht="14.25" x14ac:dyDescent="0.2">
      <c r="A53" s="50"/>
      <c r="B53" s="19"/>
      <c r="C53" s="887" t="s">
        <v>1787</v>
      </c>
      <c r="D53" s="882" t="s">
        <v>292</v>
      </c>
      <c r="E53" s="55">
        <v>220</v>
      </c>
      <c r="F53" s="310">
        <v>0</v>
      </c>
      <c r="G53" s="312">
        <v>0</v>
      </c>
      <c r="H53" s="893"/>
    </row>
    <row r="54" spans="1:18" s="875" customFormat="1" ht="15" x14ac:dyDescent="0.25">
      <c r="A54" s="50">
        <v>3639</v>
      </c>
      <c r="B54" s="19">
        <v>5212</v>
      </c>
      <c r="C54" s="927"/>
      <c r="D54" s="935" t="s">
        <v>1049</v>
      </c>
      <c r="E54" s="48">
        <v>100</v>
      </c>
      <c r="F54" s="166">
        <v>100</v>
      </c>
      <c r="G54" s="311">
        <v>100</v>
      </c>
      <c r="H54" s="892">
        <f t="shared" si="1"/>
        <v>100</v>
      </c>
    </row>
    <row r="55" spans="1:18" s="875" customFormat="1" ht="14.25" x14ac:dyDescent="0.2">
      <c r="A55" s="50"/>
      <c r="B55" s="19"/>
      <c r="C55" s="929" t="s">
        <v>1761</v>
      </c>
      <c r="D55" s="913" t="s">
        <v>806</v>
      </c>
      <c r="E55" s="55">
        <v>100</v>
      </c>
      <c r="F55" s="310">
        <v>100</v>
      </c>
      <c r="G55" s="312">
        <v>100</v>
      </c>
      <c r="H55" s="893">
        <f t="shared" si="1"/>
        <v>100</v>
      </c>
    </row>
    <row r="56" spans="1:18" s="875" customFormat="1" ht="15" x14ac:dyDescent="0.25">
      <c r="A56" s="50">
        <v>3639</v>
      </c>
      <c r="B56" s="19">
        <v>5213</v>
      </c>
      <c r="C56" s="927"/>
      <c r="D56" s="935" t="s">
        <v>194</v>
      </c>
      <c r="E56" s="48">
        <v>120</v>
      </c>
      <c r="F56" s="166">
        <v>45</v>
      </c>
      <c r="G56" s="311">
        <v>0</v>
      </c>
      <c r="H56" s="892">
        <f t="shared" si="1"/>
        <v>0</v>
      </c>
    </row>
    <row r="57" spans="1:18" s="875" customFormat="1" ht="14.25" x14ac:dyDescent="0.2">
      <c r="A57" s="50"/>
      <c r="B57" s="19"/>
      <c r="C57" s="929" t="s">
        <v>1761</v>
      </c>
      <c r="D57" s="913" t="s">
        <v>806</v>
      </c>
      <c r="E57" s="55">
        <v>120</v>
      </c>
      <c r="F57" s="310">
        <v>45</v>
      </c>
      <c r="G57" s="312">
        <v>0</v>
      </c>
      <c r="H57" s="893">
        <f t="shared" si="1"/>
        <v>0</v>
      </c>
    </row>
    <row r="58" spans="1:18" s="875" customFormat="1" ht="15" x14ac:dyDescent="0.25">
      <c r="A58" s="50">
        <v>3639</v>
      </c>
      <c r="B58" s="19">
        <v>5229</v>
      </c>
      <c r="C58" s="929"/>
      <c r="D58" s="1103" t="s">
        <v>1019</v>
      </c>
      <c r="E58" s="71">
        <f>E59+E60</f>
        <v>1300</v>
      </c>
      <c r="F58" s="71">
        <f t="shared" ref="F58:G58" si="2">F59+F60</f>
        <v>1675</v>
      </c>
      <c r="G58" s="71">
        <f t="shared" si="2"/>
        <v>1675</v>
      </c>
      <c r="H58" s="209">
        <f t="shared" ref="H58:H62" si="3">(G58/F58)*100</f>
        <v>100</v>
      </c>
    </row>
    <row r="59" spans="1:18" s="875" customFormat="1" ht="15" x14ac:dyDescent="0.25">
      <c r="A59" s="50"/>
      <c r="B59" s="19"/>
      <c r="C59" s="929" t="s">
        <v>1761</v>
      </c>
      <c r="D59" s="913" t="s">
        <v>806</v>
      </c>
      <c r="E59" s="71"/>
      <c r="F59" s="310">
        <v>75</v>
      </c>
      <c r="G59" s="312">
        <v>75</v>
      </c>
      <c r="H59" s="893">
        <f t="shared" si="3"/>
        <v>100</v>
      </c>
    </row>
    <row r="60" spans="1:18" s="875" customFormat="1" ht="14.25" x14ac:dyDescent="0.2">
      <c r="A60" s="50"/>
      <c r="B60" s="19"/>
      <c r="C60" s="929" t="s">
        <v>1798</v>
      </c>
      <c r="D60" s="913" t="s">
        <v>1307</v>
      </c>
      <c r="E60" s="55">
        <v>1300</v>
      </c>
      <c r="F60" s="310">
        <v>1600</v>
      </c>
      <c r="G60" s="312">
        <v>1600</v>
      </c>
      <c r="H60" s="893">
        <f t="shared" si="3"/>
        <v>100</v>
      </c>
    </row>
    <row r="61" spans="1:18" s="875" customFormat="1" ht="13.5" customHeight="1" x14ac:dyDescent="0.25">
      <c r="A61" s="50">
        <v>3639</v>
      </c>
      <c r="B61" s="19">
        <v>5321</v>
      </c>
      <c r="C61" s="927"/>
      <c r="D61" s="935" t="s">
        <v>1078</v>
      </c>
      <c r="E61" s="48">
        <f>E62+E63</f>
        <v>17500</v>
      </c>
      <c r="F61" s="166">
        <f>F62+F63</f>
        <v>575</v>
      </c>
      <c r="G61" s="311">
        <v>500</v>
      </c>
      <c r="H61" s="208">
        <f t="shared" si="3"/>
        <v>86.956521739130437</v>
      </c>
      <c r="J61" s="912"/>
      <c r="R61"/>
    </row>
    <row r="62" spans="1:18" s="875" customFormat="1" ht="13.5" customHeight="1" x14ac:dyDescent="0.2">
      <c r="A62" s="50"/>
      <c r="B62" s="19"/>
      <c r="C62" s="929" t="s">
        <v>1761</v>
      </c>
      <c r="D62" s="913" t="s">
        <v>806</v>
      </c>
      <c r="E62" s="931">
        <v>500</v>
      </c>
      <c r="F62" s="435">
        <v>500</v>
      </c>
      <c r="G62" s="312">
        <v>500</v>
      </c>
      <c r="H62" s="973">
        <f t="shared" si="3"/>
        <v>100</v>
      </c>
      <c r="J62" s="890"/>
      <c r="R62"/>
    </row>
    <row r="63" spans="1:18" s="875" customFormat="1" ht="14.25" customHeight="1" x14ac:dyDescent="0.2">
      <c r="A63" s="50"/>
      <c r="B63" s="19"/>
      <c r="C63" s="903" t="s">
        <v>1795</v>
      </c>
      <c r="D63" s="936" t="s">
        <v>932</v>
      </c>
      <c r="E63" s="931">
        <v>17000</v>
      </c>
      <c r="F63" s="435">
        <v>75</v>
      </c>
      <c r="G63" s="312">
        <v>0</v>
      </c>
      <c r="H63" s="893">
        <v>0</v>
      </c>
      <c r="J63" s="890"/>
      <c r="R63"/>
    </row>
    <row r="64" spans="1:18" s="875" customFormat="1" ht="15.75" x14ac:dyDescent="0.25">
      <c r="A64" s="34">
        <v>3713</v>
      </c>
      <c r="B64" s="19">
        <v>5169</v>
      </c>
      <c r="C64" s="927"/>
      <c r="D64" s="1110" t="s">
        <v>769</v>
      </c>
      <c r="E64" s="71">
        <v>1416</v>
      </c>
      <c r="F64" s="311">
        <v>666</v>
      </c>
      <c r="G64" s="311">
        <v>591</v>
      </c>
      <c r="H64" s="2016">
        <f>(G64/F64)*100</f>
        <v>88.738738738738746</v>
      </c>
      <c r="J64" s="890"/>
      <c r="R64"/>
    </row>
    <row r="65" spans="1:18" s="875" customFormat="1" ht="15.75" x14ac:dyDescent="0.25">
      <c r="A65" s="34">
        <v>5519</v>
      </c>
      <c r="B65" s="19">
        <v>5321</v>
      </c>
      <c r="C65" s="927"/>
      <c r="D65" s="1110" t="s">
        <v>1078</v>
      </c>
      <c r="E65" s="71"/>
      <c r="F65" s="311">
        <v>257</v>
      </c>
      <c r="G65" s="311">
        <v>257</v>
      </c>
      <c r="H65" s="2016">
        <f t="shared" ref="H65:H66" si="4">(G65/F65)*100</f>
        <v>100</v>
      </c>
      <c r="J65" s="890"/>
      <c r="R65"/>
    </row>
    <row r="66" spans="1:18" s="875" customFormat="1" ht="16.5" thickBot="1" x14ac:dyDescent="0.3">
      <c r="A66" s="911"/>
      <c r="B66" s="901"/>
      <c r="C66" s="933" t="s">
        <v>1795</v>
      </c>
      <c r="D66" s="932" t="s">
        <v>932</v>
      </c>
      <c r="E66" s="934"/>
      <c r="F66" s="2017">
        <v>257</v>
      </c>
      <c r="G66" s="429">
        <v>257</v>
      </c>
      <c r="H66" s="1909">
        <f t="shared" si="4"/>
        <v>100</v>
      </c>
      <c r="J66" s="890"/>
      <c r="R66"/>
    </row>
    <row r="67" spans="1:18" s="356" customFormat="1" ht="35.25" customHeight="1" thickTop="1" thickBot="1" x14ac:dyDescent="0.3">
      <c r="A67" s="592" t="s">
        <v>225</v>
      </c>
      <c r="B67" s="593"/>
      <c r="C67" s="594"/>
      <c r="D67" s="595"/>
      <c r="E67" s="596">
        <f>E64+E61+E58+E56+E54+E51+E50+E49+E48+E41+E36+E34+E33+E31+E30+E26+E22+E14+E12+E10</f>
        <v>32412</v>
      </c>
      <c r="F67" s="596">
        <f>F65+F64+F61+F58+F56+F54+F51+F50+F49+F48+F46+F45+F43+F41+F39+F37+F36+F35+F34+F33+F31+F30+F28+F26+F25+F24+F22+F20+F18+F16+F14+F12+F10</f>
        <v>23295</v>
      </c>
      <c r="G67" s="596">
        <f>G65+G64+G61+G58+G56+G54+G51+G50+G49+G48+G46+G45+G43+G41+G39+G37+G36+G35+G34+G33+G31+G30+G28+G26+G25+G24+G22+G20+G18+G16+G14+G12+G10</f>
        <v>20220</v>
      </c>
      <c r="H67" s="597">
        <f>(G67/F67)*100</f>
        <v>86.799742433998716</v>
      </c>
      <c r="J67" s="635"/>
      <c r="K67" s="635"/>
    </row>
    <row r="68" spans="1:18" s="137" customFormat="1" ht="15.75" thickTop="1" x14ac:dyDescent="0.25">
      <c r="A68" s="598"/>
      <c r="B68" s="584"/>
      <c r="C68" s="784"/>
      <c r="D68" s="230"/>
      <c r="E68" s="1346"/>
      <c r="F68" s="785"/>
      <c r="G68" s="1346"/>
      <c r="H68" s="786"/>
      <c r="I68" s="135"/>
      <c r="J68" s="135"/>
    </row>
    <row r="69" spans="1:18" s="137" customFormat="1" ht="15" x14ac:dyDescent="0.25">
      <c r="A69" s="598"/>
      <c r="B69" s="584"/>
      <c r="C69" s="784"/>
      <c r="D69" s="230"/>
      <c r="E69" s="1346"/>
      <c r="F69" s="785"/>
      <c r="G69" s="1346"/>
      <c r="H69" s="786"/>
      <c r="I69" s="135"/>
      <c r="J69" s="135"/>
    </row>
    <row r="70" spans="1:18" s="137" customFormat="1" ht="15" x14ac:dyDescent="0.25">
      <c r="A70" s="598"/>
      <c r="B70" s="584"/>
      <c r="C70" s="784"/>
      <c r="D70" s="230"/>
      <c r="E70" s="1346"/>
      <c r="F70" s="785"/>
      <c r="G70" s="1346"/>
      <c r="H70" s="786"/>
      <c r="I70" s="135"/>
      <c r="J70" s="135"/>
    </row>
    <row r="71" spans="1:18" s="137" customFormat="1" ht="15.75" customHeight="1" x14ac:dyDescent="0.25">
      <c r="A71" s="33" t="s">
        <v>1120</v>
      </c>
      <c r="B71" s="28"/>
      <c r="C71" s="10"/>
      <c r="E71" s="135"/>
      <c r="F71" s="16"/>
      <c r="G71" s="17"/>
      <c r="H71" s="610"/>
      <c r="I71" s="135"/>
      <c r="J71" s="135"/>
    </row>
    <row r="72" spans="1:18" s="137" customFormat="1" ht="13.5" thickBot="1" x14ac:dyDescent="0.25">
      <c r="A72" s="584"/>
      <c r="B72" s="584"/>
      <c r="C72" s="585"/>
      <c r="D72" s="504"/>
      <c r="E72" s="467"/>
      <c r="F72" s="783"/>
      <c r="G72" s="467"/>
      <c r="H72" s="610" t="s">
        <v>148</v>
      </c>
      <c r="I72" s="135"/>
      <c r="J72" s="135"/>
    </row>
    <row r="73" spans="1:18" s="106" customFormat="1" ht="20.25" customHeight="1" thickTop="1" thickBot="1" x14ac:dyDescent="0.25">
      <c r="A73" s="586" t="s">
        <v>149</v>
      </c>
      <c r="B73" s="587" t="s">
        <v>150</v>
      </c>
      <c r="C73" s="615" t="s">
        <v>639</v>
      </c>
      <c r="D73" s="658" t="s">
        <v>151</v>
      </c>
      <c r="E73" s="658" t="s">
        <v>569</v>
      </c>
      <c r="F73" s="589" t="s">
        <v>570</v>
      </c>
      <c r="G73" s="589" t="s">
        <v>797</v>
      </c>
      <c r="H73" s="590" t="s">
        <v>798</v>
      </c>
    </row>
    <row r="74" spans="1:18" s="375" customFormat="1" ht="13.5" thickTop="1" thickBot="1" x14ac:dyDescent="0.25">
      <c r="A74" s="525">
        <v>1</v>
      </c>
      <c r="B74" s="526">
        <v>2</v>
      </c>
      <c r="C74" s="526">
        <v>3</v>
      </c>
      <c r="D74" s="526">
        <v>4</v>
      </c>
      <c r="E74" s="526">
        <v>5</v>
      </c>
      <c r="F74" s="512">
        <v>6</v>
      </c>
      <c r="G74" s="512">
        <v>7</v>
      </c>
      <c r="H74" s="591" t="s">
        <v>54</v>
      </c>
      <c r="I74" s="106"/>
    </row>
    <row r="75" spans="1:18" s="920" customFormat="1" ht="14.25" customHeight="1" thickTop="1" x14ac:dyDescent="0.25">
      <c r="A75" s="960">
        <v>2212</v>
      </c>
      <c r="B75" s="264">
        <v>6341</v>
      </c>
      <c r="C75" s="903"/>
      <c r="D75" s="876" t="s">
        <v>227</v>
      </c>
      <c r="E75" s="930"/>
      <c r="F75" s="309">
        <v>900</v>
      </c>
      <c r="G75" s="311">
        <v>562</v>
      </c>
      <c r="H75" s="200">
        <f t="shared" ref="H75:H86" si="5">(G75/F75)*100</f>
        <v>62.44444444444445</v>
      </c>
    </row>
    <row r="76" spans="1:18" s="920" customFormat="1" ht="14.25" customHeight="1" x14ac:dyDescent="0.2">
      <c r="A76" s="960"/>
      <c r="B76" s="264"/>
      <c r="C76" s="903" t="s">
        <v>1795</v>
      </c>
      <c r="D76" s="882" t="s">
        <v>932</v>
      </c>
      <c r="E76" s="930"/>
      <c r="F76" s="310">
        <v>900</v>
      </c>
      <c r="G76" s="312">
        <v>562</v>
      </c>
      <c r="H76" s="884">
        <f t="shared" si="5"/>
        <v>62.44444444444445</v>
      </c>
    </row>
    <row r="77" spans="1:18" s="920" customFormat="1" ht="14.25" customHeight="1" x14ac:dyDescent="0.25">
      <c r="A77" s="960">
        <v>2219</v>
      </c>
      <c r="B77" s="264">
        <v>6341</v>
      </c>
      <c r="C77" s="903"/>
      <c r="D77" s="876" t="s">
        <v>227</v>
      </c>
      <c r="E77" s="930"/>
      <c r="F77" s="309">
        <v>600</v>
      </c>
      <c r="G77" s="311">
        <v>600</v>
      </c>
      <c r="H77" s="200">
        <f t="shared" si="5"/>
        <v>100</v>
      </c>
    </row>
    <row r="78" spans="1:18" s="920" customFormat="1" ht="14.25" customHeight="1" x14ac:dyDescent="0.2">
      <c r="A78" s="960"/>
      <c r="B78" s="264"/>
      <c r="C78" s="903" t="s">
        <v>1795</v>
      </c>
      <c r="D78" s="882" t="s">
        <v>932</v>
      </c>
      <c r="E78" s="930"/>
      <c r="F78" s="310">
        <v>600</v>
      </c>
      <c r="G78" s="312">
        <v>600</v>
      </c>
      <c r="H78" s="884">
        <f t="shared" si="5"/>
        <v>100</v>
      </c>
    </row>
    <row r="79" spans="1:18" s="920" customFormat="1" ht="13.5" customHeight="1" x14ac:dyDescent="0.25">
      <c r="A79" s="960">
        <v>3631</v>
      </c>
      <c r="B79" s="264">
        <v>6341</v>
      </c>
      <c r="C79" s="903"/>
      <c r="D79" s="876" t="s">
        <v>227</v>
      </c>
      <c r="E79" s="123"/>
      <c r="F79" s="309">
        <v>775</v>
      </c>
      <c r="G79" s="311">
        <v>762</v>
      </c>
      <c r="H79" s="200">
        <f t="shared" si="5"/>
        <v>98.322580645161295</v>
      </c>
    </row>
    <row r="80" spans="1:18" s="920" customFormat="1" ht="13.5" customHeight="1" x14ac:dyDescent="0.2">
      <c r="A80" s="960"/>
      <c r="B80" s="264"/>
      <c r="C80" s="903" t="s">
        <v>1795</v>
      </c>
      <c r="D80" s="882" t="s">
        <v>932</v>
      </c>
      <c r="E80" s="123"/>
      <c r="F80" s="310">
        <v>775</v>
      </c>
      <c r="G80" s="312">
        <v>762</v>
      </c>
      <c r="H80" s="884">
        <f t="shared" si="5"/>
        <v>98.322580645161295</v>
      </c>
    </row>
    <row r="81" spans="1:18" s="920" customFormat="1" ht="13.5" customHeight="1" x14ac:dyDescent="0.25">
      <c r="A81" s="34">
        <v>3636</v>
      </c>
      <c r="B81" s="905">
        <v>6321</v>
      </c>
      <c r="C81" s="903"/>
      <c r="D81" s="87" t="s">
        <v>1615</v>
      </c>
      <c r="E81" s="123"/>
      <c r="F81" s="309">
        <v>55</v>
      </c>
      <c r="G81" s="311">
        <v>55</v>
      </c>
      <c r="H81" s="200">
        <f t="shared" si="5"/>
        <v>100</v>
      </c>
    </row>
    <row r="82" spans="1:18" s="920" customFormat="1" ht="13.5" customHeight="1" x14ac:dyDescent="0.2">
      <c r="A82" s="960"/>
      <c r="B82" s="264"/>
      <c r="C82" s="903" t="s">
        <v>1795</v>
      </c>
      <c r="D82" s="882" t="s">
        <v>932</v>
      </c>
      <c r="E82" s="123"/>
      <c r="F82" s="310">
        <v>55</v>
      </c>
      <c r="G82" s="312">
        <v>55</v>
      </c>
      <c r="H82" s="884">
        <f t="shared" si="5"/>
        <v>100</v>
      </c>
    </row>
    <row r="83" spans="1:18" s="920" customFormat="1" ht="13.5" customHeight="1" x14ac:dyDescent="0.25">
      <c r="A83" s="34">
        <v>3636</v>
      </c>
      <c r="B83" s="905">
        <v>6322</v>
      </c>
      <c r="C83" s="903"/>
      <c r="D83" s="894" t="s">
        <v>1616</v>
      </c>
      <c r="E83" s="123"/>
      <c r="F83" s="309">
        <v>116</v>
      </c>
      <c r="G83" s="311">
        <v>116</v>
      </c>
      <c r="H83" s="200">
        <f t="shared" ref="H83:H84" si="6">(G83/F83)*100</f>
        <v>100</v>
      </c>
    </row>
    <row r="84" spans="1:18" s="920" customFormat="1" ht="13.5" customHeight="1" x14ac:dyDescent="0.2">
      <c r="A84" s="960"/>
      <c r="B84" s="264"/>
      <c r="C84" s="903" t="s">
        <v>1795</v>
      </c>
      <c r="D84" s="882" t="s">
        <v>932</v>
      </c>
      <c r="E84" s="123"/>
      <c r="F84" s="310">
        <v>116</v>
      </c>
      <c r="G84" s="312">
        <v>116</v>
      </c>
      <c r="H84" s="884">
        <f t="shared" si="6"/>
        <v>100</v>
      </c>
    </row>
    <row r="85" spans="1:18" s="875" customFormat="1" ht="15" x14ac:dyDescent="0.25">
      <c r="A85" s="34">
        <v>3636</v>
      </c>
      <c r="B85" s="905">
        <v>6341</v>
      </c>
      <c r="C85" s="903"/>
      <c r="D85" s="876" t="s">
        <v>227</v>
      </c>
      <c r="E85" s="55"/>
      <c r="F85" s="309">
        <v>5572</v>
      </c>
      <c r="G85" s="311">
        <v>5481</v>
      </c>
      <c r="H85" s="881">
        <f t="shared" si="5"/>
        <v>98.366834170854261</v>
      </c>
    </row>
    <row r="86" spans="1:18" s="875" customFormat="1" ht="14.25" x14ac:dyDescent="0.2">
      <c r="A86" s="34"/>
      <c r="B86" s="905"/>
      <c r="C86" s="903" t="s">
        <v>1795</v>
      </c>
      <c r="D86" s="882" t="s">
        <v>932</v>
      </c>
      <c r="E86" s="55"/>
      <c r="F86" s="310">
        <v>5572</v>
      </c>
      <c r="G86" s="312">
        <v>5481</v>
      </c>
      <c r="H86" s="884">
        <f t="shared" si="5"/>
        <v>98.366834170854261</v>
      </c>
    </row>
    <row r="87" spans="1:18" s="875" customFormat="1" ht="15.75" x14ac:dyDescent="0.25">
      <c r="A87" s="34">
        <v>3713</v>
      </c>
      <c r="B87" s="905">
        <v>6122</v>
      </c>
      <c r="C87" s="888"/>
      <c r="D87" s="894" t="s">
        <v>549</v>
      </c>
      <c r="E87" s="71">
        <v>2627</v>
      </c>
      <c r="F87" s="309">
        <v>2627</v>
      </c>
      <c r="G87" s="311">
        <v>1624</v>
      </c>
      <c r="H87" s="200">
        <f>(G87/F87)*100</f>
        <v>61.819566044918162</v>
      </c>
      <c r="J87" s="890"/>
      <c r="R87"/>
    </row>
    <row r="88" spans="1:18" s="875" customFormat="1" ht="15.75" x14ac:dyDescent="0.25">
      <c r="A88" s="34">
        <v>5519</v>
      </c>
      <c r="B88" s="905">
        <v>6341</v>
      </c>
      <c r="C88" s="903"/>
      <c r="D88" s="876" t="s">
        <v>227</v>
      </c>
      <c r="E88" s="55"/>
      <c r="F88" s="309">
        <v>600</v>
      </c>
      <c r="G88" s="311">
        <v>600</v>
      </c>
      <c r="H88" s="881">
        <f t="shared" ref="H88:H89" si="7">(G88/F88)*100</f>
        <v>100</v>
      </c>
      <c r="J88" s="890"/>
      <c r="R88"/>
    </row>
    <row r="89" spans="1:18" s="875" customFormat="1" ht="15.75" thickBot="1" x14ac:dyDescent="0.25">
      <c r="A89" s="34"/>
      <c r="B89" s="905"/>
      <c r="C89" s="903" t="s">
        <v>1795</v>
      </c>
      <c r="D89" s="882" t="s">
        <v>932</v>
      </c>
      <c r="E89" s="55"/>
      <c r="F89" s="310">
        <v>600</v>
      </c>
      <c r="G89" s="312">
        <v>600</v>
      </c>
      <c r="H89" s="884">
        <f t="shared" si="7"/>
        <v>100</v>
      </c>
      <c r="J89" s="890"/>
      <c r="R89"/>
    </row>
    <row r="90" spans="1:18" s="356" customFormat="1" ht="35.25" customHeight="1" thickTop="1" thickBot="1" x14ac:dyDescent="0.3">
      <c r="A90" s="592" t="s">
        <v>224</v>
      </c>
      <c r="B90" s="787"/>
      <c r="C90" s="619"/>
      <c r="D90" s="595"/>
      <c r="E90" s="596">
        <f>E87</f>
        <v>2627</v>
      </c>
      <c r="F90" s="596">
        <f>F75+F77+F79+F81+F83+F85+F87+F88</f>
        <v>11245</v>
      </c>
      <c r="G90" s="596">
        <f>G88+G87+G85+G83+G81+G79+G77+G75</f>
        <v>9800</v>
      </c>
      <c r="H90" s="788">
        <f>(G90/F90)*100</f>
        <v>87.149844375277894</v>
      </c>
      <c r="I90" s="789"/>
    </row>
    <row r="91" spans="1:18" ht="13.5" thickTop="1" x14ac:dyDescent="0.2">
      <c r="A91" s="584"/>
      <c r="I91" s="792"/>
      <c r="J91" s="504"/>
    </row>
    <row r="92" spans="1:18" x14ac:dyDescent="0.2">
      <c r="A92" s="584"/>
      <c r="I92" s="792"/>
      <c r="J92" s="504"/>
    </row>
    <row r="93" spans="1:18" s="611" customFormat="1" ht="16.5" x14ac:dyDescent="0.25">
      <c r="A93" s="357" t="s">
        <v>539</v>
      </c>
      <c r="B93" s="358"/>
      <c r="C93" s="359"/>
      <c r="D93" s="359"/>
      <c r="E93" s="777">
        <f>E94+E95+E96+E97</f>
        <v>35039</v>
      </c>
      <c r="F93" s="777">
        <f>F94+F95+F96+F97</f>
        <v>34540</v>
      </c>
      <c r="G93" s="777">
        <f>G94+G95+G96+G97</f>
        <v>30020</v>
      </c>
      <c r="H93" s="301">
        <f>G93/F93*100</f>
        <v>86.913723219455704</v>
      </c>
      <c r="J93" s="1611">
        <f>SUM(J94:J97)</f>
        <v>35039000</v>
      </c>
      <c r="K93" s="1611">
        <f>SUM(K94:K97)</f>
        <v>34539500</v>
      </c>
      <c r="L93" s="1611">
        <f>SUM(L94:L97)</f>
        <v>30020277.359999999</v>
      </c>
    </row>
    <row r="94" spans="1:18" s="1045" customFormat="1" ht="15" x14ac:dyDescent="0.2">
      <c r="A94" s="520" t="s">
        <v>242</v>
      </c>
      <c r="B94" s="542"/>
      <c r="C94" s="543"/>
      <c r="D94" s="543"/>
      <c r="E94" s="778">
        <f>E67</f>
        <v>32412</v>
      </c>
      <c r="F94" s="778">
        <f>F67-F96</f>
        <v>23295</v>
      </c>
      <c r="G94" s="778">
        <f>G67-G96</f>
        <v>20220</v>
      </c>
      <c r="H94" s="302">
        <f>G94/F94*100</f>
        <v>86.799742433998716</v>
      </c>
      <c r="J94" s="1437">
        <v>32412000</v>
      </c>
      <c r="K94" s="1437">
        <v>23294500</v>
      </c>
      <c r="L94" s="1437">
        <v>20220106.059999999</v>
      </c>
    </row>
    <row r="95" spans="1:18" s="1045" customFormat="1" ht="15" x14ac:dyDescent="0.2">
      <c r="A95" s="520" t="s">
        <v>243</v>
      </c>
      <c r="B95" s="547"/>
      <c r="C95" s="543"/>
      <c r="D95" s="543"/>
      <c r="E95" s="779">
        <f>E90</f>
        <v>2627</v>
      </c>
      <c r="F95" s="779">
        <f>F90</f>
        <v>11245</v>
      </c>
      <c r="G95" s="779">
        <f>G90</f>
        <v>9800</v>
      </c>
      <c r="H95" s="302">
        <f>G95/F95*100</f>
        <v>87.149844375277894</v>
      </c>
      <c r="J95" s="1437">
        <v>2627000</v>
      </c>
      <c r="K95" s="1437">
        <v>11245000</v>
      </c>
      <c r="L95" s="1437">
        <v>9800171.3000000007</v>
      </c>
    </row>
    <row r="96" spans="1:18" s="1045" customFormat="1" ht="15" x14ac:dyDescent="0.2">
      <c r="A96" s="520" t="s">
        <v>191</v>
      </c>
      <c r="B96" s="547"/>
      <c r="C96" s="543"/>
      <c r="D96" s="543"/>
      <c r="E96" s="778">
        <v>0</v>
      </c>
      <c r="F96" s="545">
        <v>0</v>
      </c>
      <c r="G96" s="545">
        <v>0</v>
      </c>
      <c r="H96" s="302">
        <v>0</v>
      </c>
      <c r="J96" s="1437">
        <v>0</v>
      </c>
      <c r="K96" s="1437">
        <v>0</v>
      </c>
      <c r="L96" s="1437">
        <v>0</v>
      </c>
    </row>
    <row r="97" spans="1:12" s="1045" customFormat="1" ht="15" x14ac:dyDescent="0.2">
      <c r="A97" s="520" t="s">
        <v>1034</v>
      </c>
      <c r="B97" s="547"/>
      <c r="C97" s="543"/>
      <c r="D97" s="543"/>
      <c r="E97" s="778">
        <v>0</v>
      </c>
      <c r="F97" s="549">
        <v>0</v>
      </c>
      <c r="G97" s="549">
        <v>0</v>
      </c>
      <c r="H97" s="302">
        <v>0</v>
      </c>
      <c r="J97" s="1437">
        <v>0</v>
      </c>
      <c r="K97" s="1437">
        <v>0</v>
      </c>
      <c r="L97" s="1437">
        <v>0</v>
      </c>
    </row>
    <row r="98" spans="1:12" s="58" customFormat="1" ht="47.25" customHeight="1" thickBot="1" x14ac:dyDescent="0.4">
      <c r="A98" s="3076" t="s">
        <v>44</v>
      </c>
      <c r="B98" s="3080"/>
      <c r="C98" s="3080"/>
      <c r="D98" s="3080"/>
      <c r="E98" s="550">
        <f>E90+E67</f>
        <v>35039</v>
      </c>
      <c r="F98" s="550">
        <f>F90+F67</f>
        <v>34540</v>
      </c>
      <c r="G98" s="550">
        <f>G90+G67</f>
        <v>30020</v>
      </c>
      <c r="H98" s="646">
        <f>(G98/F98)*100</f>
        <v>86.913723219455704</v>
      </c>
      <c r="I98" s="114"/>
    </row>
    <row r="99" spans="1:12" s="599" customFormat="1" ht="13.5" thickTop="1" x14ac:dyDescent="0.2">
      <c r="A99" s="598"/>
      <c r="B99" s="584"/>
      <c r="C99" s="793"/>
      <c r="E99" s="757"/>
      <c r="F99" s="794"/>
      <c r="G99" s="795"/>
      <c r="H99" s="796"/>
      <c r="I99" s="757"/>
      <c r="J99" s="757"/>
    </row>
  </sheetData>
  <mergeCells count="3">
    <mergeCell ref="A98:D98"/>
    <mergeCell ref="D31:D32"/>
    <mergeCell ref="A1:E1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9" firstPageNumber="33" orientation="portrait" useFirstPageNumber="1" r:id="rId1"/>
  <headerFooter alignWithMargins="0">
    <oddFooter xml:space="preserve">&amp;L&amp;"Arial,Kurzíva"Zastupitelstvo Olomouckého kraje 24.6.2016
4.1. - Rozpočet Olomouckého kraje 2015 - závěrečný účet 
Příloha č. 3: Plnění rozpočtu výdajů Olomouckého kraje k 31.12.2015&amp;R&amp;"Arial,Kurzíva"Strana &amp;P (Celkem 473)
</oddFooter>
  </headerFooter>
  <rowBreaks count="1" manualBreakCount="1">
    <brk id="68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65</vt:i4>
      </vt:variant>
      <vt:variant>
        <vt:lpstr>Pojmenované oblasti</vt:lpstr>
      </vt:variant>
      <vt:variant>
        <vt:i4>63</vt:i4>
      </vt:variant>
    </vt:vector>
  </HeadingPairs>
  <TitlesOfParts>
    <vt:vector size="128" baseType="lpstr">
      <vt:lpstr>Rekapitulace</vt:lpstr>
      <vt:lpstr>Odbor celkem</vt:lpstr>
      <vt:lpstr>01 </vt:lpstr>
      <vt:lpstr>03</vt:lpstr>
      <vt:lpstr>04</vt:lpstr>
      <vt:lpstr>05</vt:lpstr>
      <vt:lpstr>06</vt:lpstr>
      <vt:lpstr>07</vt:lpstr>
      <vt:lpstr>08</vt:lpstr>
      <vt:lpstr>OPOK</vt:lpstr>
      <vt:lpstr>SROP</vt:lpstr>
      <vt:lpstr>List1</vt:lpstr>
      <vt:lpstr>09</vt:lpstr>
      <vt:lpstr>10</vt:lpstr>
      <vt:lpstr>10 - PO</vt:lpstr>
      <vt:lpstr>10 - soukr.šk.</vt:lpstr>
      <vt:lpstr>11</vt:lpstr>
      <vt:lpstr>12</vt:lpstr>
      <vt:lpstr>13</vt:lpstr>
      <vt:lpstr>14</vt:lpstr>
      <vt:lpstr>15</vt:lpstr>
      <vt:lpstr>16</vt:lpstr>
      <vt:lpstr>17-st. akce</vt:lpstr>
      <vt:lpstr>17</vt:lpstr>
      <vt:lpstr>18</vt:lpstr>
      <vt:lpstr>19</vt:lpstr>
      <vt:lpstr>19 - PO</vt:lpstr>
      <vt:lpstr>30</vt:lpstr>
      <vt:lpstr>37 </vt:lpstr>
      <vt:lpstr>38</vt:lpstr>
      <vt:lpstr>39 </vt:lpstr>
      <vt:lpstr>41 </vt:lpstr>
      <vt:lpstr>42 </vt:lpstr>
      <vt:lpstr>47 </vt:lpstr>
      <vt:lpstr>48 </vt:lpstr>
      <vt:lpstr>49 </vt:lpstr>
      <vt:lpstr>36</vt:lpstr>
      <vt:lpstr>37</vt:lpstr>
      <vt:lpstr>32</vt:lpstr>
      <vt:lpstr>50</vt:lpstr>
      <vt:lpstr>52</vt:lpstr>
      <vt:lpstr>56</vt:lpstr>
      <vt:lpstr>57</vt:lpstr>
      <vt:lpstr>58</vt:lpstr>
      <vt:lpstr>59</vt:lpstr>
      <vt:lpstr>60</vt:lpstr>
      <vt:lpstr>63</vt:lpstr>
      <vt:lpstr>64</vt:lpstr>
      <vt:lpstr>66</vt:lpstr>
      <vt:lpstr>67</vt:lpstr>
      <vt:lpstr>68</vt:lpstr>
      <vt:lpstr>69</vt:lpstr>
      <vt:lpstr>71</vt:lpstr>
      <vt:lpstr>72</vt:lpstr>
      <vt:lpstr>73</vt:lpstr>
      <vt:lpstr>74</vt:lpstr>
      <vt:lpstr>46</vt:lpstr>
      <vt:lpstr>75</vt:lpstr>
      <vt:lpstr>76</vt:lpstr>
      <vt:lpstr>77</vt:lpstr>
      <vt:lpstr>F - 99</vt:lpstr>
      <vt:lpstr>199</vt:lpstr>
      <vt:lpstr>99</vt:lpstr>
      <vt:lpstr>F -199</vt:lpstr>
      <vt:lpstr>List2</vt:lpstr>
      <vt:lpstr>'03'!Názvy_tisku</vt:lpstr>
      <vt:lpstr>'01 '!Oblast_tisku</vt:lpstr>
      <vt:lpstr>'03'!Oblast_tisku</vt:lpstr>
      <vt:lpstr>'04'!Oblast_tisku</vt:lpstr>
      <vt:lpstr>'05'!Oblast_tisku</vt:lpstr>
      <vt:lpstr>'06'!Oblast_tisku</vt:lpstr>
      <vt:lpstr>'07'!Oblast_tisku</vt:lpstr>
      <vt:lpstr>'08'!Oblast_tisku</vt:lpstr>
      <vt:lpstr>'09'!Oblast_tisku</vt:lpstr>
      <vt:lpstr>'10'!Oblast_tisku</vt:lpstr>
      <vt:lpstr>'10 - PO'!Oblast_tisku</vt:lpstr>
      <vt:lpstr>'10 - soukr.šk.'!Oblast_tisku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'17-st. akce'!Oblast_tisku</vt:lpstr>
      <vt:lpstr>'18'!Oblast_tisku</vt:lpstr>
      <vt:lpstr>'19'!Oblast_tisku</vt:lpstr>
      <vt:lpstr>'19 - PO'!Oblast_tisku</vt:lpstr>
      <vt:lpstr>'199'!Oblast_tisku</vt:lpstr>
      <vt:lpstr>'30'!Oblast_tisku</vt:lpstr>
      <vt:lpstr>'32'!Oblast_tisku</vt:lpstr>
      <vt:lpstr>'36'!Oblast_tisku</vt:lpstr>
      <vt:lpstr>'37'!Oblast_tisku</vt:lpstr>
      <vt:lpstr>'37 '!Oblast_tisku</vt:lpstr>
      <vt:lpstr>'38'!Oblast_tisku</vt:lpstr>
      <vt:lpstr>'39 '!Oblast_tisku</vt:lpstr>
      <vt:lpstr>'41 '!Oblast_tisku</vt:lpstr>
      <vt:lpstr>'42 '!Oblast_tisku</vt:lpstr>
      <vt:lpstr>'47 '!Oblast_tisku</vt:lpstr>
      <vt:lpstr>'48 '!Oblast_tisku</vt:lpstr>
      <vt:lpstr>'49 '!Oblast_tisku</vt:lpstr>
      <vt:lpstr>'50'!Oblast_tisku</vt:lpstr>
      <vt:lpstr>'52'!Oblast_tisku</vt:lpstr>
      <vt:lpstr>'56'!Oblast_tisku</vt:lpstr>
      <vt:lpstr>'57'!Oblast_tisku</vt:lpstr>
      <vt:lpstr>'58'!Oblast_tisku</vt:lpstr>
      <vt:lpstr>'59'!Oblast_tisku</vt:lpstr>
      <vt:lpstr>'60'!Oblast_tisku</vt:lpstr>
      <vt:lpstr>'63'!Oblast_tisku</vt:lpstr>
      <vt:lpstr>'64'!Oblast_tisku</vt:lpstr>
      <vt:lpstr>'66'!Oblast_tisku</vt:lpstr>
      <vt:lpstr>'67'!Oblast_tisku</vt:lpstr>
      <vt:lpstr>'68'!Oblast_tisku</vt:lpstr>
      <vt:lpstr>'69'!Oblast_tisku</vt:lpstr>
      <vt:lpstr>'71'!Oblast_tisku</vt:lpstr>
      <vt:lpstr>'72'!Oblast_tisku</vt:lpstr>
      <vt:lpstr>'73'!Oblast_tisku</vt:lpstr>
      <vt:lpstr>'74'!Oblast_tisku</vt:lpstr>
      <vt:lpstr>'75'!Oblast_tisku</vt:lpstr>
      <vt:lpstr>'76'!Oblast_tisku</vt:lpstr>
      <vt:lpstr>'77'!Oblast_tisku</vt:lpstr>
      <vt:lpstr>'99'!Oblast_tisku</vt:lpstr>
      <vt:lpstr>'F - 99'!Oblast_tisku</vt:lpstr>
      <vt:lpstr>'F -199'!Oblast_tisku</vt:lpstr>
      <vt:lpstr>'Odbor celkem'!Oblast_tisku</vt:lpstr>
      <vt:lpstr>OPOK!Oblast_tisku</vt:lpstr>
      <vt:lpstr>Rekapitulace!Oblast_tisku</vt:lpstr>
      <vt:lpstr>SROP!Oblast_tisku</vt:lpstr>
    </vt:vector>
  </TitlesOfParts>
  <Company>Krajský úřad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Alice Hradilová</dc:creator>
  <cp:lastModifiedBy>Balabuch Petr</cp:lastModifiedBy>
  <cp:lastPrinted>2016-06-01T10:23:45Z</cp:lastPrinted>
  <dcterms:created xsi:type="dcterms:W3CDTF">2003-03-17T17:09:55Z</dcterms:created>
  <dcterms:modified xsi:type="dcterms:W3CDTF">2016-06-01T11:26:20Z</dcterms:modified>
</cp:coreProperties>
</file>